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kumenty\PUT Solar Dynamics\Prezentacje\"/>
    </mc:Choice>
  </mc:AlternateContent>
  <bookViews>
    <workbookView xWindow="0" yWindow="0" windowWidth="23040" windowHeight="9192"/>
  </bookViews>
  <sheets>
    <sheet name="40%-60%" sheetId="10" r:id="rId1"/>
    <sheet name="Dynamika od Tomka" sheetId="11" r:id="rId2"/>
    <sheet name="45%-55%" sheetId="1" r:id="rId3"/>
    <sheet name="Środek masy" sheetId="4" r:id="rId4"/>
    <sheet name="Środek masy nieresorowanej" sheetId="6" r:id="rId5"/>
    <sheet name="Środek masy resorowanej" sheetId="7" r:id="rId6"/>
    <sheet name="Amortyzatory od Jacka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4" i="7" l="1"/>
  <c r="F84" i="7"/>
  <c r="B929" i="10" l="1"/>
  <c r="B851" i="10"/>
  <c r="B852" i="10" s="1"/>
  <c r="V207" i="11" l="1"/>
  <c r="V213" i="11" s="1"/>
  <c r="V206" i="11"/>
  <c r="V212" i="11" s="1"/>
  <c r="V165" i="11"/>
  <c r="V114" i="11"/>
  <c r="T107" i="11"/>
  <c r="P107" i="11"/>
  <c r="U106" i="11"/>
  <c r="Q106" i="11"/>
  <c r="V105" i="11"/>
  <c r="U105" i="11"/>
  <c r="R105" i="11"/>
  <c r="O104" i="11"/>
  <c r="P103" i="11"/>
  <c r="Q102" i="11"/>
  <c r="S100" i="11"/>
  <c r="T99" i="11"/>
  <c r="S99" i="11"/>
  <c r="U98" i="11"/>
  <c r="T98" i="11"/>
  <c r="V97" i="11"/>
  <c r="U97" i="11"/>
  <c r="W96" i="11"/>
  <c r="V96" i="11"/>
  <c r="O96" i="11"/>
  <c r="W95" i="11"/>
  <c r="P95" i="11"/>
  <c r="O95" i="11"/>
  <c r="U94" i="11"/>
  <c r="T94" i="11"/>
  <c r="Q94" i="11"/>
  <c r="R93" i="11"/>
  <c r="Q93" i="11"/>
  <c r="S92" i="11"/>
  <c r="R92" i="11"/>
  <c r="W91" i="11"/>
  <c r="T91" i="11"/>
  <c r="S91" i="11"/>
  <c r="O91" i="11"/>
  <c r="U90" i="11"/>
  <c r="T90" i="11"/>
  <c r="V89" i="11"/>
  <c r="U89" i="11"/>
  <c r="O88" i="11"/>
  <c r="W84" i="11"/>
  <c r="T84" i="11"/>
  <c r="P84" i="11"/>
  <c r="O84" i="11"/>
  <c r="U83" i="11"/>
  <c r="Q83" i="11"/>
  <c r="P83" i="11"/>
  <c r="V82" i="11"/>
  <c r="R82" i="11"/>
  <c r="Q82" i="11"/>
  <c r="S81" i="11"/>
  <c r="R81" i="11"/>
  <c r="T80" i="11"/>
  <c r="S80" i="11"/>
  <c r="V79" i="11"/>
  <c r="U79" i="11"/>
  <c r="T79" i="11"/>
  <c r="J79" i="11"/>
  <c r="I79" i="11"/>
  <c r="H79" i="11"/>
  <c r="G79" i="11"/>
  <c r="W77" i="11"/>
  <c r="V77" i="11"/>
  <c r="P77" i="11"/>
  <c r="O77" i="11"/>
  <c r="W76" i="11"/>
  <c r="P75" i="11"/>
  <c r="Q74" i="11"/>
  <c r="J74" i="11"/>
  <c r="J73" i="11"/>
  <c r="V72" i="11"/>
  <c r="R72" i="11"/>
  <c r="W70" i="11"/>
  <c r="S70" i="11"/>
  <c r="P70" i="11"/>
  <c r="O70" i="11"/>
  <c r="U69" i="11"/>
  <c r="T69" i="11"/>
  <c r="Q69" i="11"/>
  <c r="V68" i="11"/>
  <c r="Q68" i="11"/>
  <c r="T67" i="11"/>
  <c r="S67" i="11"/>
  <c r="R67" i="11"/>
  <c r="T66" i="11"/>
  <c r="S66" i="11"/>
  <c r="J66" i="11"/>
  <c r="I62" i="11"/>
  <c r="W61" i="11"/>
  <c r="W107" i="11" s="1"/>
  <c r="V61" i="11"/>
  <c r="V107" i="11" s="1"/>
  <c r="U61" i="11"/>
  <c r="U107" i="11" s="1"/>
  <c r="T61" i="11"/>
  <c r="S61" i="11"/>
  <c r="S84" i="11" s="1"/>
  <c r="R61" i="11"/>
  <c r="Q61" i="11"/>
  <c r="Q84" i="11" s="1"/>
  <c r="P61" i="11"/>
  <c r="O61" i="11"/>
  <c r="O107" i="11" s="1"/>
  <c r="W60" i="11"/>
  <c r="W106" i="11" s="1"/>
  <c r="V60" i="11"/>
  <c r="V106" i="11" s="1"/>
  <c r="U60" i="11"/>
  <c r="T60" i="11"/>
  <c r="T83" i="11" s="1"/>
  <c r="S60" i="11"/>
  <c r="R60" i="11"/>
  <c r="R83" i="11" s="1"/>
  <c r="Q60" i="11"/>
  <c r="P60" i="11"/>
  <c r="P106" i="11" s="1"/>
  <c r="O60" i="11"/>
  <c r="O106" i="11" s="1"/>
  <c r="W59" i="11"/>
  <c r="W105" i="11" s="1"/>
  <c r="V59" i="11"/>
  <c r="U59" i="11"/>
  <c r="U82" i="11" s="1"/>
  <c r="T59" i="11"/>
  <c r="S59" i="11"/>
  <c r="S82" i="11" s="1"/>
  <c r="R59" i="11"/>
  <c r="Q59" i="11"/>
  <c r="Q105" i="11" s="1"/>
  <c r="P59" i="11"/>
  <c r="P105" i="11" s="1"/>
  <c r="O59" i="11"/>
  <c r="O105" i="11" s="1"/>
  <c r="J59" i="11"/>
  <c r="W58" i="11"/>
  <c r="W81" i="11" s="1"/>
  <c r="V58" i="11"/>
  <c r="V81" i="11" s="1"/>
  <c r="U58" i="11"/>
  <c r="U81" i="11" s="1"/>
  <c r="T58" i="11"/>
  <c r="T81" i="11" s="1"/>
  <c r="S58" i="11"/>
  <c r="S104" i="11" s="1"/>
  <c r="R58" i="11"/>
  <c r="R104" i="11" s="1"/>
  <c r="Q58" i="11"/>
  <c r="Q104" i="11" s="1"/>
  <c r="P58" i="11"/>
  <c r="O58" i="11"/>
  <c r="O81" i="11" s="1"/>
  <c r="W57" i="11"/>
  <c r="W80" i="11" s="1"/>
  <c r="V57" i="11"/>
  <c r="V80" i="11" s="1"/>
  <c r="U57" i="11"/>
  <c r="U80" i="11" s="1"/>
  <c r="T57" i="11"/>
  <c r="T103" i="11" s="1"/>
  <c r="S57" i="11"/>
  <c r="S103" i="11" s="1"/>
  <c r="R57" i="11"/>
  <c r="R103" i="11" s="1"/>
  <c r="Q57" i="11"/>
  <c r="P57" i="11"/>
  <c r="P80" i="11" s="1"/>
  <c r="O57" i="11"/>
  <c r="O80" i="11" s="1"/>
  <c r="W56" i="11"/>
  <c r="W79" i="11" s="1"/>
  <c r="V56" i="11"/>
  <c r="V102" i="11" s="1"/>
  <c r="U56" i="11"/>
  <c r="U102" i="11" s="1"/>
  <c r="T56" i="11"/>
  <c r="T102" i="11" s="1"/>
  <c r="S56" i="11"/>
  <c r="S102" i="11" s="1"/>
  <c r="R56" i="11"/>
  <c r="Q56" i="11"/>
  <c r="Q79" i="11" s="1"/>
  <c r="P56" i="11"/>
  <c r="P79" i="11" s="1"/>
  <c r="O56" i="11"/>
  <c r="O79" i="11" s="1"/>
  <c r="W55" i="11"/>
  <c r="W101" i="11" s="1"/>
  <c r="V55" i="11"/>
  <c r="V101" i="11" s="1"/>
  <c r="U55" i="11"/>
  <c r="U101" i="11" s="1"/>
  <c r="T55" i="11"/>
  <c r="T101" i="11" s="1"/>
  <c r="S55" i="11"/>
  <c r="R55" i="11"/>
  <c r="R101" i="11" s="1"/>
  <c r="Q55" i="11"/>
  <c r="Q101" i="11" s="1"/>
  <c r="P55" i="11"/>
  <c r="P101" i="11" s="1"/>
  <c r="O55" i="11"/>
  <c r="O101" i="11" s="1"/>
  <c r="W54" i="11"/>
  <c r="W100" i="11" s="1"/>
  <c r="V54" i="11"/>
  <c r="V100" i="11" s="1"/>
  <c r="U54" i="11"/>
  <c r="U100" i="11" s="1"/>
  <c r="T54" i="11"/>
  <c r="S54" i="11"/>
  <c r="S77" i="11" s="1"/>
  <c r="R54" i="11"/>
  <c r="R77" i="11" s="1"/>
  <c r="Q54" i="11"/>
  <c r="Q77" i="11" s="1"/>
  <c r="P54" i="11"/>
  <c r="P100" i="11" s="1"/>
  <c r="O54" i="11"/>
  <c r="O100" i="11" s="1"/>
  <c r="H54" i="11"/>
  <c r="G54" i="11"/>
  <c r="W53" i="11"/>
  <c r="W99" i="11" s="1"/>
  <c r="V53" i="11"/>
  <c r="V99" i="11" s="1"/>
  <c r="U53" i="11"/>
  <c r="U99" i="11" s="1"/>
  <c r="T53" i="11"/>
  <c r="T76" i="11" s="1"/>
  <c r="S53" i="11"/>
  <c r="S76" i="11" s="1"/>
  <c r="R53" i="11"/>
  <c r="R76" i="11" s="1"/>
  <c r="Q53" i="11"/>
  <c r="P53" i="11"/>
  <c r="P99" i="11" s="1"/>
  <c r="O53" i="11"/>
  <c r="O99" i="11" s="1"/>
  <c r="W52" i="11"/>
  <c r="W98" i="11" s="1"/>
  <c r="V52" i="11"/>
  <c r="V98" i="11" s="1"/>
  <c r="U52" i="11"/>
  <c r="U75" i="11" s="1"/>
  <c r="T52" i="11"/>
  <c r="T75" i="11" s="1"/>
  <c r="S52" i="11"/>
  <c r="S75" i="11" s="1"/>
  <c r="R52" i="11"/>
  <c r="Q52" i="11"/>
  <c r="Q98" i="11" s="1"/>
  <c r="P52" i="11"/>
  <c r="P98" i="11" s="1"/>
  <c r="O52" i="11"/>
  <c r="O98" i="11" s="1"/>
  <c r="W51" i="11"/>
  <c r="W97" i="11" s="1"/>
  <c r="V51" i="11"/>
  <c r="V74" i="11" s="1"/>
  <c r="U51" i="11"/>
  <c r="U74" i="11" s="1"/>
  <c r="T51" i="11"/>
  <c r="T74" i="11" s="1"/>
  <c r="S51" i="11"/>
  <c r="R51" i="11"/>
  <c r="R97" i="11" s="1"/>
  <c r="Q51" i="11"/>
  <c r="Q97" i="11" s="1"/>
  <c r="P51" i="11"/>
  <c r="P97" i="11" s="1"/>
  <c r="O51" i="11"/>
  <c r="O97" i="11" s="1"/>
  <c r="J51" i="11"/>
  <c r="W50" i="11"/>
  <c r="W73" i="11" s="1"/>
  <c r="V50" i="11"/>
  <c r="V73" i="11" s="1"/>
  <c r="U50" i="11"/>
  <c r="T50" i="11"/>
  <c r="T96" i="11" s="1"/>
  <c r="S50" i="11"/>
  <c r="S96" i="11" s="1"/>
  <c r="R50" i="11"/>
  <c r="R73" i="11" s="1"/>
  <c r="Q50" i="11"/>
  <c r="Q96" i="11" s="1"/>
  <c r="P50" i="11"/>
  <c r="P96" i="11" s="1"/>
  <c r="O50" i="11"/>
  <c r="O73" i="11" s="1"/>
  <c r="W49" i="11"/>
  <c r="W72" i="11" s="1"/>
  <c r="V49" i="11"/>
  <c r="V95" i="11" s="1"/>
  <c r="U49" i="11"/>
  <c r="U95" i="11" s="1"/>
  <c r="T49" i="11"/>
  <c r="S49" i="11"/>
  <c r="S72" i="11" s="1"/>
  <c r="R49" i="11"/>
  <c r="R95" i="11" s="1"/>
  <c r="Q49" i="11"/>
  <c r="Q95" i="11" s="1"/>
  <c r="P49" i="11"/>
  <c r="P72" i="11" s="1"/>
  <c r="O49" i="11"/>
  <c r="O72" i="11" s="1"/>
  <c r="W48" i="11"/>
  <c r="W94" i="11" s="1"/>
  <c r="V48" i="11"/>
  <c r="V94" i="11" s="1"/>
  <c r="U48" i="11"/>
  <c r="U71" i="11" s="1"/>
  <c r="T48" i="11"/>
  <c r="T71" i="11" s="1"/>
  <c r="S48" i="11"/>
  <c r="S94" i="11" s="1"/>
  <c r="R48" i="11"/>
  <c r="R94" i="11" s="1"/>
  <c r="Q48" i="11"/>
  <c r="Q71" i="11" s="1"/>
  <c r="P48" i="11"/>
  <c r="P71" i="11" s="1"/>
  <c r="O48" i="11"/>
  <c r="O94" i="11" s="1"/>
  <c r="AE47" i="11"/>
  <c r="AD47" i="11"/>
  <c r="AC47" i="11"/>
  <c r="W47" i="11"/>
  <c r="W93" i="11" s="1"/>
  <c r="V47" i="11"/>
  <c r="U47" i="11"/>
  <c r="T47" i="11"/>
  <c r="S47" i="11"/>
  <c r="S93" i="11" s="1"/>
  <c r="R47" i="11"/>
  <c r="R70" i="11" s="1"/>
  <c r="Q47" i="11"/>
  <c r="Q70" i="11" s="1"/>
  <c r="P47" i="11"/>
  <c r="P93" i="11" s="1"/>
  <c r="O47" i="11"/>
  <c r="O93" i="11" s="1"/>
  <c r="C47" i="11"/>
  <c r="C48" i="11" s="1"/>
  <c r="C49" i="11" s="1"/>
  <c r="C12" i="11" s="1"/>
  <c r="W46" i="11"/>
  <c r="V46" i="11"/>
  <c r="U46" i="11"/>
  <c r="U92" i="11" s="1"/>
  <c r="T46" i="11"/>
  <c r="T92" i="11" s="1"/>
  <c r="S46" i="11"/>
  <c r="S69" i="11" s="1"/>
  <c r="R46" i="11"/>
  <c r="R69" i="11" s="1"/>
  <c r="Q46" i="11"/>
  <c r="Q92" i="11" s="1"/>
  <c r="P46" i="11"/>
  <c r="P92" i="11" s="1"/>
  <c r="O46" i="11"/>
  <c r="C46" i="11"/>
  <c r="AI45" i="11"/>
  <c r="AG45" i="11"/>
  <c r="AD45" i="11"/>
  <c r="AA45" i="11"/>
  <c r="Y45" i="11"/>
  <c r="W45" i="11"/>
  <c r="W68" i="11" s="1"/>
  <c r="V45" i="11"/>
  <c r="V91" i="11" s="1"/>
  <c r="U45" i="11"/>
  <c r="U91" i="11" s="1"/>
  <c r="T45" i="11"/>
  <c r="T68" i="11" s="1"/>
  <c r="S45" i="11"/>
  <c r="S68" i="11" s="1"/>
  <c r="R45" i="11"/>
  <c r="R91" i="11" s="1"/>
  <c r="Q45" i="11"/>
  <c r="Q91" i="11" s="1"/>
  <c r="P45" i="11"/>
  <c r="O45" i="11"/>
  <c r="O68" i="11" s="1"/>
  <c r="C45" i="11"/>
  <c r="W44" i="11"/>
  <c r="V44" i="11"/>
  <c r="U44" i="11"/>
  <c r="U67" i="11" s="1"/>
  <c r="T44" i="11"/>
  <c r="S44" i="11"/>
  <c r="S90" i="11" s="1"/>
  <c r="R44" i="11"/>
  <c r="R90" i="11" s="1"/>
  <c r="Q44" i="11"/>
  <c r="Q67" i="11" s="1"/>
  <c r="P44" i="11"/>
  <c r="O44" i="11"/>
  <c r="AI43" i="11"/>
  <c r="AI47" i="11" s="1"/>
  <c r="AH43" i="11"/>
  <c r="AH47" i="11" s="1"/>
  <c r="AG43" i="11"/>
  <c r="AG47" i="11" s="1"/>
  <c r="AF43" i="11"/>
  <c r="AE43" i="11"/>
  <c r="AE45" i="11" s="1"/>
  <c r="AD43" i="11"/>
  <c r="AC43" i="11"/>
  <c r="AC45" i="11" s="1"/>
  <c r="AB43" i="11"/>
  <c r="AB45" i="11" s="1"/>
  <c r="AA43" i="11"/>
  <c r="AA47" i="11" s="1"/>
  <c r="Z43" i="11"/>
  <c r="Z47" i="11" s="1"/>
  <c r="Y43" i="11"/>
  <c r="Y47" i="11" s="1"/>
  <c r="W43" i="11"/>
  <c r="V43" i="11"/>
  <c r="V66" i="11" s="1"/>
  <c r="U43" i="11"/>
  <c r="U66" i="11" s="1"/>
  <c r="T43" i="11"/>
  <c r="T89" i="11" s="1"/>
  <c r="S43" i="11"/>
  <c r="S89" i="11" s="1"/>
  <c r="R43" i="11"/>
  <c r="R66" i="11" s="1"/>
  <c r="Q43" i="11"/>
  <c r="P43" i="11"/>
  <c r="O43" i="11"/>
  <c r="AJ42" i="11"/>
  <c r="AJ43" i="11" s="1"/>
  <c r="W42" i="11"/>
  <c r="W65" i="11" s="1"/>
  <c r="V42" i="11"/>
  <c r="V88" i="11" s="1"/>
  <c r="U42" i="11"/>
  <c r="U88" i="11" s="1"/>
  <c r="T42" i="11"/>
  <c r="T65" i="11" s="1"/>
  <c r="S42" i="11"/>
  <c r="S65" i="11" s="1"/>
  <c r="R42" i="11"/>
  <c r="R65" i="11" s="1"/>
  <c r="Q42" i="11"/>
  <c r="Q88" i="11" s="1"/>
  <c r="P42" i="11"/>
  <c r="P65" i="11" s="1"/>
  <c r="O42" i="11"/>
  <c r="O65" i="11" s="1"/>
  <c r="I42" i="11"/>
  <c r="I41" i="11"/>
  <c r="I45" i="11" s="1"/>
  <c r="I46" i="11" s="1"/>
  <c r="H41" i="11"/>
  <c r="H42" i="11" s="1"/>
  <c r="C40" i="11"/>
  <c r="C39" i="11"/>
  <c r="C38" i="11"/>
  <c r="V36" i="11"/>
  <c r="V35" i="11"/>
  <c r="V111" i="11" s="1"/>
  <c r="C27" i="11"/>
  <c r="C28" i="11" s="1"/>
  <c r="C29" i="11" s="1"/>
  <c r="C21" i="11"/>
  <c r="H12" i="11"/>
  <c r="G12" i="11"/>
  <c r="H11" i="11"/>
  <c r="G11" i="11"/>
  <c r="S9" i="11"/>
  <c r="Q9" i="11"/>
  <c r="O9" i="11"/>
  <c r="I8" i="11"/>
  <c r="U7" i="11"/>
  <c r="U9" i="11" s="1"/>
  <c r="T7" i="11"/>
  <c r="T9" i="11" s="1"/>
  <c r="S7" i="11"/>
  <c r="R7" i="11"/>
  <c r="R9" i="11" s="1"/>
  <c r="Q7" i="11"/>
  <c r="P7" i="11"/>
  <c r="P9" i="11" s="1"/>
  <c r="O7" i="11"/>
  <c r="N7" i="11"/>
  <c r="N9" i="11" s="1"/>
  <c r="I7" i="11"/>
  <c r="C4" i="11"/>
  <c r="H9" i="11" s="1"/>
  <c r="H10" i="11" s="1"/>
  <c r="J3" i="11"/>
  <c r="J13" i="11" s="1"/>
  <c r="J14" i="11" s="1"/>
  <c r="I3" i="11"/>
  <c r="I54" i="11" s="1"/>
  <c r="H3" i="11"/>
  <c r="H78" i="11" s="1"/>
  <c r="G3" i="11"/>
  <c r="Q66" i="11" l="1"/>
  <c r="Q89" i="11"/>
  <c r="V70" i="11"/>
  <c r="V93" i="11"/>
  <c r="W71" i="11"/>
  <c r="R74" i="11"/>
  <c r="P94" i="11"/>
  <c r="R100" i="11"/>
  <c r="W103" i="11"/>
  <c r="T106" i="11"/>
  <c r="J11" i="11"/>
  <c r="J41" i="11"/>
  <c r="J78" i="11"/>
  <c r="J54" i="11"/>
  <c r="J62" i="11"/>
  <c r="V112" i="11"/>
  <c r="V110" i="11"/>
  <c r="U117" i="11"/>
  <c r="AH45" i="11"/>
  <c r="S83" i="11"/>
  <c r="S106" i="11"/>
  <c r="U65" i="11"/>
  <c r="Q75" i="11"/>
  <c r="V65" i="11"/>
  <c r="R68" i="11"/>
  <c r="O76" i="11"/>
  <c r="R78" i="11"/>
  <c r="W88" i="11"/>
  <c r="W104" i="11"/>
  <c r="S107" i="11"/>
  <c r="V90" i="11"/>
  <c r="V67" i="11"/>
  <c r="U72" i="11"/>
  <c r="G9" i="11"/>
  <c r="G10" i="11" s="1"/>
  <c r="J9" i="11"/>
  <c r="J10" i="11" s="1"/>
  <c r="I9" i="11"/>
  <c r="I10" i="11" s="1"/>
  <c r="O90" i="11"/>
  <c r="O67" i="11"/>
  <c r="W90" i="11"/>
  <c r="W67" i="11"/>
  <c r="T82" i="11"/>
  <c r="T105" i="11"/>
  <c r="R84" i="11"/>
  <c r="R107" i="11"/>
  <c r="Q78" i="11"/>
  <c r="V104" i="11"/>
  <c r="G7" i="11"/>
  <c r="P67" i="11"/>
  <c r="P90" i="11"/>
  <c r="H7" i="11"/>
  <c r="J34" i="11"/>
  <c r="J35" i="11" s="1"/>
  <c r="AJ45" i="11"/>
  <c r="AJ47" i="11"/>
  <c r="T72" i="11"/>
  <c r="T95" i="11"/>
  <c r="T100" i="11"/>
  <c r="T77" i="11"/>
  <c r="S101" i="11"/>
  <c r="S78" i="11"/>
  <c r="R102" i="11"/>
  <c r="R79" i="11"/>
  <c r="Q103" i="11"/>
  <c r="Q80" i="11"/>
  <c r="P104" i="11"/>
  <c r="P81" i="11"/>
  <c r="S73" i="11"/>
  <c r="P76" i="11"/>
  <c r="P102" i="11"/>
  <c r="W89" i="11"/>
  <c r="W66" i="11"/>
  <c r="V69" i="11"/>
  <c r="V92" i="11"/>
  <c r="T93" i="11"/>
  <c r="T70" i="11"/>
  <c r="P69" i="11"/>
  <c r="T73" i="11"/>
  <c r="O89" i="11"/>
  <c r="O66" i="11"/>
  <c r="AF47" i="11"/>
  <c r="AF45" i="11"/>
  <c r="P68" i="11"/>
  <c r="P91" i="11"/>
  <c r="O71" i="11"/>
  <c r="G78" i="11"/>
  <c r="G62" i="11"/>
  <c r="G34" i="11"/>
  <c r="G35" i="11" s="1"/>
  <c r="G13" i="11"/>
  <c r="G14" i="11" s="1"/>
  <c r="J7" i="11"/>
  <c r="G41" i="11"/>
  <c r="P89" i="11"/>
  <c r="P66" i="11"/>
  <c r="Z45" i="11"/>
  <c r="O69" i="11"/>
  <c r="O92" i="11"/>
  <c r="W69" i="11"/>
  <c r="W92" i="11"/>
  <c r="U70" i="11"/>
  <c r="U93" i="11"/>
  <c r="U73" i="11"/>
  <c r="U96" i="11"/>
  <c r="S74" i="11"/>
  <c r="S97" i="11"/>
  <c r="R75" i="11"/>
  <c r="R98" i="11"/>
  <c r="Q76" i="11"/>
  <c r="Q99" i="11"/>
  <c r="V71" i="11"/>
  <c r="O103" i="11"/>
  <c r="H45" i="11"/>
  <c r="H46" i="11" s="1"/>
  <c r="Q65" i="11"/>
  <c r="U68" i="11"/>
  <c r="R71" i="11"/>
  <c r="Q72" i="11"/>
  <c r="I78" i="11"/>
  <c r="U78" i="11"/>
  <c r="R88" i="11"/>
  <c r="S95" i="11"/>
  <c r="R96" i="11"/>
  <c r="V214" i="11"/>
  <c r="S71" i="11"/>
  <c r="P73" i="11"/>
  <c r="V78" i="11"/>
  <c r="S88" i="11"/>
  <c r="R89" i="11"/>
  <c r="Q90" i="11"/>
  <c r="V215" i="11"/>
  <c r="I11" i="11"/>
  <c r="H13" i="11"/>
  <c r="H14" i="11" s="1"/>
  <c r="H34" i="11"/>
  <c r="H35" i="11" s="1"/>
  <c r="Q73" i="11"/>
  <c r="O74" i="11"/>
  <c r="W74" i="11"/>
  <c r="V75" i="11"/>
  <c r="U76" i="11"/>
  <c r="O78" i="11"/>
  <c r="W78" i="11"/>
  <c r="O82" i="11"/>
  <c r="W82" i="11"/>
  <c r="V83" i="11"/>
  <c r="U84" i="11"/>
  <c r="T88" i="11"/>
  <c r="U103" i="11"/>
  <c r="T104" i="11"/>
  <c r="S105" i="11"/>
  <c r="R106" i="11"/>
  <c r="Q107" i="11"/>
  <c r="I13" i="11"/>
  <c r="I14" i="11" s="1"/>
  <c r="I34" i="11"/>
  <c r="I35" i="11" s="1"/>
  <c r="AB47" i="11"/>
  <c r="H62" i="11"/>
  <c r="P74" i="11"/>
  <c r="O75" i="11"/>
  <c r="W75" i="11"/>
  <c r="V76" i="11"/>
  <c r="U77" i="11"/>
  <c r="P78" i="11"/>
  <c r="S79" i="11"/>
  <c r="R80" i="11"/>
  <c r="Q81" i="11"/>
  <c r="P82" i="11"/>
  <c r="O83" i="11"/>
  <c r="W83" i="11"/>
  <c r="V84" i="11"/>
  <c r="T97" i="11"/>
  <c r="S98" i="11"/>
  <c r="R99" i="11"/>
  <c r="Q100" i="11"/>
  <c r="O102" i="11"/>
  <c r="W102" i="11"/>
  <c r="V103" i="11"/>
  <c r="U104" i="11"/>
  <c r="P88" i="11"/>
  <c r="T78" i="11"/>
  <c r="H8" i="11" l="1"/>
  <c r="H15" i="11"/>
  <c r="H16" i="11" s="1"/>
  <c r="J45" i="11"/>
  <c r="J46" i="11" s="1"/>
  <c r="J42" i="11"/>
  <c r="J15" i="11"/>
  <c r="J8" i="11"/>
  <c r="J12" i="11"/>
  <c r="J17" i="11"/>
  <c r="J18" i="11" s="1"/>
  <c r="G37" i="11"/>
  <c r="G36" i="11"/>
  <c r="H17" i="11"/>
  <c r="H18" i="11" s="1"/>
  <c r="H36" i="11"/>
  <c r="H37" i="11"/>
  <c r="G8" i="11"/>
  <c r="G15" i="11"/>
  <c r="G16" i="11" s="1"/>
  <c r="V113" i="11"/>
  <c r="G45" i="11"/>
  <c r="G46" i="11" s="1"/>
  <c r="G42" i="11"/>
  <c r="U118" i="11"/>
  <c r="V117" i="11"/>
  <c r="I37" i="11"/>
  <c r="I36" i="11"/>
  <c r="I15" i="11"/>
  <c r="I16" i="11" s="1"/>
  <c r="I12" i="11"/>
  <c r="I17" i="11"/>
  <c r="I18" i="11" s="1"/>
  <c r="J37" i="11"/>
  <c r="J36" i="11"/>
  <c r="G17" i="11"/>
  <c r="G18" i="11" s="1"/>
  <c r="V116" i="11" l="1"/>
  <c r="U122" i="11" s="1"/>
  <c r="V122" i="11" s="1"/>
  <c r="V115" i="11"/>
  <c r="V150" i="11"/>
  <c r="J22" i="11"/>
  <c r="J44" i="11"/>
  <c r="I44" i="11"/>
  <c r="I22" i="11"/>
  <c r="V118" i="11"/>
  <c r="G43" i="11"/>
  <c r="G44" i="11"/>
  <c r="G22" i="11"/>
  <c r="H43" i="11"/>
  <c r="I43" i="11"/>
  <c r="C9" i="11"/>
  <c r="C10" i="11" s="1"/>
  <c r="J16" i="11"/>
  <c r="H22" i="11"/>
  <c r="H44" i="11"/>
  <c r="U121" i="11" l="1"/>
  <c r="V121" i="11" s="1"/>
  <c r="J23" i="11"/>
  <c r="J25" i="11" s="1"/>
  <c r="J26" i="11" s="1"/>
  <c r="J27" i="11"/>
  <c r="J28" i="11" s="1"/>
  <c r="H23" i="11"/>
  <c r="H27" i="11"/>
  <c r="H28" i="11" s="1"/>
  <c r="U124" i="11"/>
  <c r="V124" i="11" s="1"/>
  <c r="U123" i="11"/>
  <c r="U120" i="11"/>
  <c r="V120" i="11" s="1"/>
  <c r="U119" i="11"/>
  <c r="V119" i="11" s="1"/>
  <c r="G27" i="11"/>
  <c r="G28" i="11" s="1"/>
  <c r="G23" i="11"/>
  <c r="J43" i="11"/>
  <c r="I27" i="11"/>
  <c r="I28" i="11" s="1"/>
  <c r="I23" i="11"/>
  <c r="U126" i="11"/>
  <c r="V126" i="11" s="1"/>
  <c r="U125" i="11"/>
  <c r="V125" i="11" l="1"/>
  <c r="V131" i="11"/>
  <c r="V130" i="11"/>
  <c r="V123" i="11"/>
  <c r="H25" i="11"/>
  <c r="H26" i="11" s="1"/>
  <c r="H24" i="11"/>
  <c r="I24" i="11"/>
  <c r="I25" i="11"/>
  <c r="I26" i="11" s="1"/>
  <c r="J24" i="11"/>
  <c r="G24" i="11"/>
  <c r="G25" i="11"/>
  <c r="G26" i="11" s="1"/>
  <c r="V133" i="11" l="1"/>
  <c r="V135" i="11" s="1"/>
  <c r="V141" i="11" s="1"/>
  <c r="V142" i="11" s="1"/>
  <c r="V143" i="11" s="1"/>
  <c r="V145" i="11"/>
  <c r="V147" i="11" s="1"/>
  <c r="V132" i="11"/>
  <c r="V134" i="11" s="1"/>
  <c r="V166" i="11"/>
  <c r="V173" i="11"/>
  <c r="A1193" i="10" l="1"/>
  <c r="A1194" i="10" s="1"/>
  <c r="B519" i="10"/>
  <c r="V146" i="11"/>
  <c r="V148" i="11" s="1"/>
  <c r="T149" i="11" s="1"/>
  <c r="U149" i="11" s="1"/>
  <c r="V144" i="11"/>
  <c r="V167" i="11"/>
  <c r="V174" i="11"/>
  <c r="V218" i="11"/>
  <c r="V168" i="11"/>
  <c r="E1193" i="10" l="1"/>
  <c r="E1194" i="10" s="1"/>
  <c r="G519" i="10"/>
  <c r="V220" i="11"/>
  <c r="V190" i="11"/>
  <c r="V216" i="11" s="1"/>
  <c r="V178" i="11"/>
  <c r="V179" i="11" s="1"/>
  <c r="V176" i="11"/>
  <c r="V219" i="11"/>
  <c r="V169" i="11"/>
  <c r="V180" i="11" l="1"/>
  <c r="V182" i="11"/>
  <c r="V181" i="11"/>
  <c r="V221" i="11"/>
  <c r="V191" i="11"/>
  <c r="V217" i="11" s="1"/>
  <c r="U183" i="11" l="1"/>
  <c r="V183" i="11" s="1"/>
  <c r="U184" i="11"/>
  <c r="V184" i="11" s="1"/>
  <c r="U185" i="11"/>
  <c r="V185" i="11" s="1"/>
  <c r="U186" i="11"/>
  <c r="V186" i="11" s="1"/>
  <c r="B1255" i="10" l="1"/>
  <c r="E424" i="10" l="1"/>
  <c r="E379" i="10"/>
  <c r="I55" i="7" l="1"/>
  <c r="I52" i="7"/>
  <c r="I49" i="7"/>
  <c r="I46" i="7"/>
  <c r="G55" i="7"/>
  <c r="G52" i="7"/>
  <c r="G49" i="7"/>
  <c r="G46" i="7"/>
  <c r="I105" i="4" l="1"/>
  <c r="G105" i="4"/>
  <c r="I101" i="4"/>
  <c r="G101" i="4"/>
  <c r="I97" i="4"/>
  <c r="G97" i="4"/>
  <c r="I93" i="4"/>
  <c r="G93" i="4"/>
  <c r="C46" i="10" l="1"/>
  <c r="D46" i="10" s="1"/>
  <c r="C45" i="10"/>
  <c r="D45" i="10" s="1"/>
  <c r="B1352" i="10"/>
  <c r="B1257" i="10"/>
  <c r="G1265" i="10"/>
  <c r="B1253" i="10"/>
  <c r="B1266" i="10" s="1"/>
  <c r="B1251" i="10"/>
  <c r="B1270" i="10" s="1"/>
  <c r="B751" i="10"/>
  <c r="B578" i="10"/>
  <c r="G521" i="10"/>
  <c r="B521" i="10"/>
  <c r="G516" i="10"/>
  <c r="G517" i="10" s="1"/>
  <c r="G518" i="10" s="1"/>
  <c r="G520" i="10" s="1"/>
  <c r="B516" i="10"/>
  <c r="B517" i="10" s="1"/>
  <c r="B518" i="10" s="1"/>
  <c r="B520" i="10" s="1"/>
  <c r="K463" i="10"/>
  <c r="J463" i="10"/>
  <c r="I463" i="10"/>
  <c r="H463" i="10"/>
  <c r="G463" i="10"/>
  <c r="F463" i="10"/>
  <c r="E463" i="10"/>
  <c r="D463" i="10"/>
  <c r="C463" i="10"/>
  <c r="K462" i="10"/>
  <c r="J462" i="10"/>
  <c r="I462" i="10"/>
  <c r="H462" i="10"/>
  <c r="G462" i="10"/>
  <c r="F462" i="10"/>
  <c r="E462" i="10"/>
  <c r="D462" i="10"/>
  <c r="C462" i="10"/>
  <c r="K461" i="10"/>
  <c r="J461" i="10"/>
  <c r="I461" i="10"/>
  <c r="H461" i="10"/>
  <c r="G461" i="10"/>
  <c r="F461" i="10"/>
  <c r="E461" i="10"/>
  <c r="D461" i="10"/>
  <c r="C461" i="10"/>
  <c r="K460" i="10"/>
  <c r="J460" i="10"/>
  <c r="I460" i="10"/>
  <c r="H460" i="10"/>
  <c r="G460" i="10"/>
  <c r="F460" i="10"/>
  <c r="E460" i="10"/>
  <c r="D460" i="10"/>
  <c r="C460" i="10"/>
  <c r="K459" i="10"/>
  <c r="J459" i="10"/>
  <c r="I459" i="10"/>
  <c r="H459" i="10"/>
  <c r="G459" i="10"/>
  <c r="F459" i="10"/>
  <c r="E459" i="10"/>
  <c r="D459" i="10"/>
  <c r="C459" i="10"/>
  <c r="K458" i="10"/>
  <c r="J458" i="10"/>
  <c r="I458" i="10"/>
  <c r="H458" i="10"/>
  <c r="G458" i="10"/>
  <c r="F458" i="10"/>
  <c r="E458" i="10"/>
  <c r="D458" i="10"/>
  <c r="C458" i="10"/>
  <c r="K457" i="10"/>
  <c r="J457" i="10"/>
  <c r="I457" i="10"/>
  <c r="H457" i="10"/>
  <c r="G457" i="10"/>
  <c r="F457" i="10"/>
  <c r="E457" i="10"/>
  <c r="D457" i="10"/>
  <c r="C457" i="10"/>
  <c r="K456" i="10"/>
  <c r="J456" i="10"/>
  <c r="I456" i="10"/>
  <c r="H456" i="10"/>
  <c r="G456" i="10"/>
  <c r="F456" i="10"/>
  <c r="E456" i="10"/>
  <c r="D456" i="10"/>
  <c r="C456" i="10"/>
  <c r="K455" i="10"/>
  <c r="J455" i="10"/>
  <c r="I455" i="10"/>
  <c r="H455" i="10"/>
  <c r="G455" i="10"/>
  <c r="F455" i="10"/>
  <c r="E455" i="10"/>
  <c r="D455" i="10"/>
  <c r="C455" i="10"/>
  <c r="K454" i="10"/>
  <c r="J454" i="10"/>
  <c r="I454" i="10"/>
  <c r="H454" i="10"/>
  <c r="G454" i="10"/>
  <c r="F454" i="10"/>
  <c r="E454" i="10"/>
  <c r="D454" i="10"/>
  <c r="C454" i="10"/>
  <c r="K453" i="10"/>
  <c r="J453" i="10"/>
  <c r="I453" i="10"/>
  <c r="H453" i="10"/>
  <c r="G453" i="10"/>
  <c r="F453" i="10"/>
  <c r="E453" i="10"/>
  <c r="D453" i="10"/>
  <c r="C453" i="10"/>
  <c r="K452" i="10"/>
  <c r="J452" i="10"/>
  <c r="I452" i="10"/>
  <c r="H452" i="10"/>
  <c r="G452" i="10"/>
  <c r="F452" i="10"/>
  <c r="E452" i="10"/>
  <c r="D452" i="10"/>
  <c r="C452" i="10"/>
  <c r="K451" i="10"/>
  <c r="J451" i="10"/>
  <c r="I451" i="10"/>
  <c r="H451" i="10"/>
  <c r="G451" i="10"/>
  <c r="F451" i="10"/>
  <c r="E451" i="10"/>
  <c r="D451" i="10"/>
  <c r="C451" i="10"/>
  <c r="K450" i="10"/>
  <c r="J450" i="10"/>
  <c r="I450" i="10"/>
  <c r="H450" i="10"/>
  <c r="G450" i="10"/>
  <c r="F450" i="10"/>
  <c r="E450" i="10"/>
  <c r="D450" i="10"/>
  <c r="C450" i="10"/>
  <c r="K449" i="10"/>
  <c r="J449" i="10"/>
  <c r="I449" i="10"/>
  <c r="H449" i="10"/>
  <c r="G449" i="10"/>
  <c r="F449" i="10"/>
  <c r="E449" i="10"/>
  <c r="D449" i="10"/>
  <c r="C449" i="10"/>
  <c r="K448" i="10"/>
  <c r="J448" i="10"/>
  <c r="I448" i="10"/>
  <c r="H448" i="10"/>
  <c r="G448" i="10"/>
  <c r="F448" i="10"/>
  <c r="E448" i="10"/>
  <c r="D448" i="10"/>
  <c r="C448" i="10"/>
  <c r="K447" i="10"/>
  <c r="J447" i="10"/>
  <c r="I447" i="10"/>
  <c r="H447" i="10"/>
  <c r="G447" i="10"/>
  <c r="F447" i="10"/>
  <c r="E447" i="10"/>
  <c r="D447" i="10"/>
  <c r="C447" i="10"/>
  <c r="K446" i="10"/>
  <c r="J446" i="10"/>
  <c r="I446" i="10"/>
  <c r="H446" i="10"/>
  <c r="G446" i="10"/>
  <c r="F446" i="10"/>
  <c r="E446" i="10"/>
  <c r="D446" i="10"/>
  <c r="C446" i="10"/>
  <c r="K445" i="10"/>
  <c r="J445" i="10"/>
  <c r="I445" i="10"/>
  <c r="H445" i="10"/>
  <c r="G445" i="10"/>
  <c r="F445" i="10"/>
  <c r="E445" i="10"/>
  <c r="D445" i="10"/>
  <c r="C445" i="10"/>
  <c r="K444" i="10"/>
  <c r="J444" i="10"/>
  <c r="I444" i="10"/>
  <c r="H444" i="10"/>
  <c r="G444" i="10"/>
  <c r="F444" i="10"/>
  <c r="E444" i="10"/>
  <c r="D444" i="10"/>
  <c r="C444" i="10"/>
  <c r="G396" i="10"/>
  <c r="G399" i="10" s="1"/>
  <c r="B396" i="10"/>
  <c r="B399" i="10" s="1"/>
  <c r="G388" i="10"/>
  <c r="G394" i="10" s="1"/>
  <c r="B388" i="10"/>
  <c r="B394" i="10" s="1"/>
  <c r="G386" i="10"/>
  <c r="G393" i="10" s="1"/>
  <c r="B386" i="10"/>
  <c r="G384" i="10"/>
  <c r="B384" i="10"/>
  <c r="G351" i="10"/>
  <c r="G354" i="10" s="1"/>
  <c r="B351" i="10"/>
  <c r="B354" i="10" s="1"/>
  <c r="G343" i="10"/>
  <c r="G349" i="10" s="1"/>
  <c r="B343" i="10"/>
  <c r="B349" i="10" s="1"/>
  <c r="G341" i="10"/>
  <c r="B341" i="10"/>
  <c r="B348" i="10" s="1"/>
  <c r="G339" i="10"/>
  <c r="B339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N221" i="10"/>
  <c r="M221" i="10"/>
  <c r="M222" i="10" s="1"/>
  <c r="L221" i="10"/>
  <c r="L222" i="10" s="1"/>
  <c r="K221" i="10"/>
  <c r="J221" i="10"/>
  <c r="J222" i="10" s="1"/>
  <c r="I221" i="10"/>
  <c r="H221" i="10"/>
  <c r="G221" i="10"/>
  <c r="G222" i="10" s="1"/>
  <c r="F221" i="10"/>
  <c r="E221" i="10"/>
  <c r="E222" i="10" s="1"/>
  <c r="D221" i="10"/>
  <c r="D222" i="10" s="1"/>
  <c r="C221" i="10"/>
  <c r="D191" i="10"/>
  <c r="E194" i="10" s="1"/>
  <c r="C183" i="10"/>
  <c r="F166" i="10"/>
  <c r="E166" i="10"/>
  <c r="D166" i="10"/>
  <c r="F151" i="10"/>
  <c r="E151" i="10"/>
  <c r="D151" i="10"/>
  <c r="F136" i="10"/>
  <c r="E136" i="10"/>
  <c r="D136" i="10"/>
  <c r="C126" i="10"/>
  <c r="C125" i="10"/>
  <c r="B113" i="10"/>
  <c r="F95" i="10"/>
  <c r="E95" i="10"/>
  <c r="D95" i="10"/>
  <c r="F79" i="10"/>
  <c r="E79" i="10"/>
  <c r="D79" i="10"/>
  <c r="F63" i="10"/>
  <c r="E63" i="10"/>
  <c r="D63" i="10"/>
  <c r="F47" i="10"/>
  <c r="E47" i="10"/>
  <c r="D47" i="10"/>
  <c r="C43" i="10"/>
  <c r="F43" i="10" s="1"/>
  <c r="F42" i="10"/>
  <c r="E42" i="10"/>
  <c r="D42" i="10"/>
  <c r="F40" i="10"/>
  <c r="E40" i="10"/>
  <c r="D40" i="10"/>
  <c r="C39" i="10"/>
  <c r="F38" i="10"/>
  <c r="F39" i="10" s="1"/>
  <c r="E38" i="10"/>
  <c r="E39" i="10" s="1"/>
  <c r="D38" i="10"/>
  <c r="D39" i="10" s="1"/>
  <c r="C31" i="10"/>
  <c r="C28" i="10"/>
  <c r="I21" i="10"/>
  <c r="H21" i="10"/>
  <c r="G21" i="10"/>
  <c r="F21" i="10"/>
  <c r="E21" i="10"/>
  <c r="I10" i="10"/>
  <c r="I11" i="10" s="1"/>
  <c r="I12" i="10" s="1"/>
  <c r="I13" i="10" s="1"/>
  <c r="I14" i="10" s="1"/>
  <c r="H10" i="10"/>
  <c r="H11" i="10" s="1"/>
  <c r="H12" i="10" s="1"/>
  <c r="H13" i="10" s="1"/>
  <c r="H14" i="10" s="1"/>
  <c r="G10" i="10"/>
  <c r="G11" i="10" s="1"/>
  <c r="G12" i="10" s="1"/>
  <c r="G13" i="10" s="1"/>
  <c r="F10" i="10"/>
  <c r="F11" i="10" s="1"/>
  <c r="F12" i="10" s="1"/>
  <c r="F13" i="10" s="1"/>
  <c r="E10" i="10"/>
  <c r="E11" i="10" s="1"/>
  <c r="E12" i="10" s="1"/>
  <c r="E13" i="10" s="1"/>
  <c r="I9" i="10"/>
  <c r="H9" i="10"/>
  <c r="G9" i="10"/>
  <c r="F9" i="10"/>
  <c r="E9" i="10"/>
  <c r="C8" i="10"/>
  <c r="C11" i="10" s="1"/>
  <c r="C12" i="10" s="1"/>
  <c r="C13" i="10" s="1"/>
  <c r="E46" i="10" l="1"/>
  <c r="F227" i="10" s="1"/>
  <c r="F243" i="10" s="1"/>
  <c r="F247" i="10" s="1"/>
  <c r="F46" i="10"/>
  <c r="N228" i="10" s="1"/>
  <c r="N244" i="10" s="1"/>
  <c r="N248" i="10" s="1"/>
  <c r="E23" i="10"/>
  <c r="E24" i="10" s="1"/>
  <c r="G22" i="10"/>
  <c r="F22" i="10"/>
  <c r="D41" i="10"/>
  <c r="D64" i="10" s="1"/>
  <c r="D72" i="10" s="1"/>
  <c r="D73" i="10" s="1"/>
  <c r="C225" i="10"/>
  <c r="C241" i="10" s="1"/>
  <c r="C245" i="10" s="1"/>
  <c r="D43" i="10"/>
  <c r="H22" i="10"/>
  <c r="E43" i="10"/>
  <c r="H23" i="10"/>
  <c r="H24" i="10" s="1"/>
  <c r="E22" i="10"/>
  <c r="B522" i="10"/>
  <c r="E230" i="10"/>
  <c r="E250" i="10" s="1"/>
  <c r="E254" i="10" s="1"/>
  <c r="L193" i="10"/>
  <c r="F196" i="10"/>
  <c r="G193" i="10"/>
  <c r="I193" i="10"/>
  <c r="J193" i="10"/>
  <c r="C194" i="10"/>
  <c r="K194" i="10"/>
  <c r="I261" i="10"/>
  <c r="I265" i="10" s="1"/>
  <c r="M194" i="10"/>
  <c r="G356" i="10"/>
  <c r="G357" i="10" s="1"/>
  <c r="B401" i="10"/>
  <c r="B402" i="10" s="1"/>
  <c r="N194" i="10"/>
  <c r="G522" i="10"/>
  <c r="C1333" i="10"/>
  <c r="C1320" i="10"/>
  <c r="C1346" i="10"/>
  <c r="B1265" i="10"/>
  <c r="G403" i="10"/>
  <c r="G404" i="10" s="1"/>
  <c r="B403" i="10"/>
  <c r="B404" i="10" s="1"/>
  <c r="B393" i="10"/>
  <c r="C127" i="10"/>
  <c r="B413" i="10" s="1"/>
  <c r="G348" i="10"/>
  <c r="B358" i="10"/>
  <c r="B359" i="10" s="1"/>
  <c r="H225" i="10"/>
  <c r="H241" i="10" s="1"/>
  <c r="H245" i="10" s="1"/>
  <c r="L257" i="10"/>
  <c r="L281" i="10" s="1"/>
  <c r="E196" i="10"/>
  <c r="G230" i="10"/>
  <c r="G250" i="10" s="1"/>
  <c r="G254" i="10" s="1"/>
  <c r="M262" i="10"/>
  <c r="M266" i="10" s="1"/>
  <c r="E200" i="10"/>
  <c r="C200" i="10"/>
  <c r="F14" i="10"/>
  <c r="F15" i="10"/>
  <c r="F16" i="10" s="1"/>
  <c r="F17" i="10" s="1"/>
  <c r="F18" i="10" s="1"/>
  <c r="G14" i="10"/>
  <c r="G15" i="10"/>
  <c r="G16" i="10" s="1"/>
  <c r="G17" i="10" s="1"/>
  <c r="G18" i="10" s="1"/>
  <c r="E15" i="10"/>
  <c r="E16" i="10" s="1"/>
  <c r="E17" i="10" s="1"/>
  <c r="E18" i="10" s="1"/>
  <c r="E14" i="10"/>
  <c r="C15" i="10"/>
  <c r="C16" i="10" s="1"/>
  <c r="C17" i="10" s="1"/>
  <c r="C18" i="10" s="1"/>
  <c r="C14" i="10"/>
  <c r="J487" i="10"/>
  <c r="K486" i="10"/>
  <c r="C486" i="10"/>
  <c r="D485" i="10"/>
  <c r="E484" i="10"/>
  <c r="F483" i="10"/>
  <c r="G482" i="10"/>
  <c r="H481" i="10"/>
  <c r="I480" i="10"/>
  <c r="J479" i="10"/>
  <c r="K478" i="10"/>
  <c r="C478" i="10"/>
  <c r="D477" i="10"/>
  <c r="E476" i="10"/>
  <c r="F475" i="10"/>
  <c r="G474" i="10"/>
  <c r="H473" i="10"/>
  <c r="I472" i="10"/>
  <c r="J471" i="10"/>
  <c r="K470" i="10"/>
  <c r="C470" i="10"/>
  <c r="D469" i="10"/>
  <c r="E468" i="10"/>
  <c r="I487" i="10"/>
  <c r="J486" i="10"/>
  <c r="K485" i="10"/>
  <c r="C485" i="10"/>
  <c r="D484" i="10"/>
  <c r="E483" i="10"/>
  <c r="F482" i="10"/>
  <c r="G481" i="10"/>
  <c r="H480" i="10"/>
  <c r="I479" i="10"/>
  <c r="J478" i="10"/>
  <c r="K477" i="10"/>
  <c r="C477" i="10"/>
  <c r="D476" i="10"/>
  <c r="E475" i="10"/>
  <c r="F474" i="10"/>
  <c r="G473" i="10"/>
  <c r="H472" i="10"/>
  <c r="I471" i="10"/>
  <c r="J470" i="10"/>
  <c r="K469" i="10"/>
  <c r="C469" i="10"/>
  <c r="D468" i="10"/>
  <c r="G487" i="10"/>
  <c r="H486" i="10"/>
  <c r="I485" i="10"/>
  <c r="J484" i="10"/>
  <c r="K483" i="10"/>
  <c r="C483" i="10"/>
  <c r="D482" i="10"/>
  <c r="E481" i="10"/>
  <c r="F480" i="10"/>
  <c r="G479" i="10"/>
  <c r="H478" i="10"/>
  <c r="I477" i="10"/>
  <c r="J476" i="10"/>
  <c r="K475" i="10"/>
  <c r="C475" i="10"/>
  <c r="D474" i="10"/>
  <c r="E473" i="10"/>
  <c r="F472" i="10"/>
  <c r="G471" i="10"/>
  <c r="H470" i="10"/>
  <c r="I469" i="10"/>
  <c r="J468" i="10"/>
  <c r="K487" i="10"/>
  <c r="F486" i="10"/>
  <c r="K484" i="10"/>
  <c r="H483" i="10"/>
  <c r="C482" i="10"/>
  <c r="J480" i="10"/>
  <c r="E479" i="10"/>
  <c r="J477" i="10"/>
  <c r="G476" i="10"/>
  <c r="K474" i="10"/>
  <c r="I473" i="10"/>
  <c r="D472" i="10"/>
  <c r="I470" i="10"/>
  <c r="F469" i="10"/>
  <c r="H487" i="10"/>
  <c r="E486" i="10"/>
  <c r="I484" i="10"/>
  <c r="G483" i="10"/>
  <c r="K481" i="10"/>
  <c r="G480" i="10"/>
  <c r="D479" i="10"/>
  <c r="H477" i="10"/>
  <c r="F476" i="10"/>
  <c r="J474" i="10"/>
  <c r="F473" i="10"/>
  <c r="C472" i="10"/>
  <c r="G470" i="10"/>
  <c r="E469" i="10"/>
  <c r="F487" i="10"/>
  <c r="D486" i="10"/>
  <c r="H484" i="10"/>
  <c r="D483" i="10"/>
  <c r="J481" i="10"/>
  <c r="E480" i="10"/>
  <c r="C479" i="10"/>
  <c r="G477" i="10"/>
  <c r="C476" i="10"/>
  <c r="I474" i="10"/>
  <c r="D473" i="10"/>
  <c r="K471" i="10"/>
  <c r="F470" i="10"/>
  <c r="K468" i="10"/>
  <c r="E487" i="10"/>
  <c r="J485" i="10"/>
  <c r="G484" i="10"/>
  <c r="K482" i="10"/>
  <c r="I481" i="10"/>
  <c r="D480" i="10"/>
  <c r="I478" i="10"/>
  <c r="F477" i="10"/>
  <c r="J475" i="10"/>
  <c r="H474" i="10"/>
  <c r="C473" i="10"/>
  <c r="H471" i="10"/>
  <c r="E470" i="10"/>
  <c r="I468" i="10"/>
  <c r="D198" i="10"/>
  <c r="D487" i="10"/>
  <c r="H485" i="10"/>
  <c r="F484" i="10"/>
  <c r="J482" i="10"/>
  <c r="F481" i="10"/>
  <c r="C480" i="10"/>
  <c r="G478" i="10"/>
  <c r="E477" i="10"/>
  <c r="I475" i="10"/>
  <c r="E474" i="10"/>
  <c r="K472" i="10"/>
  <c r="F471" i="10"/>
  <c r="D470" i="10"/>
  <c r="H468" i="10"/>
  <c r="C487" i="10"/>
  <c r="G485" i="10"/>
  <c r="C484" i="10"/>
  <c r="I482" i="10"/>
  <c r="D481" i="10"/>
  <c r="K479" i="10"/>
  <c r="F478" i="10"/>
  <c r="K476" i="10"/>
  <c r="H475" i="10"/>
  <c r="C474" i="10"/>
  <c r="J472" i="10"/>
  <c r="E471" i="10"/>
  <c r="J469" i="10"/>
  <c r="G468" i="10"/>
  <c r="I486" i="10"/>
  <c r="F485" i="10"/>
  <c r="J483" i="10"/>
  <c r="H482" i="10"/>
  <c r="C481" i="10"/>
  <c r="H479" i="10"/>
  <c r="E478" i="10"/>
  <c r="I476" i="10"/>
  <c r="G475" i="10"/>
  <c r="K473" i="10"/>
  <c r="G472" i="10"/>
  <c r="D471" i="10"/>
  <c r="H469" i="10"/>
  <c r="F468" i="10"/>
  <c r="I483" i="10"/>
  <c r="E472" i="10"/>
  <c r="H198" i="10"/>
  <c r="E482" i="10"/>
  <c r="C471" i="10"/>
  <c r="F479" i="10"/>
  <c r="K480" i="10"/>
  <c r="G469" i="10"/>
  <c r="C468" i="10"/>
  <c r="D478" i="10"/>
  <c r="C9" i="10"/>
  <c r="E485" i="10"/>
  <c r="H15" i="10"/>
  <c r="H16" i="10" s="1"/>
  <c r="H17" i="10" s="1"/>
  <c r="H18" i="10" s="1"/>
  <c r="H19" i="10" s="1"/>
  <c r="F23" i="10"/>
  <c r="F24" i="10" s="1"/>
  <c r="F200" i="10"/>
  <c r="L226" i="10"/>
  <c r="L242" i="10" s="1"/>
  <c r="L246" i="10" s="1"/>
  <c r="L230" i="10"/>
  <c r="L250" i="10" s="1"/>
  <c r="L254" i="10" s="1"/>
  <c r="G486" i="10"/>
  <c r="I15" i="10"/>
  <c r="I16" i="10" s="1"/>
  <c r="I17" i="10" s="1"/>
  <c r="I18" i="10" s="1"/>
  <c r="I19" i="10" s="1"/>
  <c r="G23" i="10"/>
  <c r="G24" i="10" s="1"/>
  <c r="D204" i="10"/>
  <c r="M226" i="10"/>
  <c r="M242" i="10" s="1"/>
  <c r="M246" i="10" s="1"/>
  <c r="J197" i="10"/>
  <c r="J262" i="10"/>
  <c r="J266" i="10" s="1"/>
  <c r="N222" i="10"/>
  <c r="E41" i="10"/>
  <c r="H476" i="10"/>
  <c r="F222" i="10"/>
  <c r="K257" i="10"/>
  <c r="K281" i="10" s="1"/>
  <c r="C257" i="10"/>
  <c r="C281" i="10" s="1"/>
  <c r="H257" i="10"/>
  <c r="H281" i="10" s="1"/>
  <c r="J257" i="10"/>
  <c r="J281" i="10" s="1"/>
  <c r="J229" i="10"/>
  <c r="J249" i="10" s="1"/>
  <c r="J253" i="10" s="1"/>
  <c r="J225" i="10"/>
  <c r="J241" i="10" s="1"/>
  <c r="J245" i="10" s="1"/>
  <c r="K199" i="10"/>
  <c r="C199" i="10"/>
  <c r="K195" i="10"/>
  <c r="C195" i="10"/>
  <c r="F257" i="10"/>
  <c r="F281" i="10" s="1"/>
  <c r="G229" i="10"/>
  <c r="G249" i="10" s="1"/>
  <c r="G253" i="10" s="1"/>
  <c r="G225" i="10"/>
  <c r="G241" i="10" s="1"/>
  <c r="G245" i="10" s="1"/>
  <c r="H199" i="10"/>
  <c r="H195" i="10"/>
  <c r="E257" i="10"/>
  <c r="E281" i="10" s="1"/>
  <c r="N229" i="10"/>
  <c r="N249" i="10" s="1"/>
  <c r="N253" i="10" s="1"/>
  <c r="F229" i="10"/>
  <c r="F249" i="10" s="1"/>
  <c r="F253" i="10" s="1"/>
  <c r="N225" i="10"/>
  <c r="N241" i="10" s="1"/>
  <c r="N245" i="10" s="1"/>
  <c r="F225" i="10"/>
  <c r="F241" i="10" s="1"/>
  <c r="F245" i="10" s="1"/>
  <c r="N257" i="10"/>
  <c r="N281" i="10" s="1"/>
  <c r="D257" i="10"/>
  <c r="D281" i="10" s="1"/>
  <c r="M229" i="10"/>
  <c r="M249" i="10" s="1"/>
  <c r="M253" i="10" s="1"/>
  <c r="E229" i="10"/>
  <c r="E249" i="10" s="1"/>
  <c r="E253" i="10" s="1"/>
  <c r="M225" i="10"/>
  <c r="M241" i="10" s="1"/>
  <c r="M245" i="10" s="1"/>
  <c r="E225" i="10"/>
  <c r="E241" i="10" s="1"/>
  <c r="E245" i="10" s="1"/>
  <c r="N199" i="10"/>
  <c r="F199" i="10"/>
  <c r="N195" i="10"/>
  <c r="F195" i="10"/>
  <c r="M257" i="10"/>
  <c r="M281" i="10" s="1"/>
  <c r="L229" i="10"/>
  <c r="L249" i="10" s="1"/>
  <c r="L253" i="10" s="1"/>
  <c r="D229" i="10"/>
  <c r="D249" i="10" s="1"/>
  <c r="D253" i="10" s="1"/>
  <c r="L225" i="10"/>
  <c r="L241" i="10" s="1"/>
  <c r="L245" i="10" s="1"/>
  <c r="D225" i="10"/>
  <c r="D241" i="10" s="1"/>
  <c r="D245" i="10" s="1"/>
  <c r="M199" i="10"/>
  <c r="E199" i="10"/>
  <c r="M195" i="10"/>
  <c r="E195" i="10"/>
  <c r="L199" i="10"/>
  <c r="L195" i="10"/>
  <c r="C41" i="10"/>
  <c r="C229" i="10"/>
  <c r="C249" i="10" s="1"/>
  <c r="C253" i="10" s="1"/>
  <c r="D199" i="10"/>
  <c r="K229" i="10"/>
  <c r="K249" i="10" s="1"/>
  <c r="K253" i="10" s="1"/>
  <c r="J199" i="10"/>
  <c r="J195" i="10"/>
  <c r="G199" i="10"/>
  <c r="D195" i="10"/>
  <c r="I229" i="10"/>
  <c r="I249" i="10" s="1"/>
  <c r="I253" i="10" s="1"/>
  <c r="I199" i="10"/>
  <c r="I195" i="10"/>
  <c r="G261" i="10"/>
  <c r="G265" i="10" s="1"/>
  <c r="H229" i="10"/>
  <c r="H249" i="10" s="1"/>
  <c r="H253" i="10" s="1"/>
  <c r="K225" i="10"/>
  <c r="K241" i="10" s="1"/>
  <c r="K245" i="10" s="1"/>
  <c r="G195" i="10"/>
  <c r="I225" i="10"/>
  <c r="I241" i="10" s="1"/>
  <c r="I245" i="10" s="1"/>
  <c r="I22" i="10"/>
  <c r="I23" i="10"/>
  <c r="I24" i="10" s="1"/>
  <c r="G258" i="10"/>
  <c r="G282" i="10" s="1"/>
  <c r="N258" i="10"/>
  <c r="N282" i="10" s="1"/>
  <c r="L258" i="10"/>
  <c r="L282" i="10" s="1"/>
  <c r="D258" i="10"/>
  <c r="D282" i="10" s="1"/>
  <c r="I258" i="10"/>
  <c r="I282" i="10" s="1"/>
  <c r="N230" i="10"/>
  <c r="N250" i="10" s="1"/>
  <c r="N254" i="10" s="1"/>
  <c r="F230" i="10"/>
  <c r="F250" i="10" s="1"/>
  <c r="F254" i="10" s="1"/>
  <c r="N226" i="10"/>
  <c r="N242" i="10" s="1"/>
  <c r="N246" i="10" s="1"/>
  <c r="F226" i="10"/>
  <c r="F242" i="10" s="1"/>
  <c r="F246" i="10" s="1"/>
  <c r="G200" i="10"/>
  <c r="G196" i="10"/>
  <c r="E258" i="10"/>
  <c r="E282" i="10" s="1"/>
  <c r="K230" i="10"/>
  <c r="K250" i="10" s="1"/>
  <c r="K254" i="10" s="1"/>
  <c r="C230" i="10"/>
  <c r="C250" i="10" s="1"/>
  <c r="C254" i="10" s="1"/>
  <c r="K226" i="10"/>
  <c r="K242" i="10" s="1"/>
  <c r="K246" i="10" s="1"/>
  <c r="C226" i="10"/>
  <c r="C242" i="10" s="1"/>
  <c r="C246" i="10" s="1"/>
  <c r="L200" i="10"/>
  <c r="D200" i="10"/>
  <c r="L196" i="10"/>
  <c r="D196" i="10"/>
  <c r="C258" i="10"/>
  <c r="C282" i="10" s="1"/>
  <c r="J230" i="10"/>
  <c r="J250" i="10" s="1"/>
  <c r="J254" i="10" s="1"/>
  <c r="J226" i="10"/>
  <c r="J242" i="10" s="1"/>
  <c r="J246" i="10" s="1"/>
  <c r="M258" i="10"/>
  <c r="M282" i="10" s="1"/>
  <c r="I230" i="10"/>
  <c r="I250" i="10" s="1"/>
  <c r="I254" i="10" s="1"/>
  <c r="I226" i="10"/>
  <c r="I242" i="10" s="1"/>
  <c r="I246" i="10" s="1"/>
  <c r="J200" i="10"/>
  <c r="J196" i="10"/>
  <c r="K258" i="10"/>
  <c r="K282" i="10" s="1"/>
  <c r="H230" i="10"/>
  <c r="H250" i="10" s="1"/>
  <c r="H254" i="10" s="1"/>
  <c r="H226" i="10"/>
  <c r="H242" i="10" s="1"/>
  <c r="H246" i="10" s="1"/>
  <c r="I200" i="10"/>
  <c r="I196" i="10"/>
  <c r="D230" i="10"/>
  <c r="D250" i="10" s="1"/>
  <c r="D254" i="10" s="1"/>
  <c r="G226" i="10"/>
  <c r="G242" i="10" s="1"/>
  <c r="G246" i="10" s="1"/>
  <c r="H258" i="10"/>
  <c r="H282" i="10" s="1"/>
  <c r="K200" i="10"/>
  <c r="F258" i="10"/>
  <c r="F282" i="10" s="1"/>
  <c r="E226" i="10"/>
  <c r="E242" i="10" s="1"/>
  <c r="E246" i="10" s="1"/>
  <c r="N200" i="10"/>
  <c r="N196" i="10"/>
  <c r="K196" i="10"/>
  <c r="J258" i="10"/>
  <c r="J282" i="10" s="1"/>
  <c r="D226" i="10"/>
  <c r="D242" i="10" s="1"/>
  <c r="D246" i="10" s="1"/>
  <c r="M200" i="10"/>
  <c r="M196" i="10"/>
  <c r="M230" i="10"/>
  <c r="M250" i="10" s="1"/>
  <c r="M254" i="10" s="1"/>
  <c r="H200" i="10"/>
  <c r="H196" i="10"/>
  <c r="F41" i="10"/>
  <c r="F45" i="10"/>
  <c r="C232" i="10" s="1"/>
  <c r="C252" i="10" s="1"/>
  <c r="C256" i="10" s="1"/>
  <c r="E45" i="10"/>
  <c r="L259" i="10" s="1"/>
  <c r="L283" i="10" s="1"/>
  <c r="G257" i="10"/>
  <c r="G281" i="10" s="1"/>
  <c r="J473" i="10"/>
  <c r="C197" i="10"/>
  <c r="H197" i="10"/>
  <c r="F197" i="10"/>
  <c r="D227" i="10"/>
  <c r="D243" i="10" s="1"/>
  <c r="D247" i="10" s="1"/>
  <c r="M197" i="10"/>
  <c r="L197" i="10"/>
  <c r="C196" i="10"/>
  <c r="I257" i="10"/>
  <c r="I281" i="10" s="1"/>
  <c r="D475" i="10"/>
  <c r="C193" i="10"/>
  <c r="I222" i="10"/>
  <c r="G194" i="10"/>
  <c r="K193" i="10"/>
  <c r="L194" i="10"/>
  <c r="D194" i="10"/>
  <c r="H193" i="10"/>
  <c r="J194" i="10"/>
  <c r="N193" i="10"/>
  <c r="I194" i="10"/>
  <c r="M193" i="10"/>
  <c r="E193" i="10"/>
  <c r="K261" i="10"/>
  <c r="K265" i="10" s="1"/>
  <c r="C261" i="10"/>
  <c r="C265" i="10" s="1"/>
  <c r="J261" i="10"/>
  <c r="J265" i="10" s="1"/>
  <c r="H261" i="10"/>
  <c r="H265" i="10" s="1"/>
  <c r="L261" i="10"/>
  <c r="L265" i="10" s="1"/>
  <c r="F261" i="10"/>
  <c r="F265" i="10" s="1"/>
  <c r="E261" i="10"/>
  <c r="E265" i="10" s="1"/>
  <c r="D261" i="10"/>
  <c r="D265" i="10" s="1"/>
  <c r="N261" i="10"/>
  <c r="N265" i="10" s="1"/>
  <c r="D193" i="10"/>
  <c r="F194" i="10"/>
  <c r="M261" i="10"/>
  <c r="M265" i="10" s="1"/>
  <c r="H222" i="10"/>
  <c r="G262" i="10"/>
  <c r="G266" i="10" s="1"/>
  <c r="N262" i="10"/>
  <c r="N266" i="10" s="1"/>
  <c r="F262" i="10"/>
  <c r="F266" i="10" s="1"/>
  <c r="L262" i="10"/>
  <c r="L266" i="10" s="1"/>
  <c r="D262" i="10"/>
  <c r="D266" i="10" s="1"/>
  <c r="K262" i="10"/>
  <c r="K266" i="10" s="1"/>
  <c r="H262" i="10"/>
  <c r="H266" i="10" s="1"/>
  <c r="E262" i="10"/>
  <c r="E266" i="10" s="1"/>
  <c r="C262" i="10"/>
  <c r="C266" i="10" s="1"/>
  <c r="F193" i="10"/>
  <c r="H194" i="10"/>
  <c r="C222" i="10"/>
  <c r="K222" i="10"/>
  <c r="I262" i="10"/>
  <c r="I266" i="10" s="1"/>
  <c r="G358" i="10"/>
  <c r="G359" i="10" s="1"/>
  <c r="G401" i="10"/>
  <c r="G402" i="10" s="1"/>
  <c r="B356" i="10"/>
  <c r="B357" i="10" s="1"/>
  <c r="B1273" i="10"/>
  <c r="G1266" i="10"/>
  <c r="G1272" i="10"/>
  <c r="G1274" i="10" s="1"/>
  <c r="G1270" i="10"/>
  <c r="B1272" i="10"/>
  <c r="B1274" i="10" s="1"/>
  <c r="D280" i="1"/>
  <c r="E280" i="1"/>
  <c r="F280" i="1"/>
  <c r="G280" i="1"/>
  <c r="H280" i="1"/>
  <c r="I280" i="1"/>
  <c r="J280" i="1"/>
  <c r="K280" i="1"/>
  <c r="L280" i="1"/>
  <c r="M280" i="1"/>
  <c r="N280" i="1"/>
  <c r="D279" i="1"/>
  <c r="E279" i="1"/>
  <c r="F279" i="1"/>
  <c r="G279" i="1"/>
  <c r="H279" i="1"/>
  <c r="I279" i="1"/>
  <c r="J279" i="1"/>
  <c r="K279" i="1"/>
  <c r="L279" i="1"/>
  <c r="M279" i="1"/>
  <c r="N279" i="1"/>
  <c r="D278" i="1"/>
  <c r="E278" i="1"/>
  <c r="F278" i="1"/>
  <c r="G278" i="1"/>
  <c r="H278" i="1"/>
  <c r="I278" i="1"/>
  <c r="J278" i="1"/>
  <c r="K278" i="1"/>
  <c r="L278" i="1"/>
  <c r="M278" i="1"/>
  <c r="N278" i="1"/>
  <c r="D277" i="1"/>
  <c r="E277" i="1"/>
  <c r="F277" i="1"/>
  <c r="G277" i="1"/>
  <c r="H277" i="1"/>
  <c r="I277" i="1"/>
  <c r="J277" i="1"/>
  <c r="K277" i="1"/>
  <c r="L277" i="1"/>
  <c r="M277" i="1"/>
  <c r="N277" i="1"/>
  <c r="C278" i="1"/>
  <c r="C279" i="1"/>
  <c r="C280" i="1"/>
  <c r="C277" i="1"/>
  <c r="D281" i="1"/>
  <c r="E281" i="1"/>
  <c r="F281" i="1"/>
  <c r="G281" i="1"/>
  <c r="H281" i="1"/>
  <c r="I281" i="1"/>
  <c r="J281" i="1"/>
  <c r="K281" i="1"/>
  <c r="L281" i="1"/>
  <c r="M281" i="1"/>
  <c r="N281" i="1"/>
  <c r="C281" i="1"/>
  <c r="D284" i="1"/>
  <c r="E284" i="1"/>
  <c r="F284" i="1"/>
  <c r="G284" i="1"/>
  <c r="H284" i="1"/>
  <c r="I284" i="1"/>
  <c r="J284" i="1"/>
  <c r="K284" i="1"/>
  <c r="L284" i="1"/>
  <c r="M284" i="1"/>
  <c r="N284" i="1"/>
  <c r="D283" i="1"/>
  <c r="E283" i="1"/>
  <c r="F283" i="1"/>
  <c r="G283" i="1"/>
  <c r="H283" i="1"/>
  <c r="I283" i="1"/>
  <c r="J283" i="1"/>
  <c r="K283" i="1"/>
  <c r="L283" i="1"/>
  <c r="M283" i="1"/>
  <c r="N283" i="1"/>
  <c r="D282" i="1"/>
  <c r="E282" i="1"/>
  <c r="F282" i="1"/>
  <c r="G282" i="1"/>
  <c r="H282" i="1"/>
  <c r="I282" i="1"/>
  <c r="J282" i="1"/>
  <c r="K282" i="1"/>
  <c r="L282" i="1"/>
  <c r="M282" i="1"/>
  <c r="N282" i="1"/>
  <c r="C282" i="1"/>
  <c r="C283" i="1"/>
  <c r="C284" i="1"/>
  <c r="M227" i="10" l="1"/>
  <c r="M243" i="10" s="1"/>
  <c r="M247" i="10" s="1"/>
  <c r="K227" i="10"/>
  <c r="K243" i="10" s="1"/>
  <c r="K247" i="10" s="1"/>
  <c r="N227" i="10"/>
  <c r="N243" i="10" s="1"/>
  <c r="N247" i="10" s="1"/>
  <c r="D197" i="10"/>
  <c r="G227" i="10"/>
  <c r="G243" i="10" s="1"/>
  <c r="G247" i="10" s="1"/>
  <c r="C227" i="10"/>
  <c r="C243" i="10" s="1"/>
  <c r="C247" i="10" s="1"/>
  <c r="L227" i="10"/>
  <c r="L243" i="10" s="1"/>
  <c r="L247" i="10" s="1"/>
  <c r="I197" i="10"/>
  <c r="G197" i="10"/>
  <c r="N198" i="10"/>
  <c r="L228" i="10"/>
  <c r="L244" i="10" s="1"/>
  <c r="L248" i="10" s="1"/>
  <c r="C198" i="10"/>
  <c r="I228" i="10"/>
  <c r="I244" i="10" s="1"/>
  <c r="I248" i="10" s="1"/>
  <c r="M198" i="10"/>
  <c r="G228" i="10"/>
  <c r="G244" i="10" s="1"/>
  <c r="G248" i="10" s="1"/>
  <c r="C228" i="10"/>
  <c r="C244" i="10" s="1"/>
  <c r="C248" i="10" s="1"/>
  <c r="H228" i="10"/>
  <c r="H244" i="10" s="1"/>
  <c r="H248" i="10" s="1"/>
  <c r="D228" i="10"/>
  <c r="D244" i="10" s="1"/>
  <c r="D248" i="10" s="1"/>
  <c r="E198" i="10"/>
  <c r="K228" i="10"/>
  <c r="K244" i="10" s="1"/>
  <c r="K248" i="10" s="1"/>
  <c r="H227" i="10"/>
  <c r="H243" i="10" s="1"/>
  <c r="H247" i="10" s="1"/>
  <c r="N197" i="10"/>
  <c r="K197" i="10"/>
  <c r="K198" i="10"/>
  <c r="K211" i="10"/>
  <c r="E228" i="10"/>
  <c r="E244" i="10" s="1"/>
  <c r="E248" i="10" s="1"/>
  <c r="G198" i="10"/>
  <c r="L271" i="10"/>
  <c r="L279" i="10" s="1"/>
  <c r="I227" i="10"/>
  <c r="I243" i="10" s="1"/>
  <c r="I247" i="10" s="1"/>
  <c r="E227" i="10"/>
  <c r="E243" i="10" s="1"/>
  <c r="E247" i="10" s="1"/>
  <c r="J227" i="10"/>
  <c r="J243" i="10" s="1"/>
  <c r="J247" i="10" s="1"/>
  <c r="M228" i="10"/>
  <c r="M244" i="10" s="1"/>
  <c r="M248" i="10" s="1"/>
  <c r="E197" i="10"/>
  <c r="F198" i="10"/>
  <c r="I198" i="10"/>
  <c r="J198" i="10"/>
  <c r="J228" i="10"/>
  <c r="J244" i="10" s="1"/>
  <c r="J248" i="10" s="1"/>
  <c r="L198" i="10"/>
  <c r="D51" i="10"/>
  <c r="F228" i="10"/>
  <c r="F244" i="10" s="1"/>
  <c r="F248" i="10" s="1"/>
  <c r="J269" i="10"/>
  <c r="L210" i="10"/>
  <c r="G209" i="10"/>
  <c r="D201" i="10"/>
  <c r="I259" i="10"/>
  <c r="I283" i="10" s="1"/>
  <c r="L201" i="10"/>
  <c r="M231" i="10"/>
  <c r="M251" i="10" s="1"/>
  <c r="M255" i="10" s="1"/>
  <c r="N259" i="10"/>
  <c r="N283" i="10" s="1"/>
  <c r="D80" i="10"/>
  <c r="D81" i="10" s="1"/>
  <c r="D173" i="10" s="1"/>
  <c r="D174" i="10" s="1"/>
  <c r="N208" i="10"/>
  <c r="C259" i="10"/>
  <c r="C283" i="10" s="1"/>
  <c r="F209" i="10"/>
  <c r="C212" i="10"/>
  <c r="D96" i="10"/>
  <c r="D104" i="10" s="1"/>
  <c r="J270" i="10"/>
  <c r="J278" i="10" s="1"/>
  <c r="G269" i="10"/>
  <c r="G277" i="10" s="1"/>
  <c r="N209" i="10"/>
  <c r="H212" i="10"/>
  <c r="D210" i="10"/>
  <c r="D65" i="10"/>
  <c r="A525" i="10"/>
  <c r="G213" i="10"/>
  <c r="G208" i="10"/>
  <c r="F208" i="10"/>
  <c r="I212" i="10"/>
  <c r="G212" i="10"/>
  <c r="J208" i="10"/>
  <c r="M208" i="10"/>
  <c r="K213" i="10"/>
  <c r="K270" i="10"/>
  <c r="K274" i="10" s="1"/>
  <c r="F210" i="10"/>
  <c r="D209" i="10"/>
  <c r="I213" i="10"/>
  <c r="F19" i="10"/>
  <c r="K214" i="10"/>
  <c r="D213" i="10"/>
  <c r="G270" i="10"/>
  <c r="G278" i="10" s="1"/>
  <c r="N201" i="10"/>
  <c r="H209" i="10"/>
  <c r="L208" i="10"/>
  <c r="D211" i="10"/>
  <c r="M213" i="10"/>
  <c r="E213" i="10"/>
  <c r="M210" i="10"/>
  <c r="G210" i="10"/>
  <c r="C209" i="10"/>
  <c r="L212" i="10"/>
  <c r="I210" i="10"/>
  <c r="I208" i="10"/>
  <c r="N213" i="10"/>
  <c r="E212" i="10"/>
  <c r="G19" i="10"/>
  <c r="D74" i="10"/>
  <c r="F214" i="10"/>
  <c r="K231" i="10"/>
  <c r="K251" i="10" s="1"/>
  <c r="K255" i="10" s="1"/>
  <c r="D270" i="10"/>
  <c r="D274" i="10" s="1"/>
  <c r="H214" i="10"/>
  <c r="F259" i="10"/>
  <c r="F283" i="10" s="1"/>
  <c r="M259" i="10"/>
  <c r="M283" i="10" s="1"/>
  <c r="K201" i="10"/>
  <c r="C211" i="10"/>
  <c r="E269" i="10"/>
  <c r="E277" i="10" s="1"/>
  <c r="C231" i="10"/>
  <c r="C251" i="10" s="1"/>
  <c r="C255" i="10" s="1"/>
  <c r="M201" i="10"/>
  <c r="H201" i="10"/>
  <c r="J210" i="10"/>
  <c r="H213" i="10"/>
  <c r="C208" i="10"/>
  <c r="D212" i="10"/>
  <c r="H208" i="10"/>
  <c r="C210" i="10"/>
  <c r="K210" i="10"/>
  <c r="D214" i="10"/>
  <c r="E210" i="10"/>
  <c r="G231" i="10"/>
  <c r="G251" i="10" s="1"/>
  <c r="G255" i="10" s="1"/>
  <c r="J259" i="10"/>
  <c r="J283" i="10" s="1"/>
  <c r="E209" i="10"/>
  <c r="K209" i="10"/>
  <c r="K208" i="10"/>
  <c r="E208" i="10"/>
  <c r="G211" i="10"/>
  <c r="E214" i="10"/>
  <c r="F231" i="10"/>
  <c r="F251" i="10" s="1"/>
  <c r="F255" i="10" s="1"/>
  <c r="J209" i="10"/>
  <c r="H210" i="10"/>
  <c r="I214" i="10"/>
  <c r="L231" i="10"/>
  <c r="L251" i="10" s="1"/>
  <c r="L255" i="10" s="1"/>
  <c r="M214" i="10"/>
  <c r="D259" i="10"/>
  <c r="D271" i="10" s="1"/>
  <c r="C201" i="10"/>
  <c r="I263" i="10"/>
  <c r="I267" i="10" s="1"/>
  <c r="I209" i="10"/>
  <c r="F213" i="10"/>
  <c r="N212" i="10"/>
  <c r="D208" i="10"/>
  <c r="M212" i="10"/>
  <c r="J212" i="10"/>
  <c r="E211" i="10"/>
  <c r="N210" i="10"/>
  <c r="M211" i="10"/>
  <c r="B1275" i="10"/>
  <c r="B1279" i="10" s="1"/>
  <c r="G405" i="10"/>
  <c r="G418" i="10" s="1"/>
  <c r="B405" i="10"/>
  <c r="B418" i="10" s="1"/>
  <c r="C128" i="10"/>
  <c r="B368" i="10"/>
  <c r="B433" i="10" s="1"/>
  <c r="B1283" i="10"/>
  <c r="G360" i="10"/>
  <c r="B360" i="10"/>
  <c r="L269" i="10"/>
  <c r="L277" i="10" s="1"/>
  <c r="K269" i="10"/>
  <c r="K277" i="10" s="1"/>
  <c r="H269" i="10"/>
  <c r="H273" i="10" s="1"/>
  <c r="H231" i="10"/>
  <c r="H251" i="10" s="1"/>
  <c r="H255" i="10" s="1"/>
  <c r="I231" i="10"/>
  <c r="I251" i="10" s="1"/>
  <c r="I255" i="10" s="1"/>
  <c r="G259" i="10"/>
  <c r="G283" i="10" s="1"/>
  <c r="L214" i="10"/>
  <c r="F201" i="10"/>
  <c r="E231" i="10"/>
  <c r="E251" i="10" s="1"/>
  <c r="E255" i="10" s="1"/>
  <c r="H259" i="10"/>
  <c r="E270" i="10"/>
  <c r="E278" i="10" s="1"/>
  <c r="C214" i="10"/>
  <c r="E201" i="10"/>
  <c r="D231" i="10"/>
  <c r="D251" i="10" s="1"/>
  <c r="D255" i="10" s="1"/>
  <c r="G214" i="10"/>
  <c r="K259" i="10"/>
  <c r="D263" i="10"/>
  <c r="D267" i="10" s="1"/>
  <c r="J214" i="10"/>
  <c r="E263" i="10"/>
  <c r="E267" i="10" s="1"/>
  <c r="J201" i="10"/>
  <c r="L270" i="10"/>
  <c r="L278" i="10" s="1"/>
  <c r="K263" i="10"/>
  <c r="K267" i="10" s="1"/>
  <c r="M269" i="10"/>
  <c r="M277" i="10" s="1"/>
  <c r="I269" i="10"/>
  <c r="I273" i="10" s="1"/>
  <c r="N231" i="10"/>
  <c r="N251" i="10" s="1"/>
  <c r="N255" i="10" s="1"/>
  <c r="E259" i="10"/>
  <c r="E271" i="10" s="1"/>
  <c r="J231" i="10"/>
  <c r="J251" i="10" s="1"/>
  <c r="J255" i="10" s="1"/>
  <c r="L202" i="10"/>
  <c r="G232" i="10"/>
  <c r="G252" i="10" s="1"/>
  <c r="G256" i="10" s="1"/>
  <c r="E51" i="10"/>
  <c r="E52" i="10" s="1"/>
  <c r="E96" i="10"/>
  <c r="E64" i="10"/>
  <c r="E80" i="10"/>
  <c r="E232" i="10"/>
  <c r="E252" i="10" s="1"/>
  <c r="E256" i="10" s="1"/>
  <c r="H264" i="10"/>
  <c r="H268" i="10" s="1"/>
  <c r="G215" i="10"/>
  <c r="M215" i="10"/>
  <c r="M260" i="10"/>
  <c r="J202" i="10"/>
  <c r="E260" i="10"/>
  <c r="N215" i="10"/>
  <c r="D232" i="10"/>
  <c r="D252" i="10" s="1"/>
  <c r="D256" i="10" s="1"/>
  <c r="E264" i="10"/>
  <c r="E268" i="10" s="1"/>
  <c r="D283" i="10"/>
  <c r="K202" i="10"/>
  <c r="C80" i="10"/>
  <c r="C96" i="10"/>
  <c r="C51" i="10"/>
  <c r="C52" i="10" s="1"/>
  <c r="C64" i="10"/>
  <c r="F269" i="10"/>
  <c r="N269" i="10"/>
  <c r="H270" i="10"/>
  <c r="I264" i="10"/>
  <c r="I268" i="10" s="1"/>
  <c r="F263" i="10"/>
  <c r="F267" i="10" s="1"/>
  <c r="L232" i="10"/>
  <c r="L252" i="10" s="1"/>
  <c r="L256" i="10" s="1"/>
  <c r="I211" i="10"/>
  <c r="E19" i="10"/>
  <c r="D269" i="10"/>
  <c r="J215" i="10"/>
  <c r="H232" i="10"/>
  <c r="H252" i="10" s="1"/>
  <c r="H256" i="10" s="1"/>
  <c r="I270" i="10"/>
  <c r="F64" i="10"/>
  <c r="F51" i="10"/>
  <c r="F96" i="10"/>
  <c r="F80" i="10"/>
  <c r="E215" i="10"/>
  <c r="D215" i="10"/>
  <c r="N214" i="10"/>
  <c r="D115" i="10"/>
  <c r="M264" i="10"/>
  <c r="M268" i="10" s="1"/>
  <c r="N202" i="10"/>
  <c r="G263" i="10"/>
  <c r="G267" i="10" s="1"/>
  <c r="E202" i="10"/>
  <c r="K260" i="10"/>
  <c r="I215" i="10"/>
  <c r="C215" i="10"/>
  <c r="G433" i="10"/>
  <c r="F215" i="10"/>
  <c r="N207" i="10"/>
  <c r="F207" i="10"/>
  <c r="J206" i="10"/>
  <c r="K207" i="10"/>
  <c r="C207" i="10"/>
  <c r="G206" i="10"/>
  <c r="I207" i="10"/>
  <c r="M206" i="10"/>
  <c r="E206" i="10"/>
  <c r="H207" i="10"/>
  <c r="L206" i="10"/>
  <c r="D206" i="10"/>
  <c r="K206" i="10"/>
  <c r="M207" i="10"/>
  <c r="I206" i="10"/>
  <c r="F206" i="10"/>
  <c r="G207" i="10"/>
  <c r="L207" i="10"/>
  <c r="H206" i="10"/>
  <c r="J207" i="10"/>
  <c r="C206" i="10"/>
  <c r="N206" i="10"/>
  <c r="L209" i="10"/>
  <c r="L213" i="10"/>
  <c r="M209" i="10"/>
  <c r="E207" i="10"/>
  <c r="D207" i="10"/>
  <c r="J213" i="10"/>
  <c r="D264" i="10"/>
  <c r="D268" i="10" s="1"/>
  <c r="M263" i="10"/>
  <c r="M267" i="10" s="1"/>
  <c r="C23" i="10"/>
  <c r="C24" i="10" s="1"/>
  <c r="C22" i="10"/>
  <c r="L211" i="10"/>
  <c r="M232" i="10"/>
  <c r="M252" i="10" s="1"/>
  <c r="M256" i="10" s="1"/>
  <c r="I202" i="10"/>
  <c r="K215" i="10"/>
  <c r="F232" i="10"/>
  <c r="F252" i="10" s="1"/>
  <c r="F256" i="10" s="1"/>
  <c r="C269" i="10"/>
  <c r="F270" i="10"/>
  <c r="N270" i="10"/>
  <c r="D53" i="10"/>
  <c r="D54" i="10"/>
  <c r="D58" i="10"/>
  <c r="D143" i="10"/>
  <c r="D144" i="10" s="1"/>
  <c r="D52" i="10"/>
  <c r="G201" i="10"/>
  <c r="J264" i="10"/>
  <c r="J268" i="10" s="1"/>
  <c r="L264" i="10"/>
  <c r="L268" i="10" s="1"/>
  <c r="H260" i="10"/>
  <c r="H263" i="10"/>
  <c r="H267" i="10" s="1"/>
  <c r="L215" i="10"/>
  <c r="J211" i="10"/>
  <c r="H211" i="10"/>
  <c r="I232" i="10"/>
  <c r="I252" i="10" s="1"/>
  <c r="I256" i="10" s="1"/>
  <c r="J232" i="10"/>
  <c r="J252" i="10" s="1"/>
  <c r="J256" i="10" s="1"/>
  <c r="G202" i="10"/>
  <c r="N232" i="10"/>
  <c r="N252" i="10" s="1"/>
  <c r="N256" i="10" s="1"/>
  <c r="D260" i="10"/>
  <c r="F260" i="10"/>
  <c r="F212" i="10"/>
  <c r="J277" i="10"/>
  <c r="J273" i="10"/>
  <c r="K232" i="10"/>
  <c r="K252" i="10" s="1"/>
  <c r="K256" i="10" s="1"/>
  <c r="M202" i="10"/>
  <c r="I201" i="10"/>
  <c r="K264" i="10"/>
  <c r="K268" i="10" s="1"/>
  <c r="F264" i="10"/>
  <c r="F268" i="10" s="1"/>
  <c r="L263" i="10"/>
  <c r="L267" i="10" s="1"/>
  <c r="J263" i="10"/>
  <c r="J267" i="10" s="1"/>
  <c r="H215" i="10"/>
  <c r="C260" i="10"/>
  <c r="F211" i="10"/>
  <c r="J260" i="10"/>
  <c r="L260" i="10"/>
  <c r="N260" i="10"/>
  <c r="G260" i="10"/>
  <c r="G264" i="10"/>
  <c r="G268" i="10" s="1"/>
  <c r="G1273" i="10"/>
  <c r="G1275" i="10"/>
  <c r="M270" i="10"/>
  <c r="C270" i="10"/>
  <c r="C213" i="10"/>
  <c r="K212" i="10"/>
  <c r="I260" i="10"/>
  <c r="C264" i="10"/>
  <c r="C268" i="10" s="1"/>
  <c r="N264" i="10"/>
  <c r="N268" i="10" s="1"/>
  <c r="N263" i="10"/>
  <c r="N267" i="10" s="1"/>
  <c r="C263" i="10"/>
  <c r="C267" i="10" s="1"/>
  <c r="C202" i="10"/>
  <c r="F202" i="10"/>
  <c r="H202" i="10"/>
  <c r="D202" i="10"/>
  <c r="N211" i="10"/>
  <c r="C19" i="10"/>
  <c r="D260" i="1"/>
  <c r="E260" i="1"/>
  <c r="F260" i="1"/>
  <c r="G260" i="1"/>
  <c r="H260" i="1"/>
  <c r="I260" i="1"/>
  <c r="J260" i="1"/>
  <c r="K260" i="1"/>
  <c r="L260" i="1"/>
  <c r="M260" i="1"/>
  <c r="N260" i="1"/>
  <c r="D259" i="1"/>
  <c r="E259" i="1"/>
  <c r="F259" i="1"/>
  <c r="G259" i="1"/>
  <c r="H259" i="1"/>
  <c r="I259" i="1"/>
  <c r="J259" i="1"/>
  <c r="K259" i="1"/>
  <c r="L259" i="1"/>
  <c r="M259" i="1"/>
  <c r="N259" i="1"/>
  <c r="D258" i="1"/>
  <c r="E258" i="1"/>
  <c r="F258" i="1"/>
  <c r="G258" i="1"/>
  <c r="H258" i="1"/>
  <c r="I258" i="1"/>
  <c r="J258" i="1"/>
  <c r="K258" i="1"/>
  <c r="L258" i="1"/>
  <c r="M258" i="1"/>
  <c r="N258" i="1"/>
  <c r="D257" i="1"/>
  <c r="E257" i="1"/>
  <c r="F257" i="1"/>
  <c r="G257" i="1"/>
  <c r="H257" i="1"/>
  <c r="I257" i="1"/>
  <c r="J257" i="1"/>
  <c r="K257" i="1"/>
  <c r="L257" i="1"/>
  <c r="M257" i="1"/>
  <c r="N257" i="1"/>
  <c r="C260" i="1"/>
  <c r="C259" i="1"/>
  <c r="C258" i="1"/>
  <c r="C257" i="1"/>
  <c r="D51" i="1"/>
  <c r="E51" i="1"/>
  <c r="F51" i="1"/>
  <c r="C51" i="1"/>
  <c r="D252" i="1"/>
  <c r="E252" i="1"/>
  <c r="F252" i="1"/>
  <c r="G252" i="1"/>
  <c r="H252" i="1"/>
  <c r="I252" i="1"/>
  <c r="J252" i="1"/>
  <c r="K252" i="1"/>
  <c r="L252" i="1"/>
  <c r="M252" i="1"/>
  <c r="N252" i="1"/>
  <c r="D251" i="1"/>
  <c r="E251" i="1"/>
  <c r="F251" i="1"/>
  <c r="G251" i="1"/>
  <c r="H251" i="1"/>
  <c r="I251" i="1"/>
  <c r="J251" i="1"/>
  <c r="K251" i="1"/>
  <c r="L251" i="1"/>
  <c r="M251" i="1"/>
  <c r="N251" i="1"/>
  <c r="D250" i="1"/>
  <c r="E250" i="1"/>
  <c r="F250" i="1"/>
  <c r="G250" i="1"/>
  <c r="H250" i="1"/>
  <c r="I250" i="1"/>
  <c r="J250" i="1"/>
  <c r="K250" i="1"/>
  <c r="L250" i="1"/>
  <c r="M250" i="1"/>
  <c r="N250" i="1"/>
  <c r="D249" i="1"/>
  <c r="E249" i="1"/>
  <c r="F249" i="1"/>
  <c r="G249" i="1"/>
  <c r="H249" i="1"/>
  <c r="I249" i="1"/>
  <c r="J249" i="1"/>
  <c r="K249" i="1"/>
  <c r="L249" i="1"/>
  <c r="M249" i="1"/>
  <c r="N249" i="1"/>
  <c r="D244" i="1"/>
  <c r="E244" i="1"/>
  <c r="F244" i="1"/>
  <c r="G244" i="1"/>
  <c r="H244" i="1"/>
  <c r="I244" i="1"/>
  <c r="J244" i="1"/>
  <c r="K244" i="1"/>
  <c r="L244" i="1"/>
  <c r="M244" i="1"/>
  <c r="N244" i="1"/>
  <c r="D243" i="1"/>
  <c r="E243" i="1"/>
  <c r="F243" i="1"/>
  <c r="G243" i="1"/>
  <c r="H243" i="1"/>
  <c r="I243" i="1"/>
  <c r="J243" i="1"/>
  <c r="K243" i="1"/>
  <c r="L243" i="1"/>
  <c r="M243" i="1"/>
  <c r="N243" i="1"/>
  <c r="D242" i="1"/>
  <c r="E242" i="1"/>
  <c r="F242" i="1"/>
  <c r="G242" i="1"/>
  <c r="H242" i="1"/>
  <c r="I242" i="1"/>
  <c r="J242" i="1"/>
  <c r="K242" i="1"/>
  <c r="L242" i="1"/>
  <c r="M242" i="1"/>
  <c r="N242" i="1"/>
  <c r="D241" i="1"/>
  <c r="E241" i="1"/>
  <c r="F241" i="1"/>
  <c r="G241" i="1"/>
  <c r="H241" i="1"/>
  <c r="I241" i="1"/>
  <c r="J241" i="1"/>
  <c r="K241" i="1"/>
  <c r="L241" i="1"/>
  <c r="M241" i="1"/>
  <c r="N241" i="1"/>
  <c r="C252" i="1"/>
  <c r="C251" i="1"/>
  <c r="C250" i="1"/>
  <c r="C249" i="1"/>
  <c r="C244" i="1"/>
  <c r="C243" i="1"/>
  <c r="C242" i="1"/>
  <c r="M271" i="10" l="1"/>
  <c r="M275" i="10" s="1"/>
  <c r="K278" i="10"/>
  <c r="F271" i="10"/>
  <c r="F279" i="10" s="1"/>
  <c r="L275" i="10"/>
  <c r="C271" i="10"/>
  <c r="C275" i="10" s="1"/>
  <c r="D70" i="10"/>
  <c r="D154" i="10" s="1"/>
  <c r="B931" i="10"/>
  <c r="A1034" i="10"/>
  <c r="G273" i="10"/>
  <c r="D147" i="10"/>
  <c r="D148" i="10" s="1"/>
  <c r="E1034" i="10"/>
  <c r="N271" i="10"/>
  <c r="N275" i="10" s="1"/>
  <c r="D88" i="10"/>
  <c r="D117" i="10" s="1"/>
  <c r="I271" i="10"/>
  <c r="I275" i="10" s="1"/>
  <c r="J274" i="10"/>
  <c r="D76" i="10"/>
  <c r="E273" i="10"/>
  <c r="D278" i="10"/>
  <c r="D97" i="10"/>
  <c r="D108" i="10" s="1"/>
  <c r="D69" i="10"/>
  <c r="D162" i="10" s="1"/>
  <c r="D163" i="10" s="1"/>
  <c r="I277" i="10"/>
  <c r="E274" i="10"/>
  <c r="H277" i="10"/>
  <c r="L274" i="10"/>
  <c r="J271" i="10"/>
  <c r="J279" i="10" s="1"/>
  <c r="D145" i="10"/>
  <c r="D146" i="10" s="1"/>
  <c r="G274" i="10"/>
  <c r="C129" i="10"/>
  <c r="C131" i="10" s="1"/>
  <c r="B1353" i="10"/>
  <c r="B1288" i="10"/>
  <c r="G409" i="10"/>
  <c r="G416" i="10" s="1"/>
  <c r="G417" i="10" s="1"/>
  <c r="B409" i="10"/>
  <c r="G373" i="10"/>
  <c r="G364" i="10"/>
  <c r="G371" i="10" s="1"/>
  <c r="G372" i="10" s="1"/>
  <c r="B373" i="10"/>
  <c r="B364" i="10"/>
  <c r="B371" i="10" s="1"/>
  <c r="B372" i="10" s="1"/>
  <c r="D86" i="10"/>
  <c r="D87" i="10" s="1"/>
  <c r="C184" i="10"/>
  <c r="K273" i="10"/>
  <c r="M273" i="10"/>
  <c r="L273" i="10"/>
  <c r="G271" i="10"/>
  <c r="G279" i="10" s="1"/>
  <c r="E283" i="10"/>
  <c r="H283" i="10"/>
  <c r="H271" i="10"/>
  <c r="K283" i="10"/>
  <c r="K271" i="10"/>
  <c r="C57" i="10"/>
  <c r="C55" i="10"/>
  <c r="C56" i="10"/>
  <c r="C141" i="10" s="1"/>
  <c r="C142" i="10" s="1"/>
  <c r="C137" i="10"/>
  <c r="C138" i="10" s="1"/>
  <c r="E57" i="10"/>
  <c r="E55" i="10"/>
  <c r="E139" i="10" s="1"/>
  <c r="E56" i="10"/>
  <c r="E137" i="10"/>
  <c r="E138" i="10" s="1"/>
  <c r="I274" i="10"/>
  <c r="I278" i="10"/>
  <c r="C284" i="10"/>
  <c r="C272" i="10"/>
  <c r="D92" i="10"/>
  <c r="F278" i="10"/>
  <c r="F274" i="10"/>
  <c r="D273" i="10"/>
  <c r="D277" i="10"/>
  <c r="C104" i="10"/>
  <c r="C97" i="10"/>
  <c r="C108" i="10" s="1"/>
  <c r="I284" i="10"/>
  <c r="I272" i="10"/>
  <c r="M279" i="10"/>
  <c r="D105" i="10"/>
  <c r="D106" i="10"/>
  <c r="D119" i="10"/>
  <c r="D91" i="10"/>
  <c r="D83" i="10"/>
  <c r="D57" i="10"/>
  <c r="D55" i="10"/>
  <c r="A1031" i="10" s="1"/>
  <c r="D75" i="10"/>
  <c r="D67" i="10"/>
  <c r="D137" i="10"/>
  <c r="D138" i="10" s="1"/>
  <c r="D56" i="10"/>
  <c r="E1031" i="10" s="1"/>
  <c r="D66" i="10"/>
  <c r="D158" i="10" s="1"/>
  <c r="D159" i="10" s="1"/>
  <c r="D82" i="10"/>
  <c r="D167" i="10" s="1"/>
  <c r="D168" i="10" s="1"/>
  <c r="C1326" i="10"/>
  <c r="A1305" i="10"/>
  <c r="B1286" i="10"/>
  <c r="B1287" i="10" s="1"/>
  <c r="C1313" i="10"/>
  <c r="C1339" i="10"/>
  <c r="F275" i="10"/>
  <c r="C88" i="10"/>
  <c r="C81" i="10"/>
  <c r="C173" i="10" s="1"/>
  <c r="C174" i="10" s="1"/>
  <c r="E81" i="10"/>
  <c r="E173" i="10" s="1"/>
  <c r="E174" i="10" s="1"/>
  <c r="E88" i="10"/>
  <c r="M274" i="10"/>
  <c r="M278" i="10"/>
  <c r="N278" i="10"/>
  <c r="N274" i="10"/>
  <c r="M284" i="10"/>
  <c r="M272" i="10"/>
  <c r="N284" i="10"/>
  <c r="N272" i="10"/>
  <c r="J284" i="10"/>
  <c r="J272" i="10"/>
  <c r="K284" i="10"/>
  <c r="K272" i="10"/>
  <c r="F81" i="10"/>
  <c r="F173" i="10" s="1"/>
  <c r="F174" i="10" s="1"/>
  <c r="F88" i="10"/>
  <c r="H278" i="10"/>
  <c r="H274" i="10"/>
  <c r="E275" i="10"/>
  <c r="E279" i="10"/>
  <c r="E65" i="10"/>
  <c r="E66" i="10" s="1"/>
  <c r="E158" i="10" s="1"/>
  <c r="E159" i="10" s="1"/>
  <c r="E72" i="10"/>
  <c r="L284" i="10"/>
  <c r="L272" i="10"/>
  <c r="D85" i="10"/>
  <c r="D169" i="10" s="1"/>
  <c r="C277" i="10"/>
  <c r="C273" i="10"/>
  <c r="F97" i="10"/>
  <c r="F102" i="10" s="1"/>
  <c r="F103" i="10" s="1"/>
  <c r="F104" i="10"/>
  <c r="N273" i="10"/>
  <c r="N277" i="10"/>
  <c r="E284" i="10"/>
  <c r="E272" i="10"/>
  <c r="E97" i="10"/>
  <c r="E108" i="10" s="1"/>
  <c r="E104" i="10"/>
  <c r="D284" i="10"/>
  <c r="D272" i="10"/>
  <c r="F143" i="10"/>
  <c r="F144" i="10" s="1"/>
  <c r="F58" i="10"/>
  <c r="F54" i="10"/>
  <c r="F147" i="10" s="1"/>
  <c r="F148" i="10" s="1"/>
  <c r="F53" i="10"/>
  <c r="F145" i="10" s="1"/>
  <c r="F146" i="10" s="1"/>
  <c r="F277" i="10"/>
  <c r="F273" i="10"/>
  <c r="D275" i="10"/>
  <c r="D279" i="10"/>
  <c r="E53" i="10"/>
  <c r="E145" i="10" s="1"/>
  <c r="E146" i="10" s="1"/>
  <c r="E143" i="10"/>
  <c r="E144" i="10" s="1"/>
  <c r="E58" i="10"/>
  <c r="E54" i="10"/>
  <c r="E147" i="10" s="1"/>
  <c r="E148" i="10" s="1"/>
  <c r="G1288" i="10"/>
  <c r="G1279" i="10"/>
  <c r="G284" i="10"/>
  <c r="G272" i="10"/>
  <c r="H284" i="10"/>
  <c r="H272" i="10"/>
  <c r="F65" i="10"/>
  <c r="F69" i="10" s="1"/>
  <c r="F162" i="10" s="1"/>
  <c r="F163" i="10" s="1"/>
  <c r="F72" i="10"/>
  <c r="F284" i="10"/>
  <c r="F272" i="10"/>
  <c r="C53" i="10"/>
  <c r="C143" i="10"/>
  <c r="C144" i="10" s="1"/>
  <c r="C54" i="10"/>
  <c r="C147" i="10" s="1"/>
  <c r="C148" i="10" s="1"/>
  <c r="C58" i="10"/>
  <c r="C274" i="10"/>
  <c r="C278" i="10"/>
  <c r="F52" i="10"/>
  <c r="C65" i="10"/>
  <c r="C75" i="10" s="1"/>
  <c r="C72" i="10"/>
  <c r="D221" i="1"/>
  <c r="E221" i="1"/>
  <c r="F221" i="1"/>
  <c r="G221" i="1"/>
  <c r="G222" i="1" s="1"/>
  <c r="H221" i="1"/>
  <c r="H222" i="1" s="1"/>
  <c r="I221" i="1"/>
  <c r="I222" i="1" s="1"/>
  <c r="J221" i="1"/>
  <c r="J222" i="1" s="1"/>
  <c r="K221" i="1"/>
  <c r="L221" i="1"/>
  <c r="M221" i="1"/>
  <c r="N221" i="1"/>
  <c r="C221" i="1"/>
  <c r="C222" i="1" s="1"/>
  <c r="C279" i="10" l="1"/>
  <c r="D71" i="10"/>
  <c r="N279" i="10"/>
  <c r="D90" i="10"/>
  <c r="D89" i="10"/>
  <c r="I279" i="10"/>
  <c r="C130" i="10"/>
  <c r="B377" i="10"/>
  <c r="B378" i="10" s="1"/>
  <c r="E85" i="10"/>
  <c r="E169" i="10" s="1"/>
  <c r="E171" i="10" s="1"/>
  <c r="E172" i="10" s="1"/>
  <c r="D99" i="10"/>
  <c r="D100" i="10" s="1"/>
  <c r="D102" i="10"/>
  <c r="D103" i="10" s="1"/>
  <c r="D107" i="10"/>
  <c r="D98" i="10"/>
  <c r="J275" i="10"/>
  <c r="E92" i="10"/>
  <c r="D101" i="10"/>
  <c r="D139" i="10"/>
  <c r="D140" i="10" s="1"/>
  <c r="B854" i="10"/>
  <c r="E91" i="10"/>
  <c r="C185" i="10"/>
  <c r="C186" i="10" s="1"/>
  <c r="C102" i="10"/>
  <c r="C103" i="10" s="1"/>
  <c r="E99" i="10"/>
  <c r="E100" i="10" s="1"/>
  <c r="E83" i="10"/>
  <c r="E84" i="10" s="1"/>
  <c r="E177" i="10" s="1"/>
  <c r="E178" i="10" s="1"/>
  <c r="B416" i="10"/>
  <c r="B417" i="10" s="1"/>
  <c r="B422" i="10" s="1"/>
  <c r="G438" i="10"/>
  <c r="F101" i="10"/>
  <c r="E70" i="10"/>
  <c r="E71" i="10" s="1"/>
  <c r="E101" i="10"/>
  <c r="E76" i="10"/>
  <c r="E86" i="10"/>
  <c r="E87" i="10" s="1"/>
  <c r="B438" i="10"/>
  <c r="G275" i="10"/>
  <c r="K279" i="10"/>
  <c r="K275" i="10"/>
  <c r="H275" i="10"/>
  <c r="H279" i="10"/>
  <c r="D152" i="10"/>
  <c r="D153" i="10" s="1"/>
  <c r="D68" i="10"/>
  <c r="D160" i="10" s="1"/>
  <c r="D161" i="10" s="1"/>
  <c r="E141" i="10"/>
  <c r="E142" i="10" s="1"/>
  <c r="E140" i="10"/>
  <c r="F70" i="10"/>
  <c r="D280" i="10"/>
  <c r="D276" i="10"/>
  <c r="F105" i="10"/>
  <c r="F106" i="10"/>
  <c r="F119" i="10"/>
  <c r="C90" i="10"/>
  <c r="C89" i="10"/>
  <c r="C117" i="10"/>
  <c r="C107" i="10"/>
  <c r="C91" i="10"/>
  <c r="C70" i="10"/>
  <c r="C76" i="10"/>
  <c r="F86" i="10"/>
  <c r="F87" i="10" s="1"/>
  <c r="J276" i="10"/>
  <c r="J280" i="10"/>
  <c r="F75" i="10"/>
  <c r="F67" i="10"/>
  <c r="F56" i="10"/>
  <c r="F66" i="10"/>
  <c r="F158" i="10" s="1"/>
  <c r="F159" i="10" s="1"/>
  <c r="F91" i="10"/>
  <c r="F83" i="10"/>
  <c r="F137" i="10"/>
  <c r="F138" i="10" s="1"/>
  <c r="F107" i="10"/>
  <c r="F99" i="10"/>
  <c r="F100" i="10" s="1"/>
  <c r="F55" i="10"/>
  <c r="F139" i="10" s="1"/>
  <c r="F57" i="10"/>
  <c r="F82" i="10"/>
  <c r="F167" i="10" s="1"/>
  <c r="F168" i="10" s="1"/>
  <c r="F98" i="10"/>
  <c r="F76" i="10"/>
  <c r="C66" i="10"/>
  <c r="C67" i="10"/>
  <c r="C101" i="10"/>
  <c r="C92" i="10"/>
  <c r="H276" i="10"/>
  <c r="H280" i="10"/>
  <c r="E102" i="10"/>
  <c r="E103" i="10" s="1"/>
  <c r="E69" i="10"/>
  <c r="E162" i="10" s="1"/>
  <c r="E163" i="10" s="1"/>
  <c r="F108" i="10"/>
  <c r="E105" i="10"/>
  <c r="E106" i="10"/>
  <c r="E119" i="10"/>
  <c r="E107" i="10"/>
  <c r="C99" i="10"/>
  <c r="C98" i="10"/>
  <c r="F73" i="10"/>
  <c r="F74" i="10"/>
  <c r="F115" i="10"/>
  <c r="E73" i="10"/>
  <c r="E74" i="10"/>
  <c r="E115" i="10"/>
  <c r="C69" i="10"/>
  <c r="C162" i="10" s="1"/>
  <c r="C163" i="10" s="1"/>
  <c r="C86" i="10"/>
  <c r="F1305" i="10"/>
  <c r="G1286" i="10"/>
  <c r="G1287" i="10" s="1"/>
  <c r="C315" i="10"/>
  <c r="C319" i="10" s="1"/>
  <c r="C321" i="10" s="1"/>
  <c r="C139" i="10"/>
  <c r="C140" i="10" s="1"/>
  <c r="D156" i="10"/>
  <c r="D157" i="10" s="1"/>
  <c r="D155" i="10"/>
  <c r="N280" i="10"/>
  <c r="N276" i="10"/>
  <c r="E67" i="10"/>
  <c r="F280" i="10"/>
  <c r="F276" i="10"/>
  <c r="E276" i="10"/>
  <c r="E280" i="10"/>
  <c r="C82" i="10"/>
  <c r="K276" i="10"/>
  <c r="K280" i="10"/>
  <c r="C106" i="10"/>
  <c r="C105" i="10"/>
  <c r="C119" i="10"/>
  <c r="E89" i="10"/>
  <c r="E90" i="10"/>
  <c r="E117" i="10"/>
  <c r="D84" i="10"/>
  <c r="D177" i="10" s="1"/>
  <c r="D178" i="10" s="1"/>
  <c r="D175" i="10"/>
  <c r="D176" i="10" s="1"/>
  <c r="I280" i="10"/>
  <c r="I276" i="10"/>
  <c r="E98" i="10"/>
  <c r="C316" i="10"/>
  <c r="C320" i="10" s="1"/>
  <c r="C322" i="10" s="1"/>
  <c r="C330" i="10" s="1"/>
  <c r="C145" i="10"/>
  <c r="C146" i="10" s="1"/>
  <c r="G280" i="10"/>
  <c r="G276" i="10"/>
  <c r="F92" i="10"/>
  <c r="F85" i="10"/>
  <c r="F169" i="10" s="1"/>
  <c r="D171" i="10"/>
  <c r="D172" i="10" s="1"/>
  <c r="D170" i="10"/>
  <c r="E82" i="10"/>
  <c r="E167" i="10" s="1"/>
  <c r="E168" i="10" s="1"/>
  <c r="E75" i="10"/>
  <c r="C73" i="10"/>
  <c r="C74" i="10"/>
  <c r="C115" i="10"/>
  <c r="C85" i="10"/>
  <c r="C169" i="10" s="1"/>
  <c r="C170" i="10" s="1"/>
  <c r="L280" i="10"/>
  <c r="L276" i="10"/>
  <c r="F89" i="10"/>
  <c r="F90" i="10"/>
  <c r="F117" i="10"/>
  <c r="M280" i="10"/>
  <c r="M276" i="10"/>
  <c r="C1338" i="10"/>
  <c r="C1340" i="10" s="1"/>
  <c r="C1341" i="10" s="1"/>
  <c r="C1312" i="10"/>
  <c r="C1314" i="10" s="1"/>
  <c r="C1315" i="10" s="1"/>
  <c r="C1325" i="10"/>
  <c r="C1327" i="10" s="1"/>
  <c r="C1328" i="10" s="1"/>
  <c r="B1292" i="10"/>
  <c r="C276" i="10"/>
  <c r="C280" i="10"/>
  <c r="C83" i="10"/>
  <c r="N222" i="1"/>
  <c r="F222" i="1"/>
  <c r="M222" i="1"/>
  <c r="E222" i="1"/>
  <c r="L222" i="1"/>
  <c r="D222" i="1"/>
  <c r="K222" i="1"/>
  <c r="F166" i="1"/>
  <c r="E166" i="1"/>
  <c r="D166" i="1"/>
  <c r="F151" i="1"/>
  <c r="E151" i="1"/>
  <c r="D151" i="1"/>
  <c r="F136" i="1"/>
  <c r="E136" i="1"/>
  <c r="D136" i="1"/>
  <c r="B379" i="10" l="1"/>
  <c r="C1054" i="10" s="1"/>
  <c r="C187" i="10"/>
  <c r="C1057" i="10"/>
  <c r="K1051" i="10"/>
  <c r="G1056" i="10"/>
  <c r="F1043" i="10"/>
  <c r="K1046" i="10"/>
  <c r="K1048" i="10"/>
  <c r="C1056" i="10"/>
  <c r="E1047" i="10"/>
  <c r="G1061" i="10"/>
  <c r="I1044" i="10"/>
  <c r="C1045" i="10"/>
  <c r="C1053" i="10"/>
  <c r="F1056" i="10"/>
  <c r="E1044" i="10"/>
  <c r="G1058" i="10"/>
  <c r="H1042" i="10"/>
  <c r="E1053" i="10"/>
  <c r="H1044" i="10"/>
  <c r="J1058" i="10"/>
  <c r="C1042" i="10"/>
  <c r="D1049" i="10"/>
  <c r="J1042" i="10"/>
  <c r="I1045" i="10"/>
  <c r="E1049" i="10"/>
  <c r="D1043" i="10"/>
  <c r="F1057" i="10"/>
  <c r="F1051" i="10"/>
  <c r="D1046" i="10"/>
  <c r="F1060" i="10"/>
  <c r="I1042" i="10"/>
  <c r="F1053" i="10"/>
  <c r="K1056" i="10"/>
  <c r="I1051" i="10"/>
  <c r="E1056" i="10"/>
  <c r="G1048" i="10"/>
  <c r="H1049" i="10"/>
  <c r="G1053" i="10"/>
  <c r="D1050" i="10"/>
  <c r="I1048" i="10"/>
  <c r="E1052" i="10"/>
  <c r="C1047" i="10"/>
  <c r="I1047" i="10"/>
  <c r="J1057" i="10"/>
  <c r="H1052" i="10"/>
  <c r="H1053" i="10"/>
  <c r="H1055" i="10"/>
  <c r="K1049" i="10"/>
  <c r="K1050" i="10"/>
  <c r="J1054" i="10"/>
  <c r="E1057" i="10"/>
  <c r="H1047" i="10"/>
  <c r="D1051" i="10"/>
  <c r="E1058" i="10"/>
  <c r="J1055" i="10"/>
  <c r="H1050" i="10"/>
  <c r="D1054" i="10"/>
  <c r="H1043" i="10"/>
  <c r="E1054" i="10"/>
  <c r="G1045" i="10"/>
  <c r="C1049" i="10"/>
  <c r="K1042" i="10"/>
  <c r="I1060" i="10"/>
  <c r="C1052" i="10"/>
  <c r="D1053" i="10"/>
  <c r="H1054" i="10"/>
  <c r="G1042" i="10"/>
  <c r="I1056" i="10"/>
  <c r="E1060" i="10"/>
  <c r="C1055" i="10"/>
  <c r="I1055" i="10"/>
  <c r="F1046" i="10"/>
  <c r="H1060" i="10"/>
  <c r="F1047" i="10"/>
  <c r="E170" i="10"/>
  <c r="D141" i="10"/>
  <c r="D142" i="10" s="1"/>
  <c r="C1336" i="10"/>
  <c r="E175" i="10"/>
  <c r="E176" i="10" s="1"/>
  <c r="E154" i="10"/>
  <c r="E155" i="10" s="1"/>
  <c r="C167" i="10"/>
  <c r="C168" i="10" s="1"/>
  <c r="C1323" i="10"/>
  <c r="C158" i="10"/>
  <c r="C159" i="10" s="1"/>
  <c r="C1310" i="10"/>
  <c r="E377" i="10"/>
  <c r="G1292" i="10"/>
  <c r="G1296" i="10" s="1"/>
  <c r="C1343" i="10"/>
  <c r="C1317" i="10"/>
  <c r="C1330" i="10"/>
  <c r="B423" i="10"/>
  <c r="B424" i="10"/>
  <c r="C327" i="10"/>
  <c r="F154" i="10"/>
  <c r="F71" i="10"/>
  <c r="F171" i="10"/>
  <c r="F172" i="10" s="1"/>
  <c r="F170" i="10"/>
  <c r="E152" i="10"/>
  <c r="E153" i="10" s="1"/>
  <c r="E68" i="10"/>
  <c r="E160" i="10" s="1"/>
  <c r="E161" i="10" s="1"/>
  <c r="C323" i="10"/>
  <c r="C331" i="10" s="1"/>
  <c r="C329" i="10"/>
  <c r="C171" i="10"/>
  <c r="C172" i="10" s="1"/>
  <c r="C87" i="10"/>
  <c r="C175" i="10"/>
  <c r="C176" i="10" s="1"/>
  <c r="C84" i="10"/>
  <c r="C177" i="10" s="1"/>
  <c r="C178" i="10" s="1"/>
  <c r="F84" i="10"/>
  <c r="F177" i="10" s="1"/>
  <c r="F178" i="10" s="1"/>
  <c r="F175" i="10"/>
  <c r="F176" i="10" s="1"/>
  <c r="B1296" i="10"/>
  <c r="B1293" i="10"/>
  <c r="B1297" i="10"/>
  <c r="C328" i="10"/>
  <c r="C154" i="10"/>
  <c r="C155" i="10" s="1"/>
  <c r="C71" i="10"/>
  <c r="C156" i="10" s="1"/>
  <c r="C157" i="10" s="1"/>
  <c r="C100" i="10"/>
  <c r="C152" i="10"/>
  <c r="C153" i="10" s="1"/>
  <c r="C68" i="10"/>
  <c r="C160" i="10" s="1"/>
  <c r="C161" i="10" s="1"/>
  <c r="F141" i="10"/>
  <c r="F142" i="10" s="1"/>
  <c r="F140" i="10"/>
  <c r="F152" i="10"/>
  <c r="F153" i="10" s="1"/>
  <c r="F68" i="10"/>
  <c r="F160" i="10" s="1"/>
  <c r="F161" i="10" s="1"/>
  <c r="F1045" i="10" l="1"/>
  <c r="F1054" i="10"/>
  <c r="K1047" i="10"/>
  <c r="D1044" i="10"/>
  <c r="G1059" i="10"/>
  <c r="K1058" i="10"/>
  <c r="D1061" i="10"/>
  <c r="K1052" i="10"/>
  <c r="E156" i="10"/>
  <c r="E157" i="10" s="1"/>
  <c r="H1058" i="10"/>
  <c r="G1049" i="10"/>
  <c r="G1126" i="10" s="1"/>
  <c r="K1044" i="10"/>
  <c r="C1050" i="10"/>
  <c r="C1102" i="10" s="1"/>
  <c r="I1050" i="10"/>
  <c r="I1127" i="10" s="1"/>
  <c r="D1045" i="10"/>
  <c r="D1122" i="10" s="1"/>
  <c r="I1053" i="10"/>
  <c r="I1105" i="10" s="1"/>
  <c r="H1056" i="10"/>
  <c r="H1108" i="10" s="1"/>
  <c r="E1061" i="10"/>
  <c r="H1046" i="10"/>
  <c r="H1123" i="10" s="1"/>
  <c r="I1052" i="10"/>
  <c r="F1058" i="10"/>
  <c r="F1110" i="10" s="1"/>
  <c r="J1053" i="10"/>
  <c r="J1105" i="10" s="1"/>
  <c r="F1044" i="10"/>
  <c r="F1121" i="10" s="1"/>
  <c r="J1049" i="10"/>
  <c r="J1101" i="10" s="1"/>
  <c r="K1060" i="10"/>
  <c r="K1112" i="10" s="1"/>
  <c r="I1061" i="10"/>
  <c r="I1043" i="10"/>
  <c r="I1120" i="10" s="1"/>
  <c r="F1052" i="10"/>
  <c r="F1049" i="10"/>
  <c r="F1101" i="10" s="1"/>
  <c r="K1061" i="10"/>
  <c r="K1138" i="10" s="1"/>
  <c r="H1061" i="10"/>
  <c r="H1138" i="10" s="1"/>
  <c r="F1042" i="10"/>
  <c r="F1094" i="10" s="1"/>
  <c r="D1058" i="10"/>
  <c r="D1135" i="10" s="1"/>
  <c r="G1046" i="10"/>
  <c r="D1047" i="10"/>
  <c r="D1124" i="10" s="1"/>
  <c r="J1061" i="10"/>
  <c r="C1043" i="10"/>
  <c r="C1120" i="10" s="1"/>
  <c r="D1057" i="10"/>
  <c r="D1134" i="10" s="1"/>
  <c r="I1057" i="10"/>
  <c r="I1134" i="10" s="1"/>
  <c r="C1058" i="10"/>
  <c r="C1110" i="10" s="1"/>
  <c r="E1055" i="10"/>
  <c r="E1132" i="10" s="1"/>
  <c r="D1052" i="10"/>
  <c r="E1050" i="10"/>
  <c r="E1127" i="10" s="1"/>
  <c r="J1059" i="10"/>
  <c r="K1045" i="10"/>
  <c r="K1122" i="10" s="1"/>
  <c r="I1046" i="10"/>
  <c r="I1098" i="10" s="1"/>
  <c r="H1048" i="10"/>
  <c r="H1125" i="10" s="1"/>
  <c r="H1059" i="10"/>
  <c r="H1111" i="10" s="1"/>
  <c r="J1048" i="10"/>
  <c r="J1125" i="10" s="1"/>
  <c r="E1042" i="10"/>
  <c r="G1057" i="10"/>
  <c r="G1134" i="10" s="1"/>
  <c r="J1043" i="10"/>
  <c r="G1051" i="10"/>
  <c r="G1103" i="10" s="1"/>
  <c r="G1044" i="10"/>
  <c r="I1059" i="10"/>
  <c r="I1111" i="10" s="1"/>
  <c r="D1060" i="10"/>
  <c r="D1112" i="10" s="1"/>
  <c r="I1054" i="10"/>
  <c r="I1106" i="10" s="1"/>
  <c r="J1046" i="10"/>
  <c r="D1056" i="10"/>
  <c r="D1108" i="10" s="1"/>
  <c r="G1043" i="10"/>
  <c r="C1048" i="10"/>
  <c r="C1100" i="10" s="1"/>
  <c r="G1060" i="10"/>
  <c r="G1112" i="10" s="1"/>
  <c r="J1056" i="10"/>
  <c r="J1108" i="10" s="1"/>
  <c r="K1059" i="10"/>
  <c r="K1111" i="10" s="1"/>
  <c r="H1045" i="10"/>
  <c r="H1097" i="10" s="1"/>
  <c r="I1049" i="10"/>
  <c r="J1052" i="10"/>
  <c r="J1104" i="10" s="1"/>
  <c r="E1048" i="10"/>
  <c r="G1052" i="10"/>
  <c r="G1104" i="10" s="1"/>
  <c r="H1057" i="10"/>
  <c r="H1134" i="10" s="1"/>
  <c r="G1054" i="10"/>
  <c r="G1131" i="10" s="1"/>
  <c r="G1050" i="10"/>
  <c r="G1127" i="10" s="1"/>
  <c r="D1055" i="10"/>
  <c r="D1107" i="10" s="1"/>
  <c r="F1048" i="10"/>
  <c r="B427" i="10"/>
  <c r="D496" i="10" s="1"/>
  <c r="C1061" i="10"/>
  <c r="C1046" i="10"/>
  <c r="C1123" i="10" s="1"/>
  <c r="K1043" i="10"/>
  <c r="K1095" i="10" s="1"/>
  <c r="F1061" i="10"/>
  <c r="F1138" i="10" s="1"/>
  <c r="F1059" i="10"/>
  <c r="F1111" i="10" s="1"/>
  <c r="C1044" i="10"/>
  <c r="C1096" i="10" s="1"/>
  <c r="H1051" i="10"/>
  <c r="K1053" i="10"/>
  <c r="K1105" i="10" s="1"/>
  <c r="J1060" i="10"/>
  <c r="C1051" i="10"/>
  <c r="C1128" i="10" s="1"/>
  <c r="E1046" i="10"/>
  <c r="E1098" i="10" s="1"/>
  <c r="J1047" i="10"/>
  <c r="J1124" i="10" s="1"/>
  <c r="D1042" i="10"/>
  <c r="D1119" i="10" s="1"/>
  <c r="D1048" i="10"/>
  <c r="D1100" i="10" s="1"/>
  <c r="K1054" i="10"/>
  <c r="I1058" i="10"/>
  <c r="I1110" i="10" s="1"/>
  <c r="K1057" i="10"/>
  <c r="F1050" i="10"/>
  <c r="F1127" i="10" s="1"/>
  <c r="C1060" i="10"/>
  <c r="C1112" i="10" s="1"/>
  <c r="D1059" i="10"/>
  <c r="D1136" i="10" s="1"/>
  <c r="J1044" i="10"/>
  <c r="J1096" i="10" s="1"/>
  <c r="J1045" i="10"/>
  <c r="J1097" i="10" s="1"/>
  <c r="J1050" i="10"/>
  <c r="E1059" i="10"/>
  <c r="E1136" i="10" s="1"/>
  <c r="G1047" i="10"/>
  <c r="G1099" i="10" s="1"/>
  <c r="K1055" i="10"/>
  <c r="K1107" i="10" s="1"/>
  <c r="E1051" i="10"/>
  <c r="E1103" i="10" s="1"/>
  <c r="C1059" i="10"/>
  <c r="C1111" i="10" s="1"/>
  <c r="F1055" i="10"/>
  <c r="F1132" i="10" s="1"/>
  <c r="E1045" i="10"/>
  <c r="E1097" i="10" s="1"/>
  <c r="E1043" i="10"/>
  <c r="E1095" i="10" s="1"/>
  <c r="G1055" i="10"/>
  <c r="G1107" i="10" s="1"/>
  <c r="J1051" i="10"/>
  <c r="J1103" i="10" s="1"/>
  <c r="F1098" i="10"/>
  <c r="F1123" i="10"/>
  <c r="G1097" i="10"/>
  <c r="G1122" i="10"/>
  <c r="K1101" i="10"/>
  <c r="K1126" i="10"/>
  <c r="G1100" i="10"/>
  <c r="G1125" i="10"/>
  <c r="I1097" i="10"/>
  <c r="I1122" i="10"/>
  <c r="C1097" i="10"/>
  <c r="C1122" i="10"/>
  <c r="F1095" i="10"/>
  <c r="F1120" i="10"/>
  <c r="I1108" i="10"/>
  <c r="I1133" i="10"/>
  <c r="C1104" i="10"/>
  <c r="C1129" i="10"/>
  <c r="H1102" i="10"/>
  <c r="H1127" i="10"/>
  <c r="H1099" i="10"/>
  <c r="H1124" i="10"/>
  <c r="J1109" i="10"/>
  <c r="J1134" i="10"/>
  <c r="I1100" i="10"/>
  <c r="I1125" i="10"/>
  <c r="F1105" i="10"/>
  <c r="F1130" i="10"/>
  <c r="F1103" i="10"/>
  <c r="F1128" i="10"/>
  <c r="J1110" i="10"/>
  <c r="J1135" i="10"/>
  <c r="G1110" i="10"/>
  <c r="G1135" i="10"/>
  <c r="G1113" i="10"/>
  <c r="G1138" i="10"/>
  <c r="F1097" i="10"/>
  <c r="F1122" i="10"/>
  <c r="K1103" i="10"/>
  <c r="K1128" i="10"/>
  <c r="F1106" i="10"/>
  <c r="F1131" i="10"/>
  <c r="C1113" i="10"/>
  <c r="C1138" i="10"/>
  <c r="H1103" i="10"/>
  <c r="H1128" i="10"/>
  <c r="J1112" i="10"/>
  <c r="J1137" i="10"/>
  <c r="E1123" i="10"/>
  <c r="J1099" i="10"/>
  <c r="D1094" i="10"/>
  <c r="K1106" i="10"/>
  <c r="K1131" i="10"/>
  <c r="K1109" i="10"/>
  <c r="K1134" i="10"/>
  <c r="C1137" i="10"/>
  <c r="G1106" i="10"/>
  <c r="J1102" i="10"/>
  <c r="J1127" i="10"/>
  <c r="K1104" i="10"/>
  <c r="K1129" i="10"/>
  <c r="G1094" i="10"/>
  <c r="G1119" i="10"/>
  <c r="E1109" i="10"/>
  <c r="E1134" i="10"/>
  <c r="E1108" i="10"/>
  <c r="E1133" i="10"/>
  <c r="H1096" i="10"/>
  <c r="H1121" i="10"/>
  <c r="E1099" i="10"/>
  <c r="E1124" i="10"/>
  <c r="C1109" i="10"/>
  <c r="C1134" i="10"/>
  <c r="G1101" i="10"/>
  <c r="I1104" i="10"/>
  <c r="I1129" i="10"/>
  <c r="J1126" i="10"/>
  <c r="I1095" i="10"/>
  <c r="H1113" i="10"/>
  <c r="G1098" i="10"/>
  <c r="G1123" i="10"/>
  <c r="D1099" i="10"/>
  <c r="J1113" i="10"/>
  <c r="J1138" i="10"/>
  <c r="D1109" i="10"/>
  <c r="D1104" i="10"/>
  <c r="D1129" i="10"/>
  <c r="E1102" i="10"/>
  <c r="J1111" i="10"/>
  <c r="J1136" i="10"/>
  <c r="G1111" i="10"/>
  <c r="G1136" i="10"/>
  <c r="I1107" i="10"/>
  <c r="I1132" i="10"/>
  <c r="J1107" i="10"/>
  <c r="J1132" i="10"/>
  <c r="D1102" i="10"/>
  <c r="D1127" i="10"/>
  <c r="J1094" i="10"/>
  <c r="J1119" i="10"/>
  <c r="D1096" i="10"/>
  <c r="D1121" i="10"/>
  <c r="K1113" i="10"/>
  <c r="K1096" i="10"/>
  <c r="K1121" i="10"/>
  <c r="H1098" i="10"/>
  <c r="I1113" i="10"/>
  <c r="I1138" i="10"/>
  <c r="G1109" i="10"/>
  <c r="F1099" i="10"/>
  <c r="F1124" i="10"/>
  <c r="C1107" i="10"/>
  <c r="C1132" i="10"/>
  <c r="H1106" i="10"/>
  <c r="H1131" i="10"/>
  <c r="K1094" i="10"/>
  <c r="K1119" i="10"/>
  <c r="H1095" i="10"/>
  <c r="H1120" i="10"/>
  <c r="E1110" i="10"/>
  <c r="E1135" i="10"/>
  <c r="J1106" i="10"/>
  <c r="J1131" i="10"/>
  <c r="H1105" i="10"/>
  <c r="H1130" i="10"/>
  <c r="C1099" i="10"/>
  <c r="C1124" i="10"/>
  <c r="G1105" i="10"/>
  <c r="G1130" i="10"/>
  <c r="I1103" i="10"/>
  <c r="I1128" i="10"/>
  <c r="F1112" i="10"/>
  <c r="F1137" i="10"/>
  <c r="D1095" i="10"/>
  <c r="D1120" i="10"/>
  <c r="D1101" i="10"/>
  <c r="D1126" i="10"/>
  <c r="E1105" i="10"/>
  <c r="E1130" i="10"/>
  <c r="F1108" i="10"/>
  <c r="F1133" i="10"/>
  <c r="K1110" i="10"/>
  <c r="K1135" i="10"/>
  <c r="C1108" i="10"/>
  <c r="C1133" i="10"/>
  <c r="D1113" i="10"/>
  <c r="D1138" i="10"/>
  <c r="E1094" i="10"/>
  <c r="E1119" i="10"/>
  <c r="G1124" i="10"/>
  <c r="I1112" i="10"/>
  <c r="I1137" i="10"/>
  <c r="H1107" i="10"/>
  <c r="H1132" i="10"/>
  <c r="I1094" i="10"/>
  <c r="I1119" i="10"/>
  <c r="E1096" i="10"/>
  <c r="E1121" i="10"/>
  <c r="G1108" i="10"/>
  <c r="G1133" i="10"/>
  <c r="H1110" i="10"/>
  <c r="H1135" i="10"/>
  <c r="I1102" i="10"/>
  <c r="E1113" i="10"/>
  <c r="E1138" i="10"/>
  <c r="J1095" i="10"/>
  <c r="J1120" i="10"/>
  <c r="G1096" i="10"/>
  <c r="G1121" i="10"/>
  <c r="J1098" i="10"/>
  <c r="J1123" i="10"/>
  <c r="D1133" i="10"/>
  <c r="G1095" i="10"/>
  <c r="G1120" i="10"/>
  <c r="I1101" i="10"/>
  <c r="I1126" i="10"/>
  <c r="J1129" i="10"/>
  <c r="E1100" i="10"/>
  <c r="E1125" i="10"/>
  <c r="H1109" i="10"/>
  <c r="E1106" i="10"/>
  <c r="E1131" i="10"/>
  <c r="I1099" i="10"/>
  <c r="I1124" i="10"/>
  <c r="F1109" i="10"/>
  <c r="F1134" i="10"/>
  <c r="K1099" i="10"/>
  <c r="K1124" i="10"/>
  <c r="F1100" i="10"/>
  <c r="F1125" i="10"/>
  <c r="F1104" i="10"/>
  <c r="F1129" i="10"/>
  <c r="H1112" i="10"/>
  <c r="H1137" i="10"/>
  <c r="E1112" i="10"/>
  <c r="E1137" i="10"/>
  <c r="D1105" i="10"/>
  <c r="D1130" i="10"/>
  <c r="C1101" i="10"/>
  <c r="C1126" i="10"/>
  <c r="D1106" i="10"/>
  <c r="D1131" i="10"/>
  <c r="D1103" i="10"/>
  <c r="D1128" i="10"/>
  <c r="K1102" i="10"/>
  <c r="K1127" i="10"/>
  <c r="H1104" i="10"/>
  <c r="H1129" i="10"/>
  <c r="E1104" i="10"/>
  <c r="E1129" i="10"/>
  <c r="H1101" i="10"/>
  <c r="H1126" i="10"/>
  <c r="K1108" i="10"/>
  <c r="K1133" i="10"/>
  <c r="D1098" i="10"/>
  <c r="D1123" i="10"/>
  <c r="E1101" i="10"/>
  <c r="E1126" i="10"/>
  <c r="C1094" i="10"/>
  <c r="C1119" i="10"/>
  <c r="H1094" i="10"/>
  <c r="H1119" i="10"/>
  <c r="C1105" i="10"/>
  <c r="C1130" i="10"/>
  <c r="I1096" i="10"/>
  <c r="I1121" i="10"/>
  <c r="K1100" i="10"/>
  <c r="K1125" i="10"/>
  <c r="K1098" i="10"/>
  <c r="K1123" i="10"/>
  <c r="C1106" i="10"/>
  <c r="C1131" i="10"/>
  <c r="K1076" i="10"/>
  <c r="G1080" i="10"/>
  <c r="C1084" i="10"/>
  <c r="E1067" i="10"/>
  <c r="J1070" i="10"/>
  <c r="F1074" i="10"/>
  <c r="G1081" i="10"/>
  <c r="C1085" i="10"/>
  <c r="F1068" i="10"/>
  <c r="K1071" i="10"/>
  <c r="H1082" i="10"/>
  <c r="D1086" i="10"/>
  <c r="J1073" i="10"/>
  <c r="F1077" i="10"/>
  <c r="D1069" i="10"/>
  <c r="F1075" i="10"/>
  <c r="F1070" i="10"/>
  <c r="K1073" i="10"/>
  <c r="G1077" i="10"/>
  <c r="C1081" i="10"/>
  <c r="H1084" i="10"/>
  <c r="I1068" i="10"/>
  <c r="E1072" i="10"/>
  <c r="K1082" i="10"/>
  <c r="G1086" i="10"/>
  <c r="I1069" i="10"/>
  <c r="E1073" i="10"/>
  <c r="K1083" i="10"/>
  <c r="I1081" i="10"/>
  <c r="G1074" i="10"/>
  <c r="E1068" i="10"/>
  <c r="E1076" i="10"/>
  <c r="E1084" i="10"/>
  <c r="J1069" i="10"/>
  <c r="F1073" i="10"/>
  <c r="K1077" i="10"/>
  <c r="G1075" i="10"/>
  <c r="C1079" i="10"/>
  <c r="E1070" i="10"/>
  <c r="K1080" i="10"/>
  <c r="G1084" i="10"/>
  <c r="G1082" i="10"/>
  <c r="K1086" i="10"/>
  <c r="J1075" i="10"/>
  <c r="F1079" i="10"/>
  <c r="J1076" i="10"/>
  <c r="F1080" i="10"/>
  <c r="C1071" i="10"/>
  <c r="I1080" i="10"/>
  <c r="J1068" i="10"/>
  <c r="D1067" i="10"/>
  <c r="I1070" i="10"/>
  <c r="E1074" i="10"/>
  <c r="K1084" i="10"/>
  <c r="D1068" i="10"/>
  <c r="E1075" i="10"/>
  <c r="J1078" i="10"/>
  <c r="F1082" i="10"/>
  <c r="J1072" i="10"/>
  <c r="F1076" i="10"/>
  <c r="D1071" i="10"/>
  <c r="J1081" i="10"/>
  <c r="F1085" i="10"/>
  <c r="D1077" i="10"/>
  <c r="F1083" i="10"/>
  <c r="I1067" i="10"/>
  <c r="E1071" i="10"/>
  <c r="F1078" i="10"/>
  <c r="K1081" i="10"/>
  <c r="G1085" i="10"/>
  <c r="I1076" i="10"/>
  <c r="E1080" i="10"/>
  <c r="I1077" i="10"/>
  <c r="E1081" i="10"/>
  <c r="H1079" i="10"/>
  <c r="K1069" i="10"/>
  <c r="G1067" i="10"/>
  <c r="C1086" i="10"/>
  <c r="F1072" i="10"/>
  <c r="C1070" i="10"/>
  <c r="C1078" i="10"/>
  <c r="J1077" i="10"/>
  <c r="F1081" i="10"/>
  <c r="I1071" i="10"/>
  <c r="K1085" i="10"/>
  <c r="E1069" i="10"/>
  <c r="K1079" i="10"/>
  <c r="G1083" i="10"/>
  <c r="H1067" i="10"/>
  <c r="I1074" i="10"/>
  <c r="E1078" i="10"/>
  <c r="K1070" i="10"/>
  <c r="J1074" i="10"/>
  <c r="H1069" i="10"/>
  <c r="D1073" i="10"/>
  <c r="J1083" i="10"/>
  <c r="C1067" i="10"/>
  <c r="H1070" i="10"/>
  <c r="D1074" i="10"/>
  <c r="J1084" i="10"/>
  <c r="C1080" i="10"/>
  <c r="J1071" i="10"/>
  <c r="J1079" i="10"/>
  <c r="C1068" i="10"/>
  <c r="I1078" i="10"/>
  <c r="E1082" i="10"/>
  <c r="C1069" i="10"/>
  <c r="H1072" i="10"/>
  <c r="D1076" i="10"/>
  <c r="I1079" i="10"/>
  <c r="E1083" i="10"/>
  <c r="J1086" i="10"/>
  <c r="D1070" i="10"/>
  <c r="J1080" i="10"/>
  <c r="F1084" i="10"/>
  <c r="H1075" i="10"/>
  <c r="D1079" i="10"/>
  <c r="D1085" i="10"/>
  <c r="H1068" i="10"/>
  <c r="D1072" i="10"/>
  <c r="I1075" i="10"/>
  <c r="E1079" i="10"/>
  <c r="F1086" i="10"/>
  <c r="G1070" i="10"/>
  <c r="C1074" i="10"/>
  <c r="I1084" i="10"/>
  <c r="K1067" i="10"/>
  <c r="G1071" i="10"/>
  <c r="C1075" i="10"/>
  <c r="I1085" i="10"/>
  <c r="E1085" i="10"/>
  <c r="F1067" i="10"/>
  <c r="H1071" i="10"/>
  <c r="D1075" i="10"/>
  <c r="J1085" i="10"/>
  <c r="I1073" i="10"/>
  <c r="E1077" i="10"/>
  <c r="G1068" i="10"/>
  <c r="C1072" i="10"/>
  <c r="I1082" i="10"/>
  <c r="E1086" i="10"/>
  <c r="I1072" i="10"/>
  <c r="K1078" i="10"/>
  <c r="J1082" i="10"/>
  <c r="H1077" i="10"/>
  <c r="D1081" i="10"/>
  <c r="H1078" i="10"/>
  <c r="D1082" i="10"/>
  <c r="G1076" i="10"/>
  <c r="H1085" i="10"/>
  <c r="H1086" i="10"/>
  <c r="H1073" i="10"/>
  <c r="H1081" i="10"/>
  <c r="K1068" i="10"/>
  <c r="G1072" i="10"/>
  <c r="C1076" i="10"/>
  <c r="I1086" i="10"/>
  <c r="G1073" i="10"/>
  <c r="C1077" i="10"/>
  <c r="H1080" i="10"/>
  <c r="D1084" i="10"/>
  <c r="H1074" i="10"/>
  <c r="D1078" i="10"/>
  <c r="F1069" i="10"/>
  <c r="K1072" i="10"/>
  <c r="H1083" i="10"/>
  <c r="G1069" i="10"/>
  <c r="C1073" i="10"/>
  <c r="H1076" i="10"/>
  <c r="D1080" i="10"/>
  <c r="I1083" i="10"/>
  <c r="J1067" i="10"/>
  <c r="K1074" i="10"/>
  <c r="G1078" i="10"/>
  <c r="C1082" i="10"/>
  <c r="K1075" i="10"/>
  <c r="G1079" i="10"/>
  <c r="C1083" i="10"/>
  <c r="D1083" i="10"/>
  <c r="F1071" i="10"/>
  <c r="I508" i="10"/>
  <c r="I546" i="10" s="1"/>
  <c r="I570" i="10" s="1"/>
  <c r="F505" i="10"/>
  <c r="F543" i="10" s="1"/>
  <c r="F567" i="10" s="1"/>
  <c r="F668" i="10" s="1"/>
  <c r="J510" i="10"/>
  <c r="J548" i="10" s="1"/>
  <c r="J572" i="10" s="1"/>
  <c r="G510" i="10"/>
  <c r="G548" i="10" s="1"/>
  <c r="G572" i="10" s="1"/>
  <c r="D502" i="10"/>
  <c r="D540" i="10" s="1"/>
  <c r="D564" i="10" s="1"/>
  <c r="I509" i="10"/>
  <c r="I547" i="10" s="1"/>
  <c r="I571" i="10" s="1"/>
  <c r="H496" i="10"/>
  <c r="H534" i="10" s="1"/>
  <c r="H558" i="10" s="1"/>
  <c r="K497" i="10"/>
  <c r="K535" i="10" s="1"/>
  <c r="K559" i="10" s="1"/>
  <c r="I497" i="10"/>
  <c r="I535" i="10" s="1"/>
  <c r="I559" i="10" s="1"/>
  <c r="F494" i="10"/>
  <c r="F532" i="10" s="1"/>
  <c r="F556" i="10" s="1"/>
  <c r="K496" i="10"/>
  <c r="K534" i="10" s="1"/>
  <c r="K558" i="10" s="1"/>
  <c r="F506" i="10"/>
  <c r="F544" i="10" s="1"/>
  <c r="F568" i="10" s="1"/>
  <c r="D499" i="10"/>
  <c r="D537" i="10" s="1"/>
  <c r="D561" i="10" s="1"/>
  <c r="H509" i="10"/>
  <c r="H547" i="10" s="1"/>
  <c r="H571" i="10" s="1"/>
  <c r="D492" i="10"/>
  <c r="D530" i="10" s="1"/>
  <c r="D554" i="10" s="1"/>
  <c r="D495" i="10"/>
  <c r="D533" i="10" s="1"/>
  <c r="D557" i="10" s="1"/>
  <c r="I502" i="10"/>
  <c r="I540" i="10" s="1"/>
  <c r="I564" i="10" s="1"/>
  <c r="F501" i="10"/>
  <c r="F539" i="10" s="1"/>
  <c r="F563" i="10" s="1"/>
  <c r="C506" i="10"/>
  <c r="C544" i="10" s="1"/>
  <c r="C568" i="10" s="1"/>
  <c r="K510" i="10"/>
  <c r="K548" i="10" s="1"/>
  <c r="K572" i="10" s="1"/>
  <c r="E511" i="10"/>
  <c r="E549" i="10" s="1"/>
  <c r="E573" i="10" s="1"/>
  <c r="F496" i="10"/>
  <c r="F534" i="10" s="1"/>
  <c r="F558" i="10" s="1"/>
  <c r="C511" i="10"/>
  <c r="C549" i="10" s="1"/>
  <c r="C573" i="10" s="1"/>
  <c r="C602" i="10" s="1"/>
  <c r="C626" i="10" s="1"/>
  <c r="C650" i="10" s="1"/>
  <c r="C878" i="10" s="1"/>
  <c r="C902" i="10" s="1"/>
  <c r="C926" i="10" s="1"/>
  <c r="D506" i="10"/>
  <c r="D544" i="10" s="1"/>
  <c r="D568" i="10" s="1"/>
  <c r="C509" i="10"/>
  <c r="C547" i="10" s="1"/>
  <c r="C571" i="10" s="1"/>
  <c r="I505" i="10"/>
  <c r="I543" i="10" s="1"/>
  <c r="I567" i="10" s="1"/>
  <c r="J503" i="10"/>
  <c r="J541" i="10" s="1"/>
  <c r="J565" i="10" s="1"/>
  <c r="C502" i="10"/>
  <c r="C540" i="10" s="1"/>
  <c r="C564" i="10" s="1"/>
  <c r="K505" i="10"/>
  <c r="K543" i="10" s="1"/>
  <c r="K567" i="10" s="1"/>
  <c r="H497" i="10"/>
  <c r="H535" i="10" s="1"/>
  <c r="H559" i="10" s="1"/>
  <c r="H588" i="10" s="1"/>
  <c r="H612" i="10" s="1"/>
  <c r="H636" i="10" s="1"/>
  <c r="H864" i="10" s="1"/>
  <c r="H888" i="10" s="1"/>
  <c r="H912" i="10" s="1"/>
  <c r="I499" i="10"/>
  <c r="I537" i="10" s="1"/>
  <c r="I561" i="10" s="1"/>
  <c r="K495" i="10"/>
  <c r="K533" i="10" s="1"/>
  <c r="K557" i="10" s="1"/>
  <c r="G492" i="10"/>
  <c r="G530" i="10" s="1"/>
  <c r="G554" i="10" s="1"/>
  <c r="F492" i="10"/>
  <c r="F530" i="10" s="1"/>
  <c r="F554" i="10" s="1"/>
  <c r="K500" i="10"/>
  <c r="K538" i="10" s="1"/>
  <c r="K562" i="10" s="1"/>
  <c r="K492" i="10"/>
  <c r="K530" i="10" s="1"/>
  <c r="K554" i="10" s="1"/>
  <c r="C500" i="10"/>
  <c r="C538" i="10" s="1"/>
  <c r="C562" i="10" s="1"/>
  <c r="H506" i="10"/>
  <c r="H544" i="10" s="1"/>
  <c r="H568" i="10" s="1"/>
  <c r="K508" i="10"/>
  <c r="K546" i="10" s="1"/>
  <c r="K570" i="10" s="1"/>
  <c r="D503" i="10"/>
  <c r="D541" i="10" s="1"/>
  <c r="D565" i="10" s="1"/>
  <c r="E499" i="10"/>
  <c r="E537" i="10" s="1"/>
  <c r="E561" i="10" s="1"/>
  <c r="I493" i="10"/>
  <c r="I531" i="10" s="1"/>
  <c r="I555" i="10" s="1"/>
  <c r="J496" i="10"/>
  <c r="J534" i="10" s="1"/>
  <c r="J558" i="10" s="1"/>
  <c r="J511" i="10"/>
  <c r="J549" i="10" s="1"/>
  <c r="J573" i="10" s="1"/>
  <c r="J504" i="10"/>
  <c r="J542" i="10" s="1"/>
  <c r="J566" i="10" s="1"/>
  <c r="J495" i="10"/>
  <c r="J533" i="10" s="1"/>
  <c r="J557" i="10" s="1"/>
  <c r="H507" i="10"/>
  <c r="H545" i="10" s="1"/>
  <c r="H569" i="10" s="1"/>
  <c r="C503" i="10"/>
  <c r="C541" i="10" s="1"/>
  <c r="C565" i="10" s="1"/>
  <c r="K501" i="10"/>
  <c r="K539" i="10" s="1"/>
  <c r="K563" i="10" s="1"/>
  <c r="K499" i="10"/>
  <c r="K537" i="10" s="1"/>
  <c r="K561" i="10" s="1"/>
  <c r="K507" i="10"/>
  <c r="K545" i="10" s="1"/>
  <c r="K569" i="10" s="1"/>
  <c r="D507" i="10"/>
  <c r="D545" i="10" s="1"/>
  <c r="D569" i="10" s="1"/>
  <c r="C497" i="10"/>
  <c r="C535" i="10" s="1"/>
  <c r="C559" i="10" s="1"/>
  <c r="H500" i="10"/>
  <c r="H538" i="10" s="1"/>
  <c r="H562" i="10" s="1"/>
  <c r="K502" i="10"/>
  <c r="K540" i="10" s="1"/>
  <c r="K564" i="10" s="1"/>
  <c r="C493" i="10"/>
  <c r="C531" i="10" s="1"/>
  <c r="C555" i="10" s="1"/>
  <c r="H504" i="10"/>
  <c r="H542" i="10" s="1"/>
  <c r="H566" i="10" s="1"/>
  <c r="C504" i="10"/>
  <c r="C542" i="10" s="1"/>
  <c r="C566" i="10" s="1"/>
  <c r="C505" i="10"/>
  <c r="C543" i="10" s="1"/>
  <c r="C567" i="10" s="1"/>
  <c r="J506" i="10"/>
  <c r="J544" i="10" s="1"/>
  <c r="J568" i="10" s="1"/>
  <c r="E492" i="10"/>
  <c r="G495" i="10"/>
  <c r="G533" i="10" s="1"/>
  <c r="G557" i="10" s="1"/>
  <c r="E503" i="10"/>
  <c r="E541" i="10" s="1"/>
  <c r="E565" i="10" s="1"/>
  <c r="C510" i="10"/>
  <c r="C548" i="10" s="1"/>
  <c r="C572" i="10" s="1"/>
  <c r="C601" i="10" s="1"/>
  <c r="C625" i="10" s="1"/>
  <c r="C649" i="10" s="1"/>
  <c r="C877" i="10" s="1"/>
  <c r="C901" i="10" s="1"/>
  <c r="C925" i="10" s="1"/>
  <c r="C508" i="10"/>
  <c r="C546" i="10" s="1"/>
  <c r="C570" i="10" s="1"/>
  <c r="J507" i="10"/>
  <c r="J545" i="10" s="1"/>
  <c r="J569" i="10" s="1"/>
  <c r="J509" i="10"/>
  <c r="J547" i="10" s="1"/>
  <c r="J571" i="10" s="1"/>
  <c r="I495" i="10"/>
  <c r="I533" i="10" s="1"/>
  <c r="I557" i="10" s="1"/>
  <c r="F503" i="10"/>
  <c r="F541" i="10" s="1"/>
  <c r="F565" i="10" s="1"/>
  <c r="F594" i="10" s="1"/>
  <c r="F618" i="10" s="1"/>
  <c r="F642" i="10" s="1"/>
  <c r="F870" i="10" s="1"/>
  <c r="F894" i="10" s="1"/>
  <c r="F918" i="10" s="1"/>
  <c r="K506" i="10"/>
  <c r="K544" i="10" s="1"/>
  <c r="K568" i="10" s="1"/>
  <c r="I510" i="10"/>
  <c r="I548" i="10" s="1"/>
  <c r="I572" i="10" s="1"/>
  <c r="E509" i="10"/>
  <c r="E547" i="10" s="1"/>
  <c r="E571" i="10" s="1"/>
  <c r="C492" i="10"/>
  <c r="C530" i="10" s="1"/>
  <c r="C554" i="10" s="1"/>
  <c r="C507" i="10"/>
  <c r="C545" i="10" s="1"/>
  <c r="C569" i="10" s="1"/>
  <c r="J498" i="10"/>
  <c r="J536" i="10" s="1"/>
  <c r="J560" i="10" s="1"/>
  <c r="G501" i="10"/>
  <c r="G539" i="10" s="1"/>
  <c r="G563" i="10" s="1"/>
  <c r="J502" i="10"/>
  <c r="J540" i="10" s="1"/>
  <c r="J564" i="10" s="1"/>
  <c r="E496" i="10"/>
  <c r="E534" i="10" s="1"/>
  <c r="E558" i="10" s="1"/>
  <c r="I498" i="10"/>
  <c r="I536" i="10" s="1"/>
  <c r="I560" i="10" s="1"/>
  <c r="G493" i="10"/>
  <c r="G531" i="10" s="1"/>
  <c r="G555" i="10" s="1"/>
  <c r="K494" i="10"/>
  <c r="K532" i="10" s="1"/>
  <c r="K556" i="10" s="1"/>
  <c r="D510" i="10"/>
  <c r="D548" i="10" s="1"/>
  <c r="D572" i="10" s="1"/>
  <c r="D601" i="10" s="1"/>
  <c r="D625" i="10" s="1"/>
  <c r="D649" i="10" s="1"/>
  <c r="D877" i="10" s="1"/>
  <c r="D901" i="10" s="1"/>
  <c r="D925" i="10" s="1"/>
  <c r="E506" i="10"/>
  <c r="E544" i="10" s="1"/>
  <c r="E568" i="10" s="1"/>
  <c r="D493" i="10"/>
  <c r="D531" i="10" s="1"/>
  <c r="D555" i="10" s="1"/>
  <c r="I506" i="10"/>
  <c r="I544" i="10" s="1"/>
  <c r="I568" i="10" s="1"/>
  <c r="I504" i="10"/>
  <c r="I542" i="10" s="1"/>
  <c r="I566" i="10" s="1"/>
  <c r="F502" i="10"/>
  <c r="F540" i="10" s="1"/>
  <c r="F564" i="10" s="1"/>
  <c r="J497" i="10"/>
  <c r="J535" i="10" s="1"/>
  <c r="J559" i="10" s="1"/>
  <c r="J588" i="10" s="1"/>
  <c r="J612" i="10" s="1"/>
  <c r="J636" i="10" s="1"/>
  <c r="J864" i="10" s="1"/>
  <c r="J888" i="10" s="1"/>
  <c r="J912" i="10" s="1"/>
  <c r="H501" i="10"/>
  <c r="H539" i="10" s="1"/>
  <c r="H563" i="10" s="1"/>
  <c r="F493" i="10"/>
  <c r="F531" i="10" s="1"/>
  <c r="F555" i="10" s="1"/>
  <c r="E500" i="10"/>
  <c r="E538" i="10" s="1"/>
  <c r="E562" i="10" s="1"/>
  <c r="I492" i="10"/>
  <c r="I530" i="10" s="1"/>
  <c r="I554" i="10" s="1"/>
  <c r="J499" i="10"/>
  <c r="J537" i="10" s="1"/>
  <c r="J561" i="10" s="1"/>
  <c r="I496" i="10"/>
  <c r="I534" i="10" s="1"/>
  <c r="I558" i="10" s="1"/>
  <c r="E508" i="10"/>
  <c r="E546" i="10" s="1"/>
  <c r="E570" i="10" s="1"/>
  <c r="F511" i="10"/>
  <c r="F549" i="10" s="1"/>
  <c r="F573" i="10" s="1"/>
  <c r="F497" i="10"/>
  <c r="F535" i="10" s="1"/>
  <c r="F559" i="10" s="1"/>
  <c r="E510" i="10"/>
  <c r="E548" i="10" s="1"/>
  <c r="E572" i="10" s="1"/>
  <c r="J500" i="10"/>
  <c r="J538" i="10" s="1"/>
  <c r="J562" i="10" s="1"/>
  <c r="H495" i="10"/>
  <c r="H533" i="10" s="1"/>
  <c r="H557" i="10" s="1"/>
  <c r="G505" i="10"/>
  <c r="G543" i="10" s="1"/>
  <c r="G567" i="10" s="1"/>
  <c r="K509" i="10"/>
  <c r="K547" i="10" s="1"/>
  <c r="K571" i="10" s="1"/>
  <c r="C498" i="10"/>
  <c r="C536" i="10" s="1"/>
  <c r="C560" i="10" s="1"/>
  <c r="F508" i="10"/>
  <c r="F546" i="10" s="1"/>
  <c r="F570" i="10" s="1"/>
  <c r="J492" i="10"/>
  <c r="J530" i="10" s="1"/>
  <c r="J554" i="10" s="1"/>
  <c r="G506" i="10"/>
  <c r="G544" i="10" s="1"/>
  <c r="G568" i="10" s="1"/>
  <c r="G504" i="10"/>
  <c r="G542" i="10" s="1"/>
  <c r="G566" i="10" s="1"/>
  <c r="H505" i="10"/>
  <c r="H543" i="10" s="1"/>
  <c r="H567" i="10" s="1"/>
  <c r="F500" i="10"/>
  <c r="F538" i="10" s="1"/>
  <c r="F562" i="10" s="1"/>
  <c r="D494" i="10"/>
  <c r="D532" i="10" s="1"/>
  <c r="D556" i="10" s="1"/>
  <c r="F510" i="10"/>
  <c r="F548" i="10" s="1"/>
  <c r="F572" i="10" s="1"/>
  <c r="H510" i="10"/>
  <c r="H548" i="10" s="1"/>
  <c r="H572" i="10" s="1"/>
  <c r="D505" i="10"/>
  <c r="D543" i="10" s="1"/>
  <c r="D567" i="10" s="1"/>
  <c r="K511" i="10"/>
  <c r="K549" i="10" s="1"/>
  <c r="K573" i="10" s="1"/>
  <c r="E494" i="10"/>
  <c r="E532" i="10" s="1"/>
  <c r="E556" i="10" s="1"/>
  <c r="D508" i="10"/>
  <c r="D546" i="10" s="1"/>
  <c r="D570" i="10" s="1"/>
  <c r="H499" i="10"/>
  <c r="H537" i="10" s="1"/>
  <c r="H561" i="10" s="1"/>
  <c r="J493" i="10"/>
  <c r="J531" i="10" s="1"/>
  <c r="J555" i="10" s="1"/>
  <c r="G511" i="10"/>
  <c r="G549" i="10" s="1"/>
  <c r="G573" i="10" s="1"/>
  <c r="H508" i="10"/>
  <c r="H546" i="10" s="1"/>
  <c r="H570" i="10" s="1"/>
  <c r="C501" i="10"/>
  <c r="C539" i="10" s="1"/>
  <c r="C563" i="10" s="1"/>
  <c r="G494" i="10"/>
  <c r="G532" i="10" s="1"/>
  <c r="G556" i="10" s="1"/>
  <c r="E501" i="10"/>
  <c r="E539" i="10" s="1"/>
  <c r="E563" i="10" s="1"/>
  <c r="E495" i="10"/>
  <c r="E533" i="10" s="1"/>
  <c r="E557" i="10" s="1"/>
  <c r="H498" i="10"/>
  <c r="H536" i="10" s="1"/>
  <c r="H560" i="10" s="1"/>
  <c r="K498" i="10"/>
  <c r="K536" i="10" s="1"/>
  <c r="K560" i="10" s="1"/>
  <c r="D504" i="10"/>
  <c r="D542" i="10" s="1"/>
  <c r="D566" i="10" s="1"/>
  <c r="G508" i="10"/>
  <c r="G546" i="10" s="1"/>
  <c r="G570" i="10" s="1"/>
  <c r="E498" i="10"/>
  <c r="E536" i="10" s="1"/>
  <c r="E560" i="10" s="1"/>
  <c r="E493" i="10"/>
  <c r="E531" i="10" s="1"/>
  <c r="E555" i="10" s="1"/>
  <c r="G503" i="10"/>
  <c r="G541" i="10" s="1"/>
  <c r="G565" i="10" s="1"/>
  <c r="G666" i="10" s="1"/>
  <c r="C494" i="10"/>
  <c r="C532" i="10" s="1"/>
  <c r="C556" i="10" s="1"/>
  <c r="F498" i="10"/>
  <c r="F536" i="10" s="1"/>
  <c r="F560" i="10" s="1"/>
  <c r="D511" i="10"/>
  <c r="D549" i="10" s="1"/>
  <c r="D573" i="10" s="1"/>
  <c r="C495" i="10"/>
  <c r="C533" i="10" s="1"/>
  <c r="C557" i="10" s="1"/>
  <c r="I501" i="10"/>
  <c r="I539" i="10" s="1"/>
  <c r="I563" i="10" s="1"/>
  <c r="K503" i="10"/>
  <c r="K541" i="10" s="1"/>
  <c r="K565" i="10" s="1"/>
  <c r="H503" i="10"/>
  <c r="H541" i="10" s="1"/>
  <c r="H565" i="10" s="1"/>
  <c r="K504" i="10"/>
  <c r="K542" i="10" s="1"/>
  <c r="K566" i="10" s="1"/>
  <c r="G500" i="10"/>
  <c r="G538" i="10" s="1"/>
  <c r="G562" i="10" s="1"/>
  <c r="C496" i="10"/>
  <c r="C534" i="10" s="1"/>
  <c r="C558" i="10" s="1"/>
  <c r="H494" i="10"/>
  <c r="H532" i="10" s="1"/>
  <c r="H556" i="10" s="1"/>
  <c r="G498" i="10"/>
  <c r="G536" i="10" s="1"/>
  <c r="G560" i="10" s="1"/>
  <c r="G496" i="10"/>
  <c r="G534" i="10" s="1"/>
  <c r="G558" i="10" s="1"/>
  <c r="F499" i="10"/>
  <c r="F537" i="10" s="1"/>
  <c r="F561" i="10" s="1"/>
  <c r="D500" i="10"/>
  <c r="D538" i="10" s="1"/>
  <c r="D562" i="10" s="1"/>
  <c r="D497" i="10"/>
  <c r="D535" i="10" s="1"/>
  <c r="D559" i="10" s="1"/>
  <c r="G509" i="10"/>
  <c r="G547" i="10" s="1"/>
  <c r="G571" i="10" s="1"/>
  <c r="C499" i="10"/>
  <c r="C537" i="10" s="1"/>
  <c r="C561" i="10" s="1"/>
  <c r="J505" i="10"/>
  <c r="J543" i="10" s="1"/>
  <c r="J567" i="10" s="1"/>
  <c r="J596" i="10" s="1"/>
  <c r="J620" i="10" s="1"/>
  <c r="J644" i="10" s="1"/>
  <c r="J872" i="10" s="1"/>
  <c r="J896" i="10" s="1"/>
  <c r="J920" i="10" s="1"/>
  <c r="G502" i="10"/>
  <c r="G540" i="10" s="1"/>
  <c r="G564" i="10" s="1"/>
  <c r="H511" i="10"/>
  <c r="H549" i="10" s="1"/>
  <c r="H573" i="10" s="1"/>
  <c r="F495" i="10"/>
  <c r="F533" i="10" s="1"/>
  <c r="F557" i="10" s="1"/>
  <c r="F586" i="10" s="1"/>
  <c r="F610" i="10" s="1"/>
  <c r="F634" i="10" s="1"/>
  <c r="F862" i="10" s="1"/>
  <c r="F886" i="10" s="1"/>
  <c r="F910" i="10" s="1"/>
  <c r="D534" i="10"/>
  <c r="D558" i="10" s="1"/>
  <c r="E530" i="10"/>
  <c r="E554" i="10" s="1"/>
  <c r="B428" i="10"/>
  <c r="I691" i="10" s="1"/>
  <c r="I715" i="10" s="1"/>
  <c r="E422" i="10"/>
  <c r="H492" i="10"/>
  <c r="I503" i="10"/>
  <c r="H493" i="10"/>
  <c r="J508" i="10"/>
  <c r="D501" i="10"/>
  <c r="F509" i="10"/>
  <c r="I507" i="10"/>
  <c r="G499" i="10"/>
  <c r="E497" i="10"/>
  <c r="D509" i="10"/>
  <c r="G1297" i="10"/>
  <c r="B1299" i="10" s="1"/>
  <c r="G1293" i="10"/>
  <c r="C1331" i="10"/>
  <c r="C1318" i="10"/>
  <c r="C1344" i="10"/>
  <c r="C1316" i="10"/>
  <c r="C1311" i="10"/>
  <c r="C1319" i="10" s="1"/>
  <c r="C1329" i="10"/>
  <c r="C1324" i="10"/>
  <c r="C1332" i="10" s="1"/>
  <c r="F156" i="10"/>
  <c r="F157" i="10" s="1"/>
  <c r="F155" i="10"/>
  <c r="C1337" i="10"/>
  <c r="C1345" i="10" s="1"/>
  <c r="C1342" i="10"/>
  <c r="D38" i="7"/>
  <c r="I36" i="7"/>
  <c r="G36" i="7"/>
  <c r="I35" i="7"/>
  <c r="G35" i="7"/>
  <c r="I34" i="7"/>
  <c r="G34" i="7"/>
  <c r="I33" i="7"/>
  <c r="G33" i="7"/>
  <c r="I32" i="7"/>
  <c r="G32" i="7"/>
  <c r="G31" i="7"/>
  <c r="I30" i="7"/>
  <c r="G30" i="7"/>
  <c r="I29" i="7"/>
  <c r="G29" i="7"/>
  <c r="I28" i="7"/>
  <c r="G28" i="7"/>
  <c r="I27" i="7"/>
  <c r="G27" i="7"/>
  <c r="I26" i="7"/>
  <c r="G26" i="7"/>
  <c r="I25" i="7"/>
  <c r="G25" i="7"/>
  <c r="I24" i="7"/>
  <c r="G24" i="7"/>
  <c r="I23" i="7"/>
  <c r="G23" i="7"/>
  <c r="I22" i="7"/>
  <c r="G22" i="7"/>
  <c r="I21" i="7"/>
  <c r="G21" i="7"/>
  <c r="I20" i="7"/>
  <c r="G20" i="7"/>
  <c r="I19" i="7"/>
  <c r="G19" i="7"/>
  <c r="I18" i="7"/>
  <c r="G18" i="7"/>
  <c r="I17" i="7"/>
  <c r="G17" i="7"/>
  <c r="I16" i="7"/>
  <c r="G16" i="7"/>
  <c r="I15" i="7"/>
  <c r="G15" i="7"/>
  <c r="I14" i="7"/>
  <c r="G14" i="7"/>
  <c r="I13" i="7"/>
  <c r="G13" i="7"/>
  <c r="F1102" i="10" l="1"/>
  <c r="J1133" i="10"/>
  <c r="F1096" i="10"/>
  <c r="E1111" i="10"/>
  <c r="D1097" i="10"/>
  <c r="I1109" i="10"/>
  <c r="I1217" i="10" s="1"/>
  <c r="F1126" i="10"/>
  <c r="F1209" i="10" s="1"/>
  <c r="K1132" i="10"/>
  <c r="D1111" i="10"/>
  <c r="C1136" i="10"/>
  <c r="H1100" i="10"/>
  <c r="F1113" i="10"/>
  <c r="F1221" i="10" s="1"/>
  <c r="C1127" i="10"/>
  <c r="I1136" i="10"/>
  <c r="F1135" i="10"/>
  <c r="F1218" i="10" s="1"/>
  <c r="K1097" i="10"/>
  <c r="C1095" i="10"/>
  <c r="C1125" i="10"/>
  <c r="G1129" i="10"/>
  <c r="G1128" i="10"/>
  <c r="K1136" i="10"/>
  <c r="J1100" i="10"/>
  <c r="J1208" i="10" s="1"/>
  <c r="D1110" i="10"/>
  <c r="D1218" i="10" s="1"/>
  <c r="F1136" i="10"/>
  <c r="F1219" i="10" s="1"/>
  <c r="D1219" i="10"/>
  <c r="J1207" i="10"/>
  <c r="G1214" i="10"/>
  <c r="H1208" i="10"/>
  <c r="H1221" i="10"/>
  <c r="F1204" i="10"/>
  <c r="D1205" i="10"/>
  <c r="H1136" i="10"/>
  <c r="H1219" i="10" s="1"/>
  <c r="F1119" i="10"/>
  <c r="F1202" i="10" s="1"/>
  <c r="F1210" i="10"/>
  <c r="K1205" i="10"/>
  <c r="C1203" i="10"/>
  <c r="G1137" i="10"/>
  <c r="G1220" i="10" s="1"/>
  <c r="D1137" i="10"/>
  <c r="D1220" i="10" s="1"/>
  <c r="I1130" i="10"/>
  <c r="I1213" i="10" s="1"/>
  <c r="C1103" i="10"/>
  <c r="C1211" i="10" s="1"/>
  <c r="K1120" i="10"/>
  <c r="J1130" i="10"/>
  <c r="J1213" i="10" s="1"/>
  <c r="I1123" i="10"/>
  <c r="I1206" i="10" s="1"/>
  <c r="E1107" i="10"/>
  <c r="E1215" i="10" s="1"/>
  <c r="J1121" i="10"/>
  <c r="J1204" i="10" s="1"/>
  <c r="G1102" i="10"/>
  <c r="G1210" i="10" s="1"/>
  <c r="E1219" i="10"/>
  <c r="G1217" i="10"/>
  <c r="E1210" i="10"/>
  <c r="D1207" i="10"/>
  <c r="I1203" i="10"/>
  <c r="H1206" i="10"/>
  <c r="G1209" i="10"/>
  <c r="C1135" i="10"/>
  <c r="C1218" i="10" s="1"/>
  <c r="C1098" i="10"/>
  <c r="C1206" i="10" s="1"/>
  <c r="G497" i="10"/>
  <c r="G535" i="10" s="1"/>
  <c r="G559" i="10" s="1"/>
  <c r="E504" i="10"/>
  <c r="E542" i="10" s="1"/>
  <c r="E566" i="10" s="1"/>
  <c r="K493" i="10"/>
  <c r="K531" i="10" s="1"/>
  <c r="K555" i="10" s="1"/>
  <c r="D498" i="10"/>
  <c r="D536" i="10" s="1"/>
  <c r="D560" i="10" s="1"/>
  <c r="D661" i="10" s="1"/>
  <c r="D1221" i="10"/>
  <c r="E1213" i="10"/>
  <c r="I1211" i="10"/>
  <c r="J1214" i="10"/>
  <c r="H1214" i="10"/>
  <c r="I1221" i="10"/>
  <c r="K1204" i="10"/>
  <c r="D1210" i="10"/>
  <c r="G1219" i="10"/>
  <c r="J1219" i="10"/>
  <c r="J1221" i="10"/>
  <c r="J1209" i="10"/>
  <c r="C1217" i="10"/>
  <c r="E1217" i="10"/>
  <c r="I1135" i="10"/>
  <c r="K1130" i="10"/>
  <c r="K1213" i="10" s="1"/>
  <c r="F1214" i="10"/>
  <c r="G1218" i="10"/>
  <c r="I1208" i="10"/>
  <c r="C1212" i="10"/>
  <c r="C1205" i="10"/>
  <c r="D1132" i="10"/>
  <c r="D1215" i="10" s="1"/>
  <c r="H1133" i="10"/>
  <c r="H1216" i="10" s="1"/>
  <c r="I494" i="10"/>
  <c r="I532" i="10" s="1"/>
  <c r="I556" i="10" s="1"/>
  <c r="E502" i="10"/>
  <c r="E540" i="10" s="1"/>
  <c r="E564" i="10" s="1"/>
  <c r="E593" i="10" s="1"/>
  <c r="E617" i="10" s="1"/>
  <c r="E641" i="10" s="1"/>
  <c r="E869" i="10" s="1"/>
  <c r="E893" i="10" s="1"/>
  <c r="E917" i="10" s="1"/>
  <c r="J494" i="10"/>
  <c r="J532" i="10" s="1"/>
  <c r="J556" i="10" s="1"/>
  <c r="J657" i="10" s="1"/>
  <c r="I500" i="10"/>
  <c r="I538" i="10" s="1"/>
  <c r="I562" i="10" s="1"/>
  <c r="I663" i="10" s="1"/>
  <c r="C1216" i="10"/>
  <c r="D1209" i="10"/>
  <c r="G1213" i="10"/>
  <c r="E1218" i="10"/>
  <c r="C1215" i="10"/>
  <c r="K1221" i="10"/>
  <c r="J1215" i="10"/>
  <c r="I1212" i="10"/>
  <c r="E1207" i="10"/>
  <c r="G1202" i="10"/>
  <c r="C1220" i="10"/>
  <c r="K1214" i="10"/>
  <c r="E1206" i="10"/>
  <c r="H1211" i="10"/>
  <c r="K1203" i="10"/>
  <c r="K1211" i="10"/>
  <c r="J1218" i="10"/>
  <c r="J1217" i="10"/>
  <c r="I1216" i="10"/>
  <c r="I1205" i="10"/>
  <c r="F1206" i="10"/>
  <c r="H1122" i="10"/>
  <c r="H1205" i="10" s="1"/>
  <c r="I1131" i="10"/>
  <c r="I1214" i="10" s="1"/>
  <c r="I511" i="10"/>
  <c r="I549" i="10" s="1"/>
  <c r="I573" i="10" s="1"/>
  <c r="I674" i="10" s="1"/>
  <c r="F507" i="10"/>
  <c r="F545" i="10" s="1"/>
  <c r="F569" i="10" s="1"/>
  <c r="H502" i="10"/>
  <c r="H540" i="10" s="1"/>
  <c r="H564" i="10" s="1"/>
  <c r="E505" i="10"/>
  <c r="E543" i="10" s="1"/>
  <c r="E567" i="10" s="1"/>
  <c r="K1218" i="10"/>
  <c r="D1203" i="10"/>
  <c r="C1207" i="10"/>
  <c r="H1203" i="10"/>
  <c r="F1207" i="10"/>
  <c r="D1204" i="10"/>
  <c r="I1215" i="10"/>
  <c r="J1122" i="10"/>
  <c r="J1205" i="10" s="1"/>
  <c r="D1212" i="10"/>
  <c r="D1217" i="10"/>
  <c r="G1206" i="10"/>
  <c r="H1204" i="10"/>
  <c r="K1212" i="10"/>
  <c r="D1125" i="10"/>
  <c r="D1208" i="10" s="1"/>
  <c r="C1121" i="10"/>
  <c r="C1204" i="10" s="1"/>
  <c r="F1205" i="10"/>
  <c r="K1137" i="10"/>
  <c r="K1220" i="10" s="1"/>
  <c r="J501" i="10"/>
  <c r="J539" i="10" s="1"/>
  <c r="J563" i="10" s="1"/>
  <c r="G507" i="10"/>
  <c r="G545" i="10" s="1"/>
  <c r="G569" i="10" s="1"/>
  <c r="F504" i="10"/>
  <c r="F542" i="10" s="1"/>
  <c r="F566" i="10" s="1"/>
  <c r="E507" i="10"/>
  <c r="E545" i="10" s="1"/>
  <c r="E569" i="10" s="1"/>
  <c r="E670" i="10" s="1"/>
  <c r="E1202" i="10"/>
  <c r="F1216" i="10"/>
  <c r="F1220" i="10"/>
  <c r="H1213" i="10"/>
  <c r="K1202" i="10"/>
  <c r="J1202" i="10"/>
  <c r="E1216" i="10"/>
  <c r="J1210" i="10"/>
  <c r="K1217" i="10"/>
  <c r="D1202" i="10"/>
  <c r="J1220" i="10"/>
  <c r="C1221" i="10"/>
  <c r="G1221" i="10"/>
  <c r="F1213" i="10"/>
  <c r="C1213" i="10"/>
  <c r="D1206" i="10"/>
  <c r="H1212" i="10"/>
  <c r="C1209" i="10"/>
  <c r="F1217" i="10"/>
  <c r="H1217" i="10"/>
  <c r="I1209" i="10"/>
  <c r="J1206" i="10"/>
  <c r="G1204" i="10"/>
  <c r="G1216" i="10"/>
  <c r="I1220" i="10"/>
  <c r="K1206" i="10"/>
  <c r="H1202" i="10"/>
  <c r="K1216" i="10"/>
  <c r="K1210" i="10"/>
  <c r="D1213" i="10"/>
  <c r="F1212" i="10"/>
  <c r="C1210" i="10"/>
  <c r="I1207" i="10"/>
  <c r="G1212" i="10"/>
  <c r="C1208" i="10"/>
  <c r="G1211" i="10"/>
  <c r="E1221" i="10"/>
  <c r="E1204" i="10"/>
  <c r="K1215" i="10"/>
  <c r="K1208" i="10"/>
  <c r="C1202" i="10"/>
  <c r="H1209" i="10"/>
  <c r="D1211" i="10"/>
  <c r="E1220" i="10"/>
  <c r="F1208" i="10"/>
  <c r="E1214" i="10"/>
  <c r="E1208" i="10"/>
  <c r="K1219" i="10"/>
  <c r="G1203" i="10"/>
  <c r="J1203" i="10"/>
  <c r="I1210" i="10"/>
  <c r="I1202" i="10"/>
  <c r="H1210" i="10"/>
  <c r="F1203" i="10"/>
  <c r="K1209" i="10"/>
  <c r="I1204" i="10"/>
  <c r="E1209" i="10"/>
  <c r="E1212" i="10"/>
  <c r="D1214" i="10"/>
  <c r="H1220" i="10"/>
  <c r="K1207" i="10"/>
  <c r="C1219" i="10"/>
  <c r="J1212" i="10"/>
  <c r="J1216" i="10"/>
  <c r="D1216" i="10"/>
  <c r="I1219" i="10"/>
  <c r="H1218" i="10"/>
  <c r="H1215" i="10"/>
  <c r="G1205" i="10"/>
  <c r="J1128" i="10"/>
  <c r="J1211" i="10" s="1"/>
  <c r="G1207" i="10"/>
  <c r="C1214" i="10"/>
  <c r="I1218" i="10"/>
  <c r="F1211" i="10"/>
  <c r="H1207" i="10"/>
  <c r="G1208" i="10"/>
  <c r="F1107" i="10"/>
  <c r="F1215" i="10" s="1"/>
  <c r="E1122" i="10"/>
  <c r="E1205" i="10" s="1"/>
  <c r="E1120" i="10"/>
  <c r="E1203" i="10" s="1"/>
  <c r="E1128" i="10"/>
  <c r="E1211" i="10" s="1"/>
  <c r="G1132" i="10"/>
  <c r="G1215" i="10" s="1"/>
  <c r="I1175" i="10"/>
  <c r="I1150" i="10"/>
  <c r="J1185" i="10"/>
  <c r="J1160" i="10"/>
  <c r="K1157" i="10"/>
  <c r="K1182" i="10"/>
  <c r="E696" i="10"/>
  <c r="E720" i="10" s="1"/>
  <c r="E845" i="10" s="1"/>
  <c r="C1159" i="10"/>
  <c r="C1184" i="10"/>
  <c r="G1171" i="10"/>
  <c r="G1146" i="10"/>
  <c r="C1154" i="10"/>
  <c r="C1179" i="10"/>
  <c r="H1163" i="10"/>
  <c r="H1188" i="10"/>
  <c r="K1180" i="10"/>
  <c r="K1155" i="10"/>
  <c r="J1187" i="10"/>
  <c r="J1162" i="10"/>
  <c r="K1144" i="10"/>
  <c r="K1169" i="10"/>
  <c r="H1170" i="10"/>
  <c r="H1145" i="10"/>
  <c r="E1160" i="10"/>
  <c r="E1185" i="10"/>
  <c r="J1181" i="10"/>
  <c r="J1156" i="10"/>
  <c r="D1150" i="10"/>
  <c r="D1175" i="10"/>
  <c r="K1156" i="10"/>
  <c r="K1181" i="10"/>
  <c r="F1149" i="10"/>
  <c r="F1174" i="10"/>
  <c r="I1153" i="10"/>
  <c r="I1178" i="10"/>
  <c r="F1162" i="10"/>
  <c r="F1187" i="10"/>
  <c r="D1145" i="10"/>
  <c r="D1170" i="10"/>
  <c r="F1182" i="10"/>
  <c r="F1157" i="10"/>
  <c r="E1147" i="10"/>
  <c r="E1172" i="10"/>
  <c r="E1170" i="10"/>
  <c r="E1145" i="10"/>
  <c r="E1149" i="10"/>
  <c r="E1174" i="10"/>
  <c r="D1146" i="10"/>
  <c r="D1171" i="10"/>
  <c r="G1158" i="10"/>
  <c r="G1183" i="10"/>
  <c r="H1157" i="10"/>
  <c r="H1182" i="10"/>
  <c r="C1170" i="10"/>
  <c r="C1145" i="10"/>
  <c r="E1157" i="10"/>
  <c r="E1182" i="10"/>
  <c r="F1177" i="10"/>
  <c r="F1152" i="10"/>
  <c r="C687" i="10"/>
  <c r="C711" i="10" s="1"/>
  <c r="C735" i="10" s="1"/>
  <c r="C764" i="10" s="1"/>
  <c r="C788" i="10" s="1"/>
  <c r="C812" i="10" s="1"/>
  <c r="C944" i="10" s="1"/>
  <c r="C968" i="10" s="1"/>
  <c r="C992" i="10" s="1"/>
  <c r="G1180" i="10"/>
  <c r="G1155" i="10"/>
  <c r="H1185" i="10"/>
  <c r="H1160" i="10"/>
  <c r="G1175" i="10"/>
  <c r="G1150" i="10"/>
  <c r="H1162" i="10"/>
  <c r="H1187" i="10"/>
  <c r="I1174" i="10"/>
  <c r="I1149" i="10"/>
  <c r="D1152" i="10"/>
  <c r="D1177" i="10"/>
  <c r="I1186" i="10"/>
  <c r="I1161" i="10"/>
  <c r="D1162" i="10"/>
  <c r="D1187" i="10"/>
  <c r="I1181" i="10"/>
  <c r="I1156" i="10"/>
  <c r="J1173" i="10"/>
  <c r="J1148" i="10"/>
  <c r="H1171" i="10"/>
  <c r="H1146" i="10"/>
  <c r="E1171" i="10"/>
  <c r="E1146" i="10"/>
  <c r="C1188" i="10"/>
  <c r="C1163" i="10"/>
  <c r="G1187" i="10"/>
  <c r="G1162" i="10"/>
  <c r="J1183" i="10"/>
  <c r="J1158" i="10"/>
  <c r="K1161" i="10"/>
  <c r="K1186" i="10"/>
  <c r="J1178" i="10"/>
  <c r="J1153" i="10"/>
  <c r="C1181" i="10"/>
  <c r="C1156" i="10"/>
  <c r="G1151" i="10"/>
  <c r="G1176" i="10"/>
  <c r="I1145" i="10"/>
  <c r="I1170" i="10"/>
  <c r="F1154" i="10"/>
  <c r="F1179" i="10"/>
  <c r="F1151" i="10"/>
  <c r="F1176" i="10"/>
  <c r="K1177" i="10"/>
  <c r="K1152" i="10"/>
  <c r="D1174" i="10"/>
  <c r="D1149" i="10"/>
  <c r="D1154" i="10"/>
  <c r="D1179" i="10"/>
  <c r="K1159" i="10"/>
  <c r="K1184" i="10"/>
  <c r="J681" i="10"/>
  <c r="J705" i="10" s="1"/>
  <c r="J830" i="10" s="1"/>
  <c r="K1176" i="10"/>
  <c r="K1151" i="10"/>
  <c r="K1174" i="10"/>
  <c r="K1232" i="10" s="1"/>
  <c r="K1149" i="10"/>
  <c r="I1163" i="10"/>
  <c r="I1188" i="10"/>
  <c r="G1178" i="10"/>
  <c r="G1153" i="10"/>
  <c r="E1188" i="10"/>
  <c r="E1163" i="10"/>
  <c r="H1148" i="10"/>
  <c r="H1173" i="10"/>
  <c r="C1151" i="10"/>
  <c r="C1176" i="10"/>
  <c r="D1156" i="10"/>
  <c r="D1181" i="10"/>
  <c r="D1178" i="10"/>
  <c r="D1153" i="10"/>
  <c r="C1182" i="10"/>
  <c r="C1240" i="10" s="1"/>
  <c r="C1157" i="10"/>
  <c r="J1151" i="10"/>
  <c r="J1176" i="10"/>
  <c r="K1187" i="10"/>
  <c r="K1162" i="10"/>
  <c r="G1144" i="10"/>
  <c r="G1169" i="10"/>
  <c r="K1158" i="10"/>
  <c r="K1183" i="10"/>
  <c r="D1173" i="10"/>
  <c r="D1148" i="10"/>
  <c r="E1151" i="10"/>
  <c r="E1176" i="10"/>
  <c r="F1181" i="10"/>
  <c r="F1156" i="10"/>
  <c r="G1152" i="10"/>
  <c r="G1177" i="10"/>
  <c r="I1183" i="10"/>
  <c r="I1158" i="10"/>
  <c r="H1161" i="10"/>
  <c r="H1186" i="10"/>
  <c r="J1175" i="10"/>
  <c r="J1150" i="10"/>
  <c r="J1147" i="10"/>
  <c r="J1172" i="10"/>
  <c r="J1159" i="10"/>
  <c r="J1184" i="10"/>
  <c r="G1160" i="10"/>
  <c r="G1185" i="10"/>
  <c r="C1173" i="10"/>
  <c r="C1148" i="10"/>
  <c r="C693" i="10"/>
  <c r="C717" i="10" s="1"/>
  <c r="C842" i="10" s="1"/>
  <c r="F1173" i="10"/>
  <c r="F1148" i="10"/>
  <c r="J1169" i="10"/>
  <c r="J1144" i="10"/>
  <c r="F1171" i="10"/>
  <c r="F1146" i="10"/>
  <c r="C1178" i="10"/>
  <c r="C1153" i="10"/>
  <c r="D1184" i="10"/>
  <c r="D1159" i="10"/>
  <c r="I1159" i="10"/>
  <c r="I1184" i="10"/>
  <c r="F1144" i="10"/>
  <c r="F1169" i="10"/>
  <c r="G1147" i="10"/>
  <c r="G1172" i="10"/>
  <c r="H1177" i="10"/>
  <c r="H1152" i="10"/>
  <c r="H1149" i="10"/>
  <c r="H1174" i="10"/>
  <c r="J1161" i="10"/>
  <c r="J1186" i="10"/>
  <c r="K1147" i="10"/>
  <c r="K1172" i="10"/>
  <c r="I1173" i="10"/>
  <c r="I1148" i="10"/>
  <c r="K1146" i="10"/>
  <c r="K1171" i="10"/>
  <c r="F1180" i="10"/>
  <c r="F1155" i="10"/>
  <c r="F1153" i="10"/>
  <c r="F1178" i="10"/>
  <c r="I1172" i="10"/>
  <c r="I1147" i="10"/>
  <c r="J1177" i="10"/>
  <c r="J1152" i="10"/>
  <c r="K1154" i="10"/>
  <c r="K1179" i="10"/>
  <c r="K1160" i="10"/>
  <c r="K1185" i="10"/>
  <c r="C1183" i="10"/>
  <c r="C1158" i="10"/>
  <c r="D1163" i="10"/>
  <c r="D1188" i="10"/>
  <c r="E1169" i="10"/>
  <c r="E1144" i="10"/>
  <c r="H1175" i="10"/>
  <c r="H1150" i="10"/>
  <c r="D1185" i="10"/>
  <c r="D1160" i="10"/>
  <c r="I1185" i="10"/>
  <c r="I1160" i="10"/>
  <c r="D1180" i="10"/>
  <c r="D1155" i="10"/>
  <c r="G1149" i="10"/>
  <c r="G1174" i="10"/>
  <c r="H1180" i="10"/>
  <c r="H1155" i="10"/>
  <c r="C1149" i="10"/>
  <c r="C1174" i="10"/>
  <c r="E1162" i="10"/>
  <c r="E1187" i="10"/>
  <c r="F1163" i="10"/>
  <c r="F1188" i="10"/>
  <c r="F1186" i="10"/>
  <c r="F1161" i="10"/>
  <c r="C1146" i="10"/>
  <c r="C1171" i="10"/>
  <c r="D1151" i="10"/>
  <c r="D1176" i="10"/>
  <c r="E1155" i="10"/>
  <c r="E1180" i="10"/>
  <c r="F1158" i="10"/>
  <c r="F1183" i="10"/>
  <c r="H1156" i="10"/>
  <c r="H1181" i="10"/>
  <c r="E1148" i="10"/>
  <c r="E1173" i="10"/>
  <c r="J1149" i="10"/>
  <c r="J1174" i="10"/>
  <c r="D1169" i="10"/>
  <c r="D1144" i="10"/>
  <c r="K1163" i="10"/>
  <c r="K1188" i="10"/>
  <c r="F1175" i="10"/>
  <c r="F1150" i="10"/>
  <c r="E1150" i="10"/>
  <c r="E1175" i="10"/>
  <c r="G1154" i="10"/>
  <c r="G1179" i="10"/>
  <c r="H1184" i="10"/>
  <c r="H1159" i="10"/>
  <c r="C1161" i="10"/>
  <c r="C1186" i="10"/>
  <c r="C1175" i="10"/>
  <c r="C1150" i="10"/>
  <c r="J1188" i="10"/>
  <c r="J1163" i="10"/>
  <c r="E1152" i="10"/>
  <c r="E1177" i="10"/>
  <c r="C1187" i="10"/>
  <c r="C1162" i="10"/>
  <c r="E691" i="10"/>
  <c r="E715" i="10" s="1"/>
  <c r="E840" i="10" s="1"/>
  <c r="G696" i="10"/>
  <c r="G720" i="10" s="1"/>
  <c r="G845" i="10" s="1"/>
  <c r="C1185" i="10"/>
  <c r="C1160" i="10"/>
  <c r="D1182" i="10"/>
  <c r="D1157" i="10"/>
  <c r="H1176" i="10"/>
  <c r="H1151" i="10"/>
  <c r="K1170" i="10"/>
  <c r="K1145" i="10"/>
  <c r="D1158" i="10"/>
  <c r="D1183" i="10"/>
  <c r="G1170" i="10"/>
  <c r="G1145" i="10"/>
  <c r="I1187" i="10"/>
  <c r="I1162" i="10"/>
  <c r="E1156" i="10"/>
  <c r="E1181" i="10"/>
  <c r="J1157" i="10"/>
  <c r="J1182" i="10"/>
  <c r="E1184" i="10"/>
  <c r="E1159" i="10"/>
  <c r="H1172" i="10"/>
  <c r="H1147" i="10"/>
  <c r="I1151" i="10"/>
  <c r="I1176" i="10"/>
  <c r="J1154" i="10"/>
  <c r="J1179" i="10"/>
  <c r="E1183" i="10"/>
  <c r="E1158" i="10"/>
  <c r="I1144" i="10"/>
  <c r="I1169" i="10"/>
  <c r="F1159" i="10"/>
  <c r="F1184" i="10"/>
  <c r="J1170" i="10"/>
  <c r="J1145" i="10"/>
  <c r="G1159" i="10"/>
  <c r="G1184" i="10"/>
  <c r="J1146" i="10"/>
  <c r="J1171" i="10"/>
  <c r="I1146" i="10"/>
  <c r="I1171" i="10"/>
  <c r="K1150" i="10"/>
  <c r="K1175" i="10"/>
  <c r="K1148" i="10"/>
  <c r="K1173" i="10"/>
  <c r="G1182" i="10"/>
  <c r="G1157" i="10"/>
  <c r="G1148" i="10"/>
  <c r="G1173" i="10"/>
  <c r="C1147" i="10"/>
  <c r="C1172" i="10"/>
  <c r="E1178" i="10"/>
  <c r="E1153" i="10"/>
  <c r="G690" i="10"/>
  <c r="G714" i="10" s="1"/>
  <c r="G839" i="10" s="1"/>
  <c r="G1181" i="10"/>
  <c r="G1156" i="10"/>
  <c r="H1178" i="10"/>
  <c r="H1236" i="10" s="1"/>
  <c r="H1153" i="10"/>
  <c r="D1161" i="10"/>
  <c r="D1186" i="10"/>
  <c r="H1158" i="10"/>
  <c r="H1183" i="10"/>
  <c r="H1154" i="10"/>
  <c r="H1179" i="10"/>
  <c r="E1179" i="10"/>
  <c r="E1237" i="10" s="1"/>
  <c r="E1154" i="10"/>
  <c r="C1177" i="10"/>
  <c r="C1152" i="10"/>
  <c r="I1177" i="10"/>
  <c r="I1152" i="10"/>
  <c r="D1172" i="10"/>
  <c r="D1147" i="10"/>
  <c r="I1155" i="10"/>
  <c r="I1180" i="10"/>
  <c r="C1144" i="10"/>
  <c r="C1169" i="10"/>
  <c r="H1169" i="10"/>
  <c r="H1144" i="10"/>
  <c r="C1180" i="10"/>
  <c r="C1155" i="10"/>
  <c r="I1179" i="10"/>
  <c r="I1237" i="10" s="1"/>
  <c r="I1154" i="10"/>
  <c r="F1185" i="10"/>
  <c r="F1160" i="10"/>
  <c r="J1155" i="10"/>
  <c r="J1180" i="10"/>
  <c r="I1182" i="10"/>
  <c r="I1157" i="10"/>
  <c r="G1186" i="10"/>
  <c r="G1244" i="10" s="1"/>
  <c r="G1161" i="10"/>
  <c r="E1161" i="10"/>
  <c r="E1186" i="10"/>
  <c r="G1163" i="10"/>
  <c r="G1188" i="10"/>
  <c r="F1172" i="10"/>
  <c r="F1147" i="10"/>
  <c r="F1145" i="10"/>
  <c r="F1170" i="10"/>
  <c r="K1153" i="10"/>
  <c r="K1178" i="10"/>
  <c r="K697" i="10"/>
  <c r="K721" i="10" s="1"/>
  <c r="K745" i="10" s="1"/>
  <c r="K774" i="10" s="1"/>
  <c r="K798" i="10" s="1"/>
  <c r="K822" i="10" s="1"/>
  <c r="K954" i="10" s="1"/>
  <c r="K978" i="10" s="1"/>
  <c r="K1002" i="10" s="1"/>
  <c r="J690" i="10"/>
  <c r="J714" i="10" s="1"/>
  <c r="J738" i="10" s="1"/>
  <c r="J767" i="10" s="1"/>
  <c r="J791" i="10" s="1"/>
  <c r="J815" i="10" s="1"/>
  <c r="J947" i="10" s="1"/>
  <c r="J971" i="10" s="1"/>
  <c r="J995" i="10" s="1"/>
  <c r="E690" i="10"/>
  <c r="E714" i="10" s="1"/>
  <c r="D694" i="10"/>
  <c r="D718" i="10" s="1"/>
  <c r="D843" i="10" s="1"/>
  <c r="J698" i="10"/>
  <c r="J722" i="10" s="1"/>
  <c r="J746" i="10" s="1"/>
  <c r="J775" i="10" s="1"/>
  <c r="J799" i="10" s="1"/>
  <c r="J823" i="10" s="1"/>
  <c r="J955" i="10" s="1"/>
  <c r="J979" i="10" s="1"/>
  <c r="J1003" i="10" s="1"/>
  <c r="I682" i="10"/>
  <c r="I706" i="10" s="1"/>
  <c r="I831" i="10" s="1"/>
  <c r="F682" i="10"/>
  <c r="F706" i="10" s="1"/>
  <c r="F730" i="10" s="1"/>
  <c r="F759" i="10" s="1"/>
  <c r="F783" i="10" s="1"/>
  <c r="F807" i="10" s="1"/>
  <c r="F939" i="10" s="1"/>
  <c r="F963" i="10" s="1"/>
  <c r="F987" i="10" s="1"/>
  <c r="D131" i="7"/>
  <c r="D107" i="7"/>
  <c r="D91" i="7"/>
  <c r="D83" i="7"/>
  <c r="D123" i="7"/>
  <c r="D99" i="7"/>
  <c r="D75" i="7"/>
  <c r="D115" i="7"/>
  <c r="I685" i="10"/>
  <c r="I709" i="10" s="1"/>
  <c r="I834" i="10" s="1"/>
  <c r="G681" i="10"/>
  <c r="G705" i="10" s="1"/>
  <c r="G830" i="10" s="1"/>
  <c r="I689" i="10"/>
  <c r="I713" i="10" s="1"/>
  <c r="I737" i="10" s="1"/>
  <c r="I766" i="10" s="1"/>
  <c r="I790" i="10" s="1"/>
  <c r="I814" i="10" s="1"/>
  <c r="I946" i="10" s="1"/>
  <c r="I970" i="10" s="1"/>
  <c r="I994" i="10" s="1"/>
  <c r="I686" i="10"/>
  <c r="I710" i="10" s="1"/>
  <c r="I835" i="10" s="1"/>
  <c r="F680" i="10"/>
  <c r="F704" i="10" s="1"/>
  <c r="F829" i="10" s="1"/>
  <c r="F698" i="10"/>
  <c r="F722" i="10" s="1"/>
  <c r="F847" i="10" s="1"/>
  <c r="E685" i="10"/>
  <c r="E709" i="10" s="1"/>
  <c r="E834" i="10" s="1"/>
  <c r="J692" i="10"/>
  <c r="J716" i="10" s="1"/>
  <c r="J740" i="10" s="1"/>
  <c r="J769" i="10" s="1"/>
  <c r="J793" i="10" s="1"/>
  <c r="J817" i="10" s="1"/>
  <c r="J949" i="10" s="1"/>
  <c r="J973" i="10" s="1"/>
  <c r="J997" i="10" s="1"/>
  <c r="E694" i="10"/>
  <c r="E718" i="10" s="1"/>
  <c r="E742" i="10" s="1"/>
  <c r="E771" i="10" s="1"/>
  <c r="E795" i="10" s="1"/>
  <c r="E819" i="10" s="1"/>
  <c r="E951" i="10" s="1"/>
  <c r="E975" i="10" s="1"/>
  <c r="E999" i="10" s="1"/>
  <c r="K696" i="10"/>
  <c r="K720" i="10" s="1"/>
  <c r="K744" i="10" s="1"/>
  <c r="K773" i="10" s="1"/>
  <c r="K797" i="10" s="1"/>
  <c r="K821" i="10" s="1"/>
  <c r="K953" i="10" s="1"/>
  <c r="K977" i="10" s="1"/>
  <c r="K1001" i="10" s="1"/>
  <c r="J683" i="10"/>
  <c r="J707" i="10" s="1"/>
  <c r="J832" i="10" s="1"/>
  <c r="F679" i="10"/>
  <c r="F703" i="10" s="1"/>
  <c r="F727" i="10" s="1"/>
  <c r="F756" i="10" s="1"/>
  <c r="F780" i="10" s="1"/>
  <c r="F804" i="10" s="1"/>
  <c r="F936" i="10" s="1"/>
  <c r="F960" i="10" s="1"/>
  <c r="F984" i="10" s="1"/>
  <c r="G691" i="10"/>
  <c r="G715" i="10" s="1"/>
  <c r="G840" i="10" s="1"/>
  <c r="K686" i="10"/>
  <c r="K710" i="10" s="1"/>
  <c r="K734" i="10" s="1"/>
  <c r="K763" i="10" s="1"/>
  <c r="K787" i="10" s="1"/>
  <c r="K811" i="10" s="1"/>
  <c r="K943" i="10" s="1"/>
  <c r="K967" i="10" s="1"/>
  <c r="K991" i="10" s="1"/>
  <c r="K691" i="10"/>
  <c r="K715" i="10" s="1"/>
  <c r="K840" i="10" s="1"/>
  <c r="K680" i="10"/>
  <c r="K704" i="10" s="1"/>
  <c r="K829" i="10" s="1"/>
  <c r="H688" i="10"/>
  <c r="H712" i="10" s="1"/>
  <c r="H837" i="10" s="1"/>
  <c r="G686" i="10"/>
  <c r="G710" i="10" s="1"/>
  <c r="G835" i="10" s="1"/>
  <c r="I683" i="10"/>
  <c r="I707" i="10" s="1"/>
  <c r="I832" i="10" s="1"/>
  <c r="I698" i="10"/>
  <c r="I722" i="10" s="1"/>
  <c r="I847" i="10" s="1"/>
  <c r="C683" i="10"/>
  <c r="C707" i="10" s="1"/>
  <c r="C832" i="10" s="1"/>
  <c r="J688" i="10"/>
  <c r="J712" i="10" s="1"/>
  <c r="J736" i="10" s="1"/>
  <c r="J765" i="10" s="1"/>
  <c r="J789" i="10" s="1"/>
  <c r="J813" i="10" s="1"/>
  <c r="J945" i="10" s="1"/>
  <c r="J969" i="10" s="1"/>
  <c r="J993" i="10" s="1"/>
  <c r="J686" i="10"/>
  <c r="J710" i="10" s="1"/>
  <c r="J734" i="10" s="1"/>
  <c r="J763" i="10" s="1"/>
  <c r="J787" i="10" s="1"/>
  <c r="J811" i="10" s="1"/>
  <c r="J943" i="10" s="1"/>
  <c r="J967" i="10" s="1"/>
  <c r="J991" i="10" s="1"/>
  <c r="D681" i="10"/>
  <c r="D705" i="10" s="1"/>
  <c r="D830" i="10" s="1"/>
  <c r="D687" i="10"/>
  <c r="D711" i="10" s="1"/>
  <c r="D836" i="10" s="1"/>
  <c r="J687" i="10"/>
  <c r="J711" i="10" s="1"/>
  <c r="J836" i="10" s="1"/>
  <c r="G697" i="10"/>
  <c r="G721" i="10" s="1"/>
  <c r="G745" i="10" s="1"/>
  <c r="G774" i="10" s="1"/>
  <c r="G798" i="10" s="1"/>
  <c r="G822" i="10" s="1"/>
  <c r="G954" i="10" s="1"/>
  <c r="G978" i="10" s="1"/>
  <c r="G1002" i="10" s="1"/>
  <c r="E698" i="10"/>
  <c r="E722" i="10" s="1"/>
  <c r="E746" i="10" s="1"/>
  <c r="E775" i="10" s="1"/>
  <c r="E799" i="10" s="1"/>
  <c r="E823" i="10" s="1"/>
  <c r="E955" i="10" s="1"/>
  <c r="E979" i="10" s="1"/>
  <c r="E1003" i="10" s="1"/>
  <c r="D695" i="10"/>
  <c r="D719" i="10" s="1"/>
  <c r="D844" i="10" s="1"/>
  <c r="H698" i="10"/>
  <c r="H722" i="10" s="1"/>
  <c r="H847" i="10" s="1"/>
  <c r="D693" i="10"/>
  <c r="D717" i="10" s="1"/>
  <c r="D842" i="10" s="1"/>
  <c r="G687" i="10"/>
  <c r="G711" i="10" s="1"/>
  <c r="G735" i="10" s="1"/>
  <c r="G764" i="10" s="1"/>
  <c r="G788" i="10" s="1"/>
  <c r="G812" i="10" s="1"/>
  <c r="G944" i="10" s="1"/>
  <c r="G968" i="10" s="1"/>
  <c r="G992" i="10" s="1"/>
  <c r="D688" i="10"/>
  <c r="D712" i="10" s="1"/>
  <c r="D736" i="10" s="1"/>
  <c r="D765" i="10" s="1"/>
  <c r="D789" i="10" s="1"/>
  <c r="D813" i="10" s="1"/>
  <c r="D945" i="10" s="1"/>
  <c r="D969" i="10" s="1"/>
  <c r="D993" i="10" s="1"/>
  <c r="D682" i="10"/>
  <c r="D706" i="10" s="1"/>
  <c r="D730" i="10" s="1"/>
  <c r="D759" i="10" s="1"/>
  <c r="D783" i="10" s="1"/>
  <c r="D807" i="10" s="1"/>
  <c r="D939" i="10" s="1"/>
  <c r="D963" i="10" s="1"/>
  <c r="D987" i="10" s="1"/>
  <c r="K681" i="10"/>
  <c r="K705" i="10" s="1"/>
  <c r="K729" i="10" s="1"/>
  <c r="K758" i="10" s="1"/>
  <c r="K782" i="10" s="1"/>
  <c r="K806" i="10" s="1"/>
  <c r="K938" i="10" s="1"/>
  <c r="K962" i="10" s="1"/>
  <c r="K986" i="10" s="1"/>
  <c r="F686" i="10"/>
  <c r="F710" i="10" s="1"/>
  <c r="F835" i="10" s="1"/>
  <c r="C691" i="10"/>
  <c r="C715" i="10" s="1"/>
  <c r="C739" i="10" s="1"/>
  <c r="C768" i="10" s="1"/>
  <c r="C792" i="10" s="1"/>
  <c r="C816" i="10" s="1"/>
  <c r="C948" i="10" s="1"/>
  <c r="C972" i="10" s="1"/>
  <c r="C996" i="10" s="1"/>
  <c r="F694" i="10"/>
  <c r="F718" i="10" s="1"/>
  <c r="F843" i="10" s="1"/>
  <c r="H691" i="10"/>
  <c r="H715" i="10" s="1"/>
  <c r="H840" i="10" s="1"/>
  <c r="G682" i="10"/>
  <c r="G706" i="10" s="1"/>
  <c r="G730" i="10" s="1"/>
  <c r="G759" i="10" s="1"/>
  <c r="G783" i="10" s="1"/>
  <c r="G807" i="10" s="1"/>
  <c r="G939" i="10" s="1"/>
  <c r="G963" i="10" s="1"/>
  <c r="G987" i="10" s="1"/>
  <c r="D679" i="10"/>
  <c r="D703" i="10" s="1"/>
  <c r="D828" i="10" s="1"/>
  <c r="D690" i="10"/>
  <c r="D714" i="10" s="1"/>
  <c r="D738" i="10" s="1"/>
  <c r="D767" i="10" s="1"/>
  <c r="D791" i="10" s="1"/>
  <c r="D815" i="10" s="1"/>
  <c r="D947" i="10" s="1"/>
  <c r="D971" i="10" s="1"/>
  <c r="D995" i="10" s="1"/>
  <c r="F684" i="10"/>
  <c r="F708" i="10" s="1"/>
  <c r="F732" i="10" s="1"/>
  <c r="F761" i="10" s="1"/>
  <c r="F785" i="10" s="1"/>
  <c r="F809" i="10" s="1"/>
  <c r="F941" i="10" s="1"/>
  <c r="F965" i="10" s="1"/>
  <c r="F989" i="10" s="1"/>
  <c r="D698" i="10"/>
  <c r="D722" i="10" s="1"/>
  <c r="D847" i="10" s="1"/>
  <c r="F683" i="10"/>
  <c r="F707" i="10" s="1"/>
  <c r="F832" i="10" s="1"/>
  <c r="K683" i="10"/>
  <c r="K707" i="10" s="1"/>
  <c r="K832" i="10" s="1"/>
  <c r="C686" i="10"/>
  <c r="C710" i="10" s="1"/>
  <c r="C835" i="10" s="1"/>
  <c r="F681" i="10"/>
  <c r="F705" i="10" s="1"/>
  <c r="F830" i="10" s="1"/>
  <c r="J679" i="10"/>
  <c r="J703" i="10" s="1"/>
  <c r="J828" i="10" s="1"/>
  <c r="D684" i="10"/>
  <c r="D708" i="10" s="1"/>
  <c r="D732" i="10" s="1"/>
  <c r="D761" i="10" s="1"/>
  <c r="D785" i="10" s="1"/>
  <c r="D809" i="10" s="1"/>
  <c r="D941" i="10" s="1"/>
  <c r="D965" i="10" s="1"/>
  <c r="D989" i="10" s="1"/>
  <c r="C696" i="10"/>
  <c r="C720" i="10" s="1"/>
  <c r="C845" i="10" s="1"/>
  <c r="E687" i="10"/>
  <c r="E711" i="10" s="1"/>
  <c r="E836" i="10" s="1"/>
  <c r="K693" i="10"/>
  <c r="K717" i="10" s="1"/>
  <c r="K741" i="10" s="1"/>
  <c r="K770" i="10" s="1"/>
  <c r="K794" i="10" s="1"/>
  <c r="K818" i="10" s="1"/>
  <c r="K950" i="10" s="1"/>
  <c r="K974" i="10" s="1"/>
  <c r="K998" i="10" s="1"/>
  <c r="C695" i="10"/>
  <c r="C719" i="10" s="1"/>
  <c r="C844" i="10" s="1"/>
  <c r="F688" i="10"/>
  <c r="F712" i="10" s="1"/>
  <c r="F837" i="10" s="1"/>
  <c r="E679" i="10"/>
  <c r="E703" i="10" s="1"/>
  <c r="E727" i="10" s="1"/>
  <c r="E756" i="10" s="1"/>
  <c r="E780" i="10" s="1"/>
  <c r="E804" i="10" s="1"/>
  <c r="E936" i="10" s="1"/>
  <c r="E960" i="10" s="1"/>
  <c r="E984" i="10" s="1"/>
  <c r="E688" i="10"/>
  <c r="E712" i="10" s="1"/>
  <c r="E837" i="10" s="1"/>
  <c r="H683" i="10"/>
  <c r="H707" i="10" s="1"/>
  <c r="H832" i="10" s="1"/>
  <c r="F697" i="10"/>
  <c r="F721" i="10" s="1"/>
  <c r="F846" i="10" s="1"/>
  <c r="E680" i="10"/>
  <c r="E704" i="10" s="1"/>
  <c r="E829" i="10" s="1"/>
  <c r="K684" i="10"/>
  <c r="K708" i="10" s="1"/>
  <c r="K833" i="10" s="1"/>
  <c r="H680" i="10"/>
  <c r="H704" i="10" s="1"/>
  <c r="H728" i="10" s="1"/>
  <c r="H757" i="10" s="1"/>
  <c r="H781" i="10" s="1"/>
  <c r="H805" i="10" s="1"/>
  <c r="H937" i="10" s="1"/>
  <c r="H961" i="10" s="1"/>
  <c r="H985" i="10" s="1"/>
  <c r="J697" i="10"/>
  <c r="J721" i="10" s="1"/>
  <c r="J846" i="10" s="1"/>
  <c r="H681" i="10"/>
  <c r="H705" i="10" s="1"/>
  <c r="H729" i="10" s="1"/>
  <c r="H758" i="10" s="1"/>
  <c r="H782" i="10" s="1"/>
  <c r="H806" i="10" s="1"/>
  <c r="H938" i="10" s="1"/>
  <c r="H962" i="10" s="1"/>
  <c r="H986" i="10" s="1"/>
  <c r="H684" i="10"/>
  <c r="H708" i="10" s="1"/>
  <c r="H732" i="10" s="1"/>
  <c r="H761" i="10" s="1"/>
  <c r="H785" i="10" s="1"/>
  <c r="H809" i="10" s="1"/>
  <c r="H941" i="10" s="1"/>
  <c r="H965" i="10" s="1"/>
  <c r="H989" i="10" s="1"/>
  <c r="D680" i="10"/>
  <c r="D704" i="10" s="1"/>
  <c r="D728" i="10" s="1"/>
  <c r="D757" i="10" s="1"/>
  <c r="D781" i="10" s="1"/>
  <c r="D805" i="10" s="1"/>
  <c r="D937" i="10" s="1"/>
  <c r="D961" i="10" s="1"/>
  <c r="D985" i="10" s="1"/>
  <c r="H697" i="10"/>
  <c r="H721" i="10" s="1"/>
  <c r="H745" i="10" s="1"/>
  <c r="H774" i="10" s="1"/>
  <c r="H798" i="10" s="1"/>
  <c r="H822" i="10" s="1"/>
  <c r="H954" i="10" s="1"/>
  <c r="H978" i="10" s="1"/>
  <c r="H1002" i="10" s="1"/>
  <c r="E689" i="10"/>
  <c r="E713" i="10" s="1"/>
  <c r="E737" i="10" s="1"/>
  <c r="E766" i="10" s="1"/>
  <c r="E790" i="10" s="1"/>
  <c r="E814" i="10" s="1"/>
  <c r="E946" i="10" s="1"/>
  <c r="E970" i="10" s="1"/>
  <c r="E994" i="10" s="1"/>
  <c r="H692" i="10"/>
  <c r="H716" i="10" s="1"/>
  <c r="H740" i="10" s="1"/>
  <c r="H769" i="10" s="1"/>
  <c r="H793" i="10" s="1"/>
  <c r="H817" i="10" s="1"/>
  <c r="H949" i="10" s="1"/>
  <c r="H973" i="10" s="1"/>
  <c r="H997" i="10" s="1"/>
  <c r="I687" i="10"/>
  <c r="I711" i="10" s="1"/>
  <c r="I836" i="10" s="1"/>
  <c r="I688" i="10"/>
  <c r="I712" i="10" s="1"/>
  <c r="I837" i="10" s="1"/>
  <c r="D697" i="10"/>
  <c r="D721" i="10" s="1"/>
  <c r="D846" i="10" s="1"/>
  <c r="K692" i="10"/>
  <c r="K716" i="10" s="1"/>
  <c r="K841" i="10" s="1"/>
  <c r="J682" i="10"/>
  <c r="J706" i="10" s="1"/>
  <c r="J831" i="10" s="1"/>
  <c r="K694" i="10"/>
  <c r="K718" i="10" s="1"/>
  <c r="K742" i="10" s="1"/>
  <c r="K771" i="10" s="1"/>
  <c r="K795" i="10" s="1"/>
  <c r="K819" i="10" s="1"/>
  <c r="K951" i="10" s="1"/>
  <c r="K975" i="10" s="1"/>
  <c r="K999" i="10" s="1"/>
  <c r="D696" i="10"/>
  <c r="D720" i="10" s="1"/>
  <c r="D744" i="10" s="1"/>
  <c r="D773" i="10" s="1"/>
  <c r="D797" i="10" s="1"/>
  <c r="D821" i="10" s="1"/>
  <c r="D953" i="10" s="1"/>
  <c r="D977" i="10" s="1"/>
  <c r="D1001" i="10" s="1"/>
  <c r="D685" i="10"/>
  <c r="D709" i="10" s="1"/>
  <c r="D834" i="10" s="1"/>
  <c r="E697" i="10"/>
  <c r="E721" i="10" s="1"/>
  <c r="E846" i="10" s="1"/>
  <c r="I690" i="10"/>
  <c r="I714" i="10" s="1"/>
  <c r="I839" i="10" s="1"/>
  <c r="C684" i="10"/>
  <c r="C708" i="10" s="1"/>
  <c r="C732" i="10" s="1"/>
  <c r="C761" i="10" s="1"/>
  <c r="C785" i="10" s="1"/>
  <c r="C809" i="10" s="1"/>
  <c r="C941" i="10" s="1"/>
  <c r="C965" i="10" s="1"/>
  <c r="C989" i="10" s="1"/>
  <c r="E682" i="10"/>
  <c r="E706" i="10" s="1"/>
  <c r="E831" i="10" s="1"/>
  <c r="C689" i="10"/>
  <c r="C713" i="10" s="1"/>
  <c r="C838" i="10" s="1"/>
  <c r="F687" i="10"/>
  <c r="F711" i="10" s="1"/>
  <c r="F836" i="10" s="1"/>
  <c r="E695" i="10"/>
  <c r="E719" i="10" s="1"/>
  <c r="E844" i="10" s="1"/>
  <c r="F696" i="10"/>
  <c r="F720" i="10" s="1"/>
  <c r="F845" i="10" s="1"/>
  <c r="C694" i="10"/>
  <c r="C718" i="10" s="1"/>
  <c r="C843" i="10" s="1"/>
  <c r="J680" i="10"/>
  <c r="J704" i="10" s="1"/>
  <c r="J829" i="10" s="1"/>
  <c r="C692" i="10"/>
  <c r="C716" i="10" s="1"/>
  <c r="C740" i="10" s="1"/>
  <c r="C769" i="10" s="1"/>
  <c r="C793" i="10" s="1"/>
  <c r="C817" i="10" s="1"/>
  <c r="C949" i="10" s="1"/>
  <c r="C973" i="10" s="1"/>
  <c r="C997" i="10" s="1"/>
  <c r="G684" i="10"/>
  <c r="G708" i="10" s="1"/>
  <c r="G732" i="10" s="1"/>
  <c r="G761" i="10" s="1"/>
  <c r="G785" i="10" s="1"/>
  <c r="G809" i="10" s="1"/>
  <c r="G941" i="10" s="1"/>
  <c r="G965" i="10" s="1"/>
  <c r="G989" i="10" s="1"/>
  <c r="D683" i="10"/>
  <c r="D707" i="10" s="1"/>
  <c r="D731" i="10" s="1"/>
  <c r="D760" i="10" s="1"/>
  <c r="D784" i="10" s="1"/>
  <c r="D808" i="10" s="1"/>
  <c r="D940" i="10" s="1"/>
  <c r="D964" i="10" s="1"/>
  <c r="D988" i="10" s="1"/>
  <c r="E684" i="10"/>
  <c r="E708" i="10" s="1"/>
  <c r="E833" i="10" s="1"/>
  <c r="G693" i="10"/>
  <c r="G717" i="10" s="1"/>
  <c r="G842" i="10" s="1"/>
  <c r="J695" i="10"/>
  <c r="J719" i="10" s="1"/>
  <c r="J743" i="10" s="1"/>
  <c r="J772" i="10" s="1"/>
  <c r="J796" i="10" s="1"/>
  <c r="J820" i="10" s="1"/>
  <c r="J952" i="10" s="1"/>
  <c r="J976" i="10" s="1"/>
  <c r="J1000" i="10" s="1"/>
  <c r="G679" i="10"/>
  <c r="G703" i="10" s="1"/>
  <c r="G727" i="10" s="1"/>
  <c r="G756" i="10" s="1"/>
  <c r="G780" i="10" s="1"/>
  <c r="G804" i="10" s="1"/>
  <c r="G936" i="10" s="1"/>
  <c r="G960" i="10" s="1"/>
  <c r="G984" i="10" s="1"/>
  <c r="F685" i="10"/>
  <c r="F709" i="10" s="1"/>
  <c r="F733" i="10" s="1"/>
  <c r="F762" i="10" s="1"/>
  <c r="F786" i="10" s="1"/>
  <c r="F810" i="10" s="1"/>
  <c r="F942" i="10" s="1"/>
  <c r="F966" i="10" s="1"/>
  <c r="F990" i="10" s="1"/>
  <c r="E693" i="10"/>
  <c r="E717" i="10" s="1"/>
  <c r="E741" i="10" s="1"/>
  <c r="E770" i="10" s="1"/>
  <c r="E794" i="10" s="1"/>
  <c r="E818" i="10" s="1"/>
  <c r="E950" i="10" s="1"/>
  <c r="E974" i="10" s="1"/>
  <c r="E998" i="10" s="1"/>
  <c r="C681" i="10"/>
  <c r="C705" i="10" s="1"/>
  <c r="C729" i="10" s="1"/>
  <c r="C758" i="10" s="1"/>
  <c r="C782" i="10" s="1"/>
  <c r="C806" i="10" s="1"/>
  <c r="C938" i="10" s="1"/>
  <c r="C962" i="10" s="1"/>
  <c r="C986" i="10" s="1"/>
  <c r="H686" i="10"/>
  <c r="H710" i="10" s="1"/>
  <c r="H835" i="10" s="1"/>
  <c r="J691" i="10"/>
  <c r="J715" i="10" s="1"/>
  <c r="J840" i="10" s="1"/>
  <c r="G688" i="10"/>
  <c r="G712" i="10" s="1"/>
  <c r="G837" i="10" s="1"/>
  <c r="I692" i="10"/>
  <c r="I716" i="10" s="1"/>
  <c r="I841" i="10" s="1"/>
  <c r="G680" i="10"/>
  <c r="G704" i="10" s="1"/>
  <c r="G829" i="10" s="1"/>
  <c r="H689" i="10"/>
  <c r="H713" i="10" s="1"/>
  <c r="H838" i="10" s="1"/>
  <c r="J684" i="10"/>
  <c r="J708" i="10" s="1"/>
  <c r="J732" i="10" s="1"/>
  <c r="J761" i="10" s="1"/>
  <c r="J785" i="10" s="1"/>
  <c r="J809" i="10" s="1"/>
  <c r="J941" i="10" s="1"/>
  <c r="J965" i="10" s="1"/>
  <c r="J989" i="10" s="1"/>
  <c r="F692" i="10"/>
  <c r="F716" i="10" s="1"/>
  <c r="F841" i="10" s="1"/>
  <c r="K689" i="10"/>
  <c r="K713" i="10" s="1"/>
  <c r="K737" i="10" s="1"/>
  <c r="K766" i="10" s="1"/>
  <c r="K790" i="10" s="1"/>
  <c r="K814" i="10" s="1"/>
  <c r="K946" i="10" s="1"/>
  <c r="K970" i="10" s="1"/>
  <c r="K994" i="10" s="1"/>
  <c r="C679" i="10"/>
  <c r="C703" i="10" s="1"/>
  <c r="C727" i="10" s="1"/>
  <c r="C756" i="10" s="1"/>
  <c r="C780" i="10" s="1"/>
  <c r="C804" i="10" s="1"/>
  <c r="C936" i="10" s="1"/>
  <c r="C960" i="10" s="1"/>
  <c r="C984" i="10" s="1"/>
  <c r="I681" i="10"/>
  <c r="I705" i="10" s="1"/>
  <c r="I830" i="10" s="1"/>
  <c r="G694" i="10"/>
  <c r="G718" i="10" s="1"/>
  <c r="G742" i="10" s="1"/>
  <c r="G771" i="10" s="1"/>
  <c r="G795" i="10" s="1"/>
  <c r="G819" i="10" s="1"/>
  <c r="G951" i="10" s="1"/>
  <c r="G975" i="10" s="1"/>
  <c r="G999" i="10" s="1"/>
  <c r="H685" i="10"/>
  <c r="H709" i="10" s="1"/>
  <c r="H733" i="10" s="1"/>
  <c r="H762" i="10" s="1"/>
  <c r="H786" i="10" s="1"/>
  <c r="H810" i="10" s="1"/>
  <c r="H942" i="10" s="1"/>
  <c r="H966" i="10" s="1"/>
  <c r="H990" i="10" s="1"/>
  <c r="J696" i="10"/>
  <c r="J720" i="10" s="1"/>
  <c r="J744" i="10" s="1"/>
  <c r="J773" i="10" s="1"/>
  <c r="J797" i="10" s="1"/>
  <c r="J821" i="10" s="1"/>
  <c r="J953" i="10" s="1"/>
  <c r="J977" i="10" s="1"/>
  <c r="J1001" i="10" s="1"/>
  <c r="F695" i="10"/>
  <c r="F719" i="10" s="1"/>
  <c r="F844" i="10" s="1"/>
  <c r="G685" i="10"/>
  <c r="G709" i="10" s="1"/>
  <c r="G834" i="10" s="1"/>
  <c r="I694" i="10"/>
  <c r="I718" i="10" s="1"/>
  <c r="I742" i="10" s="1"/>
  <c r="I771" i="10" s="1"/>
  <c r="I795" i="10" s="1"/>
  <c r="I819" i="10" s="1"/>
  <c r="I951" i="10" s="1"/>
  <c r="I975" i="10" s="1"/>
  <c r="I999" i="10" s="1"/>
  <c r="D692" i="10"/>
  <c r="D716" i="10" s="1"/>
  <c r="D740" i="10" s="1"/>
  <c r="D769" i="10" s="1"/>
  <c r="D793" i="10" s="1"/>
  <c r="D817" i="10" s="1"/>
  <c r="D949" i="10" s="1"/>
  <c r="D973" i="10" s="1"/>
  <c r="D997" i="10" s="1"/>
  <c r="G698" i="10"/>
  <c r="G722" i="10" s="1"/>
  <c r="G746" i="10" s="1"/>
  <c r="G775" i="10" s="1"/>
  <c r="G799" i="10" s="1"/>
  <c r="G823" i="10" s="1"/>
  <c r="G955" i="10" s="1"/>
  <c r="G979" i="10" s="1"/>
  <c r="G1003" i="10" s="1"/>
  <c r="K679" i="10"/>
  <c r="K703" i="10" s="1"/>
  <c r="K727" i="10" s="1"/>
  <c r="K756" i="10" s="1"/>
  <c r="K780" i="10" s="1"/>
  <c r="K804" i="10" s="1"/>
  <c r="K936" i="10" s="1"/>
  <c r="K960" i="10" s="1"/>
  <c r="K984" i="10" s="1"/>
  <c r="C682" i="10"/>
  <c r="C706" i="10" s="1"/>
  <c r="C730" i="10" s="1"/>
  <c r="C759" i="10" s="1"/>
  <c r="C783" i="10" s="1"/>
  <c r="C807" i="10" s="1"/>
  <c r="C939" i="10" s="1"/>
  <c r="C963" i="10" s="1"/>
  <c r="C987" i="10" s="1"/>
  <c r="C685" i="10"/>
  <c r="C709" i="10" s="1"/>
  <c r="C733" i="10" s="1"/>
  <c r="C762" i="10" s="1"/>
  <c r="C786" i="10" s="1"/>
  <c r="C810" i="10" s="1"/>
  <c r="C942" i="10" s="1"/>
  <c r="C966" i="10" s="1"/>
  <c r="C990" i="10" s="1"/>
  <c r="G695" i="10"/>
  <c r="G719" i="10" s="1"/>
  <c r="G743" i="10" s="1"/>
  <c r="G772" i="10" s="1"/>
  <c r="G796" i="10" s="1"/>
  <c r="G820" i="10" s="1"/>
  <c r="G952" i="10" s="1"/>
  <c r="G976" i="10" s="1"/>
  <c r="G1000" i="10" s="1"/>
  <c r="J685" i="10"/>
  <c r="J709" i="10" s="1"/>
  <c r="J733" i="10" s="1"/>
  <c r="J762" i="10" s="1"/>
  <c r="J786" i="10" s="1"/>
  <c r="J810" i="10" s="1"/>
  <c r="J942" i="10" s="1"/>
  <c r="J966" i="10" s="1"/>
  <c r="J990" i="10" s="1"/>
  <c r="K687" i="10"/>
  <c r="K711" i="10" s="1"/>
  <c r="K836" i="10" s="1"/>
  <c r="K690" i="10"/>
  <c r="K714" i="10" s="1"/>
  <c r="K738" i="10" s="1"/>
  <c r="K767" i="10" s="1"/>
  <c r="K791" i="10" s="1"/>
  <c r="K815" i="10" s="1"/>
  <c r="K947" i="10" s="1"/>
  <c r="K971" i="10" s="1"/>
  <c r="K995" i="10" s="1"/>
  <c r="E692" i="10"/>
  <c r="E716" i="10" s="1"/>
  <c r="E740" i="10" s="1"/>
  <c r="E769" i="10" s="1"/>
  <c r="E793" i="10" s="1"/>
  <c r="E817" i="10" s="1"/>
  <c r="E949" i="10" s="1"/>
  <c r="E973" i="10" s="1"/>
  <c r="E997" i="10" s="1"/>
  <c r="I680" i="10"/>
  <c r="I704" i="10" s="1"/>
  <c r="I728" i="10" s="1"/>
  <c r="I757" i="10" s="1"/>
  <c r="I781" i="10" s="1"/>
  <c r="I805" i="10" s="1"/>
  <c r="I937" i="10" s="1"/>
  <c r="I961" i="10" s="1"/>
  <c r="I985" i="10" s="1"/>
  <c r="J693" i="10"/>
  <c r="J717" i="10" s="1"/>
  <c r="J842" i="10" s="1"/>
  <c r="C680" i="10"/>
  <c r="C704" i="10" s="1"/>
  <c r="C728" i="10" s="1"/>
  <c r="C757" i="10" s="1"/>
  <c r="C781" i="10" s="1"/>
  <c r="C805" i="10" s="1"/>
  <c r="C937" i="10" s="1"/>
  <c r="C961" i="10" s="1"/>
  <c r="C985" i="10" s="1"/>
  <c r="J689" i="10"/>
  <c r="J713" i="10" s="1"/>
  <c r="J737" i="10" s="1"/>
  <c r="J766" i="10" s="1"/>
  <c r="J790" i="10" s="1"/>
  <c r="J814" i="10" s="1"/>
  <c r="J946" i="10" s="1"/>
  <c r="J970" i="10" s="1"/>
  <c r="J994" i="10" s="1"/>
  <c r="K682" i="10"/>
  <c r="K706" i="10" s="1"/>
  <c r="K730" i="10" s="1"/>
  <c r="K759" i="10" s="1"/>
  <c r="K783" i="10" s="1"/>
  <c r="K807" i="10" s="1"/>
  <c r="K939" i="10" s="1"/>
  <c r="K963" i="10" s="1"/>
  <c r="K987" i="10" s="1"/>
  <c r="C690" i="10"/>
  <c r="C714" i="10" s="1"/>
  <c r="C738" i="10" s="1"/>
  <c r="C767" i="10" s="1"/>
  <c r="C791" i="10" s="1"/>
  <c r="C815" i="10" s="1"/>
  <c r="C947" i="10" s="1"/>
  <c r="C971" i="10" s="1"/>
  <c r="C995" i="10" s="1"/>
  <c r="C698" i="10"/>
  <c r="C722" i="10" s="1"/>
  <c r="C746" i="10" s="1"/>
  <c r="C775" i="10" s="1"/>
  <c r="C799" i="10" s="1"/>
  <c r="C823" i="10" s="1"/>
  <c r="C955" i="10" s="1"/>
  <c r="C979" i="10" s="1"/>
  <c r="C1003" i="10" s="1"/>
  <c r="E686" i="10"/>
  <c r="E710" i="10" s="1"/>
  <c r="E835" i="10" s="1"/>
  <c r="K685" i="10"/>
  <c r="K709" i="10" s="1"/>
  <c r="K834" i="10" s="1"/>
  <c r="H694" i="10"/>
  <c r="H718" i="10" s="1"/>
  <c r="H742" i="10" s="1"/>
  <c r="H771" i="10" s="1"/>
  <c r="H795" i="10" s="1"/>
  <c r="H819" i="10" s="1"/>
  <c r="H951" i="10" s="1"/>
  <c r="H975" i="10" s="1"/>
  <c r="H999" i="10" s="1"/>
  <c r="G689" i="10"/>
  <c r="G713" i="10" s="1"/>
  <c r="G737" i="10" s="1"/>
  <c r="G766" i="10" s="1"/>
  <c r="G790" i="10" s="1"/>
  <c r="G814" i="10" s="1"/>
  <c r="G946" i="10" s="1"/>
  <c r="G970" i="10" s="1"/>
  <c r="G994" i="10" s="1"/>
  <c r="G683" i="10"/>
  <c r="G707" i="10" s="1"/>
  <c r="G731" i="10" s="1"/>
  <c r="G760" i="10" s="1"/>
  <c r="G784" i="10" s="1"/>
  <c r="G808" i="10" s="1"/>
  <c r="G940" i="10" s="1"/>
  <c r="G964" i="10" s="1"/>
  <c r="G988" i="10" s="1"/>
  <c r="F690" i="10"/>
  <c r="F714" i="10" s="1"/>
  <c r="F839" i="10" s="1"/>
  <c r="K698" i="10"/>
  <c r="K722" i="10" s="1"/>
  <c r="K847" i="10" s="1"/>
  <c r="H695" i="10"/>
  <c r="H719" i="10" s="1"/>
  <c r="H743" i="10" s="1"/>
  <c r="H772" i="10" s="1"/>
  <c r="H796" i="10" s="1"/>
  <c r="H820" i="10" s="1"/>
  <c r="H952" i="10" s="1"/>
  <c r="H976" i="10" s="1"/>
  <c r="H1000" i="10" s="1"/>
  <c r="F689" i="10"/>
  <c r="F713" i="10" s="1"/>
  <c r="F737" i="10" s="1"/>
  <c r="F766" i="10" s="1"/>
  <c r="F790" i="10" s="1"/>
  <c r="F814" i="10" s="1"/>
  <c r="F946" i="10" s="1"/>
  <c r="F970" i="10" s="1"/>
  <c r="F994" i="10" s="1"/>
  <c r="D686" i="10"/>
  <c r="D710" i="10" s="1"/>
  <c r="D734" i="10" s="1"/>
  <c r="D763" i="10" s="1"/>
  <c r="D787" i="10" s="1"/>
  <c r="D811" i="10" s="1"/>
  <c r="D943" i="10" s="1"/>
  <c r="D967" i="10" s="1"/>
  <c r="D991" i="10" s="1"/>
  <c r="I695" i="10"/>
  <c r="I719" i="10" s="1"/>
  <c r="I743" i="10" s="1"/>
  <c r="I772" i="10" s="1"/>
  <c r="I796" i="10" s="1"/>
  <c r="I820" i="10" s="1"/>
  <c r="I952" i="10" s="1"/>
  <c r="I976" i="10" s="1"/>
  <c r="I1000" i="10" s="1"/>
  <c r="H690" i="10"/>
  <c r="H714" i="10" s="1"/>
  <c r="H839" i="10" s="1"/>
  <c r="K688" i="10"/>
  <c r="K712" i="10" s="1"/>
  <c r="K736" i="10" s="1"/>
  <c r="K765" i="10" s="1"/>
  <c r="K789" i="10" s="1"/>
  <c r="K813" i="10" s="1"/>
  <c r="K945" i="10" s="1"/>
  <c r="K969" i="10" s="1"/>
  <c r="K993" i="10" s="1"/>
  <c r="F691" i="10"/>
  <c r="F715" i="10" s="1"/>
  <c r="F739" i="10" s="1"/>
  <c r="F768" i="10" s="1"/>
  <c r="F792" i="10" s="1"/>
  <c r="F816" i="10" s="1"/>
  <c r="F948" i="10" s="1"/>
  <c r="F972" i="10" s="1"/>
  <c r="F996" i="10" s="1"/>
  <c r="G692" i="10"/>
  <c r="G716" i="10" s="1"/>
  <c r="G740" i="10" s="1"/>
  <c r="G769" i="10" s="1"/>
  <c r="G793" i="10" s="1"/>
  <c r="G817" i="10" s="1"/>
  <c r="G949" i="10" s="1"/>
  <c r="G973" i="10" s="1"/>
  <c r="G997" i="10" s="1"/>
  <c r="H687" i="10"/>
  <c r="H711" i="10" s="1"/>
  <c r="H836" i="10" s="1"/>
  <c r="I693" i="10"/>
  <c r="I717" i="10" s="1"/>
  <c r="I842" i="10" s="1"/>
  <c r="I696" i="10"/>
  <c r="I720" i="10" s="1"/>
  <c r="I845" i="10" s="1"/>
  <c r="C697" i="10"/>
  <c r="C721" i="10" s="1"/>
  <c r="C745" i="10" s="1"/>
  <c r="C774" i="10" s="1"/>
  <c r="C798" i="10" s="1"/>
  <c r="C822" i="10" s="1"/>
  <c r="C954" i="10" s="1"/>
  <c r="C978" i="10" s="1"/>
  <c r="C1002" i="10" s="1"/>
  <c r="I684" i="10"/>
  <c r="I708" i="10" s="1"/>
  <c r="I732" i="10" s="1"/>
  <c r="I761" i="10" s="1"/>
  <c r="I785" i="10" s="1"/>
  <c r="I809" i="10" s="1"/>
  <c r="I941" i="10" s="1"/>
  <c r="I965" i="10" s="1"/>
  <c r="I989" i="10" s="1"/>
  <c r="I697" i="10"/>
  <c r="I721" i="10" s="1"/>
  <c r="I745" i="10" s="1"/>
  <c r="I774" i="10" s="1"/>
  <c r="I798" i="10" s="1"/>
  <c r="I822" i="10" s="1"/>
  <c r="I954" i="10" s="1"/>
  <c r="I978" i="10" s="1"/>
  <c r="I1002" i="10" s="1"/>
  <c r="H696" i="10"/>
  <c r="H720" i="10" s="1"/>
  <c r="H845" i="10" s="1"/>
  <c r="K695" i="10"/>
  <c r="K719" i="10" s="1"/>
  <c r="K844" i="10" s="1"/>
  <c r="I679" i="10"/>
  <c r="I703" i="10" s="1"/>
  <c r="I727" i="10" s="1"/>
  <c r="I756" i="10" s="1"/>
  <c r="I780" i="10" s="1"/>
  <c r="I804" i="10" s="1"/>
  <c r="I936" i="10" s="1"/>
  <c r="I960" i="10" s="1"/>
  <c r="I984" i="10" s="1"/>
  <c r="H682" i="10"/>
  <c r="H706" i="10" s="1"/>
  <c r="H831" i="10" s="1"/>
  <c r="F693" i="10"/>
  <c r="F717" i="10" s="1"/>
  <c r="F842" i="10" s="1"/>
  <c r="D689" i="10"/>
  <c r="D713" i="10" s="1"/>
  <c r="D838" i="10" s="1"/>
  <c r="D691" i="10"/>
  <c r="D715" i="10" s="1"/>
  <c r="D739" i="10" s="1"/>
  <c r="D768" i="10" s="1"/>
  <c r="D792" i="10" s="1"/>
  <c r="D816" i="10" s="1"/>
  <c r="D948" i="10" s="1"/>
  <c r="D972" i="10" s="1"/>
  <c r="D996" i="10" s="1"/>
  <c r="H693" i="10"/>
  <c r="H717" i="10" s="1"/>
  <c r="H842" i="10" s="1"/>
  <c r="J694" i="10"/>
  <c r="J718" i="10" s="1"/>
  <c r="J843" i="10" s="1"/>
  <c r="H679" i="10"/>
  <c r="H703" i="10" s="1"/>
  <c r="H828" i="10" s="1"/>
  <c r="E683" i="10"/>
  <c r="E707" i="10" s="1"/>
  <c r="E731" i="10" s="1"/>
  <c r="E760" i="10" s="1"/>
  <c r="E784" i="10" s="1"/>
  <c r="E808" i="10" s="1"/>
  <c r="E940" i="10" s="1"/>
  <c r="E964" i="10" s="1"/>
  <c r="E988" i="10" s="1"/>
  <c r="E681" i="10"/>
  <c r="E705" i="10" s="1"/>
  <c r="E729" i="10" s="1"/>
  <c r="E758" i="10" s="1"/>
  <c r="E782" i="10" s="1"/>
  <c r="E806" i="10" s="1"/>
  <c r="E938" i="10" s="1"/>
  <c r="E962" i="10" s="1"/>
  <c r="E986" i="10" s="1"/>
  <c r="C688" i="10"/>
  <c r="C712" i="10" s="1"/>
  <c r="C736" i="10" s="1"/>
  <c r="C765" i="10" s="1"/>
  <c r="C789" i="10" s="1"/>
  <c r="C813" i="10" s="1"/>
  <c r="C945" i="10" s="1"/>
  <c r="C969" i="10" s="1"/>
  <c r="C993" i="10" s="1"/>
  <c r="D673" i="10"/>
  <c r="F666" i="10"/>
  <c r="J668" i="10"/>
  <c r="H660" i="10"/>
  <c r="I657" i="10"/>
  <c r="I585" i="10"/>
  <c r="I609" i="10" s="1"/>
  <c r="I633" i="10" s="1"/>
  <c r="I861" i="10" s="1"/>
  <c r="I885" i="10" s="1"/>
  <c r="I909" i="10" s="1"/>
  <c r="J595" i="10"/>
  <c r="J619" i="10" s="1"/>
  <c r="J643" i="10" s="1"/>
  <c r="J871" i="10" s="1"/>
  <c r="J895" i="10" s="1"/>
  <c r="J919" i="10" s="1"/>
  <c r="J667" i="10"/>
  <c r="E662" i="10"/>
  <c r="E590" i="10"/>
  <c r="E614" i="10" s="1"/>
  <c r="E638" i="10" s="1"/>
  <c r="E866" i="10" s="1"/>
  <c r="E890" i="10" s="1"/>
  <c r="E914" i="10" s="1"/>
  <c r="J593" i="10"/>
  <c r="J617" i="10" s="1"/>
  <c r="J641" i="10" s="1"/>
  <c r="J869" i="10" s="1"/>
  <c r="J893" i="10" s="1"/>
  <c r="J917" i="10" s="1"/>
  <c r="J665" i="10"/>
  <c r="D658" i="10"/>
  <c r="D586" i="10"/>
  <c r="D610" i="10" s="1"/>
  <c r="D634" i="10" s="1"/>
  <c r="D862" i="10" s="1"/>
  <c r="D886" i="10" s="1"/>
  <c r="D910" i="10" s="1"/>
  <c r="K591" i="10"/>
  <c r="K615" i="10" s="1"/>
  <c r="K639" i="10" s="1"/>
  <c r="K867" i="10" s="1"/>
  <c r="K891" i="10" s="1"/>
  <c r="K915" i="10" s="1"/>
  <c r="K663" i="10"/>
  <c r="I673" i="10"/>
  <c r="I601" i="10"/>
  <c r="I625" i="10" s="1"/>
  <c r="I649" i="10" s="1"/>
  <c r="I877" i="10" s="1"/>
  <c r="I901" i="10" s="1"/>
  <c r="I925" i="10" s="1"/>
  <c r="D590" i="10"/>
  <c r="D614" i="10" s="1"/>
  <c r="D638" i="10" s="1"/>
  <c r="D866" i="10" s="1"/>
  <c r="D890" i="10" s="1"/>
  <c r="D914" i="10" s="1"/>
  <c r="D662" i="10"/>
  <c r="H599" i="10"/>
  <c r="H623" i="10" s="1"/>
  <c r="H647" i="10" s="1"/>
  <c r="H875" i="10" s="1"/>
  <c r="H899" i="10" s="1"/>
  <c r="H923" i="10" s="1"/>
  <c r="H671" i="10"/>
  <c r="J659" i="10"/>
  <c r="J587" i="10"/>
  <c r="J611" i="10" s="1"/>
  <c r="J635" i="10" s="1"/>
  <c r="J863" i="10" s="1"/>
  <c r="J887" i="10" s="1"/>
  <c r="J911" i="10" s="1"/>
  <c r="H674" i="10"/>
  <c r="H602" i="10"/>
  <c r="H626" i="10" s="1"/>
  <c r="H650" i="10" s="1"/>
  <c r="H878" i="10" s="1"/>
  <c r="H902" i="10" s="1"/>
  <c r="H926" i="10" s="1"/>
  <c r="E658" i="10"/>
  <c r="E586" i="10"/>
  <c r="E610" i="10" s="1"/>
  <c r="E634" i="10" s="1"/>
  <c r="E862" i="10" s="1"/>
  <c r="E886" i="10" s="1"/>
  <c r="E910" i="10" s="1"/>
  <c r="D596" i="10"/>
  <c r="D620" i="10" s="1"/>
  <c r="D644" i="10" s="1"/>
  <c r="D872" i="10" s="1"/>
  <c r="D896" i="10" s="1"/>
  <c r="D920" i="10" s="1"/>
  <c r="D668" i="10"/>
  <c r="C666" i="10"/>
  <c r="C594" i="10"/>
  <c r="C618" i="10" s="1"/>
  <c r="C642" i="10" s="1"/>
  <c r="C870" i="10" s="1"/>
  <c r="C894" i="10" s="1"/>
  <c r="C918" i="10" s="1"/>
  <c r="F664" i="10"/>
  <c r="F592" i="10"/>
  <c r="F616" i="10" s="1"/>
  <c r="F640" i="10" s="1"/>
  <c r="F868" i="10" s="1"/>
  <c r="F892" i="10" s="1"/>
  <c r="F916" i="10" s="1"/>
  <c r="C587" i="10"/>
  <c r="C611" i="10" s="1"/>
  <c r="C635" i="10" s="1"/>
  <c r="C863" i="10" s="1"/>
  <c r="C887" i="10" s="1"/>
  <c r="C911" i="10" s="1"/>
  <c r="C659" i="10"/>
  <c r="G668" i="10"/>
  <c r="G596" i="10"/>
  <c r="G620" i="10" s="1"/>
  <c r="G644" i="10" s="1"/>
  <c r="G872" i="10" s="1"/>
  <c r="G896" i="10" s="1"/>
  <c r="G920" i="10" s="1"/>
  <c r="D594" i="10"/>
  <c r="D618" i="10" s="1"/>
  <c r="D642" i="10" s="1"/>
  <c r="D870" i="10" s="1"/>
  <c r="D894" i="10" s="1"/>
  <c r="D918" i="10" s="1"/>
  <c r="D666" i="10"/>
  <c r="F659" i="10"/>
  <c r="F587" i="10"/>
  <c r="F611" i="10" s="1"/>
  <c r="F635" i="10" s="1"/>
  <c r="F863" i="10" s="1"/>
  <c r="F887" i="10" s="1"/>
  <c r="F911" i="10" s="1"/>
  <c r="C669" i="10"/>
  <c r="C597" i="10"/>
  <c r="C621" i="10" s="1"/>
  <c r="C645" i="10" s="1"/>
  <c r="C873" i="10" s="1"/>
  <c r="C897" i="10" s="1"/>
  <c r="C921" i="10" s="1"/>
  <c r="F601" i="10"/>
  <c r="F625" i="10" s="1"/>
  <c r="F649" i="10" s="1"/>
  <c r="F877" i="10" s="1"/>
  <c r="F901" i="10" s="1"/>
  <c r="F925" i="10" s="1"/>
  <c r="F673" i="10"/>
  <c r="G600" i="10"/>
  <c r="G624" i="10" s="1"/>
  <c r="G648" i="10" s="1"/>
  <c r="G876" i="10" s="1"/>
  <c r="G900" i="10" s="1"/>
  <c r="G924" i="10" s="1"/>
  <c r="G672" i="10"/>
  <c r="H659" i="10"/>
  <c r="H587" i="10"/>
  <c r="H611" i="10" s="1"/>
  <c r="H635" i="10" s="1"/>
  <c r="H863" i="10" s="1"/>
  <c r="H887" i="10" s="1"/>
  <c r="H911" i="10" s="1"/>
  <c r="E656" i="10"/>
  <c r="E584" i="10"/>
  <c r="E608" i="10" s="1"/>
  <c r="E632" i="10" s="1"/>
  <c r="E860" i="10" s="1"/>
  <c r="E884" i="10" s="1"/>
  <c r="E908" i="10" s="1"/>
  <c r="I669" i="10"/>
  <c r="I597" i="10"/>
  <c r="I621" i="10" s="1"/>
  <c r="I645" i="10" s="1"/>
  <c r="I873" i="10" s="1"/>
  <c r="I897" i="10" s="1"/>
  <c r="I921" i="10" s="1"/>
  <c r="G656" i="10"/>
  <c r="G584" i="10"/>
  <c r="G608" i="10" s="1"/>
  <c r="G632" i="10" s="1"/>
  <c r="G860" i="10" s="1"/>
  <c r="G884" i="10" s="1"/>
  <c r="G908" i="10" s="1"/>
  <c r="G671" i="10"/>
  <c r="G599" i="10"/>
  <c r="G623" i="10" s="1"/>
  <c r="G647" i="10" s="1"/>
  <c r="G875" i="10" s="1"/>
  <c r="G899" i="10" s="1"/>
  <c r="G923" i="10" s="1"/>
  <c r="K666" i="10"/>
  <c r="K594" i="10"/>
  <c r="K618" i="10" s="1"/>
  <c r="K642" i="10" s="1"/>
  <c r="K870" i="10" s="1"/>
  <c r="K894" i="10" s="1"/>
  <c r="K918" i="10" s="1"/>
  <c r="J673" i="10"/>
  <c r="J601" i="10"/>
  <c r="J625" i="10" s="1"/>
  <c r="J649" i="10" s="1"/>
  <c r="J877" i="10" s="1"/>
  <c r="J901" i="10" s="1"/>
  <c r="J925" i="10" s="1"/>
  <c r="I671" i="10"/>
  <c r="I599" i="10"/>
  <c r="I623" i="10" s="1"/>
  <c r="I647" i="10" s="1"/>
  <c r="I875" i="10" s="1"/>
  <c r="I899" i="10" s="1"/>
  <c r="I923" i="10" s="1"/>
  <c r="J663" i="10"/>
  <c r="J591" i="10"/>
  <c r="J615" i="10" s="1"/>
  <c r="J639" i="10" s="1"/>
  <c r="J867" i="10" s="1"/>
  <c r="J891" i="10" s="1"/>
  <c r="J915" i="10" s="1"/>
  <c r="C583" i="10"/>
  <c r="C607" i="10" s="1"/>
  <c r="C631" i="10" s="1"/>
  <c r="C859" i="10" s="1"/>
  <c r="C883" i="10" s="1"/>
  <c r="C907" i="10" s="1"/>
  <c r="C655" i="10"/>
  <c r="I672" i="10"/>
  <c r="I600" i="10"/>
  <c r="I624" i="10" s="1"/>
  <c r="I648" i="10" s="1"/>
  <c r="I876" i="10" s="1"/>
  <c r="I900" i="10" s="1"/>
  <c r="I924" i="10" s="1"/>
  <c r="G664" i="10"/>
  <c r="G592" i="10"/>
  <c r="G616" i="10" s="1"/>
  <c r="G640" i="10" s="1"/>
  <c r="G868" i="10" s="1"/>
  <c r="G892" i="10" s="1"/>
  <c r="G916" i="10" s="1"/>
  <c r="H586" i="10"/>
  <c r="H610" i="10" s="1"/>
  <c r="H634" i="10" s="1"/>
  <c r="H862" i="10" s="1"/>
  <c r="H886" i="10" s="1"/>
  <c r="H910" i="10" s="1"/>
  <c r="H658" i="10"/>
  <c r="H668" i="10"/>
  <c r="H596" i="10"/>
  <c r="H620" i="10" s="1"/>
  <c r="H644" i="10" s="1"/>
  <c r="H872" i="10" s="1"/>
  <c r="H896" i="10" s="1"/>
  <c r="H920" i="10" s="1"/>
  <c r="J586" i="10"/>
  <c r="J610" i="10" s="1"/>
  <c r="J634" i="10" s="1"/>
  <c r="J862" i="10" s="1"/>
  <c r="J886" i="10" s="1"/>
  <c r="J910" i="10" s="1"/>
  <c r="J658" i="10"/>
  <c r="F662" i="10"/>
  <c r="F590" i="10"/>
  <c r="F614" i="10" s="1"/>
  <c r="F638" i="10" s="1"/>
  <c r="F866" i="10" s="1"/>
  <c r="F890" i="10" s="1"/>
  <c r="F914" i="10" s="1"/>
  <c r="E661" i="10"/>
  <c r="E589" i="10"/>
  <c r="E613" i="10" s="1"/>
  <c r="E637" i="10" s="1"/>
  <c r="E865" i="10" s="1"/>
  <c r="E889" i="10" s="1"/>
  <c r="E913" i="10" s="1"/>
  <c r="F660" i="10"/>
  <c r="F588" i="10"/>
  <c r="F612" i="10" s="1"/>
  <c r="F636" i="10" s="1"/>
  <c r="F864" i="10" s="1"/>
  <c r="F888" i="10" s="1"/>
  <c r="F912" i="10" s="1"/>
  <c r="C674" i="10"/>
  <c r="G594" i="10"/>
  <c r="G618" i="10" s="1"/>
  <c r="G642" i="10" s="1"/>
  <c r="G870" i="10" s="1"/>
  <c r="G894" i="10" s="1"/>
  <c r="G918" i="10" s="1"/>
  <c r="F596" i="10"/>
  <c r="F620" i="10" s="1"/>
  <c r="F644" i="10" s="1"/>
  <c r="F872" i="10" s="1"/>
  <c r="F896" i="10" s="1"/>
  <c r="F920" i="10" s="1"/>
  <c r="J660" i="10"/>
  <c r="C673" i="10"/>
  <c r="E674" i="10"/>
  <c r="E602" i="10"/>
  <c r="E626" i="10" s="1"/>
  <c r="E650" i="10" s="1"/>
  <c r="E878" i="10" s="1"/>
  <c r="E902" i="10" s="1"/>
  <c r="E926" i="10" s="1"/>
  <c r="K662" i="10"/>
  <c r="K590" i="10"/>
  <c r="K614" i="10" s="1"/>
  <c r="K638" i="10" s="1"/>
  <c r="K866" i="10" s="1"/>
  <c r="K890" i="10" s="1"/>
  <c r="K914" i="10" s="1"/>
  <c r="J674" i="10"/>
  <c r="J602" i="10"/>
  <c r="J626" i="10" s="1"/>
  <c r="J650" i="10" s="1"/>
  <c r="J878" i="10" s="1"/>
  <c r="J902" i="10" s="1"/>
  <c r="J926" i="10" s="1"/>
  <c r="E669" i="10"/>
  <c r="E597" i="10"/>
  <c r="E621" i="10" s="1"/>
  <c r="E645" i="10" s="1"/>
  <c r="E873" i="10" s="1"/>
  <c r="E897" i="10" s="1"/>
  <c r="E921" i="10" s="1"/>
  <c r="C657" i="10"/>
  <c r="C585" i="10"/>
  <c r="C609" i="10" s="1"/>
  <c r="C633" i="10" s="1"/>
  <c r="C861" i="10" s="1"/>
  <c r="C885" i="10" s="1"/>
  <c r="C909" i="10" s="1"/>
  <c r="C662" i="10"/>
  <c r="C590" i="10"/>
  <c r="C614" i="10" s="1"/>
  <c r="C638" i="10" s="1"/>
  <c r="C866" i="10" s="1"/>
  <c r="C890" i="10" s="1"/>
  <c r="C914" i="10" s="1"/>
  <c r="C599" i="10"/>
  <c r="C623" i="10" s="1"/>
  <c r="C647" i="10" s="1"/>
  <c r="C875" i="10" s="1"/>
  <c r="C899" i="10" s="1"/>
  <c r="C923" i="10" s="1"/>
  <c r="C671" i="10"/>
  <c r="D674" i="10"/>
  <c r="D602" i="10"/>
  <c r="D626" i="10" s="1"/>
  <c r="D650" i="10" s="1"/>
  <c r="D878" i="10" s="1"/>
  <c r="D902" i="10" s="1"/>
  <c r="D926" i="10" s="1"/>
  <c r="H589" i="10"/>
  <c r="H613" i="10" s="1"/>
  <c r="H637" i="10" s="1"/>
  <c r="H865" i="10" s="1"/>
  <c r="H889" i="10" s="1"/>
  <c r="H913" i="10" s="1"/>
  <c r="H661" i="10"/>
  <c r="G674" i="10"/>
  <c r="G602" i="10"/>
  <c r="G626" i="10" s="1"/>
  <c r="G650" i="10" s="1"/>
  <c r="G878" i="10" s="1"/>
  <c r="G902" i="10" s="1"/>
  <c r="G926" i="10" s="1"/>
  <c r="F657" i="10"/>
  <c r="F585" i="10"/>
  <c r="F609" i="10" s="1"/>
  <c r="F633" i="10" s="1"/>
  <c r="F861" i="10" s="1"/>
  <c r="F885" i="10" s="1"/>
  <c r="F909" i="10" s="1"/>
  <c r="E671" i="10"/>
  <c r="E599" i="10"/>
  <c r="E623" i="10" s="1"/>
  <c r="E647" i="10" s="1"/>
  <c r="E875" i="10" s="1"/>
  <c r="E899" i="10" s="1"/>
  <c r="E923" i="10" s="1"/>
  <c r="J661" i="10"/>
  <c r="J589" i="10"/>
  <c r="J613" i="10" s="1"/>
  <c r="J637" i="10" s="1"/>
  <c r="J865" i="10" s="1"/>
  <c r="J889" i="10" s="1"/>
  <c r="J913" i="10" s="1"/>
  <c r="I586" i="10"/>
  <c r="I610" i="10" s="1"/>
  <c r="I634" i="10" s="1"/>
  <c r="I862" i="10" s="1"/>
  <c r="I886" i="10" s="1"/>
  <c r="I910" i="10" s="1"/>
  <c r="I658" i="10"/>
  <c r="K658" i="10"/>
  <c r="K586" i="10"/>
  <c r="K610" i="10" s="1"/>
  <c r="K634" i="10" s="1"/>
  <c r="K862" i="10" s="1"/>
  <c r="K886" i="10" s="1"/>
  <c r="K910" i="10" s="1"/>
  <c r="K664" i="10"/>
  <c r="K592" i="10"/>
  <c r="K616" i="10" s="1"/>
  <c r="K640" i="10" s="1"/>
  <c r="K868" i="10" s="1"/>
  <c r="K892" i="10" s="1"/>
  <c r="K916" i="10" s="1"/>
  <c r="I656" i="10"/>
  <c r="I584" i="10"/>
  <c r="I608" i="10" s="1"/>
  <c r="I632" i="10" s="1"/>
  <c r="I860" i="10" s="1"/>
  <c r="I884" i="10" s="1"/>
  <c r="I908" i="10" s="1"/>
  <c r="I665" i="10"/>
  <c r="I593" i="10"/>
  <c r="I617" i="10" s="1"/>
  <c r="I641" i="10" s="1"/>
  <c r="I869" i="10" s="1"/>
  <c r="I893" i="10" s="1"/>
  <c r="I917" i="10" s="1"/>
  <c r="K661" i="10"/>
  <c r="K589" i="10"/>
  <c r="K613" i="10" s="1"/>
  <c r="K637" i="10" s="1"/>
  <c r="K865" i="10" s="1"/>
  <c r="K889" i="10" s="1"/>
  <c r="K913" i="10" s="1"/>
  <c r="K659" i="10"/>
  <c r="K587" i="10"/>
  <c r="K611" i="10" s="1"/>
  <c r="K635" i="10" s="1"/>
  <c r="K863" i="10" s="1"/>
  <c r="K887" i="10" s="1"/>
  <c r="K911" i="10" s="1"/>
  <c r="G655" i="10"/>
  <c r="G583" i="10"/>
  <c r="G607" i="10" s="1"/>
  <c r="G631" i="10" s="1"/>
  <c r="G859" i="10" s="1"/>
  <c r="G883" i="10" s="1"/>
  <c r="G907" i="10" s="1"/>
  <c r="K673" i="10"/>
  <c r="K601" i="10"/>
  <c r="K625" i="10" s="1"/>
  <c r="K649" i="10" s="1"/>
  <c r="K877" i="10" s="1"/>
  <c r="K901" i="10" s="1"/>
  <c r="K925" i="10" s="1"/>
  <c r="F661" i="10"/>
  <c r="F589" i="10"/>
  <c r="F613" i="10" s="1"/>
  <c r="F637" i="10" s="1"/>
  <c r="F865" i="10" s="1"/>
  <c r="F889" i="10" s="1"/>
  <c r="F913" i="10" s="1"/>
  <c r="K583" i="10"/>
  <c r="K607" i="10" s="1"/>
  <c r="K631" i="10" s="1"/>
  <c r="K859" i="10" s="1"/>
  <c r="K883" i="10" s="1"/>
  <c r="K907" i="10" s="1"/>
  <c r="K655" i="10"/>
  <c r="D588" i="10"/>
  <c r="D612" i="10" s="1"/>
  <c r="D636" i="10" s="1"/>
  <c r="D864" i="10" s="1"/>
  <c r="D888" i="10" s="1"/>
  <c r="D912" i="10" s="1"/>
  <c r="D660" i="10"/>
  <c r="G670" i="10"/>
  <c r="G598" i="10"/>
  <c r="G622" i="10" s="1"/>
  <c r="G646" i="10" s="1"/>
  <c r="G874" i="10" s="1"/>
  <c r="G898" i="10" s="1"/>
  <c r="G922" i="10" s="1"/>
  <c r="J656" i="10"/>
  <c r="J584" i="10"/>
  <c r="J608" i="10" s="1"/>
  <c r="J632" i="10" s="1"/>
  <c r="J860" i="10" s="1"/>
  <c r="J884" i="10" s="1"/>
  <c r="J908" i="10" s="1"/>
  <c r="I655" i="10"/>
  <c r="I583" i="10"/>
  <c r="I607" i="10" s="1"/>
  <c r="I631" i="10" s="1"/>
  <c r="I859" i="10" s="1"/>
  <c r="I883" i="10" s="1"/>
  <c r="I907" i="10" s="1"/>
  <c r="E601" i="10"/>
  <c r="E625" i="10" s="1"/>
  <c r="E649" i="10" s="1"/>
  <c r="E877" i="10" s="1"/>
  <c r="E901" i="10" s="1"/>
  <c r="E925" i="10" s="1"/>
  <c r="E673" i="10"/>
  <c r="K600" i="10"/>
  <c r="K624" i="10" s="1"/>
  <c r="K648" i="10" s="1"/>
  <c r="K876" i="10" s="1"/>
  <c r="K900" i="10" s="1"/>
  <c r="K924" i="10" s="1"/>
  <c r="K672" i="10"/>
  <c r="D665" i="10"/>
  <c r="D593" i="10"/>
  <c r="D617" i="10" s="1"/>
  <c r="D641" i="10" s="1"/>
  <c r="D869" i="10" s="1"/>
  <c r="D893" i="10" s="1"/>
  <c r="D917" i="10" s="1"/>
  <c r="J666" i="10"/>
  <c r="J594" i="10"/>
  <c r="J618" i="10" s="1"/>
  <c r="J642" i="10" s="1"/>
  <c r="J870" i="10" s="1"/>
  <c r="J894" i="10" s="1"/>
  <c r="J918" i="10" s="1"/>
  <c r="G658" i="10"/>
  <c r="G586" i="10"/>
  <c r="G610" i="10" s="1"/>
  <c r="G634" i="10" s="1"/>
  <c r="G862" i="10" s="1"/>
  <c r="G886" i="10" s="1"/>
  <c r="G910" i="10" s="1"/>
  <c r="H669" i="10"/>
  <c r="H597" i="10"/>
  <c r="H621" i="10" s="1"/>
  <c r="H645" i="10" s="1"/>
  <c r="H873" i="10" s="1"/>
  <c r="H897" i="10" s="1"/>
  <c r="H921" i="10" s="1"/>
  <c r="E668" i="10"/>
  <c r="E596" i="10"/>
  <c r="E620" i="10" s="1"/>
  <c r="E644" i="10" s="1"/>
  <c r="E872" i="10" s="1"/>
  <c r="E896" i="10" s="1"/>
  <c r="E920" i="10" s="1"/>
  <c r="C656" i="10"/>
  <c r="C584" i="10"/>
  <c r="C608" i="10" s="1"/>
  <c r="C632" i="10" s="1"/>
  <c r="C860" i="10" s="1"/>
  <c r="C884" i="10" s="1"/>
  <c r="C908" i="10" s="1"/>
  <c r="E659" i="10"/>
  <c r="E587" i="10"/>
  <c r="E611" i="10" s="1"/>
  <c r="E635" i="10" s="1"/>
  <c r="E863" i="10" s="1"/>
  <c r="E887" i="10" s="1"/>
  <c r="E911" i="10" s="1"/>
  <c r="K657" i="10"/>
  <c r="K585" i="10"/>
  <c r="K609" i="10" s="1"/>
  <c r="K633" i="10" s="1"/>
  <c r="K861" i="10" s="1"/>
  <c r="K885" i="10" s="1"/>
  <c r="K909" i="10" s="1"/>
  <c r="G659" i="10"/>
  <c r="G587" i="10"/>
  <c r="G611" i="10" s="1"/>
  <c r="G635" i="10" s="1"/>
  <c r="G863" i="10" s="1"/>
  <c r="G887" i="10" s="1"/>
  <c r="G911" i="10" s="1"/>
  <c r="C670" i="10"/>
  <c r="C598" i="10"/>
  <c r="C622" i="10" s="1"/>
  <c r="C646" i="10" s="1"/>
  <c r="C874" i="10" s="1"/>
  <c r="C898" i="10" s="1"/>
  <c r="C922" i="10" s="1"/>
  <c r="H590" i="10"/>
  <c r="H614" i="10" s="1"/>
  <c r="H638" i="10" s="1"/>
  <c r="H866" i="10" s="1"/>
  <c r="H890" i="10" s="1"/>
  <c r="H914" i="10" s="1"/>
  <c r="H662" i="10"/>
  <c r="J662" i="10"/>
  <c r="J590" i="10"/>
  <c r="J614" i="10" s="1"/>
  <c r="J638" i="10" s="1"/>
  <c r="J866" i="10" s="1"/>
  <c r="J890" i="10" s="1"/>
  <c r="J914" i="10" s="1"/>
  <c r="H673" i="10"/>
  <c r="H601" i="10"/>
  <c r="H625" i="10" s="1"/>
  <c r="H649" i="10" s="1"/>
  <c r="H877" i="10" s="1"/>
  <c r="H901" i="10" s="1"/>
  <c r="H925" i="10" s="1"/>
  <c r="G665" i="10"/>
  <c r="G593" i="10"/>
  <c r="G617" i="10" s="1"/>
  <c r="G641" i="10" s="1"/>
  <c r="G869" i="10" s="1"/>
  <c r="G893" i="10" s="1"/>
  <c r="G917" i="10" s="1"/>
  <c r="D656" i="10"/>
  <c r="D584" i="10"/>
  <c r="D608" i="10" s="1"/>
  <c r="D632" i="10" s="1"/>
  <c r="D860" i="10" s="1"/>
  <c r="D884" i="10" s="1"/>
  <c r="D908" i="10" s="1"/>
  <c r="F669" i="10"/>
  <c r="F597" i="10"/>
  <c r="F621" i="10" s="1"/>
  <c r="F645" i="10" s="1"/>
  <c r="F873" i="10" s="1"/>
  <c r="F897" i="10" s="1"/>
  <c r="F921" i="10" s="1"/>
  <c r="E663" i="10"/>
  <c r="E591" i="10"/>
  <c r="E615" i="10" s="1"/>
  <c r="E639" i="10" s="1"/>
  <c r="E867" i="10" s="1"/>
  <c r="E891" i="10" s="1"/>
  <c r="E915" i="10" s="1"/>
  <c r="C667" i="10"/>
  <c r="C595" i="10"/>
  <c r="C619" i="10" s="1"/>
  <c r="C643" i="10" s="1"/>
  <c r="C871" i="10" s="1"/>
  <c r="C895" i="10" s="1"/>
  <c r="C919" i="10" s="1"/>
  <c r="K660" i="10"/>
  <c r="K588" i="10"/>
  <c r="K612" i="10" s="1"/>
  <c r="K636" i="10" s="1"/>
  <c r="K864" i="10" s="1"/>
  <c r="K888" i="10" s="1"/>
  <c r="K912" i="10" s="1"/>
  <c r="I664" i="10"/>
  <c r="I592" i="10"/>
  <c r="I616" i="10" s="1"/>
  <c r="I640" i="10" s="1"/>
  <c r="I868" i="10" s="1"/>
  <c r="I892" i="10" s="1"/>
  <c r="I916" i="10" s="1"/>
  <c r="H665" i="10"/>
  <c r="H593" i="10"/>
  <c r="H617" i="10" s="1"/>
  <c r="H641" i="10" s="1"/>
  <c r="H869" i="10" s="1"/>
  <c r="H893" i="10" s="1"/>
  <c r="H917" i="10" s="1"/>
  <c r="C668" i="10"/>
  <c r="C596" i="10"/>
  <c r="C620" i="10" s="1"/>
  <c r="C644" i="10" s="1"/>
  <c r="C872" i="10" s="1"/>
  <c r="C896" i="10" s="1"/>
  <c r="C920" i="10" s="1"/>
  <c r="C665" i="10"/>
  <c r="C593" i="10"/>
  <c r="C617" i="10" s="1"/>
  <c r="C641" i="10" s="1"/>
  <c r="C869" i="10" s="1"/>
  <c r="C893" i="10" s="1"/>
  <c r="C917" i="10" s="1"/>
  <c r="I590" i="10"/>
  <c r="I614" i="10" s="1"/>
  <c r="I638" i="10" s="1"/>
  <c r="I866" i="10" s="1"/>
  <c r="I890" i="10" s="1"/>
  <c r="I914" i="10" s="1"/>
  <c r="I662" i="10"/>
  <c r="H657" i="10"/>
  <c r="H585" i="10"/>
  <c r="H609" i="10" s="1"/>
  <c r="H633" i="10" s="1"/>
  <c r="H861" i="10" s="1"/>
  <c r="H885" i="10" s="1"/>
  <c r="H909" i="10" s="1"/>
  <c r="K595" i="10"/>
  <c r="K619" i="10" s="1"/>
  <c r="K643" i="10" s="1"/>
  <c r="K871" i="10" s="1"/>
  <c r="K895" i="10" s="1"/>
  <c r="K919" i="10" s="1"/>
  <c r="K667" i="10"/>
  <c r="H592" i="10"/>
  <c r="H616" i="10" s="1"/>
  <c r="H640" i="10" s="1"/>
  <c r="H868" i="10" s="1"/>
  <c r="H892" i="10" s="1"/>
  <c r="H916" i="10" s="1"/>
  <c r="H664" i="10"/>
  <c r="E664" i="10"/>
  <c r="E592" i="10"/>
  <c r="E616" i="10" s="1"/>
  <c r="E640" i="10" s="1"/>
  <c r="E868" i="10" s="1"/>
  <c r="E892" i="10" s="1"/>
  <c r="E916" i="10" s="1"/>
  <c r="F599" i="10"/>
  <c r="F623" i="10" s="1"/>
  <c r="F647" i="10" s="1"/>
  <c r="F875" i="10" s="1"/>
  <c r="F899" i="10" s="1"/>
  <c r="F923" i="10" s="1"/>
  <c r="F671" i="10"/>
  <c r="G667" i="10"/>
  <c r="G595" i="10"/>
  <c r="G619" i="10" s="1"/>
  <c r="G643" i="10" s="1"/>
  <c r="G871" i="10" s="1"/>
  <c r="G895" i="10" s="1"/>
  <c r="G919" i="10" s="1"/>
  <c r="I587" i="10"/>
  <c r="I611" i="10" s="1"/>
  <c r="I635" i="10" s="1"/>
  <c r="I863" i="10" s="1"/>
  <c r="I887" i="10" s="1"/>
  <c r="I911" i="10" s="1"/>
  <c r="I659" i="10"/>
  <c r="F655" i="10"/>
  <c r="F583" i="10"/>
  <c r="F607" i="10" s="1"/>
  <c r="F631" i="10" s="1"/>
  <c r="F859" i="10" s="1"/>
  <c r="F883" i="10" s="1"/>
  <c r="F907" i="10" s="1"/>
  <c r="H670" i="10"/>
  <c r="H598" i="10"/>
  <c r="H622" i="10" s="1"/>
  <c r="H646" i="10" s="1"/>
  <c r="H874" i="10" s="1"/>
  <c r="H898" i="10" s="1"/>
  <c r="H922" i="10" s="1"/>
  <c r="K665" i="10"/>
  <c r="K593" i="10"/>
  <c r="K617" i="10" s="1"/>
  <c r="K641" i="10" s="1"/>
  <c r="K869" i="10" s="1"/>
  <c r="K893" i="10" s="1"/>
  <c r="K917" i="10" s="1"/>
  <c r="F658" i="10"/>
  <c r="E672" i="10"/>
  <c r="E600" i="10"/>
  <c r="E624" i="10" s="1"/>
  <c r="E648" i="10" s="1"/>
  <c r="E876" i="10" s="1"/>
  <c r="E900" i="10" s="1"/>
  <c r="E924" i="10" s="1"/>
  <c r="K670" i="10"/>
  <c r="K598" i="10"/>
  <c r="K622" i="10" s="1"/>
  <c r="K646" i="10" s="1"/>
  <c r="K874" i="10" s="1"/>
  <c r="K898" i="10" s="1"/>
  <c r="K922" i="10" s="1"/>
  <c r="D663" i="10"/>
  <c r="D591" i="10"/>
  <c r="D615" i="10" s="1"/>
  <c r="D639" i="10" s="1"/>
  <c r="D867" i="10" s="1"/>
  <c r="D891" i="10" s="1"/>
  <c r="D915" i="10" s="1"/>
  <c r="H663" i="10"/>
  <c r="H591" i="10"/>
  <c r="H615" i="10" s="1"/>
  <c r="H639" i="10" s="1"/>
  <c r="H867" i="10" s="1"/>
  <c r="H891" i="10" s="1"/>
  <c r="H915" i="10" s="1"/>
  <c r="E666" i="10"/>
  <c r="E594" i="10"/>
  <c r="E618" i="10" s="1"/>
  <c r="E642" i="10" s="1"/>
  <c r="E870" i="10" s="1"/>
  <c r="E894" i="10" s="1"/>
  <c r="E918" i="10" s="1"/>
  <c r="G657" i="10"/>
  <c r="G585" i="10"/>
  <c r="G609" i="10" s="1"/>
  <c r="G633" i="10" s="1"/>
  <c r="G861" i="10" s="1"/>
  <c r="G885" i="10" s="1"/>
  <c r="G909" i="10" s="1"/>
  <c r="F663" i="10"/>
  <c r="F591" i="10"/>
  <c r="F615" i="10" s="1"/>
  <c r="F639" i="10" s="1"/>
  <c r="F867" i="10" s="1"/>
  <c r="F891" i="10" s="1"/>
  <c r="F915" i="10" s="1"/>
  <c r="F593" i="10"/>
  <c r="F617" i="10" s="1"/>
  <c r="F641" i="10" s="1"/>
  <c r="F869" i="10" s="1"/>
  <c r="F893" i="10" s="1"/>
  <c r="F917" i="10" s="1"/>
  <c r="F665" i="10"/>
  <c r="J655" i="10"/>
  <c r="J583" i="10"/>
  <c r="J607" i="10" s="1"/>
  <c r="J631" i="10" s="1"/>
  <c r="J859" i="10" s="1"/>
  <c r="J883" i="10" s="1"/>
  <c r="J907" i="10" s="1"/>
  <c r="H595" i="10"/>
  <c r="H619" i="10" s="1"/>
  <c r="H643" i="10" s="1"/>
  <c r="H871" i="10" s="1"/>
  <c r="H895" i="10" s="1"/>
  <c r="H919" i="10" s="1"/>
  <c r="H667" i="10"/>
  <c r="I661" i="10"/>
  <c r="I589" i="10"/>
  <c r="I613" i="10" s="1"/>
  <c r="I637" i="10" s="1"/>
  <c r="I865" i="10" s="1"/>
  <c r="I889" i="10" s="1"/>
  <c r="I913" i="10" s="1"/>
  <c r="E667" i="10"/>
  <c r="E595" i="10"/>
  <c r="E619" i="10" s="1"/>
  <c r="E643" i="10" s="1"/>
  <c r="E871" i="10" s="1"/>
  <c r="E895" i="10" s="1"/>
  <c r="E919" i="10" s="1"/>
  <c r="J670" i="10"/>
  <c r="J598" i="10"/>
  <c r="J622" i="10" s="1"/>
  <c r="J646" i="10" s="1"/>
  <c r="J874" i="10" s="1"/>
  <c r="J898" i="10" s="1"/>
  <c r="J922" i="10" s="1"/>
  <c r="C660" i="10"/>
  <c r="C588" i="10"/>
  <c r="C612" i="10" s="1"/>
  <c r="C636" i="10" s="1"/>
  <c r="C864" i="10" s="1"/>
  <c r="C888" i="10" s="1"/>
  <c r="C912" i="10" s="1"/>
  <c r="D669" i="10"/>
  <c r="D597" i="10"/>
  <c r="D621" i="10" s="1"/>
  <c r="D645" i="10" s="1"/>
  <c r="D873" i="10" s="1"/>
  <c r="D897" i="10" s="1"/>
  <c r="D921" i="10" s="1"/>
  <c r="G669" i="10"/>
  <c r="G597" i="10"/>
  <c r="G621" i="10" s="1"/>
  <c r="G645" i="10" s="1"/>
  <c r="G873" i="10" s="1"/>
  <c r="G897" i="10" s="1"/>
  <c r="G921" i="10" s="1"/>
  <c r="C672" i="10"/>
  <c r="C600" i="10"/>
  <c r="C624" i="10" s="1"/>
  <c r="C648" i="10" s="1"/>
  <c r="C876" i="10" s="1"/>
  <c r="C900" i="10" s="1"/>
  <c r="C924" i="10" s="1"/>
  <c r="F667" i="10"/>
  <c r="F595" i="10"/>
  <c r="F619" i="10" s="1"/>
  <c r="F643" i="10" s="1"/>
  <c r="F871" i="10" s="1"/>
  <c r="F895" i="10" s="1"/>
  <c r="F919" i="10" s="1"/>
  <c r="G673" i="10"/>
  <c r="G601" i="10"/>
  <c r="G625" i="10" s="1"/>
  <c r="G649" i="10" s="1"/>
  <c r="G877" i="10" s="1"/>
  <c r="G901" i="10" s="1"/>
  <c r="G925" i="10" s="1"/>
  <c r="G589" i="10"/>
  <c r="G613" i="10" s="1"/>
  <c r="G637" i="10" s="1"/>
  <c r="G865" i="10" s="1"/>
  <c r="G889" i="10" s="1"/>
  <c r="G913" i="10" s="1"/>
  <c r="G661" i="10"/>
  <c r="D655" i="10"/>
  <c r="D583" i="10"/>
  <c r="D607" i="10" s="1"/>
  <c r="D631" i="10" s="1"/>
  <c r="D859" i="10" s="1"/>
  <c r="D883" i="10" s="1"/>
  <c r="D907" i="10" s="1"/>
  <c r="I668" i="10"/>
  <c r="I596" i="10"/>
  <c r="I620" i="10" s="1"/>
  <c r="I644" i="10" s="1"/>
  <c r="I872" i="10" s="1"/>
  <c r="I896" i="10" s="1"/>
  <c r="I920" i="10" s="1"/>
  <c r="C592" i="10"/>
  <c r="C616" i="10" s="1"/>
  <c r="C640" i="10" s="1"/>
  <c r="C868" i="10" s="1"/>
  <c r="C892" i="10" s="1"/>
  <c r="C916" i="10" s="1"/>
  <c r="C664" i="10"/>
  <c r="D671" i="10"/>
  <c r="D599" i="10"/>
  <c r="D623" i="10" s="1"/>
  <c r="D647" i="10" s="1"/>
  <c r="D875" i="10" s="1"/>
  <c r="D899" i="10" s="1"/>
  <c r="D923" i="10" s="1"/>
  <c r="E655" i="10"/>
  <c r="E583" i="10"/>
  <c r="E607" i="10" s="1"/>
  <c r="E631" i="10" s="1"/>
  <c r="E859" i="10" s="1"/>
  <c r="E883" i="10" s="1"/>
  <c r="E907" i="10" s="1"/>
  <c r="D657" i="10"/>
  <c r="D585" i="10"/>
  <c r="D609" i="10" s="1"/>
  <c r="D633" i="10" s="1"/>
  <c r="D861" i="10" s="1"/>
  <c r="D885" i="10" s="1"/>
  <c r="D909" i="10" s="1"/>
  <c r="J664" i="10"/>
  <c r="J592" i="10"/>
  <c r="J616" i="10" s="1"/>
  <c r="J640" i="10" s="1"/>
  <c r="J868" i="10" s="1"/>
  <c r="J892" i="10" s="1"/>
  <c r="J916" i="10" s="1"/>
  <c r="K668" i="10"/>
  <c r="K596" i="10"/>
  <c r="K620" i="10" s="1"/>
  <c r="K644" i="10" s="1"/>
  <c r="K872" i="10" s="1"/>
  <c r="K896" i="10" s="1"/>
  <c r="K920" i="10" s="1"/>
  <c r="K671" i="10"/>
  <c r="K599" i="10"/>
  <c r="K623" i="10" s="1"/>
  <c r="K647" i="10" s="1"/>
  <c r="K875" i="10" s="1"/>
  <c r="K899" i="10" s="1"/>
  <c r="K923" i="10" s="1"/>
  <c r="I667" i="10"/>
  <c r="I595" i="10"/>
  <c r="I619" i="10" s="1"/>
  <c r="I643" i="10" s="1"/>
  <c r="I871" i="10" s="1"/>
  <c r="I895" i="10" s="1"/>
  <c r="I919" i="10" s="1"/>
  <c r="F670" i="10"/>
  <c r="F598" i="10"/>
  <c r="F622" i="10" s="1"/>
  <c r="F646" i="10" s="1"/>
  <c r="F874" i="10" s="1"/>
  <c r="F898" i="10" s="1"/>
  <c r="F922" i="10" s="1"/>
  <c r="C586" i="10"/>
  <c r="C610" i="10" s="1"/>
  <c r="C634" i="10" s="1"/>
  <c r="C862" i="10" s="1"/>
  <c r="C886" i="10" s="1"/>
  <c r="C910" i="10" s="1"/>
  <c r="C658" i="10"/>
  <c r="K602" i="10"/>
  <c r="K626" i="10" s="1"/>
  <c r="K650" i="10" s="1"/>
  <c r="K878" i="10" s="1"/>
  <c r="K902" i="10" s="1"/>
  <c r="K926" i="10" s="1"/>
  <c r="K674" i="10"/>
  <c r="I660" i="10"/>
  <c r="I588" i="10"/>
  <c r="I612" i="10" s="1"/>
  <c r="I636" i="10" s="1"/>
  <c r="I864" i="10" s="1"/>
  <c r="I888" i="10" s="1"/>
  <c r="I912" i="10" s="1"/>
  <c r="J672" i="10"/>
  <c r="J600" i="10"/>
  <c r="J624" i="10" s="1"/>
  <c r="J648" i="10" s="1"/>
  <c r="J876" i="10" s="1"/>
  <c r="J900" i="10" s="1"/>
  <c r="J924" i="10" s="1"/>
  <c r="G663" i="10"/>
  <c r="G591" i="10"/>
  <c r="G615" i="10" s="1"/>
  <c r="G639" i="10" s="1"/>
  <c r="G867" i="10" s="1"/>
  <c r="G891" i="10" s="1"/>
  <c r="G915" i="10" s="1"/>
  <c r="K597" i="10"/>
  <c r="K621" i="10" s="1"/>
  <c r="K645" i="10" s="1"/>
  <c r="K873" i="10" s="1"/>
  <c r="K897" i="10" s="1"/>
  <c r="K921" i="10" s="1"/>
  <c r="K669" i="10"/>
  <c r="F584" i="10"/>
  <c r="F608" i="10" s="1"/>
  <c r="F632" i="10" s="1"/>
  <c r="F860" i="10" s="1"/>
  <c r="F884" i="10" s="1"/>
  <c r="F908" i="10" s="1"/>
  <c r="F656" i="10"/>
  <c r="H666" i="10"/>
  <c r="H594" i="10"/>
  <c r="H618" i="10" s="1"/>
  <c r="H642" i="10" s="1"/>
  <c r="H870" i="10" s="1"/>
  <c r="H894" i="10" s="1"/>
  <c r="H918" i="10" s="1"/>
  <c r="C589" i="10"/>
  <c r="C613" i="10" s="1"/>
  <c r="C637" i="10" s="1"/>
  <c r="C865" i="10" s="1"/>
  <c r="C889" i="10" s="1"/>
  <c r="C913" i="10" s="1"/>
  <c r="C661" i="10"/>
  <c r="D667" i="10"/>
  <c r="D595" i="10"/>
  <c r="D619" i="10" s="1"/>
  <c r="D643" i="10" s="1"/>
  <c r="D871" i="10" s="1"/>
  <c r="D895" i="10" s="1"/>
  <c r="D919" i="10" s="1"/>
  <c r="E657" i="10"/>
  <c r="E585" i="10"/>
  <c r="E609" i="10" s="1"/>
  <c r="E633" i="10" s="1"/>
  <c r="E861" i="10" s="1"/>
  <c r="E885" i="10" s="1"/>
  <c r="E909" i="10" s="1"/>
  <c r="C663" i="10"/>
  <c r="C591" i="10"/>
  <c r="C615" i="10" s="1"/>
  <c r="C639" i="10" s="1"/>
  <c r="C867" i="10" s="1"/>
  <c r="C891" i="10" s="1"/>
  <c r="C915" i="10" s="1"/>
  <c r="F602" i="10"/>
  <c r="F626" i="10" s="1"/>
  <c r="F650" i="10" s="1"/>
  <c r="F878" i="10" s="1"/>
  <c r="F902" i="10" s="1"/>
  <c r="F926" i="10" s="1"/>
  <c r="F674" i="10"/>
  <c r="J597" i="10"/>
  <c r="J621" i="10" s="1"/>
  <c r="J645" i="10" s="1"/>
  <c r="J873" i="10" s="1"/>
  <c r="J897" i="10" s="1"/>
  <c r="J921" i="10" s="1"/>
  <c r="J669" i="10"/>
  <c r="D598" i="10"/>
  <c r="D622" i="10" s="1"/>
  <c r="D646" i="10" s="1"/>
  <c r="D874" i="10" s="1"/>
  <c r="D898" i="10" s="1"/>
  <c r="D922" i="10" s="1"/>
  <c r="D670" i="10"/>
  <c r="H672" i="10"/>
  <c r="H600" i="10"/>
  <c r="H624" i="10" s="1"/>
  <c r="H648" i="10" s="1"/>
  <c r="H876" i="10" s="1"/>
  <c r="H900" i="10" s="1"/>
  <c r="H924" i="10" s="1"/>
  <c r="G660" i="10"/>
  <c r="G588" i="10"/>
  <c r="G612" i="10" s="1"/>
  <c r="G636" i="10" s="1"/>
  <c r="G864" i="10" s="1"/>
  <c r="G888" i="10" s="1"/>
  <c r="G912" i="10" s="1"/>
  <c r="K656" i="10"/>
  <c r="K584" i="10"/>
  <c r="K608" i="10" s="1"/>
  <c r="K632" i="10" s="1"/>
  <c r="K860" i="10" s="1"/>
  <c r="K884" i="10" s="1"/>
  <c r="K908" i="10" s="1"/>
  <c r="D659" i="10"/>
  <c r="D587" i="10"/>
  <c r="D611" i="10" s="1"/>
  <c r="D635" i="10" s="1"/>
  <c r="D863" i="10" s="1"/>
  <c r="D887" i="10" s="1"/>
  <c r="D911" i="10" s="1"/>
  <c r="E535" i="10"/>
  <c r="E559" i="10" s="1"/>
  <c r="H530" i="10"/>
  <c r="H554" i="10" s="1"/>
  <c r="I541" i="10"/>
  <c r="I565" i="10" s="1"/>
  <c r="G537" i="10"/>
  <c r="G561" i="10" s="1"/>
  <c r="I545" i="10"/>
  <c r="I569" i="10" s="1"/>
  <c r="F547" i="10"/>
  <c r="F571" i="10" s="1"/>
  <c r="D539" i="10"/>
  <c r="D563" i="10" s="1"/>
  <c r="D547" i="10"/>
  <c r="D571" i="10" s="1"/>
  <c r="J546" i="10"/>
  <c r="J570" i="10" s="1"/>
  <c r="B1300" i="10"/>
  <c r="G1300" i="10"/>
  <c r="H531" i="10"/>
  <c r="H555" i="10" s="1"/>
  <c r="F734" i="10"/>
  <c r="F763" i="10" s="1"/>
  <c r="F787" i="10" s="1"/>
  <c r="F811" i="10" s="1"/>
  <c r="F943" i="10" s="1"/>
  <c r="F967" i="10" s="1"/>
  <c r="F991" i="10" s="1"/>
  <c r="C840" i="10"/>
  <c r="I739" i="10"/>
  <c r="I768" i="10" s="1"/>
  <c r="I792" i="10" s="1"/>
  <c r="I816" i="10" s="1"/>
  <c r="I948" i="10" s="1"/>
  <c r="I972" i="10" s="1"/>
  <c r="I996" i="10" s="1"/>
  <c r="I840" i="10"/>
  <c r="E839" i="10"/>
  <c r="E738" i="10"/>
  <c r="E767" i="10" s="1"/>
  <c r="E791" i="10" s="1"/>
  <c r="E815" i="10" s="1"/>
  <c r="E947" i="10" s="1"/>
  <c r="E971" i="10" s="1"/>
  <c r="E995" i="10" s="1"/>
  <c r="G38" i="7"/>
  <c r="I38" i="7"/>
  <c r="I65" i="6"/>
  <c r="G65" i="6"/>
  <c r="D65" i="6"/>
  <c r="D58" i="6"/>
  <c r="I56" i="6"/>
  <c r="G56" i="6"/>
  <c r="I55" i="6"/>
  <c r="G55" i="6"/>
  <c r="I54" i="6"/>
  <c r="G54" i="6"/>
  <c r="I53" i="6"/>
  <c r="G53" i="6"/>
  <c r="I52" i="6"/>
  <c r="G52" i="6"/>
  <c r="I51" i="6"/>
  <c r="G51" i="6"/>
  <c r="I50" i="6"/>
  <c r="G50" i="6"/>
  <c r="I49" i="6"/>
  <c r="G49" i="6"/>
  <c r="I48" i="6"/>
  <c r="G48" i="6"/>
  <c r="I47" i="6"/>
  <c r="G47" i="6"/>
  <c r="I46" i="6"/>
  <c r="G46" i="6"/>
  <c r="I45" i="6"/>
  <c r="G45" i="6"/>
  <c r="I44" i="6"/>
  <c r="G44" i="6"/>
  <c r="I43" i="6"/>
  <c r="G43" i="6"/>
  <c r="I42" i="6"/>
  <c r="G42" i="6"/>
  <c r="I41" i="6"/>
  <c r="G41" i="6"/>
  <c r="I40" i="6"/>
  <c r="G40" i="6"/>
  <c r="I39" i="6"/>
  <c r="G39" i="6"/>
  <c r="I38" i="6"/>
  <c r="G38" i="6"/>
  <c r="I37" i="6"/>
  <c r="G37" i="6"/>
  <c r="I36" i="6"/>
  <c r="G36" i="6"/>
  <c r="I35" i="6"/>
  <c r="G35" i="6"/>
  <c r="I34" i="6"/>
  <c r="G34" i="6"/>
  <c r="I33" i="6"/>
  <c r="G33" i="6"/>
  <c r="I32" i="6"/>
  <c r="G32" i="6"/>
  <c r="I31" i="6"/>
  <c r="G31" i="6"/>
  <c r="I30" i="6"/>
  <c r="G30" i="6"/>
  <c r="I29" i="6"/>
  <c r="G29" i="6"/>
  <c r="I28" i="6"/>
  <c r="G28" i="6"/>
  <c r="I27" i="6"/>
  <c r="G27" i="6"/>
  <c r="I26" i="6"/>
  <c r="G26" i="6"/>
  <c r="I25" i="6"/>
  <c r="G25" i="6"/>
  <c r="I24" i="6"/>
  <c r="G24" i="6"/>
  <c r="I23" i="6"/>
  <c r="G23" i="6"/>
  <c r="I22" i="6"/>
  <c r="G22" i="6"/>
  <c r="I21" i="6"/>
  <c r="G21" i="6"/>
  <c r="I20" i="6"/>
  <c r="G20" i="6"/>
  <c r="I19" i="6"/>
  <c r="G19" i="6"/>
  <c r="I18" i="6"/>
  <c r="G18" i="6"/>
  <c r="I17" i="6"/>
  <c r="G17" i="6"/>
  <c r="I16" i="6"/>
  <c r="G16" i="6"/>
  <c r="I15" i="6"/>
  <c r="G15" i="6"/>
  <c r="I14" i="6"/>
  <c r="G14" i="6"/>
  <c r="I13" i="6"/>
  <c r="G13" i="6"/>
  <c r="E598" i="10" l="1"/>
  <c r="E622" i="10" s="1"/>
  <c r="E646" i="10" s="1"/>
  <c r="E874" i="10" s="1"/>
  <c r="E898" i="10" s="1"/>
  <c r="E922" i="10" s="1"/>
  <c r="I591" i="10"/>
  <c r="I615" i="10" s="1"/>
  <c r="I639" i="10" s="1"/>
  <c r="I867" i="10" s="1"/>
  <c r="I891" i="10" s="1"/>
  <c r="I915" i="10" s="1"/>
  <c r="I602" i="10"/>
  <c r="I626" i="10" s="1"/>
  <c r="I650" i="10" s="1"/>
  <c r="I878" i="10" s="1"/>
  <c r="I902" i="10" s="1"/>
  <c r="I926" i="10" s="1"/>
  <c r="J585" i="10"/>
  <c r="J609" i="10" s="1"/>
  <c r="J633" i="10" s="1"/>
  <c r="J861" i="10" s="1"/>
  <c r="J885" i="10" s="1"/>
  <c r="J909" i="10" s="1"/>
  <c r="D589" i="10"/>
  <c r="D613" i="10" s="1"/>
  <c r="D637" i="10" s="1"/>
  <c r="D865" i="10" s="1"/>
  <c r="D889" i="10" s="1"/>
  <c r="D913" i="10" s="1"/>
  <c r="D839" i="10"/>
  <c r="G1231" i="10"/>
  <c r="I1229" i="10"/>
  <c r="F1242" i="10"/>
  <c r="I1234" i="10"/>
  <c r="E1239" i="10"/>
  <c r="E1233" i="10"/>
  <c r="J1232" i="10"/>
  <c r="E1238" i="10"/>
  <c r="F1246" i="10"/>
  <c r="G1232" i="10"/>
  <c r="K1243" i="10"/>
  <c r="F1236" i="10"/>
  <c r="K1230" i="10"/>
  <c r="G1230" i="10"/>
  <c r="I1228" i="10"/>
  <c r="K1244" i="10"/>
  <c r="D1245" i="10"/>
  <c r="H1245" i="10"/>
  <c r="H1237" i="10"/>
  <c r="G1227" i="10"/>
  <c r="G1241" i="10"/>
  <c r="E1230" i="10"/>
  <c r="G1240" i="10"/>
  <c r="H1230" i="10"/>
  <c r="I1245" i="10"/>
  <c r="H1234" i="10"/>
  <c r="C1245" i="10"/>
  <c r="F1233" i="10"/>
  <c r="D1238" i="10"/>
  <c r="E1227" i="10"/>
  <c r="F1238" i="10"/>
  <c r="F1229" i="10"/>
  <c r="J1241" i="10"/>
  <c r="H1229" i="10"/>
  <c r="K1236" i="10"/>
  <c r="E1244" i="10"/>
  <c r="C1227" i="10"/>
  <c r="D1244" i="10"/>
  <c r="J1242" i="10"/>
  <c r="J1234" i="10"/>
  <c r="C1234" i="10"/>
  <c r="I1246" i="10"/>
  <c r="E1232" i="10"/>
  <c r="D1228" i="10"/>
  <c r="K1239" i="10"/>
  <c r="H1246" i="10"/>
  <c r="E665" i="10"/>
  <c r="J1228" i="10"/>
  <c r="C1243" i="10"/>
  <c r="J1246" i="10"/>
  <c r="D1227" i="10"/>
  <c r="F1244" i="10"/>
  <c r="H1238" i="10"/>
  <c r="D1243" i="10"/>
  <c r="C1241" i="10"/>
  <c r="I1230" i="10"/>
  <c r="I1231" i="10"/>
  <c r="H1235" i="10"/>
  <c r="D1242" i="10"/>
  <c r="J1236" i="10"/>
  <c r="C1246" i="10"/>
  <c r="I1239" i="10"/>
  <c r="G1238" i="10"/>
  <c r="I1233" i="10"/>
  <c r="G1246" i="10"/>
  <c r="J1238" i="10"/>
  <c r="H1241" i="10"/>
  <c r="G1243" i="10"/>
  <c r="H1244" i="10"/>
  <c r="E1234" i="10"/>
  <c r="D1239" i="10"/>
  <c r="E1240" i="10"/>
  <c r="D1229" i="10"/>
  <c r="F1232" i="10"/>
  <c r="E1243" i="10"/>
  <c r="C1242" i="10"/>
  <c r="J1227" i="10"/>
  <c r="C1239" i="10"/>
  <c r="G1245" i="10"/>
  <c r="J1231" i="10"/>
  <c r="H1243" i="10"/>
  <c r="H1240" i="10"/>
  <c r="F1245" i="10"/>
  <c r="D1233" i="10"/>
  <c r="K1227" i="10"/>
  <c r="J1243" i="10"/>
  <c r="G1234" i="10"/>
  <c r="J1239" i="10"/>
  <c r="K1231" i="10"/>
  <c r="G1242" i="10"/>
  <c r="E1235" i="10"/>
  <c r="K1246" i="10"/>
  <c r="H1239" i="10"/>
  <c r="C1229" i="10"/>
  <c r="C1232" i="10"/>
  <c r="D1246" i="10"/>
  <c r="K1229" i="10"/>
  <c r="K1242" i="10"/>
  <c r="F1234" i="10"/>
  <c r="D1235" i="10"/>
  <c r="D1237" i="10"/>
  <c r="F1237" i="10"/>
  <c r="C1228" i="10"/>
  <c r="F1231" i="10"/>
  <c r="C1237" i="10"/>
  <c r="E1228" i="10"/>
  <c r="K1228" i="10"/>
  <c r="C1233" i="10"/>
  <c r="H1233" i="10"/>
  <c r="C1236" i="10"/>
  <c r="D1232" i="10"/>
  <c r="E1229" i="10"/>
  <c r="I1236" i="10"/>
  <c r="F1230" i="10"/>
  <c r="I1240" i="10"/>
  <c r="C1238" i="10"/>
  <c r="D1230" i="10"/>
  <c r="G1239" i="10"/>
  <c r="J1229" i="10"/>
  <c r="I1227" i="10"/>
  <c r="C1244" i="10"/>
  <c r="E1231" i="10"/>
  <c r="D1234" i="10"/>
  <c r="E1245" i="10"/>
  <c r="K1237" i="10"/>
  <c r="J1244" i="10"/>
  <c r="F1227" i="10"/>
  <c r="C1231" i="10"/>
  <c r="J1233" i="10"/>
  <c r="F1239" i="10"/>
  <c r="D1236" i="10"/>
  <c r="E1246" i="10"/>
  <c r="K1234" i="10"/>
  <c r="F1235" i="10"/>
  <c r="J1245" i="10"/>
  <c r="G1229" i="10"/>
  <c r="K1235" i="10"/>
  <c r="I1244" i="10"/>
  <c r="G1233" i="10"/>
  <c r="H1227" i="10"/>
  <c r="I1235" i="10"/>
  <c r="H1232" i="10"/>
  <c r="I1242" i="10"/>
  <c r="K1245" i="10"/>
  <c r="G1236" i="10"/>
  <c r="F1240" i="10"/>
  <c r="K1238" i="10"/>
  <c r="E1236" i="10"/>
  <c r="E1241" i="10"/>
  <c r="E1242" i="10"/>
  <c r="G1228" i="10"/>
  <c r="D1240" i="10"/>
  <c r="H1242" i="10"/>
  <c r="I1243" i="10"/>
  <c r="J1235" i="10"/>
  <c r="F1243" i="10"/>
  <c r="C1235" i="10"/>
  <c r="C1230" i="10"/>
  <c r="K1233" i="10"/>
  <c r="J1237" i="10"/>
  <c r="J1240" i="10"/>
  <c r="D1241" i="10"/>
  <c r="G1237" i="10"/>
  <c r="F1241" i="10"/>
  <c r="I1241" i="10"/>
  <c r="D1231" i="10"/>
  <c r="H1228" i="10"/>
  <c r="K1240" i="10"/>
  <c r="F1228" i="10"/>
  <c r="I1238" i="10"/>
  <c r="J1230" i="10"/>
  <c r="G1235" i="10"/>
  <c r="K1241" i="10"/>
  <c r="H1231" i="10"/>
  <c r="I1232" i="10"/>
  <c r="D743" i="10"/>
  <c r="D772" i="10" s="1"/>
  <c r="D796" i="10" s="1"/>
  <c r="D820" i="10" s="1"/>
  <c r="D952" i="10" s="1"/>
  <c r="D976" i="10" s="1"/>
  <c r="D1000" i="10" s="1"/>
  <c r="D742" i="10"/>
  <c r="D771" i="10" s="1"/>
  <c r="D795" i="10" s="1"/>
  <c r="D819" i="10" s="1"/>
  <c r="D951" i="10" s="1"/>
  <c r="D975" i="10" s="1"/>
  <c r="D999" i="10" s="1"/>
  <c r="C837" i="10"/>
  <c r="I843" i="10"/>
  <c r="H731" i="10"/>
  <c r="H760" i="10" s="1"/>
  <c r="H784" i="10" s="1"/>
  <c r="H808" i="10" s="1"/>
  <c r="H940" i="10" s="1"/>
  <c r="H964" i="10" s="1"/>
  <c r="H988" i="10" s="1"/>
  <c r="C737" i="10"/>
  <c r="C766" i="10" s="1"/>
  <c r="C790" i="10" s="1"/>
  <c r="C814" i="10" s="1"/>
  <c r="C946" i="10" s="1"/>
  <c r="C970" i="10" s="1"/>
  <c r="C994" i="10" s="1"/>
  <c r="E739" i="10"/>
  <c r="E768" i="10" s="1"/>
  <c r="E792" i="10" s="1"/>
  <c r="E816" i="10" s="1"/>
  <c r="E948" i="10" s="1"/>
  <c r="E972" i="10" s="1"/>
  <c r="E996" i="10" s="1"/>
  <c r="F741" i="10"/>
  <c r="F770" i="10" s="1"/>
  <c r="F794" i="10" s="1"/>
  <c r="F818" i="10" s="1"/>
  <c r="F950" i="10" s="1"/>
  <c r="F974" i="10" s="1"/>
  <c r="F998" i="10" s="1"/>
  <c r="H841" i="10"/>
  <c r="C731" i="10"/>
  <c r="C760" i="10" s="1"/>
  <c r="C784" i="10" s="1"/>
  <c r="C808" i="10" s="1"/>
  <c r="C940" i="10" s="1"/>
  <c r="C964" i="10" s="1"/>
  <c r="C988" i="10" s="1"/>
  <c r="F728" i="10"/>
  <c r="F757" i="10" s="1"/>
  <c r="F781" i="10" s="1"/>
  <c r="F805" i="10" s="1"/>
  <c r="F937" i="10" s="1"/>
  <c r="F961" i="10" s="1"/>
  <c r="F985" i="10" s="1"/>
  <c r="K828" i="10"/>
  <c r="K732" i="10"/>
  <c r="K761" i="10" s="1"/>
  <c r="K785" i="10" s="1"/>
  <c r="K809" i="10" s="1"/>
  <c r="K941" i="10" s="1"/>
  <c r="K965" i="10" s="1"/>
  <c r="K989" i="10" s="1"/>
  <c r="G843" i="10"/>
  <c r="I740" i="10"/>
  <c r="I769" i="10" s="1"/>
  <c r="I793" i="10" s="1"/>
  <c r="I817" i="10" s="1"/>
  <c r="I949" i="10" s="1"/>
  <c r="I973" i="10" s="1"/>
  <c r="I997" i="10" s="1"/>
  <c r="J729" i="10"/>
  <c r="J758" i="10" s="1"/>
  <c r="J782" i="10" s="1"/>
  <c r="J806" i="10" s="1"/>
  <c r="J938" i="10" s="1"/>
  <c r="J962" i="10" s="1"/>
  <c r="J986" i="10" s="1"/>
  <c r="F745" i="10"/>
  <c r="F774" i="10" s="1"/>
  <c r="F798" i="10" s="1"/>
  <c r="F822" i="10" s="1"/>
  <c r="F954" i="10" s="1"/>
  <c r="F978" i="10" s="1"/>
  <c r="F1002" i="10" s="1"/>
  <c r="D831" i="10"/>
  <c r="H734" i="10"/>
  <c r="H763" i="10" s="1"/>
  <c r="H787" i="10" s="1"/>
  <c r="H811" i="10" s="1"/>
  <c r="H943" i="10" s="1"/>
  <c r="H967" i="10" s="1"/>
  <c r="H991" i="10" s="1"/>
  <c r="J839" i="10"/>
  <c r="J730" i="10"/>
  <c r="J759" i="10" s="1"/>
  <c r="J783" i="10" s="1"/>
  <c r="J807" i="10" s="1"/>
  <c r="J939" i="10" s="1"/>
  <c r="J963" i="10" s="1"/>
  <c r="J987" i="10" s="1"/>
  <c r="G846" i="10"/>
  <c r="G841" i="10"/>
  <c r="D833" i="10"/>
  <c r="H844" i="10"/>
  <c r="K838" i="10"/>
  <c r="D832" i="10"/>
  <c r="G734" i="10"/>
  <c r="G763" i="10" s="1"/>
  <c r="G787" i="10" s="1"/>
  <c r="G811" i="10" s="1"/>
  <c r="G943" i="10" s="1"/>
  <c r="G967" i="10" s="1"/>
  <c r="G991" i="10" s="1"/>
  <c r="K746" i="10"/>
  <c r="K775" i="10" s="1"/>
  <c r="K799" i="10" s="1"/>
  <c r="K823" i="10" s="1"/>
  <c r="K955" i="10" s="1"/>
  <c r="K979" i="10" s="1"/>
  <c r="K1003" i="10" s="1"/>
  <c r="K845" i="10"/>
  <c r="I828" i="10"/>
  <c r="J735" i="10"/>
  <c r="J764" i="10" s="1"/>
  <c r="J788" i="10" s="1"/>
  <c r="J812" i="10" s="1"/>
  <c r="J944" i="10" s="1"/>
  <c r="J968" i="10" s="1"/>
  <c r="J992" i="10" s="1"/>
  <c r="D829" i="10"/>
  <c r="C839" i="10"/>
  <c r="G729" i="10"/>
  <c r="G758" i="10" s="1"/>
  <c r="G782" i="10" s="1"/>
  <c r="G806" i="10" s="1"/>
  <c r="G938" i="10" s="1"/>
  <c r="G962" i="10" s="1"/>
  <c r="G986" i="10" s="1"/>
  <c r="E847" i="10"/>
  <c r="I734" i="10"/>
  <c r="I763" i="10" s="1"/>
  <c r="I787" i="10" s="1"/>
  <c r="I811" i="10" s="1"/>
  <c r="I943" i="10" s="1"/>
  <c r="I967" i="10" s="1"/>
  <c r="I991" i="10" s="1"/>
  <c r="J847" i="10"/>
  <c r="C836" i="10"/>
  <c r="C741" i="10"/>
  <c r="C770" i="10" s="1"/>
  <c r="C794" i="10" s="1"/>
  <c r="C818" i="10" s="1"/>
  <c r="C950" i="10" s="1"/>
  <c r="C974" i="10" s="1"/>
  <c r="C998" i="10" s="1"/>
  <c r="G744" i="10"/>
  <c r="G773" i="10" s="1"/>
  <c r="G797" i="10" s="1"/>
  <c r="G821" i="10" s="1"/>
  <c r="G953" i="10" s="1"/>
  <c r="G977" i="10" s="1"/>
  <c r="G1001" i="10" s="1"/>
  <c r="E744" i="10"/>
  <c r="E773" i="10" s="1"/>
  <c r="E797" i="10" s="1"/>
  <c r="E821" i="10" s="1"/>
  <c r="E953" i="10" s="1"/>
  <c r="E977" i="10" s="1"/>
  <c r="E1001" i="10" s="1"/>
  <c r="K843" i="10"/>
  <c r="G738" i="10"/>
  <c r="G767" i="10" s="1"/>
  <c r="G791" i="10" s="1"/>
  <c r="G815" i="10" s="1"/>
  <c r="G947" i="10" s="1"/>
  <c r="G971" i="10" s="1"/>
  <c r="G995" i="10" s="1"/>
  <c r="K830" i="10"/>
  <c r="K743" i="10"/>
  <c r="K772" i="10" s="1"/>
  <c r="K796" i="10" s="1"/>
  <c r="K820" i="10" s="1"/>
  <c r="K952" i="10" s="1"/>
  <c r="K976" i="10" s="1"/>
  <c r="K1000" i="10" s="1"/>
  <c r="D841" i="10"/>
  <c r="J739" i="10"/>
  <c r="J768" i="10" s="1"/>
  <c r="J792" i="10" s="1"/>
  <c r="J816" i="10" s="1"/>
  <c r="J948" i="10" s="1"/>
  <c r="J972" i="10" s="1"/>
  <c r="J996" i="10" s="1"/>
  <c r="H846" i="10"/>
  <c r="I838" i="10"/>
  <c r="K839" i="10"/>
  <c r="H727" i="10"/>
  <c r="H756" i="10" s="1"/>
  <c r="H780" i="10" s="1"/>
  <c r="H804" i="10" s="1"/>
  <c r="H936" i="10" s="1"/>
  <c r="H960" i="10" s="1"/>
  <c r="H984" i="10" s="1"/>
  <c r="C744" i="10"/>
  <c r="C773" i="10" s="1"/>
  <c r="C797" i="10" s="1"/>
  <c r="C821" i="10" s="1"/>
  <c r="C953" i="10" s="1"/>
  <c r="C977" i="10" s="1"/>
  <c r="C1001" i="10" s="1"/>
  <c r="K735" i="10"/>
  <c r="K764" i="10" s="1"/>
  <c r="K788" i="10" s="1"/>
  <c r="K812" i="10" s="1"/>
  <c r="K944" i="10" s="1"/>
  <c r="K968" i="10" s="1"/>
  <c r="K992" i="10" s="1"/>
  <c r="I731" i="10"/>
  <c r="I760" i="10" s="1"/>
  <c r="I784" i="10" s="1"/>
  <c r="I808" i="10" s="1"/>
  <c r="I940" i="10" s="1"/>
  <c r="I964" i="10" s="1"/>
  <c r="I988" i="10" s="1"/>
  <c r="K846" i="10"/>
  <c r="H735" i="10"/>
  <c r="H764" i="10" s="1"/>
  <c r="H788" i="10" s="1"/>
  <c r="H812" i="10" s="1"/>
  <c r="H944" i="10" s="1"/>
  <c r="H968" i="10" s="1"/>
  <c r="H992" i="10" s="1"/>
  <c r="E732" i="10"/>
  <c r="E761" i="10" s="1"/>
  <c r="E785" i="10" s="1"/>
  <c r="E809" i="10" s="1"/>
  <c r="E941" i="10" s="1"/>
  <c r="E965" i="10" s="1"/>
  <c r="E989" i="10" s="1"/>
  <c r="C828" i="10"/>
  <c r="I730" i="10"/>
  <c r="I759" i="10" s="1"/>
  <c r="I783" i="10" s="1"/>
  <c r="I807" i="10" s="1"/>
  <c r="I939" i="10" s="1"/>
  <c r="I963" i="10" s="1"/>
  <c r="I987" i="10" s="1"/>
  <c r="E830" i="10"/>
  <c r="E832" i="10"/>
  <c r="J731" i="10"/>
  <c r="J760" i="10" s="1"/>
  <c r="J784" i="10" s="1"/>
  <c r="J808" i="10" s="1"/>
  <c r="J940" i="10" s="1"/>
  <c r="J964" i="10" s="1"/>
  <c r="J988" i="10" s="1"/>
  <c r="C847" i="10"/>
  <c r="F735" i="10"/>
  <c r="F764" i="10" s="1"/>
  <c r="F788" i="10" s="1"/>
  <c r="F812" i="10" s="1"/>
  <c r="F944" i="10" s="1"/>
  <c r="F968" i="10" s="1"/>
  <c r="F992" i="10" s="1"/>
  <c r="F833" i="10"/>
  <c r="I733" i="10"/>
  <c r="I762" i="10" s="1"/>
  <c r="I786" i="10" s="1"/>
  <c r="I810" i="10" s="1"/>
  <c r="I942" i="10" s="1"/>
  <c r="I966" i="10" s="1"/>
  <c r="I990" i="10" s="1"/>
  <c r="F744" i="10"/>
  <c r="F773" i="10" s="1"/>
  <c r="F797" i="10" s="1"/>
  <c r="F821" i="10" s="1"/>
  <c r="F953" i="10" s="1"/>
  <c r="F977" i="10" s="1"/>
  <c r="F1001" i="10" s="1"/>
  <c r="J844" i="10"/>
  <c r="D835" i="10"/>
  <c r="F731" i="10"/>
  <c r="F760" i="10" s="1"/>
  <c r="F784" i="10" s="1"/>
  <c r="F808" i="10" s="1"/>
  <c r="F940" i="10" s="1"/>
  <c r="F964" i="10" s="1"/>
  <c r="F988" i="10" s="1"/>
  <c r="I744" i="10"/>
  <c r="I773" i="10" s="1"/>
  <c r="I797" i="10" s="1"/>
  <c r="I821" i="10" s="1"/>
  <c r="I953" i="10" s="1"/>
  <c r="I977" i="10" s="1"/>
  <c r="I1001" i="10" s="1"/>
  <c r="F831" i="10"/>
  <c r="D733" i="10"/>
  <c r="D762" i="10" s="1"/>
  <c r="D786" i="10" s="1"/>
  <c r="D810" i="10" s="1"/>
  <c r="D942" i="10" s="1"/>
  <c r="D966" i="10" s="1"/>
  <c r="D990" i="10" s="1"/>
  <c r="G736" i="10"/>
  <c r="G765" i="10" s="1"/>
  <c r="G789" i="10" s="1"/>
  <c r="G813" i="10" s="1"/>
  <c r="G945" i="10" s="1"/>
  <c r="G969" i="10" s="1"/>
  <c r="G993" i="10" s="1"/>
  <c r="I741" i="10"/>
  <c r="I770" i="10" s="1"/>
  <c r="I794" i="10" s="1"/>
  <c r="I818" i="10" s="1"/>
  <c r="I950" i="10" s="1"/>
  <c r="I974" i="10" s="1"/>
  <c r="I998" i="10" s="1"/>
  <c r="E841" i="10"/>
  <c r="I729" i="10"/>
  <c r="I758" i="10" s="1"/>
  <c r="I782" i="10" s="1"/>
  <c r="I806" i="10" s="1"/>
  <c r="I938" i="10" s="1"/>
  <c r="I962" i="10" s="1"/>
  <c r="I986" i="10" s="1"/>
  <c r="H746" i="10"/>
  <c r="H775" i="10" s="1"/>
  <c r="H799" i="10" s="1"/>
  <c r="H823" i="10" s="1"/>
  <c r="H955" i="10" s="1"/>
  <c r="H979" i="10" s="1"/>
  <c r="H1003" i="10" s="1"/>
  <c r="H730" i="10"/>
  <c r="H759" i="10" s="1"/>
  <c r="H783" i="10" s="1"/>
  <c r="H807" i="10" s="1"/>
  <c r="H939" i="10" s="1"/>
  <c r="H963" i="10" s="1"/>
  <c r="H987" i="10" s="1"/>
  <c r="G847" i="10"/>
  <c r="I746" i="10"/>
  <c r="I775" i="10" s="1"/>
  <c r="I799" i="10" s="1"/>
  <c r="I823" i="10" s="1"/>
  <c r="I955" i="10" s="1"/>
  <c r="I979" i="10" s="1"/>
  <c r="I1003" i="10" s="1"/>
  <c r="E734" i="10"/>
  <c r="E763" i="10" s="1"/>
  <c r="E787" i="10" s="1"/>
  <c r="E811" i="10" s="1"/>
  <c r="E943" i="10" s="1"/>
  <c r="E967" i="10" s="1"/>
  <c r="E991" i="10" s="1"/>
  <c r="E838" i="10"/>
  <c r="E735" i="10"/>
  <c r="E764" i="10" s="1"/>
  <c r="E788" i="10" s="1"/>
  <c r="E812" i="10" s="1"/>
  <c r="E944" i="10" s="1"/>
  <c r="E968" i="10" s="1"/>
  <c r="E992" i="10" s="1"/>
  <c r="C742" i="10"/>
  <c r="C771" i="10" s="1"/>
  <c r="C795" i="10" s="1"/>
  <c r="C819" i="10" s="1"/>
  <c r="C951" i="10" s="1"/>
  <c r="C975" i="10" s="1"/>
  <c r="C999" i="10" s="1"/>
  <c r="H38" i="7"/>
  <c r="I123" i="7"/>
  <c r="I83" i="7"/>
  <c r="I115" i="7"/>
  <c r="I91" i="7"/>
  <c r="I131" i="7"/>
  <c r="I75" i="7"/>
  <c r="I107" i="7"/>
  <c r="I99" i="7"/>
  <c r="F38" i="7"/>
  <c r="G131" i="7"/>
  <c r="G123" i="7"/>
  <c r="G83" i="7"/>
  <c r="G115" i="7"/>
  <c r="G107" i="7"/>
  <c r="G99" i="7"/>
  <c r="G75" i="7"/>
  <c r="G91" i="7"/>
  <c r="D729" i="10"/>
  <c r="D758" i="10" s="1"/>
  <c r="D782" i="10" s="1"/>
  <c r="D806" i="10" s="1"/>
  <c r="D938" i="10" s="1"/>
  <c r="D962" i="10" s="1"/>
  <c r="D986" i="10" s="1"/>
  <c r="D845" i="10"/>
  <c r="D746" i="10"/>
  <c r="D775" i="10" s="1"/>
  <c r="D799" i="10" s="1"/>
  <c r="D823" i="10" s="1"/>
  <c r="D955" i="10" s="1"/>
  <c r="D979" i="10" s="1"/>
  <c r="D1003" i="10" s="1"/>
  <c r="E728" i="10"/>
  <c r="E757" i="10" s="1"/>
  <c r="E781" i="10" s="1"/>
  <c r="E805" i="10" s="1"/>
  <c r="E937" i="10" s="1"/>
  <c r="E961" i="10" s="1"/>
  <c r="E985" i="10" s="1"/>
  <c r="E743" i="10"/>
  <c r="E772" i="10" s="1"/>
  <c r="E796" i="10" s="1"/>
  <c r="E820" i="10" s="1"/>
  <c r="E952" i="10" s="1"/>
  <c r="E976" i="10" s="1"/>
  <c r="E1000" i="10" s="1"/>
  <c r="J835" i="10"/>
  <c r="F828" i="10"/>
  <c r="F838" i="10"/>
  <c r="J841" i="10"/>
  <c r="K728" i="10"/>
  <c r="K757" i="10" s="1"/>
  <c r="K781" i="10" s="1"/>
  <c r="K805" i="10" s="1"/>
  <c r="K937" i="10" s="1"/>
  <c r="K961" i="10" s="1"/>
  <c r="K985" i="10" s="1"/>
  <c r="J741" i="10"/>
  <c r="J770" i="10" s="1"/>
  <c r="J794" i="10" s="1"/>
  <c r="J818" i="10" s="1"/>
  <c r="J950" i="10" s="1"/>
  <c r="J974" i="10" s="1"/>
  <c r="J998" i="10" s="1"/>
  <c r="C831" i="10"/>
  <c r="I829" i="10"/>
  <c r="G739" i="10"/>
  <c r="G768" i="10" s="1"/>
  <c r="G792" i="10" s="1"/>
  <c r="G816" i="10" s="1"/>
  <c r="G948" i="10" s="1"/>
  <c r="G972" i="10" s="1"/>
  <c r="G996" i="10" s="1"/>
  <c r="K733" i="10"/>
  <c r="K762" i="10" s="1"/>
  <c r="K786" i="10" s="1"/>
  <c r="K810" i="10" s="1"/>
  <c r="K942" i="10" s="1"/>
  <c r="K966" i="10" s="1"/>
  <c r="K990" i="10" s="1"/>
  <c r="F742" i="10"/>
  <c r="F771" i="10" s="1"/>
  <c r="F795" i="10" s="1"/>
  <c r="F819" i="10" s="1"/>
  <c r="F951" i="10" s="1"/>
  <c r="F975" i="10" s="1"/>
  <c r="F999" i="10" s="1"/>
  <c r="G828" i="10"/>
  <c r="C743" i="10"/>
  <c r="C772" i="10" s="1"/>
  <c r="C796" i="10" s="1"/>
  <c r="C820" i="10" s="1"/>
  <c r="C952" i="10" s="1"/>
  <c r="C976" i="10" s="1"/>
  <c r="C1000" i="10" s="1"/>
  <c r="J837" i="10"/>
  <c r="K835" i="10"/>
  <c r="F746" i="10"/>
  <c r="F775" i="10" s="1"/>
  <c r="F799" i="10" s="1"/>
  <c r="F823" i="10" s="1"/>
  <c r="F955" i="10" s="1"/>
  <c r="F979" i="10" s="1"/>
  <c r="F1003" i="10" s="1"/>
  <c r="E745" i="10"/>
  <c r="E774" i="10" s="1"/>
  <c r="E798" i="10" s="1"/>
  <c r="E822" i="10" s="1"/>
  <c r="E954" i="10" s="1"/>
  <c r="E978" i="10" s="1"/>
  <c r="E1002" i="10" s="1"/>
  <c r="D737" i="10"/>
  <c r="D766" i="10" s="1"/>
  <c r="D790" i="10" s="1"/>
  <c r="D814" i="10" s="1"/>
  <c r="D946" i="10" s="1"/>
  <c r="D970" i="10" s="1"/>
  <c r="D994" i="10" s="1"/>
  <c r="H834" i="10"/>
  <c r="E733" i="10"/>
  <c r="E762" i="10" s="1"/>
  <c r="E786" i="10" s="1"/>
  <c r="E810" i="10" s="1"/>
  <c r="E942" i="10" s="1"/>
  <c r="E966" i="10" s="1"/>
  <c r="E990" i="10" s="1"/>
  <c r="K739" i="10"/>
  <c r="K768" i="10" s="1"/>
  <c r="K792" i="10" s="1"/>
  <c r="K816" i="10" s="1"/>
  <c r="K948" i="10" s="1"/>
  <c r="K972" i="10" s="1"/>
  <c r="K996" i="10" s="1"/>
  <c r="H736" i="10"/>
  <c r="H765" i="10" s="1"/>
  <c r="H789" i="10" s="1"/>
  <c r="H813" i="10" s="1"/>
  <c r="H945" i="10" s="1"/>
  <c r="H969" i="10" s="1"/>
  <c r="H993" i="10" s="1"/>
  <c r="E843" i="10"/>
  <c r="D735" i="10"/>
  <c r="D764" i="10" s="1"/>
  <c r="D788" i="10" s="1"/>
  <c r="D812" i="10" s="1"/>
  <c r="D944" i="10" s="1"/>
  <c r="D968" i="10" s="1"/>
  <c r="D992" i="10" s="1"/>
  <c r="H829" i="10"/>
  <c r="I844" i="10"/>
  <c r="K731" i="10"/>
  <c r="K760" i="10" s="1"/>
  <c r="K784" i="10" s="1"/>
  <c r="K808" i="10" s="1"/>
  <c r="K940" i="10" s="1"/>
  <c r="K964" i="10" s="1"/>
  <c r="K988" i="10" s="1"/>
  <c r="C846" i="10"/>
  <c r="H843" i="10"/>
  <c r="G728" i="10"/>
  <c r="G757" i="10" s="1"/>
  <c r="G781" i="10" s="1"/>
  <c r="G805" i="10" s="1"/>
  <c r="G937" i="10" s="1"/>
  <c r="G961" i="10" s="1"/>
  <c r="G985" i="10" s="1"/>
  <c r="I735" i="10"/>
  <c r="I764" i="10" s="1"/>
  <c r="I788" i="10" s="1"/>
  <c r="I812" i="10" s="1"/>
  <c r="I944" i="10" s="1"/>
  <c r="I968" i="10" s="1"/>
  <c r="I992" i="10" s="1"/>
  <c r="D745" i="10"/>
  <c r="D774" i="10" s="1"/>
  <c r="D798" i="10" s="1"/>
  <c r="D822" i="10" s="1"/>
  <c r="D954" i="10" s="1"/>
  <c r="D978" i="10" s="1"/>
  <c r="D1002" i="10" s="1"/>
  <c r="G831" i="10"/>
  <c r="F743" i="10"/>
  <c r="F772" i="10" s="1"/>
  <c r="F796" i="10" s="1"/>
  <c r="F820" i="10" s="1"/>
  <c r="F952" i="10" s="1"/>
  <c r="F976" i="10" s="1"/>
  <c r="F1000" i="10" s="1"/>
  <c r="D840" i="10"/>
  <c r="G832" i="10"/>
  <c r="D741" i="10"/>
  <c r="D770" i="10" s="1"/>
  <c r="D794" i="10" s="1"/>
  <c r="D818" i="10" s="1"/>
  <c r="D950" i="10" s="1"/>
  <c r="D974" i="10" s="1"/>
  <c r="D998" i="10" s="1"/>
  <c r="G838" i="10"/>
  <c r="H738" i="10"/>
  <c r="H767" i="10" s="1"/>
  <c r="H791" i="10" s="1"/>
  <c r="H815" i="10" s="1"/>
  <c r="H947" i="10" s="1"/>
  <c r="H971" i="10" s="1"/>
  <c r="H995" i="10" s="1"/>
  <c r="I833" i="10"/>
  <c r="C829" i="10"/>
  <c r="J745" i="10"/>
  <c r="J774" i="10" s="1"/>
  <c r="J798" i="10" s="1"/>
  <c r="J822" i="10" s="1"/>
  <c r="J954" i="10" s="1"/>
  <c r="J978" i="10" s="1"/>
  <c r="J1002" i="10" s="1"/>
  <c r="F736" i="10"/>
  <c r="F765" i="10" s="1"/>
  <c r="F789" i="10" s="1"/>
  <c r="F813" i="10" s="1"/>
  <c r="F945" i="10" s="1"/>
  <c r="F969" i="10" s="1"/>
  <c r="F993" i="10" s="1"/>
  <c r="C834" i="10"/>
  <c r="C841" i="10"/>
  <c r="H830" i="10"/>
  <c r="H741" i="10"/>
  <c r="H770" i="10" s="1"/>
  <c r="H794" i="10" s="1"/>
  <c r="H818" i="10" s="1"/>
  <c r="H950" i="10" s="1"/>
  <c r="H974" i="10" s="1"/>
  <c r="H998" i="10" s="1"/>
  <c r="K740" i="10"/>
  <c r="K769" i="10" s="1"/>
  <c r="K793" i="10" s="1"/>
  <c r="K817" i="10" s="1"/>
  <c r="K949" i="10" s="1"/>
  <c r="K973" i="10" s="1"/>
  <c r="K997" i="10" s="1"/>
  <c r="E842" i="10"/>
  <c r="G844" i="10"/>
  <c r="K837" i="10"/>
  <c r="F729" i="10"/>
  <c r="F758" i="10" s="1"/>
  <c r="F782" i="10" s="1"/>
  <c r="F806" i="10" s="1"/>
  <c r="F938" i="10" s="1"/>
  <c r="F962" i="10" s="1"/>
  <c r="F986" i="10" s="1"/>
  <c r="H833" i="10"/>
  <c r="G836" i="10"/>
  <c r="J838" i="10"/>
  <c r="F740" i="10"/>
  <c r="F769" i="10" s="1"/>
  <c r="F793" i="10" s="1"/>
  <c r="F817" i="10" s="1"/>
  <c r="F949" i="10" s="1"/>
  <c r="F973" i="10" s="1"/>
  <c r="F997" i="10" s="1"/>
  <c r="C833" i="10"/>
  <c r="K842" i="10"/>
  <c r="I846" i="10"/>
  <c r="J833" i="10"/>
  <c r="E828" i="10"/>
  <c r="F738" i="10"/>
  <c r="F767" i="10" s="1"/>
  <c r="F791" i="10" s="1"/>
  <c r="F815" i="10" s="1"/>
  <c r="F947" i="10" s="1"/>
  <c r="F971" i="10" s="1"/>
  <c r="F995" i="10" s="1"/>
  <c r="F840" i="10"/>
  <c r="E736" i="10"/>
  <c r="E765" i="10" s="1"/>
  <c r="E789" i="10" s="1"/>
  <c r="E813" i="10" s="1"/>
  <c r="E945" i="10" s="1"/>
  <c r="E969" i="10" s="1"/>
  <c r="E993" i="10" s="1"/>
  <c r="H744" i="10"/>
  <c r="H773" i="10" s="1"/>
  <c r="H797" i="10" s="1"/>
  <c r="H821" i="10" s="1"/>
  <c r="H953" i="10" s="1"/>
  <c r="H977" i="10" s="1"/>
  <c r="H1001" i="10" s="1"/>
  <c r="G733" i="10"/>
  <c r="G762" i="10" s="1"/>
  <c r="G786" i="10" s="1"/>
  <c r="G810" i="10" s="1"/>
  <c r="G942" i="10" s="1"/>
  <c r="G966" i="10" s="1"/>
  <c r="G990" i="10" s="1"/>
  <c r="E730" i="10"/>
  <c r="E759" i="10" s="1"/>
  <c r="E783" i="10" s="1"/>
  <c r="E807" i="10" s="1"/>
  <c r="E939" i="10" s="1"/>
  <c r="E963" i="10" s="1"/>
  <c r="E987" i="10" s="1"/>
  <c r="D837" i="10"/>
  <c r="J742" i="10"/>
  <c r="J771" i="10" s="1"/>
  <c r="J795" i="10" s="1"/>
  <c r="J819" i="10" s="1"/>
  <c r="J951" i="10" s="1"/>
  <c r="J975" i="10" s="1"/>
  <c r="J999" i="10" s="1"/>
  <c r="J727" i="10"/>
  <c r="J756" i="10" s="1"/>
  <c r="J780" i="10" s="1"/>
  <c r="J804" i="10" s="1"/>
  <c r="J936" i="10" s="1"/>
  <c r="J960" i="10" s="1"/>
  <c r="J984" i="10" s="1"/>
  <c r="J834" i="10"/>
  <c r="K831" i="10"/>
  <c r="D727" i="10"/>
  <c r="D756" i="10" s="1"/>
  <c r="D780" i="10" s="1"/>
  <c r="D804" i="10" s="1"/>
  <c r="D936" i="10" s="1"/>
  <c r="D960" i="10" s="1"/>
  <c r="D984" i="10" s="1"/>
  <c r="C830" i="10"/>
  <c r="G833" i="10"/>
  <c r="C734" i="10"/>
  <c r="C763" i="10" s="1"/>
  <c r="C787" i="10" s="1"/>
  <c r="C811" i="10" s="1"/>
  <c r="C943" i="10" s="1"/>
  <c r="C967" i="10" s="1"/>
  <c r="C991" i="10" s="1"/>
  <c r="H739" i="10"/>
  <c r="H768" i="10" s="1"/>
  <c r="H792" i="10" s="1"/>
  <c r="H816" i="10" s="1"/>
  <c r="H948" i="10" s="1"/>
  <c r="H972" i="10" s="1"/>
  <c r="H996" i="10" s="1"/>
  <c r="J845" i="10"/>
  <c r="H737" i="10"/>
  <c r="H766" i="10" s="1"/>
  <c r="H790" i="10" s="1"/>
  <c r="H814" i="10" s="1"/>
  <c r="H946" i="10" s="1"/>
  <c r="H970" i="10" s="1"/>
  <c r="H994" i="10" s="1"/>
  <c r="F834" i="10"/>
  <c r="J728" i="10"/>
  <c r="J757" i="10" s="1"/>
  <c r="J781" i="10" s="1"/>
  <c r="J805" i="10" s="1"/>
  <c r="J937" i="10" s="1"/>
  <c r="J961" i="10" s="1"/>
  <c r="J985" i="10" s="1"/>
  <c r="I738" i="10"/>
  <c r="I767" i="10" s="1"/>
  <c r="I791" i="10" s="1"/>
  <c r="I815" i="10" s="1"/>
  <c r="I947" i="10" s="1"/>
  <c r="I971" i="10" s="1"/>
  <c r="I995" i="10" s="1"/>
  <c r="I736" i="10"/>
  <c r="I765" i="10" s="1"/>
  <c r="I789" i="10" s="1"/>
  <c r="I813" i="10" s="1"/>
  <c r="I945" i="10" s="1"/>
  <c r="I969" i="10" s="1"/>
  <c r="I993" i="10" s="1"/>
  <c r="G741" i="10"/>
  <c r="G770" i="10" s="1"/>
  <c r="G794" i="10" s="1"/>
  <c r="G818" i="10" s="1"/>
  <c r="G950" i="10" s="1"/>
  <c r="G974" i="10" s="1"/>
  <c r="G998" i="10" s="1"/>
  <c r="G662" i="10"/>
  <c r="G590" i="10"/>
  <c r="G614" i="10" s="1"/>
  <c r="G638" i="10" s="1"/>
  <c r="G866" i="10" s="1"/>
  <c r="G890" i="10" s="1"/>
  <c r="G914" i="10" s="1"/>
  <c r="D600" i="10"/>
  <c r="D624" i="10" s="1"/>
  <c r="D648" i="10" s="1"/>
  <c r="D876" i="10" s="1"/>
  <c r="D900" i="10" s="1"/>
  <c r="D924" i="10" s="1"/>
  <c r="D672" i="10"/>
  <c r="H656" i="10"/>
  <c r="H584" i="10"/>
  <c r="H608" i="10" s="1"/>
  <c r="H632" i="10" s="1"/>
  <c r="H860" i="10" s="1"/>
  <c r="H884" i="10" s="1"/>
  <c r="H908" i="10" s="1"/>
  <c r="D664" i="10"/>
  <c r="D592" i="10"/>
  <c r="D616" i="10" s="1"/>
  <c r="D640" i="10" s="1"/>
  <c r="D868" i="10" s="1"/>
  <c r="D892" i="10" s="1"/>
  <c r="D916" i="10" s="1"/>
  <c r="I594" i="10"/>
  <c r="I618" i="10" s="1"/>
  <c r="I642" i="10" s="1"/>
  <c r="I870" i="10" s="1"/>
  <c r="I894" i="10" s="1"/>
  <c r="I918" i="10" s="1"/>
  <c r="I666" i="10"/>
  <c r="F600" i="10"/>
  <c r="F624" i="10" s="1"/>
  <c r="F648" i="10" s="1"/>
  <c r="F876" i="10" s="1"/>
  <c r="F900" i="10" s="1"/>
  <c r="F924" i="10" s="1"/>
  <c r="F672" i="10"/>
  <c r="H655" i="10"/>
  <c r="H583" i="10"/>
  <c r="H607" i="10" s="1"/>
  <c r="H631" i="10" s="1"/>
  <c r="H859" i="10" s="1"/>
  <c r="H883" i="10" s="1"/>
  <c r="H907" i="10" s="1"/>
  <c r="J671" i="10"/>
  <c r="J599" i="10"/>
  <c r="J623" i="10" s="1"/>
  <c r="J647" i="10" s="1"/>
  <c r="J875" i="10" s="1"/>
  <c r="J899" i="10" s="1"/>
  <c r="J923" i="10" s="1"/>
  <c r="I670" i="10"/>
  <c r="I598" i="10"/>
  <c r="I622" i="10" s="1"/>
  <c r="I646" i="10" s="1"/>
  <c r="I874" i="10" s="1"/>
  <c r="I898" i="10" s="1"/>
  <c r="I922" i="10" s="1"/>
  <c r="E660" i="10"/>
  <c r="E588" i="10"/>
  <c r="E612" i="10" s="1"/>
  <c r="E636" i="10" s="1"/>
  <c r="E864" i="10" s="1"/>
  <c r="E888" i="10" s="1"/>
  <c r="E912" i="10" s="1"/>
  <c r="G58" i="6"/>
  <c r="F58" i="6" s="1"/>
  <c r="I58" i="6"/>
  <c r="H58" i="6" s="1"/>
  <c r="G75" i="4"/>
  <c r="I13" i="4"/>
  <c r="I14" i="4"/>
  <c r="I15" i="4"/>
  <c r="I16" i="4"/>
  <c r="I17" i="4"/>
  <c r="I18" i="4"/>
  <c r="I19" i="4"/>
  <c r="I20" i="4"/>
  <c r="I21" i="4"/>
  <c r="I22" i="4"/>
  <c r="I23" i="4"/>
  <c r="I24" i="4"/>
  <c r="I80" i="4"/>
  <c r="I79" i="4"/>
  <c r="I77" i="4"/>
  <c r="I78" i="4"/>
  <c r="I74" i="4"/>
  <c r="I73" i="4"/>
  <c r="I70" i="4"/>
  <c r="I71" i="4"/>
  <c r="I69" i="4"/>
  <c r="I72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4" i="4"/>
  <c r="I45" i="4"/>
  <c r="G13" i="4"/>
  <c r="G14" i="4"/>
  <c r="G20" i="4"/>
  <c r="G15" i="4"/>
  <c r="G16" i="4"/>
  <c r="G17" i="4"/>
  <c r="G18" i="4"/>
  <c r="G19" i="4"/>
  <c r="G21" i="4"/>
  <c r="G23" i="4"/>
  <c r="G22" i="4"/>
  <c r="G24" i="4"/>
  <c r="G80" i="4"/>
  <c r="G79" i="4"/>
  <c r="G77" i="4"/>
  <c r="G78" i="4"/>
  <c r="G74" i="4"/>
  <c r="G73" i="4"/>
  <c r="G70" i="4"/>
  <c r="G71" i="4"/>
  <c r="G69" i="4"/>
  <c r="G72" i="4"/>
  <c r="D86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76" i="4"/>
  <c r="G81" i="4"/>
  <c r="G82" i="4"/>
  <c r="G83" i="4"/>
  <c r="G84" i="4"/>
  <c r="G85" i="4"/>
  <c r="I43" i="4"/>
  <c r="I76" i="4"/>
  <c r="I81" i="4"/>
  <c r="I82" i="4"/>
  <c r="I83" i="4"/>
  <c r="I84" i="4"/>
  <c r="I85" i="4"/>
  <c r="B578" i="1"/>
  <c r="B751" i="1"/>
  <c r="B856" i="1"/>
  <c r="G871" i="1" s="1"/>
  <c r="G874" i="1" s="1"/>
  <c r="B858" i="1"/>
  <c r="G873" i="1" s="1"/>
  <c r="B852" i="1"/>
  <c r="B866" i="1" s="1"/>
  <c r="B854" i="1"/>
  <c r="B873" i="1" s="1"/>
  <c r="B384" i="1"/>
  <c r="B396" i="1"/>
  <c r="B399" i="1" s="1"/>
  <c r="B388" i="1"/>
  <c r="B394" i="1" s="1"/>
  <c r="B386" i="1"/>
  <c r="B393" i="1" s="1"/>
  <c r="B339" i="1"/>
  <c r="B351" i="1"/>
  <c r="B354" i="1" s="1"/>
  <c r="B343" i="1"/>
  <c r="B349" i="1" s="1"/>
  <c r="B341" i="1"/>
  <c r="F38" i="1"/>
  <c r="F39" i="1" s="1"/>
  <c r="K445" i="1"/>
  <c r="C126" i="1"/>
  <c r="C125" i="1"/>
  <c r="G521" i="1"/>
  <c r="G516" i="1"/>
  <c r="G517" i="1" s="1"/>
  <c r="G518" i="1" s="1"/>
  <c r="G519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44" i="1"/>
  <c r="E444" i="1"/>
  <c r="F444" i="1"/>
  <c r="G444" i="1"/>
  <c r="H444" i="1"/>
  <c r="I444" i="1"/>
  <c r="J444" i="1"/>
  <c r="K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44" i="1"/>
  <c r="B516" i="1"/>
  <c r="B517" i="1" s="1"/>
  <c r="B518" i="1" s="1"/>
  <c r="B519" i="1"/>
  <c r="B521" i="1"/>
  <c r="D85" i="2"/>
  <c r="G85" i="2"/>
  <c r="W85" i="2"/>
  <c r="K85" i="2"/>
  <c r="Y85" i="2"/>
  <c r="H85" i="2"/>
  <c r="L85" i="2"/>
  <c r="M85" i="2"/>
  <c r="N85" i="2"/>
  <c r="R85" i="2"/>
  <c r="U85" i="2"/>
  <c r="S85" i="2"/>
  <c r="V85" i="2"/>
  <c r="P85" i="2"/>
  <c r="Q85" i="2"/>
  <c r="O85" i="2"/>
  <c r="D84" i="2"/>
  <c r="G84" i="2"/>
  <c r="W84" i="2"/>
  <c r="K84" i="2"/>
  <c r="Y84" i="2"/>
  <c r="H84" i="2"/>
  <c r="L84" i="2"/>
  <c r="M84" i="2"/>
  <c r="N84" i="2"/>
  <c r="R84" i="2"/>
  <c r="U84" i="2"/>
  <c r="S84" i="2"/>
  <c r="V84" i="2"/>
  <c r="P84" i="2"/>
  <c r="Q84" i="2"/>
  <c r="O84" i="2"/>
  <c r="D83" i="2"/>
  <c r="G83" i="2"/>
  <c r="W83" i="2"/>
  <c r="K83" i="2"/>
  <c r="Y83" i="2"/>
  <c r="H83" i="2"/>
  <c r="L83" i="2"/>
  <c r="M83" i="2"/>
  <c r="N83" i="2"/>
  <c r="R83" i="2"/>
  <c r="U83" i="2"/>
  <c r="S83" i="2"/>
  <c r="V83" i="2"/>
  <c r="P83" i="2"/>
  <c r="Q83" i="2"/>
  <c r="O83" i="2"/>
  <c r="D82" i="2"/>
  <c r="G82" i="2"/>
  <c r="W82" i="2"/>
  <c r="K82" i="2"/>
  <c r="Y82" i="2"/>
  <c r="H82" i="2"/>
  <c r="L82" i="2"/>
  <c r="M82" i="2"/>
  <c r="N82" i="2"/>
  <c r="R82" i="2"/>
  <c r="U82" i="2"/>
  <c r="S82" i="2"/>
  <c r="V82" i="2"/>
  <c r="P82" i="2"/>
  <c r="Q82" i="2"/>
  <c r="O82" i="2"/>
  <c r="D81" i="2"/>
  <c r="G81" i="2"/>
  <c r="W81" i="2"/>
  <c r="K81" i="2"/>
  <c r="Y81" i="2"/>
  <c r="H81" i="2"/>
  <c r="L81" i="2"/>
  <c r="M81" i="2"/>
  <c r="N81" i="2"/>
  <c r="R81" i="2"/>
  <c r="U81" i="2"/>
  <c r="S81" i="2"/>
  <c r="V81" i="2"/>
  <c r="P81" i="2"/>
  <c r="Q81" i="2"/>
  <c r="O81" i="2"/>
  <c r="D80" i="2"/>
  <c r="G80" i="2"/>
  <c r="W80" i="2"/>
  <c r="K80" i="2"/>
  <c r="Y80" i="2"/>
  <c r="H80" i="2"/>
  <c r="L80" i="2"/>
  <c r="M80" i="2"/>
  <c r="N80" i="2"/>
  <c r="R80" i="2"/>
  <c r="U80" i="2"/>
  <c r="S80" i="2"/>
  <c r="V80" i="2"/>
  <c r="P80" i="2"/>
  <c r="Q80" i="2"/>
  <c r="O80" i="2"/>
  <c r="D79" i="2"/>
  <c r="G79" i="2"/>
  <c r="W79" i="2"/>
  <c r="K79" i="2"/>
  <c r="Y79" i="2"/>
  <c r="H79" i="2"/>
  <c r="L79" i="2"/>
  <c r="M79" i="2"/>
  <c r="N79" i="2"/>
  <c r="R79" i="2"/>
  <c r="U79" i="2"/>
  <c r="S79" i="2"/>
  <c r="V79" i="2"/>
  <c r="P79" i="2"/>
  <c r="Q79" i="2"/>
  <c r="O79" i="2"/>
  <c r="D78" i="2"/>
  <c r="G78" i="2"/>
  <c r="W78" i="2"/>
  <c r="K78" i="2"/>
  <c r="Y78" i="2"/>
  <c r="H78" i="2"/>
  <c r="L78" i="2"/>
  <c r="M78" i="2"/>
  <c r="N78" i="2"/>
  <c r="R78" i="2"/>
  <c r="U78" i="2"/>
  <c r="S78" i="2"/>
  <c r="V78" i="2"/>
  <c r="P78" i="2"/>
  <c r="Q78" i="2"/>
  <c r="O78" i="2"/>
  <c r="D77" i="2"/>
  <c r="G77" i="2"/>
  <c r="W77" i="2"/>
  <c r="K77" i="2"/>
  <c r="Y77" i="2"/>
  <c r="H77" i="2"/>
  <c r="L77" i="2"/>
  <c r="M77" i="2"/>
  <c r="N77" i="2"/>
  <c r="R77" i="2"/>
  <c r="U77" i="2"/>
  <c r="S77" i="2"/>
  <c r="V77" i="2"/>
  <c r="P77" i="2"/>
  <c r="Q77" i="2"/>
  <c r="O77" i="2"/>
  <c r="D76" i="2"/>
  <c r="G76" i="2"/>
  <c r="W76" i="2"/>
  <c r="K76" i="2"/>
  <c r="Y76" i="2"/>
  <c r="H76" i="2"/>
  <c r="L76" i="2"/>
  <c r="M76" i="2"/>
  <c r="N76" i="2"/>
  <c r="R76" i="2"/>
  <c r="U76" i="2"/>
  <c r="S76" i="2"/>
  <c r="V76" i="2"/>
  <c r="P76" i="2"/>
  <c r="Q76" i="2"/>
  <c r="O76" i="2"/>
  <c r="D75" i="2"/>
  <c r="G75" i="2"/>
  <c r="W75" i="2"/>
  <c r="K75" i="2"/>
  <c r="Y75" i="2"/>
  <c r="H75" i="2"/>
  <c r="L75" i="2"/>
  <c r="M75" i="2"/>
  <c r="N75" i="2"/>
  <c r="R75" i="2"/>
  <c r="U75" i="2"/>
  <c r="S75" i="2"/>
  <c r="V75" i="2"/>
  <c r="P75" i="2"/>
  <c r="Q75" i="2"/>
  <c r="O75" i="2"/>
  <c r="D74" i="2"/>
  <c r="G74" i="2"/>
  <c r="W74" i="2"/>
  <c r="K74" i="2"/>
  <c r="Y74" i="2"/>
  <c r="H74" i="2"/>
  <c r="L74" i="2"/>
  <c r="M74" i="2"/>
  <c r="N74" i="2"/>
  <c r="R74" i="2"/>
  <c r="U74" i="2"/>
  <c r="S74" i="2"/>
  <c r="V74" i="2"/>
  <c r="P74" i="2"/>
  <c r="Q74" i="2"/>
  <c r="O74" i="2"/>
  <c r="D73" i="2"/>
  <c r="G73" i="2"/>
  <c r="W73" i="2"/>
  <c r="K73" i="2"/>
  <c r="Y73" i="2"/>
  <c r="H73" i="2"/>
  <c r="L73" i="2"/>
  <c r="M73" i="2"/>
  <c r="N73" i="2"/>
  <c r="R73" i="2"/>
  <c r="U73" i="2"/>
  <c r="S73" i="2"/>
  <c r="V73" i="2"/>
  <c r="P73" i="2"/>
  <c r="Q73" i="2"/>
  <c r="O73" i="2"/>
  <c r="D72" i="2"/>
  <c r="G72" i="2"/>
  <c r="W72" i="2"/>
  <c r="K72" i="2"/>
  <c r="Y72" i="2"/>
  <c r="H72" i="2"/>
  <c r="L72" i="2"/>
  <c r="M72" i="2"/>
  <c r="N72" i="2"/>
  <c r="R72" i="2"/>
  <c r="U72" i="2"/>
  <c r="S72" i="2"/>
  <c r="V72" i="2"/>
  <c r="P72" i="2"/>
  <c r="Q72" i="2"/>
  <c r="O72" i="2"/>
  <c r="D71" i="2"/>
  <c r="G71" i="2"/>
  <c r="W71" i="2"/>
  <c r="K71" i="2"/>
  <c r="Y71" i="2"/>
  <c r="H71" i="2"/>
  <c r="L71" i="2"/>
  <c r="M71" i="2"/>
  <c r="N71" i="2"/>
  <c r="R71" i="2"/>
  <c r="U71" i="2"/>
  <c r="S71" i="2"/>
  <c r="V71" i="2"/>
  <c r="P71" i="2"/>
  <c r="Q71" i="2"/>
  <c r="O71" i="2"/>
  <c r="D70" i="2"/>
  <c r="G70" i="2"/>
  <c r="W70" i="2"/>
  <c r="K70" i="2"/>
  <c r="Y70" i="2"/>
  <c r="H70" i="2"/>
  <c r="L70" i="2"/>
  <c r="M70" i="2"/>
  <c r="N70" i="2"/>
  <c r="R70" i="2"/>
  <c r="U70" i="2"/>
  <c r="S70" i="2"/>
  <c r="V70" i="2"/>
  <c r="P70" i="2"/>
  <c r="Q70" i="2"/>
  <c r="O70" i="2"/>
  <c r="D69" i="2"/>
  <c r="G69" i="2"/>
  <c r="W69" i="2"/>
  <c r="K69" i="2"/>
  <c r="Y69" i="2"/>
  <c r="H69" i="2"/>
  <c r="L69" i="2"/>
  <c r="M69" i="2"/>
  <c r="N69" i="2"/>
  <c r="R69" i="2"/>
  <c r="U69" i="2"/>
  <c r="S69" i="2"/>
  <c r="V69" i="2"/>
  <c r="P69" i="2"/>
  <c r="Q69" i="2"/>
  <c r="O69" i="2"/>
  <c r="D68" i="2"/>
  <c r="G68" i="2"/>
  <c r="W68" i="2"/>
  <c r="K68" i="2"/>
  <c r="Y68" i="2"/>
  <c r="H68" i="2"/>
  <c r="L68" i="2"/>
  <c r="M68" i="2"/>
  <c r="N68" i="2"/>
  <c r="R68" i="2"/>
  <c r="U68" i="2"/>
  <c r="S68" i="2"/>
  <c r="V68" i="2"/>
  <c r="P68" i="2"/>
  <c r="Q68" i="2"/>
  <c r="O68" i="2"/>
  <c r="D67" i="2"/>
  <c r="G67" i="2"/>
  <c r="W67" i="2"/>
  <c r="K67" i="2"/>
  <c r="Y67" i="2"/>
  <c r="H67" i="2"/>
  <c r="L67" i="2"/>
  <c r="M67" i="2"/>
  <c r="N67" i="2"/>
  <c r="R67" i="2"/>
  <c r="U67" i="2"/>
  <c r="S67" i="2"/>
  <c r="V67" i="2"/>
  <c r="P67" i="2"/>
  <c r="Q67" i="2"/>
  <c r="O67" i="2"/>
  <c r="D66" i="2"/>
  <c r="G66" i="2"/>
  <c r="W66" i="2"/>
  <c r="K66" i="2"/>
  <c r="Y66" i="2"/>
  <c r="H66" i="2"/>
  <c r="L66" i="2"/>
  <c r="M66" i="2"/>
  <c r="N66" i="2"/>
  <c r="R66" i="2"/>
  <c r="U66" i="2"/>
  <c r="S66" i="2"/>
  <c r="V66" i="2"/>
  <c r="P66" i="2"/>
  <c r="Q66" i="2"/>
  <c r="O66" i="2"/>
  <c r="D65" i="2"/>
  <c r="G65" i="2"/>
  <c r="W65" i="2"/>
  <c r="K65" i="2"/>
  <c r="Y65" i="2"/>
  <c r="H65" i="2"/>
  <c r="L65" i="2"/>
  <c r="M65" i="2"/>
  <c r="N65" i="2"/>
  <c r="R65" i="2"/>
  <c r="U65" i="2"/>
  <c r="S65" i="2"/>
  <c r="V65" i="2"/>
  <c r="P65" i="2"/>
  <c r="Q65" i="2"/>
  <c r="O65" i="2"/>
  <c r="D64" i="2"/>
  <c r="G64" i="2"/>
  <c r="W64" i="2"/>
  <c r="K64" i="2"/>
  <c r="Y64" i="2"/>
  <c r="H64" i="2"/>
  <c r="L64" i="2"/>
  <c r="M64" i="2"/>
  <c r="N64" i="2"/>
  <c r="R64" i="2"/>
  <c r="U64" i="2"/>
  <c r="S64" i="2"/>
  <c r="V64" i="2"/>
  <c r="P64" i="2"/>
  <c r="Q64" i="2"/>
  <c r="O64" i="2"/>
  <c r="D63" i="2"/>
  <c r="G63" i="2"/>
  <c r="W63" i="2"/>
  <c r="K63" i="2"/>
  <c r="Y63" i="2"/>
  <c r="H63" i="2"/>
  <c r="L63" i="2"/>
  <c r="M63" i="2"/>
  <c r="N63" i="2"/>
  <c r="R63" i="2"/>
  <c r="U63" i="2"/>
  <c r="S63" i="2"/>
  <c r="V63" i="2"/>
  <c r="P63" i="2"/>
  <c r="Q63" i="2"/>
  <c r="O63" i="2"/>
  <c r="D62" i="2"/>
  <c r="G62" i="2"/>
  <c r="W62" i="2"/>
  <c r="K62" i="2"/>
  <c r="Y62" i="2"/>
  <c r="H62" i="2"/>
  <c r="L62" i="2"/>
  <c r="M62" i="2"/>
  <c r="N62" i="2"/>
  <c r="R62" i="2"/>
  <c r="U62" i="2"/>
  <c r="S62" i="2"/>
  <c r="V62" i="2"/>
  <c r="P62" i="2"/>
  <c r="Q62" i="2"/>
  <c r="O62" i="2"/>
  <c r="D61" i="2"/>
  <c r="G61" i="2"/>
  <c r="W61" i="2"/>
  <c r="K61" i="2"/>
  <c r="Y61" i="2"/>
  <c r="H61" i="2"/>
  <c r="L61" i="2"/>
  <c r="M61" i="2"/>
  <c r="N61" i="2"/>
  <c r="R61" i="2"/>
  <c r="U61" i="2"/>
  <c r="S61" i="2"/>
  <c r="V61" i="2"/>
  <c r="P61" i="2"/>
  <c r="Q61" i="2"/>
  <c r="O61" i="2"/>
  <c r="D60" i="2"/>
  <c r="G60" i="2"/>
  <c r="W60" i="2"/>
  <c r="K60" i="2"/>
  <c r="Y60" i="2"/>
  <c r="H60" i="2"/>
  <c r="L60" i="2"/>
  <c r="M60" i="2"/>
  <c r="N60" i="2"/>
  <c r="R60" i="2"/>
  <c r="U60" i="2"/>
  <c r="S60" i="2"/>
  <c r="V60" i="2"/>
  <c r="P60" i="2"/>
  <c r="Q60" i="2"/>
  <c r="O60" i="2"/>
  <c r="D59" i="2"/>
  <c r="G59" i="2"/>
  <c r="W59" i="2"/>
  <c r="K59" i="2"/>
  <c r="Y59" i="2"/>
  <c r="H59" i="2"/>
  <c r="L59" i="2"/>
  <c r="M59" i="2"/>
  <c r="N59" i="2"/>
  <c r="R59" i="2"/>
  <c r="U59" i="2"/>
  <c r="S59" i="2"/>
  <c r="V59" i="2"/>
  <c r="P59" i="2"/>
  <c r="Q59" i="2"/>
  <c r="O59" i="2"/>
  <c r="D58" i="2"/>
  <c r="G58" i="2"/>
  <c r="W58" i="2"/>
  <c r="K58" i="2"/>
  <c r="Y58" i="2"/>
  <c r="H58" i="2"/>
  <c r="L58" i="2"/>
  <c r="M58" i="2"/>
  <c r="N58" i="2"/>
  <c r="R58" i="2"/>
  <c r="U58" i="2"/>
  <c r="S58" i="2"/>
  <c r="V58" i="2"/>
  <c r="P58" i="2"/>
  <c r="Q58" i="2"/>
  <c r="O58" i="2"/>
  <c r="D57" i="2"/>
  <c r="G57" i="2"/>
  <c r="W57" i="2"/>
  <c r="K57" i="2"/>
  <c r="Y57" i="2"/>
  <c r="H57" i="2"/>
  <c r="L57" i="2"/>
  <c r="M57" i="2"/>
  <c r="N57" i="2"/>
  <c r="R57" i="2"/>
  <c r="U57" i="2"/>
  <c r="S57" i="2"/>
  <c r="V57" i="2"/>
  <c r="P57" i="2"/>
  <c r="Q57" i="2"/>
  <c r="O57" i="2"/>
  <c r="D56" i="2"/>
  <c r="G56" i="2"/>
  <c r="W56" i="2"/>
  <c r="K56" i="2"/>
  <c r="Y56" i="2"/>
  <c r="H56" i="2"/>
  <c r="L56" i="2"/>
  <c r="M56" i="2"/>
  <c r="N56" i="2"/>
  <c r="R56" i="2"/>
  <c r="U56" i="2"/>
  <c r="S56" i="2"/>
  <c r="V56" i="2"/>
  <c r="P56" i="2"/>
  <c r="Q56" i="2"/>
  <c r="O56" i="2"/>
  <c r="D55" i="2"/>
  <c r="G55" i="2"/>
  <c r="W55" i="2"/>
  <c r="K55" i="2"/>
  <c r="Y55" i="2"/>
  <c r="H55" i="2"/>
  <c r="L55" i="2"/>
  <c r="M55" i="2"/>
  <c r="N55" i="2"/>
  <c r="R55" i="2"/>
  <c r="U55" i="2"/>
  <c r="S55" i="2"/>
  <c r="V55" i="2"/>
  <c r="P55" i="2"/>
  <c r="Q55" i="2"/>
  <c r="O55" i="2"/>
  <c r="D54" i="2"/>
  <c r="G54" i="2"/>
  <c r="W54" i="2"/>
  <c r="K54" i="2"/>
  <c r="Y54" i="2"/>
  <c r="H54" i="2"/>
  <c r="L54" i="2"/>
  <c r="M54" i="2"/>
  <c r="N54" i="2"/>
  <c r="R54" i="2"/>
  <c r="U54" i="2"/>
  <c r="S54" i="2"/>
  <c r="V54" i="2"/>
  <c r="P54" i="2"/>
  <c r="Q54" i="2"/>
  <c r="O54" i="2"/>
  <c r="D53" i="2"/>
  <c r="G53" i="2"/>
  <c r="W53" i="2"/>
  <c r="K53" i="2"/>
  <c r="Y53" i="2"/>
  <c r="H53" i="2"/>
  <c r="L53" i="2"/>
  <c r="M53" i="2"/>
  <c r="N53" i="2"/>
  <c r="R53" i="2"/>
  <c r="U53" i="2"/>
  <c r="S53" i="2"/>
  <c r="V53" i="2"/>
  <c r="P53" i="2"/>
  <c r="Q53" i="2"/>
  <c r="O53" i="2"/>
  <c r="D52" i="2"/>
  <c r="G52" i="2"/>
  <c r="W52" i="2"/>
  <c r="K52" i="2"/>
  <c r="Y52" i="2"/>
  <c r="H52" i="2"/>
  <c r="L52" i="2"/>
  <c r="M52" i="2"/>
  <c r="N52" i="2"/>
  <c r="R52" i="2"/>
  <c r="U52" i="2"/>
  <c r="S52" i="2"/>
  <c r="V52" i="2"/>
  <c r="P52" i="2"/>
  <c r="Q52" i="2"/>
  <c r="O52" i="2"/>
  <c r="D51" i="2"/>
  <c r="G51" i="2"/>
  <c r="W51" i="2"/>
  <c r="K51" i="2"/>
  <c r="Y51" i="2"/>
  <c r="H51" i="2"/>
  <c r="L51" i="2"/>
  <c r="M51" i="2"/>
  <c r="N51" i="2"/>
  <c r="R51" i="2"/>
  <c r="U51" i="2"/>
  <c r="S51" i="2"/>
  <c r="V51" i="2"/>
  <c r="P51" i="2"/>
  <c r="Q51" i="2"/>
  <c r="O51" i="2"/>
  <c r="D50" i="2"/>
  <c r="G50" i="2"/>
  <c r="W50" i="2"/>
  <c r="K50" i="2"/>
  <c r="Y50" i="2"/>
  <c r="H50" i="2"/>
  <c r="L50" i="2"/>
  <c r="M50" i="2"/>
  <c r="N50" i="2"/>
  <c r="R50" i="2"/>
  <c r="U50" i="2"/>
  <c r="S50" i="2"/>
  <c r="V50" i="2"/>
  <c r="P50" i="2"/>
  <c r="Q50" i="2"/>
  <c r="O50" i="2"/>
  <c r="D49" i="2"/>
  <c r="G49" i="2"/>
  <c r="W49" i="2"/>
  <c r="K49" i="2"/>
  <c r="Y49" i="2"/>
  <c r="H49" i="2"/>
  <c r="L49" i="2"/>
  <c r="M49" i="2"/>
  <c r="N49" i="2"/>
  <c r="R49" i="2"/>
  <c r="U49" i="2"/>
  <c r="S49" i="2"/>
  <c r="V49" i="2"/>
  <c r="P49" i="2"/>
  <c r="Q49" i="2"/>
  <c r="O49" i="2"/>
  <c r="D48" i="2"/>
  <c r="G48" i="2"/>
  <c r="W48" i="2"/>
  <c r="K48" i="2"/>
  <c r="Y48" i="2"/>
  <c r="H48" i="2"/>
  <c r="L48" i="2"/>
  <c r="M48" i="2"/>
  <c r="N48" i="2"/>
  <c r="R48" i="2"/>
  <c r="U48" i="2"/>
  <c r="S48" i="2"/>
  <c r="V48" i="2"/>
  <c r="P48" i="2"/>
  <c r="Q48" i="2"/>
  <c r="O48" i="2"/>
  <c r="D42" i="2"/>
  <c r="G42" i="2"/>
  <c r="W42" i="2"/>
  <c r="K42" i="2"/>
  <c r="Y42" i="2"/>
  <c r="L42" i="2"/>
  <c r="M42" i="2"/>
  <c r="N42" i="2"/>
  <c r="R42" i="2"/>
  <c r="U42" i="2"/>
  <c r="S42" i="2"/>
  <c r="V42" i="2"/>
  <c r="P42" i="2"/>
  <c r="Q42" i="2"/>
  <c r="O42" i="2"/>
  <c r="D41" i="2"/>
  <c r="G41" i="2"/>
  <c r="W41" i="2"/>
  <c r="K41" i="2"/>
  <c r="Y41" i="2"/>
  <c r="L41" i="2"/>
  <c r="M41" i="2"/>
  <c r="N41" i="2"/>
  <c r="R41" i="2"/>
  <c r="U41" i="2"/>
  <c r="S41" i="2"/>
  <c r="V41" i="2"/>
  <c r="P41" i="2"/>
  <c r="Q41" i="2"/>
  <c r="O41" i="2"/>
  <c r="D40" i="2"/>
  <c r="G40" i="2"/>
  <c r="W40" i="2"/>
  <c r="K40" i="2"/>
  <c r="Y40" i="2"/>
  <c r="L40" i="2"/>
  <c r="M40" i="2"/>
  <c r="N40" i="2"/>
  <c r="R40" i="2"/>
  <c r="U40" i="2"/>
  <c r="S40" i="2"/>
  <c r="V40" i="2"/>
  <c r="P40" i="2"/>
  <c r="Q40" i="2"/>
  <c r="O40" i="2"/>
  <c r="D39" i="2"/>
  <c r="G39" i="2"/>
  <c r="W39" i="2"/>
  <c r="K39" i="2"/>
  <c r="Y39" i="2"/>
  <c r="L39" i="2"/>
  <c r="M39" i="2"/>
  <c r="N39" i="2"/>
  <c r="R39" i="2"/>
  <c r="U39" i="2"/>
  <c r="S39" i="2"/>
  <c r="V39" i="2"/>
  <c r="P39" i="2"/>
  <c r="Q39" i="2"/>
  <c r="O39" i="2"/>
  <c r="D38" i="2"/>
  <c r="G38" i="2"/>
  <c r="W38" i="2"/>
  <c r="K38" i="2"/>
  <c r="Y38" i="2"/>
  <c r="L38" i="2"/>
  <c r="M38" i="2"/>
  <c r="N38" i="2"/>
  <c r="R38" i="2"/>
  <c r="U38" i="2"/>
  <c r="S38" i="2"/>
  <c r="V38" i="2"/>
  <c r="P38" i="2"/>
  <c r="Q38" i="2"/>
  <c r="O38" i="2"/>
  <c r="D37" i="2"/>
  <c r="G37" i="2"/>
  <c r="W37" i="2"/>
  <c r="K37" i="2"/>
  <c r="Y37" i="2"/>
  <c r="L37" i="2"/>
  <c r="M37" i="2"/>
  <c r="N37" i="2"/>
  <c r="R37" i="2"/>
  <c r="U37" i="2"/>
  <c r="S37" i="2"/>
  <c r="V37" i="2"/>
  <c r="P37" i="2"/>
  <c r="Q37" i="2"/>
  <c r="O37" i="2"/>
  <c r="D36" i="2"/>
  <c r="G36" i="2"/>
  <c r="W36" i="2"/>
  <c r="K36" i="2"/>
  <c r="Y36" i="2"/>
  <c r="L36" i="2"/>
  <c r="M36" i="2"/>
  <c r="N36" i="2"/>
  <c r="R36" i="2"/>
  <c r="U36" i="2"/>
  <c r="S36" i="2"/>
  <c r="V36" i="2"/>
  <c r="P36" i="2"/>
  <c r="Q36" i="2"/>
  <c r="O36" i="2"/>
  <c r="D35" i="2"/>
  <c r="G35" i="2"/>
  <c r="W35" i="2"/>
  <c r="K35" i="2"/>
  <c r="Y35" i="2"/>
  <c r="L35" i="2"/>
  <c r="M35" i="2"/>
  <c r="N35" i="2"/>
  <c r="R35" i="2"/>
  <c r="U35" i="2"/>
  <c r="S35" i="2"/>
  <c r="V35" i="2"/>
  <c r="P35" i="2"/>
  <c r="Q35" i="2"/>
  <c r="O35" i="2"/>
  <c r="D34" i="2"/>
  <c r="G34" i="2"/>
  <c r="W34" i="2"/>
  <c r="K34" i="2"/>
  <c r="Y34" i="2"/>
  <c r="L34" i="2"/>
  <c r="M34" i="2"/>
  <c r="N34" i="2"/>
  <c r="R34" i="2"/>
  <c r="U34" i="2"/>
  <c r="S34" i="2"/>
  <c r="V34" i="2"/>
  <c r="P34" i="2"/>
  <c r="Q34" i="2"/>
  <c r="O34" i="2"/>
  <c r="D33" i="2"/>
  <c r="G33" i="2"/>
  <c r="W33" i="2"/>
  <c r="K33" i="2"/>
  <c r="Y33" i="2"/>
  <c r="L33" i="2"/>
  <c r="M33" i="2"/>
  <c r="N33" i="2"/>
  <c r="R33" i="2"/>
  <c r="U33" i="2"/>
  <c r="S33" i="2"/>
  <c r="V33" i="2"/>
  <c r="P33" i="2"/>
  <c r="Q33" i="2"/>
  <c r="O33" i="2"/>
  <c r="D32" i="2"/>
  <c r="G32" i="2"/>
  <c r="W32" i="2"/>
  <c r="K32" i="2"/>
  <c r="Y32" i="2"/>
  <c r="L32" i="2"/>
  <c r="M32" i="2"/>
  <c r="N32" i="2"/>
  <c r="R32" i="2"/>
  <c r="U32" i="2"/>
  <c r="S32" i="2"/>
  <c r="V32" i="2"/>
  <c r="P32" i="2"/>
  <c r="Q32" i="2"/>
  <c r="O32" i="2"/>
  <c r="D31" i="2"/>
  <c r="G31" i="2"/>
  <c r="W31" i="2"/>
  <c r="K31" i="2"/>
  <c r="Y31" i="2"/>
  <c r="L31" i="2"/>
  <c r="M31" i="2"/>
  <c r="N31" i="2"/>
  <c r="R31" i="2"/>
  <c r="U31" i="2"/>
  <c r="S31" i="2"/>
  <c r="V31" i="2"/>
  <c r="P31" i="2"/>
  <c r="Q31" i="2"/>
  <c r="O31" i="2"/>
  <c r="D30" i="2"/>
  <c r="G30" i="2"/>
  <c r="W30" i="2"/>
  <c r="K30" i="2"/>
  <c r="Y30" i="2"/>
  <c r="L30" i="2"/>
  <c r="M30" i="2"/>
  <c r="N30" i="2"/>
  <c r="R30" i="2"/>
  <c r="U30" i="2"/>
  <c r="S30" i="2"/>
  <c r="V30" i="2"/>
  <c r="P30" i="2"/>
  <c r="Q30" i="2"/>
  <c r="O30" i="2"/>
  <c r="D29" i="2"/>
  <c r="G29" i="2"/>
  <c r="W29" i="2"/>
  <c r="K29" i="2"/>
  <c r="Y29" i="2"/>
  <c r="L29" i="2"/>
  <c r="M29" i="2"/>
  <c r="N29" i="2"/>
  <c r="R29" i="2"/>
  <c r="U29" i="2"/>
  <c r="S29" i="2"/>
  <c r="V29" i="2"/>
  <c r="P29" i="2"/>
  <c r="Q29" i="2"/>
  <c r="O29" i="2"/>
  <c r="D28" i="2"/>
  <c r="G28" i="2"/>
  <c r="W28" i="2"/>
  <c r="K28" i="2"/>
  <c r="Y28" i="2"/>
  <c r="L28" i="2"/>
  <c r="M28" i="2"/>
  <c r="N28" i="2"/>
  <c r="R28" i="2"/>
  <c r="U28" i="2"/>
  <c r="S28" i="2"/>
  <c r="V28" i="2"/>
  <c r="P28" i="2"/>
  <c r="Q28" i="2"/>
  <c r="O28" i="2"/>
  <c r="D27" i="2"/>
  <c r="G27" i="2"/>
  <c r="W27" i="2"/>
  <c r="K27" i="2"/>
  <c r="Y27" i="2"/>
  <c r="L27" i="2"/>
  <c r="M27" i="2"/>
  <c r="N27" i="2"/>
  <c r="R27" i="2"/>
  <c r="U27" i="2"/>
  <c r="S27" i="2"/>
  <c r="V27" i="2"/>
  <c r="P27" i="2"/>
  <c r="Q27" i="2"/>
  <c r="O27" i="2"/>
  <c r="D26" i="2"/>
  <c r="G26" i="2"/>
  <c r="W26" i="2"/>
  <c r="K26" i="2"/>
  <c r="Y26" i="2"/>
  <c r="L26" i="2"/>
  <c r="M26" i="2"/>
  <c r="N26" i="2"/>
  <c r="R26" i="2"/>
  <c r="U26" i="2"/>
  <c r="S26" i="2"/>
  <c r="V26" i="2"/>
  <c r="P26" i="2"/>
  <c r="Q26" i="2"/>
  <c r="O26" i="2"/>
  <c r="D25" i="2"/>
  <c r="G25" i="2"/>
  <c r="W25" i="2"/>
  <c r="K25" i="2"/>
  <c r="Y25" i="2"/>
  <c r="L25" i="2"/>
  <c r="M25" i="2"/>
  <c r="N25" i="2"/>
  <c r="R25" i="2"/>
  <c r="U25" i="2"/>
  <c r="S25" i="2"/>
  <c r="V25" i="2"/>
  <c r="P25" i="2"/>
  <c r="Q25" i="2"/>
  <c r="O25" i="2"/>
  <c r="D24" i="2"/>
  <c r="G24" i="2"/>
  <c r="W24" i="2"/>
  <c r="K24" i="2"/>
  <c r="Y24" i="2"/>
  <c r="L24" i="2"/>
  <c r="M24" i="2"/>
  <c r="N24" i="2"/>
  <c r="R24" i="2"/>
  <c r="U24" i="2"/>
  <c r="S24" i="2"/>
  <c r="V24" i="2"/>
  <c r="P24" i="2"/>
  <c r="Q24" i="2"/>
  <c r="O24" i="2"/>
  <c r="D23" i="2"/>
  <c r="G23" i="2"/>
  <c r="W23" i="2"/>
  <c r="K23" i="2"/>
  <c r="Y23" i="2"/>
  <c r="L23" i="2"/>
  <c r="M23" i="2"/>
  <c r="N23" i="2"/>
  <c r="R23" i="2"/>
  <c r="U23" i="2"/>
  <c r="S23" i="2"/>
  <c r="V23" i="2"/>
  <c r="P23" i="2"/>
  <c r="Q23" i="2"/>
  <c r="O23" i="2"/>
  <c r="D22" i="2"/>
  <c r="G22" i="2"/>
  <c r="W22" i="2"/>
  <c r="K22" i="2"/>
  <c r="Y22" i="2"/>
  <c r="L22" i="2"/>
  <c r="M22" i="2"/>
  <c r="N22" i="2"/>
  <c r="R22" i="2"/>
  <c r="U22" i="2"/>
  <c r="S22" i="2"/>
  <c r="V22" i="2"/>
  <c r="P22" i="2"/>
  <c r="Q22" i="2"/>
  <c r="O22" i="2"/>
  <c r="D21" i="2"/>
  <c r="G21" i="2"/>
  <c r="W21" i="2"/>
  <c r="K21" i="2"/>
  <c r="Y21" i="2"/>
  <c r="L21" i="2"/>
  <c r="M21" i="2"/>
  <c r="N21" i="2"/>
  <c r="R21" i="2"/>
  <c r="U21" i="2"/>
  <c r="S21" i="2"/>
  <c r="V21" i="2"/>
  <c r="P21" i="2"/>
  <c r="Q21" i="2"/>
  <c r="O21" i="2"/>
  <c r="D20" i="2"/>
  <c r="G20" i="2"/>
  <c r="W20" i="2"/>
  <c r="K20" i="2"/>
  <c r="Y20" i="2"/>
  <c r="L20" i="2"/>
  <c r="M20" i="2"/>
  <c r="N20" i="2"/>
  <c r="R20" i="2"/>
  <c r="U20" i="2"/>
  <c r="S20" i="2"/>
  <c r="V20" i="2"/>
  <c r="P20" i="2"/>
  <c r="Q20" i="2"/>
  <c r="O20" i="2"/>
  <c r="D19" i="2"/>
  <c r="G19" i="2"/>
  <c r="W19" i="2"/>
  <c r="K19" i="2"/>
  <c r="Y19" i="2"/>
  <c r="L19" i="2"/>
  <c r="M19" i="2"/>
  <c r="N19" i="2"/>
  <c r="R19" i="2"/>
  <c r="U19" i="2"/>
  <c r="S19" i="2"/>
  <c r="V19" i="2"/>
  <c r="P19" i="2"/>
  <c r="Q19" i="2"/>
  <c r="O19" i="2"/>
  <c r="D18" i="2"/>
  <c r="G18" i="2"/>
  <c r="W18" i="2"/>
  <c r="K18" i="2"/>
  <c r="Y18" i="2"/>
  <c r="L18" i="2"/>
  <c r="M18" i="2"/>
  <c r="N18" i="2"/>
  <c r="R18" i="2"/>
  <c r="U18" i="2"/>
  <c r="S18" i="2"/>
  <c r="V18" i="2"/>
  <c r="P18" i="2"/>
  <c r="Q18" i="2"/>
  <c r="O18" i="2"/>
  <c r="D17" i="2"/>
  <c r="G17" i="2"/>
  <c r="W17" i="2"/>
  <c r="K17" i="2"/>
  <c r="Y17" i="2"/>
  <c r="L17" i="2"/>
  <c r="M17" i="2"/>
  <c r="N17" i="2"/>
  <c r="R17" i="2"/>
  <c r="U17" i="2"/>
  <c r="S17" i="2"/>
  <c r="V17" i="2"/>
  <c r="P17" i="2"/>
  <c r="Q17" i="2"/>
  <c r="O17" i="2"/>
  <c r="D16" i="2"/>
  <c r="G16" i="2"/>
  <c r="W16" i="2"/>
  <c r="K16" i="2"/>
  <c r="Y16" i="2"/>
  <c r="L16" i="2"/>
  <c r="M16" i="2"/>
  <c r="N16" i="2"/>
  <c r="R16" i="2"/>
  <c r="U16" i="2"/>
  <c r="S16" i="2"/>
  <c r="V16" i="2"/>
  <c r="P16" i="2"/>
  <c r="Q16" i="2"/>
  <c r="O16" i="2"/>
  <c r="D15" i="2"/>
  <c r="G15" i="2"/>
  <c r="W15" i="2"/>
  <c r="K15" i="2"/>
  <c r="Y15" i="2"/>
  <c r="L15" i="2"/>
  <c r="M15" i="2"/>
  <c r="N15" i="2"/>
  <c r="R15" i="2"/>
  <c r="U15" i="2"/>
  <c r="S15" i="2"/>
  <c r="V15" i="2"/>
  <c r="P15" i="2"/>
  <c r="Q15" i="2"/>
  <c r="O15" i="2"/>
  <c r="D14" i="2"/>
  <c r="G14" i="2"/>
  <c r="W14" i="2"/>
  <c r="K14" i="2"/>
  <c r="Y14" i="2"/>
  <c r="L14" i="2"/>
  <c r="M14" i="2"/>
  <c r="N14" i="2"/>
  <c r="R14" i="2"/>
  <c r="U14" i="2"/>
  <c r="S14" i="2"/>
  <c r="V14" i="2"/>
  <c r="P14" i="2"/>
  <c r="Q14" i="2"/>
  <c r="O14" i="2"/>
  <c r="D13" i="2"/>
  <c r="G13" i="2"/>
  <c r="W13" i="2"/>
  <c r="K13" i="2"/>
  <c r="Y13" i="2"/>
  <c r="L13" i="2"/>
  <c r="M13" i="2"/>
  <c r="N13" i="2"/>
  <c r="R13" i="2"/>
  <c r="U13" i="2"/>
  <c r="S13" i="2"/>
  <c r="V13" i="2"/>
  <c r="P13" i="2"/>
  <c r="Q13" i="2"/>
  <c r="O13" i="2"/>
  <c r="D12" i="2"/>
  <c r="G12" i="2"/>
  <c r="W12" i="2"/>
  <c r="K12" i="2"/>
  <c r="Y12" i="2"/>
  <c r="L12" i="2"/>
  <c r="M12" i="2"/>
  <c r="N12" i="2"/>
  <c r="R12" i="2"/>
  <c r="U12" i="2"/>
  <c r="S12" i="2"/>
  <c r="V12" i="2"/>
  <c r="P12" i="2"/>
  <c r="Q12" i="2"/>
  <c r="O12" i="2"/>
  <c r="D11" i="2"/>
  <c r="G11" i="2"/>
  <c r="W11" i="2"/>
  <c r="K11" i="2"/>
  <c r="Y11" i="2"/>
  <c r="L11" i="2"/>
  <c r="M11" i="2"/>
  <c r="N11" i="2"/>
  <c r="R11" i="2"/>
  <c r="U11" i="2"/>
  <c r="S11" i="2"/>
  <c r="V11" i="2"/>
  <c r="P11" i="2"/>
  <c r="Q11" i="2"/>
  <c r="O11" i="2"/>
  <c r="D10" i="2"/>
  <c r="G10" i="2"/>
  <c r="W10" i="2"/>
  <c r="K10" i="2"/>
  <c r="Y10" i="2"/>
  <c r="L10" i="2"/>
  <c r="M10" i="2"/>
  <c r="N10" i="2"/>
  <c r="R10" i="2"/>
  <c r="U10" i="2"/>
  <c r="S10" i="2"/>
  <c r="V10" i="2"/>
  <c r="P10" i="2"/>
  <c r="Q10" i="2"/>
  <c r="O10" i="2"/>
  <c r="D9" i="2"/>
  <c r="G9" i="2"/>
  <c r="W9" i="2"/>
  <c r="K9" i="2"/>
  <c r="Y9" i="2"/>
  <c r="L9" i="2"/>
  <c r="M9" i="2"/>
  <c r="N9" i="2"/>
  <c r="R9" i="2"/>
  <c r="U9" i="2"/>
  <c r="S9" i="2"/>
  <c r="V9" i="2"/>
  <c r="P9" i="2"/>
  <c r="Q9" i="2"/>
  <c r="O9" i="2"/>
  <c r="D8" i="2"/>
  <c r="G8" i="2"/>
  <c r="W8" i="2"/>
  <c r="K8" i="2"/>
  <c r="Y8" i="2"/>
  <c r="L8" i="2"/>
  <c r="M8" i="2"/>
  <c r="N8" i="2"/>
  <c r="R8" i="2"/>
  <c r="U8" i="2"/>
  <c r="S8" i="2"/>
  <c r="V8" i="2"/>
  <c r="P8" i="2"/>
  <c r="Q8" i="2"/>
  <c r="O8" i="2"/>
  <c r="D7" i="2"/>
  <c r="G7" i="2"/>
  <c r="W7" i="2"/>
  <c r="K7" i="2"/>
  <c r="Y7" i="2"/>
  <c r="L7" i="2"/>
  <c r="M7" i="2"/>
  <c r="N7" i="2"/>
  <c r="R7" i="2"/>
  <c r="U7" i="2"/>
  <c r="S7" i="2"/>
  <c r="V7" i="2"/>
  <c r="P7" i="2"/>
  <c r="Q7" i="2"/>
  <c r="O7" i="2"/>
  <c r="D6" i="2"/>
  <c r="G6" i="2"/>
  <c r="W6" i="2"/>
  <c r="K6" i="2"/>
  <c r="Y6" i="2"/>
  <c r="L6" i="2"/>
  <c r="M6" i="2"/>
  <c r="N6" i="2"/>
  <c r="R6" i="2"/>
  <c r="U6" i="2"/>
  <c r="S6" i="2"/>
  <c r="V6" i="2"/>
  <c r="P6" i="2"/>
  <c r="Q6" i="2"/>
  <c r="O6" i="2"/>
  <c r="D5" i="2"/>
  <c r="G5" i="2"/>
  <c r="W5" i="2"/>
  <c r="K5" i="2"/>
  <c r="Y5" i="2"/>
  <c r="L5" i="2"/>
  <c r="M5" i="2"/>
  <c r="N5" i="2"/>
  <c r="R5" i="2"/>
  <c r="U5" i="2"/>
  <c r="S5" i="2"/>
  <c r="V5" i="2"/>
  <c r="P5" i="2"/>
  <c r="Q5" i="2"/>
  <c r="O5" i="2"/>
  <c r="B953" i="1"/>
  <c r="G339" i="1"/>
  <c r="G351" i="1"/>
  <c r="G354" i="1" s="1"/>
  <c r="G343" i="1"/>
  <c r="G349" i="1" s="1"/>
  <c r="G341" i="1"/>
  <c r="G348" i="1" s="1"/>
  <c r="G384" i="1"/>
  <c r="G396" i="1"/>
  <c r="G399" i="1" s="1"/>
  <c r="G388" i="1"/>
  <c r="G394" i="1" s="1"/>
  <c r="G386" i="1"/>
  <c r="G393" i="1" s="1"/>
  <c r="C39" i="1"/>
  <c r="C46" i="1"/>
  <c r="D47" i="1"/>
  <c r="E47" i="1"/>
  <c r="F47" i="1"/>
  <c r="D38" i="1"/>
  <c r="D39" i="1" s="1"/>
  <c r="D40" i="1"/>
  <c r="D79" i="1"/>
  <c r="E38" i="1"/>
  <c r="E39" i="1" s="1"/>
  <c r="E40" i="1"/>
  <c r="E79" i="1"/>
  <c r="F40" i="1"/>
  <c r="F79" i="1"/>
  <c r="D95" i="1"/>
  <c r="E95" i="1"/>
  <c r="F95" i="1"/>
  <c r="D63" i="1"/>
  <c r="E63" i="1"/>
  <c r="F63" i="1"/>
  <c r="C45" i="1"/>
  <c r="F45" i="1" s="1"/>
  <c r="D224" i="1"/>
  <c r="E224" i="1"/>
  <c r="F224" i="1"/>
  <c r="G224" i="1"/>
  <c r="H224" i="1"/>
  <c r="I224" i="1"/>
  <c r="J224" i="1"/>
  <c r="K224" i="1"/>
  <c r="L224" i="1"/>
  <c r="M224" i="1"/>
  <c r="N224" i="1"/>
  <c r="C224" i="1"/>
  <c r="D223" i="1"/>
  <c r="E223" i="1"/>
  <c r="F223" i="1"/>
  <c r="G223" i="1"/>
  <c r="H223" i="1"/>
  <c r="I223" i="1"/>
  <c r="J223" i="1"/>
  <c r="K223" i="1"/>
  <c r="L223" i="1"/>
  <c r="M223" i="1"/>
  <c r="N223" i="1"/>
  <c r="C223" i="1"/>
  <c r="B113" i="1"/>
  <c r="D191" i="1"/>
  <c r="I193" i="1" s="1"/>
  <c r="C183" i="1"/>
  <c r="F42" i="1"/>
  <c r="E42" i="1"/>
  <c r="D42" i="1"/>
  <c r="I10" i="1"/>
  <c r="H10" i="1"/>
  <c r="G10" i="1"/>
  <c r="G11" i="1" s="1"/>
  <c r="G12" i="1" s="1"/>
  <c r="G13" i="1" s="1"/>
  <c r="G14" i="1" s="1"/>
  <c r="F10" i="1"/>
  <c r="F11" i="1" s="1"/>
  <c r="F12" i="1" s="1"/>
  <c r="F13" i="1" s="1"/>
  <c r="E10" i="1"/>
  <c r="E11" i="1" s="1"/>
  <c r="E12" i="1" s="1"/>
  <c r="E13" i="1" s="1"/>
  <c r="I21" i="1"/>
  <c r="H21" i="1"/>
  <c r="G21" i="1"/>
  <c r="F21" i="1"/>
  <c r="E21" i="1"/>
  <c r="I9" i="1"/>
  <c r="H9" i="1"/>
  <c r="G9" i="1"/>
  <c r="F9" i="1"/>
  <c r="E9" i="1"/>
  <c r="C8" i="1"/>
  <c r="C9" i="1" s="1"/>
  <c r="C43" i="1"/>
  <c r="D43" i="1" s="1"/>
  <c r="C31" i="1"/>
  <c r="C28" i="1"/>
  <c r="G866" i="1"/>
  <c r="D173" i="4" l="1"/>
  <c r="D165" i="4"/>
  <c r="D157" i="4"/>
  <c r="D149" i="4"/>
  <c r="D181" i="4"/>
  <c r="D141" i="4"/>
  <c r="D133" i="4"/>
  <c r="D125" i="4"/>
  <c r="I86" i="4"/>
  <c r="G86" i="4"/>
  <c r="H269" i="1"/>
  <c r="H273" i="1" s="1"/>
  <c r="I269" i="1"/>
  <c r="I273" i="1" s="1"/>
  <c r="K269" i="1"/>
  <c r="K273" i="1" s="1"/>
  <c r="D269" i="1"/>
  <c r="D273" i="1" s="1"/>
  <c r="L269" i="1"/>
  <c r="L273" i="1" s="1"/>
  <c r="M269" i="1"/>
  <c r="M273" i="1" s="1"/>
  <c r="N269" i="1"/>
  <c r="N273" i="1" s="1"/>
  <c r="G269" i="1"/>
  <c r="G273" i="1" s="1"/>
  <c r="C269" i="1"/>
  <c r="C273" i="1" s="1"/>
  <c r="J269" i="1"/>
  <c r="J273" i="1" s="1"/>
  <c r="H261" i="1"/>
  <c r="H265" i="1" s="1"/>
  <c r="I261" i="1"/>
  <c r="I265" i="1" s="1"/>
  <c r="K261" i="1"/>
  <c r="K265" i="1" s="1"/>
  <c r="D261" i="1"/>
  <c r="D265" i="1" s="1"/>
  <c r="L261" i="1"/>
  <c r="L265" i="1" s="1"/>
  <c r="E261" i="1"/>
  <c r="E265" i="1" s="1"/>
  <c r="M261" i="1"/>
  <c r="M265" i="1" s="1"/>
  <c r="F261" i="1"/>
  <c r="F265" i="1" s="1"/>
  <c r="N261" i="1"/>
  <c r="N265" i="1" s="1"/>
  <c r="G261" i="1"/>
  <c r="G265" i="1" s="1"/>
  <c r="C261" i="1"/>
  <c r="C265" i="1" s="1"/>
  <c r="J261" i="1"/>
  <c r="J265" i="1" s="1"/>
  <c r="K225" i="1"/>
  <c r="K245" i="1" s="1"/>
  <c r="C41" i="1"/>
  <c r="G867" i="1"/>
  <c r="C225" i="1"/>
  <c r="C241" i="1" s="1"/>
  <c r="C245" i="1" s="1"/>
  <c r="G23" i="1"/>
  <c r="G24" i="1" s="1"/>
  <c r="F46" i="1"/>
  <c r="C272" i="1" s="1"/>
  <c r="C276" i="1" s="1"/>
  <c r="G403" i="1"/>
  <c r="G404" i="1" s="1"/>
  <c r="I22" i="1"/>
  <c r="D483" i="1"/>
  <c r="B401" i="1"/>
  <c r="B402" i="1" s="1"/>
  <c r="H475" i="1"/>
  <c r="G470" i="1"/>
  <c r="I478" i="1"/>
  <c r="C485" i="1"/>
  <c r="K477" i="1"/>
  <c r="H486" i="1"/>
  <c r="D471" i="1"/>
  <c r="I470" i="1"/>
  <c r="K487" i="1"/>
  <c r="F469" i="1"/>
  <c r="C476" i="1"/>
  <c r="G480" i="1"/>
  <c r="K482" i="1"/>
  <c r="E484" i="1"/>
  <c r="F479" i="1"/>
  <c r="K486" i="1"/>
  <c r="K478" i="1"/>
  <c r="I482" i="1"/>
  <c r="I483" i="1"/>
  <c r="I479" i="1"/>
  <c r="C918" i="1"/>
  <c r="J487" i="1"/>
  <c r="H481" i="1"/>
  <c r="F43" i="1"/>
  <c r="E477" i="1"/>
  <c r="F475" i="1"/>
  <c r="F478" i="1"/>
  <c r="E43" i="1"/>
  <c r="C931" i="1"/>
  <c r="C934" i="1" s="1"/>
  <c r="B871" i="1"/>
  <c r="B874" i="1" s="1"/>
  <c r="G520" i="1"/>
  <c r="G522" i="1" s="1"/>
  <c r="F470" i="1"/>
  <c r="H478" i="1"/>
  <c r="K476" i="1"/>
  <c r="C474" i="1"/>
  <c r="I471" i="1"/>
  <c r="J474" i="1"/>
  <c r="C944" i="1"/>
  <c r="D475" i="1"/>
  <c r="E470" i="1"/>
  <c r="H479" i="1"/>
  <c r="J477" i="1"/>
  <c r="K472" i="1"/>
  <c r="G229" i="1"/>
  <c r="G253" i="1" s="1"/>
  <c r="C193" i="1"/>
  <c r="J229" i="1"/>
  <c r="J253" i="1" s="1"/>
  <c r="G22" i="1"/>
  <c r="M229" i="1"/>
  <c r="M253" i="1" s="1"/>
  <c r="C229" i="1"/>
  <c r="C253" i="1" s="1"/>
  <c r="F229" i="1"/>
  <c r="F253" i="1" s="1"/>
  <c r="L229" i="1"/>
  <c r="L253" i="1" s="1"/>
  <c r="M194" i="1"/>
  <c r="E229" i="1"/>
  <c r="E253" i="1" s="1"/>
  <c r="E22" i="1"/>
  <c r="H22" i="1"/>
  <c r="D478" i="1"/>
  <c r="F476" i="1"/>
  <c r="H229" i="1"/>
  <c r="H253" i="1" s="1"/>
  <c r="D194" i="1"/>
  <c r="I229" i="1"/>
  <c r="I253" i="1" s="1"/>
  <c r="D229" i="1"/>
  <c r="D253" i="1" s="1"/>
  <c r="J193" i="1"/>
  <c r="K229" i="1"/>
  <c r="K253" i="1" s="1"/>
  <c r="E45" i="1"/>
  <c r="G231" i="1" s="1"/>
  <c r="G255" i="1" s="1"/>
  <c r="D45" i="1"/>
  <c r="G230" i="1" s="1"/>
  <c r="G254" i="1" s="1"/>
  <c r="D476" i="1"/>
  <c r="E479" i="1"/>
  <c r="F474" i="1"/>
  <c r="N229" i="1"/>
  <c r="N253" i="1" s="1"/>
  <c r="L194" i="1"/>
  <c r="G15" i="1"/>
  <c r="G16" i="1" s="1"/>
  <c r="G17" i="1" s="1"/>
  <c r="G18" i="1" s="1"/>
  <c r="G19" i="1" s="1"/>
  <c r="N225" i="1"/>
  <c r="N245" i="1" s="1"/>
  <c r="D46" i="1"/>
  <c r="I225" i="1"/>
  <c r="I245" i="1" s="1"/>
  <c r="M225" i="1"/>
  <c r="M245" i="1" s="1"/>
  <c r="C53" i="1"/>
  <c r="J225" i="1"/>
  <c r="J245" i="1" s="1"/>
  <c r="L225" i="1"/>
  <c r="L245" i="1" s="1"/>
  <c r="H225" i="1"/>
  <c r="H245" i="1" s="1"/>
  <c r="E23" i="1"/>
  <c r="E24" i="1" s="1"/>
  <c r="H195" i="1"/>
  <c r="D225" i="1"/>
  <c r="D245" i="1" s="1"/>
  <c r="E46" i="1"/>
  <c r="E225" i="1"/>
  <c r="E245" i="1" s="1"/>
  <c r="G225" i="1"/>
  <c r="G245" i="1" s="1"/>
  <c r="F225" i="1"/>
  <c r="F245" i="1" s="1"/>
  <c r="B358" i="1"/>
  <c r="B359" i="1" s="1"/>
  <c r="B875" i="1"/>
  <c r="E15" i="1"/>
  <c r="E16" i="1" s="1"/>
  <c r="E17" i="1" s="1"/>
  <c r="E18" i="1" s="1"/>
  <c r="E14" i="1"/>
  <c r="D232" i="1"/>
  <c r="D256" i="1" s="1"/>
  <c r="F232" i="1"/>
  <c r="F256" i="1" s="1"/>
  <c r="G202" i="1"/>
  <c r="E232" i="1"/>
  <c r="E256" i="1" s="1"/>
  <c r="C232" i="1"/>
  <c r="C256" i="1" s="1"/>
  <c r="E202" i="1"/>
  <c r="J202" i="1"/>
  <c r="N195" i="1"/>
  <c r="G193" i="1"/>
  <c r="H193" i="1"/>
  <c r="L193" i="1"/>
  <c r="C194" i="1"/>
  <c r="L199" i="1"/>
  <c r="G199" i="1"/>
  <c r="D193" i="1"/>
  <c r="K194" i="1"/>
  <c r="I199" i="1"/>
  <c r="C11" i="1"/>
  <c r="C12" i="1" s="1"/>
  <c r="C13" i="1" s="1"/>
  <c r="C14" i="1" s="1"/>
  <c r="C80" i="1"/>
  <c r="J199" i="1"/>
  <c r="I194" i="1"/>
  <c r="J195" i="1"/>
  <c r="L195" i="1"/>
  <c r="M193" i="1"/>
  <c r="E194" i="1"/>
  <c r="K199" i="1"/>
  <c r="B867" i="1"/>
  <c r="C96" i="1"/>
  <c r="M195" i="1"/>
  <c r="H194" i="1"/>
  <c r="N193" i="1"/>
  <c r="N194" i="1"/>
  <c r="F193" i="1"/>
  <c r="E193" i="1"/>
  <c r="M199" i="1"/>
  <c r="C195" i="1"/>
  <c r="G194" i="1"/>
  <c r="B403" i="1"/>
  <c r="B404" i="1" s="1"/>
  <c r="E195" i="1"/>
  <c r="K193" i="1"/>
  <c r="J194" i="1"/>
  <c r="F194" i="1"/>
  <c r="E199" i="1"/>
  <c r="D195" i="1"/>
  <c r="G401" i="1"/>
  <c r="G402" i="1" s="1"/>
  <c r="N199" i="1"/>
  <c r="G195" i="1"/>
  <c r="K195" i="1"/>
  <c r="I195" i="1"/>
  <c r="C199" i="1"/>
  <c r="D199" i="1"/>
  <c r="H199" i="1"/>
  <c r="F199" i="1"/>
  <c r="F195" i="1"/>
  <c r="C127" i="1"/>
  <c r="C932" i="1"/>
  <c r="D204" i="1"/>
  <c r="G200" i="1"/>
  <c r="D41" i="1"/>
  <c r="E196" i="1"/>
  <c r="F14" i="1"/>
  <c r="F15" i="1"/>
  <c r="F16" i="1" s="1"/>
  <c r="F17" i="1" s="1"/>
  <c r="F18" i="1" s="1"/>
  <c r="C23" i="1"/>
  <c r="C24" i="1" s="1"/>
  <c r="C22" i="1"/>
  <c r="I23" i="1"/>
  <c r="I24" i="1" s="1"/>
  <c r="I11" i="1"/>
  <c r="I12" i="1" s="1"/>
  <c r="I13" i="1" s="1"/>
  <c r="D473" i="1"/>
  <c r="H484" i="1"/>
  <c r="D472" i="1"/>
  <c r="G486" i="1"/>
  <c r="J480" i="1"/>
  <c r="G469" i="1"/>
  <c r="K481" i="1"/>
  <c r="C483" i="1"/>
  <c r="F482" i="1"/>
  <c r="I472" i="1"/>
  <c r="H468" i="1"/>
  <c r="F471" i="1"/>
  <c r="J478" i="1"/>
  <c r="D469" i="1"/>
  <c r="G484" i="1"/>
  <c r="J484" i="1"/>
  <c r="G468" i="1"/>
  <c r="I487" i="1"/>
  <c r="F468" i="1"/>
  <c r="G483" i="1"/>
  <c r="J482" i="1"/>
  <c r="D202" i="1"/>
  <c r="K470" i="1"/>
  <c r="K228" i="1"/>
  <c r="K248" i="1" s="1"/>
  <c r="E481" i="1"/>
  <c r="H472" i="1"/>
  <c r="H232" i="1"/>
  <c r="H256" i="1" s="1"/>
  <c r="C484" i="1"/>
  <c r="E486" i="1"/>
  <c r="G481" i="1"/>
  <c r="J469" i="1"/>
  <c r="C478" i="1"/>
  <c r="H482" i="1"/>
  <c r="K475" i="1"/>
  <c r="C477" i="1"/>
  <c r="F472" i="1"/>
  <c r="J485" i="1"/>
  <c r="D486" i="1"/>
  <c r="G479" i="1"/>
  <c r="J472" i="1"/>
  <c r="E483" i="1"/>
  <c r="G478" i="1"/>
  <c r="J471" i="1"/>
  <c r="D479" i="1"/>
  <c r="I475" i="1"/>
  <c r="D484" i="1"/>
  <c r="G477" i="1"/>
  <c r="J470" i="1"/>
  <c r="L202" i="1"/>
  <c r="K232" i="1"/>
  <c r="K256" i="1" s="1"/>
  <c r="J473" i="1"/>
  <c r="C469" i="1"/>
  <c r="C481" i="1"/>
  <c r="C487" i="1"/>
  <c r="E476" i="1"/>
  <c r="I485" i="1"/>
  <c r="C479" i="1"/>
  <c r="E480" i="1"/>
  <c r="G476" i="1"/>
  <c r="I468" i="1"/>
  <c r="H477" i="1"/>
  <c r="C472" i="1"/>
  <c r="G485" i="1"/>
  <c r="K474" i="1"/>
  <c r="D481" i="1"/>
  <c r="G474" i="1"/>
  <c r="K480" i="1"/>
  <c r="E478" i="1"/>
  <c r="G473" i="1"/>
  <c r="K485" i="1"/>
  <c r="E482" i="1"/>
  <c r="I469" i="1"/>
  <c r="D474" i="1"/>
  <c r="G471" i="1"/>
  <c r="K483" i="1"/>
  <c r="I202" i="1"/>
  <c r="H202" i="1"/>
  <c r="F202" i="1"/>
  <c r="L232" i="1"/>
  <c r="L256" i="1" s="1"/>
  <c r="M232" i="1"/>
  <c r="M256" i="1" s="1"/>
  <c r="J476" i="1"/>
  <c r="K484" i="1"/>
  <c r="C470" i="1"/>
  <c r="C475" i="1"/>
  <c r="K469" i="1"/>
  <c r="N232" i="1"/>
  <c r="N256" i="1" s="1"/>
  <c r="F484" i="1"/>
  <c r="I480" i="1"/>
  <c r="C473" i="1"/>
  <c r="E475" i="1"/>
  <c r="H483" i="1"/>
  <c r="D487" i="1"/>
  <c r="H471" i="1"/>
  <c r="D482" i="1"/>
  <c r="G475" i="1"/>
  <c r="D470" i="1"/>
  <c r="H487" i="1"/>
  <c r="E472" i="1"/>
  <c r="H480" i="1"/>
  <c r="K473" i="1"/>
  <c r="F485" i="1"/>
  <c r="J483" i="1"/>
  <c r="E487" i="1"/>
  <c r="H485" i="1"/>
  <c r="N202" i="1"/>
  <c r="K202" i="1"/>
  <c r="J232" i="1"/>
  <c r="J256" i="1" s="1"/>
  <c r="C480" i="1"/>
  <c r="G487" i="1"/>
  <c r="J481" i="1"/>
  <c r="D468" i="1"/>
  <c r="F483" i="1"/>
  <c r="I484" i="1"/>
  <c r="E474" i="1"/>
  <c r="I473" i="1"/>
  <c r="E485" i="1"/>
  <c r="H476" i="1"/>
  <c r="C482" i="1"/>
  <c r="E473" i="1"/>
  <c r="H470" i="1"/>
  <c r="D485" i="1"/>
  <c r="F481" i="1"/>
  <c r="H469" i="1"/>
  <c r="G472" i="1"/>
  <c r="C486" i="1"/>
  <c r="E471" i="1"/>
  <c r="I486" i="1"/>
  <c r="M202" i="1"/>
  <c r="K471" i="1"/>
  <c r="J475" i="1"/>
  <c r="G482" i="1"/>
  <c r="J468" i="1"/>
  <c r="J486" i="1"/>
  <c r="J479" i="1"/>
  <c r="I477" i="1"/>
  <c r="C471" i="1"/>
  <c r="D480" i="1"/>
  <c r="K468" i="1"/>
  <c r="C202" i="1"/>
  <c r="G232" i="1"/>
  <c r="G256" i="1" s="1"/>
  <c r="K479" i="1"/>
  <c r="I474" i="1"/>
  <c r="D477" i="1"/>
  <c r="F487" i="1"/>
  <c r="F486" i="1"/>
  <c r="F480" i="1"/>
  <c r="J228" i="1"/>
  <c r="J248" i="1" s="1"/>
  <c r="C468" i="1"/>
  <c r="E468" i="1"/>
  <c r="F41" i="1"/>
  <c r="F473" i="1"/>
  <c r="F477" i="1"/>
  <c r="E469" i="1"/>
  <c r="I476" i="1"/>
  <c r="H474" i="1"/>
  <c r="H473" i="1"/>
  <c r="I481" i="1"/>
  <c r="I232" i="1"/>
  <c r="I256" i="1" s="1"/>
  <c r="L198" i="1"/>
  <c r="G875" i="1"/>
  <c r="G876" i="1"/>
  <c r="F22" i="1"/>
  <c r="F23" i="1"/>
  <c r="F24" i="1" s="1"/>
  <c r="E41" i="1"/>
  <c r="G358" i="1"/>
  <c r="G359" i="1" s="1"/>
  <c r="G356" i="1"/>
  <c r="G357" i="1" s="1"/>
  <c r="C64" i="1"/>
  <c r="H11" i="1"/>
  <c r="H12" i="1" s="1"/>
  <c r="H13" i="1" s="1"/>
  <c r="H23" i="1"/>
  <c r="H24" i="1" s="1"/>
  <c r="B348" i="1"/>
  <c r="B356" i="1"/>
  <c r="B357" i="1" s="1"/>
  <c r="B520" i="1"/>
  <c r="B522" i="1" s="1"/>
  <c r="H75" i="7"/>
  <c r="H99" i="7"/>
  <c r="H123" i="7"/>
  <c r="H91" i="7"/>
  <c r="H131" i="7"/>
  <c r="D93" i="7"/>
  <c r="D85" i="7"/>
  <c r="D77" i="7"/>
  <c r="D133" i="7"/>
  <c r="D101" i="7"/>
  <c r="D117" i="7"/>
  <c r="D109" i="7"/>
  <c r="D125" i="7"/>
  <c r="H107" i="7"/>
  <c r="H83" i="7"/>
  <c r="H115" i="7"/>
  <c r="H65" i="6"/>
  <c r="F86" i="4" l="1"/>
  <c r="G133" i="4"/>
  <c r="G181" i="4"/>
  <c r="G173" i="4"/>
  <c r="G165" i="4"/>
  <c r="G157" i="4"/>
  <c r="G149" i="4"/>
  <c r="G141" i="4"/>
  <c r="G125" i="4"/>
  <c r="I157" i="4"/>
  <c r="H157" i="4" s="1"/>
  <c r="I133" i="4"/>
  <c r="I181" i="4"/>
  <c r="I173" i="4"/>
  <c r="I165" i="4"/>
  <c r="I149" i="4"/>
  <c r="I141" i="4"/>
  <c r="I125" i="4"/>
  <c r="H125" i="4"/>
  <c r="H133" i="4"/>
  <c r="H86" i="4"/>
  <c r="D127" i="4"/>
  <c r="G128" i="4" s="1"/>
  <c r="F129" i="4" s="1"/>
  <c r="D135" i="4"/>
  <c r="G136" i="4" s="1"/>
  <c r="F137" i="4" s="1"/>
  <c r="H141" i="4"/>
  <c r="F271" i="1"/>
  <c r="F275" i="1" s="1"/>
  <c r="K197" i="1"/>
  <c r="B405" i="1"/>
  <c r="F230" i="1"/>
  <c r="F254" i="1" s="1"/>
  <c r="L230" i="1"/>
  <c r="L254" i="1" s="1"/>
  <c r="G405" i="1"/>
  <c r="G418" i="1" s="1"/>
  <c r="L228" i="1"/>
  <c r="L248" i="1" s="1"/>
  <c r="D264" i="1"/>
  <c r="D268" i="1" s="1"/>
  <c r="L264" i="1"/>
  <c r="L268" i="1" s="1"/>
  <c r="M264" i="1"/>
  <c r="M268" i="1" s="1"/>
  <c r="F264" i="1"/>
  <c r="F268" i="1" s="1"/>
  <c r="N264" i="1"/>
  <c r="N268" i="1" s="1"/>
  <c r="G264" i="1"/>
  <c r="G268" i="1" s="1"/>
  <c r="C264" i="1"/>
  <c r="C268" i="1" s="1"/>
  <c r="H264" i="1"/>
  <c r="H268" i="1" s="1"/>
  <c r="I264" i="1"/>
  <c r="I268" i="1" s="1"/>
  <c r="J264" i="1"/>
  <c r="J268" i="1" s="1"/>
  <c r="E264" i="1"/>
  <c r="E268" i="1" s="1"/>
  <c r="K264" i="1"/>
  <c r="K268" i="1" s="1"/>
  <c r="G272" i="1"/>
  <c r="G276" i="1" s="1"/>
  <c r="G270" i="1"/>
  <c r="G274" i="1" s="1"/>
  <c r="M271" i="1"/>
  <c r="M275" i="1" s="1"/>
  <c r="G196" i="1"/>
  <c r="F226" i="1"/>
  <c r="F246" i="1" s="1"/>
  <c r="E230" i="1"/>
  <c r="E254" i="1" s="1"/>
  <c r="F272" i="1"/>
  <c r="F276" i="1" s="1"/>
  <c r="F270" i="1"/>
  <c r="F274" i="1" s="1"/>
  <c r="E271" i="1"/>
  <c r="E275" i="1" s="1"/>
  <c r="N230" i="1"/>
  <c r="N254" i="1" s="1"/>
  <c r="K196" i="1"/>
  <c r="J230" i="1"/>
  <c r="J254" i="1" s="1"/>
  <c r="K272" i="1"/>
  <c r="K276" i="1" s="1"/>
  <c r="E272" i="1"/>
  <c r="E276" i="1" s="1"/>
  <c r="M270" i="1"/>
  <c r="M274" i="1" s="1"/>
  <c r="E270" i="1"/>
  <c r="E274" i="1" s="1"/>
  <c r="L271" i="1"/>
  <c r="L275" i="1" s="1"/>
  <c r="C270" i="1"/>
  <c r="C274" i="1" s="1"/>
  <c r="M226" i="1"/>
  <c r="M246" i="1" s="1"/>
  <c r="C230" i="1"/>
  <c r="C254" i="1" s="1"/>
  <c r="I213" i="1"/>
  <c r="M272" i="1"/>
  <c r="M276" i="1" s="1"/>
  <c r="N272" i="1"/>
  <c r="N276" i="1" s="1"/>
  <c r="K270" i="1"/>
  <c r="K274" i="1" s="1"/>
  <c r="N270" i="1"/>
  <c r="N274" i="1" s="1"/>
  <c r="J271" i="1"/>
  <c r="J275" i="1" s="1"/>
  <c r="L196" i="1"/>
  <c r="D200" i="1"/>
  <c r="H263" i="1"/>
  <c r="H267" i="1" s="1"/>
  <c r="I263" i="1"/>
  <c r="I267" i="1" s="1"/>
  <c r="K263" i="1"/>
  <c r="K267" i="1" s="1"/>
  <c r="D263" i="1"/>
  <c r="D267" i="1" s="1"/>
  <c r="L263" i="1"/>
  <c r="L267" i="1" s="1"/>
  <c r="E263" i="1"/>
  <c r="E267" i="1" s="1"/>
  <c r="M263" i="1"/>
  <c r="M267" i="1" s="1"/>
  <c r="F263" i="1"/>
  <c r="F267" i="1" s="1"/>
  <c r="N263" i="1"/>
  <c r="N267" i="1" s="1"/>
  <c r="G263" i="1"/>
  <c r="G267" i="1" s="1"/>
  <c r="C263" i="1"/>
  <c r="C267" i="1" s="1"/>
  <c r="J263" i="1"/>
  <c r="J267" i="1" s="1"/>
  <c r="J272" i="1"/>
  <c r="J276" i="1" s="1"/>
  <c r="L272" i="1"/>
  <c r="L276" i="1" s="1"/>
  <c r="J270" i="1"/>
  <c r="J274" i="1" s="1"/>
  <c r="L270" i="1"/>
  <c r="L274" i="1" s="1"/>
  <c r="C271" i="1"/>
  <c r="C275" i="1" s="1"/>
  <c r="K271" i="1"/>
  <c r="K275" i="1" s="1"/>
  <c r="D196" i="1"/>
  <c r="M228" i="1"/>
  <c r="M248" i="1" s="1"/>
  <c r="I272" i="1"/>
  <c r="I276" i="1" s="1"/>
  <c r="D272" i="1"/>
  <c r="D276" i="1" s="1"/>
  <c r="I270" i="1"/>
  <c r="I274" i="1" s="1"/>
  <c r="G271" i="1"/>
  <c r="G275" i="1" s="1"/>
  <c r="I271" i="1"/>
  <c r="I275" i="1" s="1"/>
  <c r="D262" i="1"/>
  <c r="D266" i="1" s="1"/>
  <c r="L262" i="1"/>
  <c r="L266" i="1" s="1"/>
  <c r="F262" i="1"/>
  <c r="F266" i="1" s="1"/>
  <c r="N262" i="1"/>
  <c r="N266" i="1" s="1"/>
  <c r="G262" i="1"/>
  <c r="G266" i="1" s="1"/>
  <c r="C262" i="1"/>
  <c r="C266" i="1" s="1"/>
  <c r="I262" i="1"/>
  <c r="I266" i="1" s="1"/>
  <c r="H262" i="1"/>
  <c r="H266" i="1" s="1"/>
  <c r="J262" i="1"/>
  <c r="J266" i="1" s="1"/>
  <c r="E262" i="1"/>
  <c r="E266" i="1" s="1"/>
  <c r="K262" i="1"/>
  <c r="K266" i="1" s="1"/>
  <c r="M262" i="1"/>
  <c r="M266" i="1" s="1"/>
  <c r="D226" i="1"/>
  <c r="D246" i="1" s="1"/>
  <c r="H226" i="1"/>
  <c r="H246" i="1" s="1"/>
  <c r="H272" i="1"/>
  <c r="H276" i="1" s="1"/>
  <c r="H270" i="1"/>
  <c r="H274" i="1" s="1"/>
  <c r="N271" i="1"/>
  <c r="N275" i="1" s="1"/>
  <c r="H271" i="1"/>
  <c r="H275" i="1" s="1"/>
  <c r="H228" i="1"/>
  <c r="H248" i="1" s="1"/>
  <c r="K198" i="1"/>
  <c r="J198" i="1"/>
  <c r="N198" i="1"/>
  <c r="M198" i="1"/>
  <c r="C198" i="1"/>
  <c r="C226" i="1"/>
  <c r="C246" i="1" s="1"/>
  <c r="I198" i="1"/>
  <c r="I228" i="1"/>
  <c r="I248" i="1" s="1"/>
  <c r="F198" i="1"/>
  <c r="C228" i="1"/>
  <c r="C248" i="1" s="1"/>
  <c r="F228" i="1"/>
  <c r="F248" i="1" s="1"/>
  <c r="F269" i="1"/>
  <c r="F273" i="1" s="1"/>
  <c r="G198" i="1"/>
  <c r="J227" i="1"/>
  <c r="J247" i="1" s="1"/>
  <c r="E269" i="1"/>
  <c r="E273" i="1" s="1"/>
  <c r="E228" i="1"/>
  <c r="E248" i="1" s="1"/>
  <c r="N228" i="1"/>
  <c r="N248" i="1" s="1"/>
  <c r="E198" i="1"/>
  <c r="G228" i="1"/>
  <c r="G248" i="1" s="1"/>
  <c r="H198" i="1"/>
  <c r="D198" i="1"/>
  <c r="D228" i="1"/>
  <c r="D248" i="1" s="1"/>
  <c r="D271" i="1"/>
  <c r="D275" i="1" s="1"/>
  <c r="D270" i="1"/>
  <c r="D274" i="1" s="1"/>
  <c r="C197" i="1"/>
  <c r="G227" i="1"/>
  <c r="G247" i="1" s="1"/>
  <c r="M231" i="1"/>
  <c r="M255" i="1" s="1"/>
  <c r="I197" i="1"/>
  <c r="L197" i="1"/>
  <c r="K201" i="1"/>
  <c r="H197" i="1"/>
  <c r="H231" i="1"/>
  <c r="H255" i="1" s="1"/>
  <c r="N231" i="1"/>
  <c r="N255" i="1" s="1"/>
  <c r="M227" i="1"/>
  <c r="M247" i="1" s="1"/>
  <c r="J231" i="1"/>
  <c r="J255" i="1" s="1"/>
  <c r="C52" i="1"/>
  <c r="C137" i="1" s="1"/>
  <c r="C138" i="1" s="1"/>
  <c r="C54" i="1"/>
  <c r="C147" i="1" s="1"/>
  <c r="C148" i="1" s="1"/>
  <c r="C143" i="1"/>
  <c r="C144" i="1" s="1"/>
  <c r="D231" i="1"/>
  <c r="D255" i="1" s="1"/>
  <c r="L201" i="1"/>
  <c r="N201" i="1"/>
  <c r="E201" i="1"/>
  <c r="E231" i="1"/>
  <c r="E255" i="1" s="1"/>
  <c r="I201" i="1"/>
  <c r="K231" i="1"/>
  <c r="K255" i="1" s="1"/>
  <c r="C58" i="1"/>
  <c r="C201" i="1"/>
  <c r="I231" i="1"/>
  <c r="I255" i="1" s="1"/>
  <c r="H201" i="1"/>
  <c r="L231" i="1"/>
  <c r="L255" i="1" s="1"/>
  <c r="D201" i="1"/>
  <c r="H200" i="1"/>
  <c r="L200" i="1"/>
  <c r="F200" i="1"/>
  <c r="J201" i="1"/>
  <c r="C231" i="1"/>
  <c r="C255" i="1" s="1"/>
  <c r="H230" i="1"/>
  <c r="H254" i="1" s="1"/>
  <c r="M230" i="1"/>
  <c r="M254" i="1" s="1"/>
  <c r="C200" i="1"/>
  <c r="I200" i="1"/>
  <c r="D230" i="1"/>
  <c r="D254" i="1" s="1"/>
  <c r="K230" i="1"/>
  <c r="K254" i="1" s="1"/>
  <c r="M200" i="1"/>
  <c r="K200" i="1"/>
  <c r="M201" i="1"/>
  <c r="F201" i="1"/>
  <c r="G226" i="1"/>
  <c r="G246" i="1" s="1"/>
  <c r="J200" i="1"/>
  <c r="E200" i="1"/>
  <c r="I230" i="1"/>
  <c r="I254" i="1" s="1"/>
  <c r="N200" i="1"/>
  <c r="G201" i="1"/>
  <c r="F231" i="1"/>
  <c r="F255" i="1" s="1"/>
  <c r="J197" i="1"/>
  <c r="M197" i="1"/>
  <c r="C921" i="1"/>
  <c r="C919" i="1"/>
  <c r="D227" i="1"/>
  <c r="D247" i="1" s="1"/>
  <c r="H227" i="1"/>
  <c r="H247" i="1" s="1"/>
  <c r="K227" i="1"/>
  <c r="K247" i="1" s="1"/>
  <c r="C227" i="1"/>
  <c r="C247" i="1" s="1"/>
  <c r="E197" i="1"/>
  <c r="F197" i="1"/>
  <c r="N197" i="1"/>
  <c r="G197" i="1"/>
  <c r="B876" i="1"/>
  <c r="B889" i="1" s="1"/>
  <c r="D197" i="1"/>
  <c r="C947" i="1"/>
  <c r="C945" i="1"/>
  <c r="L227" i="1"/>
  <c r="L247" i="1" s="1"/>
  <c r="I226" i="1"/>
  <c r="I246" i="1" s="1"/>
  <c r="M209" i="1"/>
  <c r="E226" i="1"/>
  <c r="E246" i="1" s="1"/>
  <c r="M196" i="1"/>
  <c r="H209" i="1"/>
  <c r="G215" i="1"/>
  <c r="J226" i="1"/>
  <c r="J246" i="1" s="1"/>
  <c r="J196" i="1"/>
  <c r="N196" i="1"/>
  <c r="C196" i="1"/>
  <c r="F196" i="1"/>
  <c r="F227" i="1"/>
  <c r="F247" i="1" s="1"/>
  <c r="E211" i="1"/>
  <c r="H215" i="1"/>
  <c r="D209" i="1"/>
  <c r="H196" i="1"/>
  <c r="L226" i="1"/>
  <c r="L246" i="1" s="1"/>
  <c r="N226" i="1"/>
  <c r="N246" i="1" s="1"/>
  <c r="I196" i="1"/>
  <c r="N227" i="1"/>
  <c r="N247" i="1" s="1"/>
  <c r="E227" i="1"/>
  <c r="E247" i="1" s="1"/>
  <c r="I227" i="1"/>
  <c r="I247" i="1" s="1"/>
  <c r="L215" i="1"/>
  <c r="D215" i="1"/>
  <c r="C213" i="1"/>
  <c r="D213" i="1"/>
  <c r="N209" i="1"/>
  <c r="K226" i="1"/>
  <c r="K246" i="1" s="1"/>
  <c r="L213" i="1"/>
  <c r="B360" i="1"/>
  <c r="B364" i="1" s="1"/>
  <c r="C81" i="1"/>
  <c r="C82" i="1" s="1"/>
  <c r="C167" i="1" s="1"/>
  <c r="C168" i="1" s="1"/>
  <c r="C88" i="1"/>
  <c r="H214" i="1"/>
  <c r="K211" i="1"/>
  <c r="F19" i="1"/>
  <c r="F213" i="1"/>
  <c r="B413" i="1"/>
  <c r="G433" i="1" s="1"/>
  <c r="B368" i="1"/>
  <c r="C128" i="1"/>
  <c r="B884" i="1"/>
  <c r="B409" i="1"/>
  <c r="B418" i="1"/>
  <c r="G210" i="1"/>
  <c r="J215" i="1"/>
  <c r="C15" i="1"/>
  <c r="C16" i="1" s="1"/>
  <c r="C17" i="1" s="1"/>
  <c r="C18" i="1" s="1"/>
  <c r="C19" i="1" s="1"/>
  <c r="E213" i="1"/>
  <c r="N213" i="1"/>
  <c r="E19" i="1"/>
  <c r="H210" i="1"/>
  <c r="K214" i="1"/>
  <c r="N215" i="1"/>
  <c r="L209" i="1"/>
  <c r="G209" i="1"/>
  <c r="G213" i="1"/>
  <c r="K209" i="1"/>
  <c r="L210" i="1"/>
  <c r="I209" i="1"/>
  <c r="M213" i="1"/>
  <c r="C104" i="1"/>
  <c r="C97" i="1"/>
  <c r="E210" i="1"/>
  <c r="I215" i="1"/>
  <c r="J209" i="1"/>
  <c r="H213" i="1"/>
  <c r="M214" i="1"/>
  <c r="K210" i="1"/>
  <c r="C211" i="1"/>
  <c r="E215" i="1"/>
  <c r="M215" i="1"/>
  <c r="K213" i="1"/>
  <c r="F209" i="1"/>
  <c r="C210" i="1"/>
  <c r="F214" i="1"/>
  <c r="N210" i="1"/>
  <c r="G889" i="1"/>
  <c r="G880" i="1"/>
  <c r="F215" i="1"/>
  <c r="E209" i="1"/>
  <c r="J213" i="1"/>
  <c r="C65" i="1"/>
  <c r="C75" i="1" s="1"/>
  <c r="C72" i="1"/>
  <c r="F96" i="1"/>
  <c r="F80" i="1"/>
  <c r="F52" i="1"/>
  <c r="F64" i="1"/>
  <c r="C145" i="1"/>
  <c r="C146" i="1" s="1"/>
  <c r="C316" i="1"/>
  <c r="C320" i="1" s="1"/>
  <c r="C322" i="1" s="1"/>
  <c r="C330" i="1" s="1"/>
  <c r="I208" i="1"/>
  <c r="K207" i="1"/>
  <c r="G207" i="1"/>
  <c r="C206" i="1"/>
  <c r="F207" i="1"/>
  <c r="K206" i="1"/>
  <c r="C208" i="1"/>
  <c r="L208" i="1"/>
  <c r="M212" i="1"/>
  <c r="K208" i="1"/>
  <c r="H208" i="1"/>
  <c r="D212" i="1"/>
  <c r="D206" i="1"/>
  <c r="F212" i="1"/>
  <c r="J212" i="1"/>
  <c r="N207" i="1"/>
  <c r="L207" i="1"/>
  <c r="I212" i="1"/>
  <c r="E207" i="1"/>
  <c r="N212" i="1"/>
  <c r="J208" i="1"/>
  <c r="J206" i="1"/>
  <c r="M208" i="1"/>
  <c r="E206" i="1"/>
  <c r="G208" i="1"/>
  <c r="F208" i="1"/>
  <c r="K212" i="1"/>
  <c r="L206" i="1"/>
  <c r="C207" i="1"/>
  <c r="J207" i="1"/>
  <c r="L212" i="1"/>
  <c r="D207" i="1"/>
  <c r="G206" i="1"/>
  <c r="H212" i="1"/>
  <c r="M207" i="1"/>
  <c r="H207" i="1"/>
  <c r="N206" i="1"/>
  <c r="G212" i="1"/>
  <c r="I207" i="1"/>
  <c r="N211" i="1"/>
  <c r="D208" i="1"/>
  <c r="I214" i="1"/>
  <c r="D211" i="1"/>
  <c r="C212" i="1"/>
  <c r="F210" i="1"/>
  <c r="E214" i="1"/>
  <c r="M211" i="1"/>
  <c r="H206" i="1"/>
  <c r="E212" i="1"/>
  <c r="H211" i="1"/>
  <c r="M210" i="1"/>
  <c r="I206" i="1"/>
  <c r="N208" i="1"/>
  <c r="M206" i="1"/>
  <c r="J211" i="1"/>
  <c r="D210" i="1"/>
  <c r="E208" i="1"/>
  <c r="L211" i="1"/>
  <c r="I210" i="1"/>
  <c r="D214" i="1"/>
  <c r="N214" i="1"/>
  <c r="G214" i="1"/>
  <c r="C214" i="1"/>
  <c r="I211" i="1"/>
  <c r="F206" i="1"/>
  <c r="F211" i="1"/>
  <c r="J214" i="1"/>
  <c r="L214" i="1"/>
  <c r="J210" i="1"/>
  <c r="G211" i="1"/>
  <c r="C215" i="1"/>
  <c r="K215" i="1"/>
  <c r="I15" i="1"/>
  <c r="I16" i="1" s="1"/>
  <c r="I17" i="1" s="1"/>
  <c r="I18" i="1" s="1"/>
  <c r="I14" i="1"/>
  <c r="C209" i="1"/>
  <c r="E64" i="1"/>
  <c r="E80" i="1"/>
  <c r="E96" i="1"/>
  <c r="H15" i="1"/>
  <c r="H16" i="1" s="1"/>
  <c r="H17" i="1" s="1"/>
  <c r="H18" i="1" s="1"/>
  <c r="H14" i="1"/>
  <c r="G360" i="1"/>
  <c r="D96" i="1"/>
  <c r="D64" i="1"/>
  <c r="D80" i="1"/>
  <c r="D52" i="1"/>
  <c r="A525" i="1"/>
  <c r="F107" i="7"/>
  <c r="F115" i="7"/>
  <c r="F131" i="7"/>
  <c r="F83" i="7"/>
  <c r="F99" i="7"/>
  <c r="F75" i="7"/>
  <c r="F91" i="7"/>
  <c r="F123" i="7"/>
  <c r="D67" i="6"/>
  <c r="F65" i="6"/>
  <c r="G137" i="4" l="1"/>
  <c r="H181" i="4"/>
  <c r="H149" i="4"/>
  <c r="H173" i="4"/>
  <c r="H165" i="4"/>
  <c r="F181" i="4"/>
  <c r="F133" i="4"/>
  <c r="D167" i="4"/>
  <c r="G169" i="4" s="1"/>
  <c r="D151" i="4"/>
  <c r="G152" i="4" s="1"/>
  <c r="F153" i="4" s="1"/>
  <c r="G129" i="4"/>
  <c r="F125" i="4"/>
  <c r="D143" i="4"/>
  <c r="F141" i="4"/>
  <c r="D159" i="4"/>
  <c r="F157" i="4"/>
  <c r="D175" i="4"/>
  <c r="F173" i="4"/>
  <c r="C55" i="1"/>
  <c r="C56" i="1"/>
  <c r="C141" i="1" s="1"/>
  <c r="C142" i="1" s="1"/>
  <c r="C98" i="1"/>
  <c r="C57" i="1"/>
  <c r="G409" i="1"/>
  <c r="G416" i="1" s="1"/>
  <c r="C83" i="1"/>
  <c r="C175" i="1" s="1"/>
  <c r="C176" i="1" s="1"/>
  <c r="C91" i="1"/>
  <c r="B880" i="1"/>
  <c r="A906" i="1" s="1"/>
  <c r="B373" i="1"/>
  <c r="C66" i="1"/>
  <c r="C158" i="1" s="1"/>
  <c r="C159" i="1" s="1"/>
  <c r="C99" i="1"/>
  <c r="C100" i="1" s="1"/>
  <c r="C107" i="1"/>
  <c r="G417" i="1"/>
  <c r="I19" i="1"/>
  <c r="C90" i="1"/>
  <c r="C89" i="1"/>
  <c r="C117" i="1"/>
  <c r="B416" i="1"/>
  <c r="B417" i="1" s="1"/>
  <c r="B422" i="1" s="1"/>
  <c r="G438" i="1"/>
  <c r="C129" i="1"/>
  <c r="C184" i="1"/>
  <c r="C173" i="1"/>
  <c r="C174" i="1" s="1"/>
  <c r="C85" i="1"/>
  <c r="C169" i="1" s="1"/>
  <c r="C170" i="1" s="1"/>
  <c r="C86" i="1"/>
  <c r="C92" i="1"/>
  <c r="B956" i="1"/>
  <c r="B958" i="1" s="1"/>
  <c r="B433" i="1"/>
  <c r="C101" i="1"/>
  <c r="C108" i="1"/>
  <c r="C102" i="1"/>
  <c r="C103" i="1" s="1"/>
  <c r="C106" i="1"/>
  <c r="C105" i="1"/>
  <c r="C119" i="1"/>
  <c r="F104" i="1"/>
  <c r="F97" i="1"/>
  <c r="F98" i="1" s="1"/>
  <c r="G887" i="1"/>
  <c r="G888" i="1" s="1"/>
  <c r="G893" i="1" s="1"/>
  <c r="F906" i="1"/>
  <c r="D143" i="1"/>
  <c r="D144" i="1" s="1"/>
  <c r="D53" i="1"/>
  <c r="D145" i="1" s="1"/>
  <c r="D146" i="1" s="1"/>
  <c r="D58" i="1"/>
  <c r="D54" i="1"/>
  <c r="D147" i="1" s="1"/>
  <c r="D148" i="1" s="1"/>
  <c r="B371" i="1"/>
  <c r="B372" i="1" s="1"/>
  <c r="B438" i="1"/>
  <c r="D88" i="1"/>
  <c r="D81" i="1"/>
  <c r="E97" i="1"/>
  <c r="E102" i="1" s="1"/>
  <c r="E103" i="1" s="1"/>
  <c r="E104" i="1"/>
  <c r="C67" i="1"/>
  <c r="C152" i="1" s="1"/>
  <c r="C153" i="1" s="1"/>
  <c r="D65" i="1"/>
  <c r="D70" i="1" s="1"/>
  <c r="D72" i="1"/>
  <c r="H19" i="1"/>
  <c r="E81" i="1"/>
  <c r="E92" i="1" s="1"/>
  <c r="E88" i="1"/>
  <c r="C328" i="1"/>
  <c r="C73" i="1"/>
  <c r="C74" i="1"/>
  <c r="C115" i="1"/>
  <c r="D137" i="1"/>
  <c r="D138" i="1" s="1"/>
  <c r="D56" i="1"/>
  <c r="D57" i="1"/>
  <c r="D55" i="1"/>
  <c r="D139" i="1" s="1"/>
  <c r="G373" i="1"/>
  <c r="G364" i="1"/>
  <c r="G371" i="1" s="1"/>
  <c r="G372" i="1" s="1"/>
  <c r="E143" i="1"/>
  <c r="E144" i="1" s="1"/>
  <c r="E58" i="1"/>
  <c r="E54" i="1"/>
  <c r="E147" i="1" s="1"/>
  <c r="E148" i="1" s="1"/>
  <c r="E53" i="1"/>
  <c r="E145" i="1" s="1"/>
  <c r="E146" i="1" s="1"/>
  <c r="F65" i="1"/>
  <c r="F76" i="1" s="1"/>
  <c r="F72" i="1"/>
  <c r="C76" i="1"/>
  <c r="C69" i="1"/>
  <c r="C162" i="1" s="1"/>
  <c r="C163" i="1" s="1"/>
  <c r="C70" i="1"/>
  <c r="D104" i="1"/>
  <c r="D97" i="1"/>
  <c r="D108" i="1" s="1"/>
  <c r="E65" i="1"/>
  <c r="E76" i="1" s="1"/>
  <c r="E72" i="1"/>
  <c r="F137" i="1"/>
  <c r="F138" i="1" s="1"/>
  <c r="F57" i="1"/>
  <c r="F55" i="1"/>
  <c r="F139" i="1" s="1"/>
  <c r="F56" i="1"/>
  <c r="E52" i="1"/>
  <c r="F143" i="1"/>
  <c r="F144" i="1" s="1"/>
  <c r="F53" i="1"/>
  <c r="F145" i="1" s="1"/>
  <c r="F146" i="1" s="1"/>
  <c r="F58" i="1"/>
  <c r="F54" i="1"/>
  <c r="F147" i="1" s="1"/>
  <c r="F148" i="1" s="1"/>
  <c r="C139" i="1"/>
  <c r="C140" i="1" s="1"/>
  <c r="C315" i="1"/>
  <c r="C319" i="1" s="1"/>
  <c r="C321" i="1" s="1"/>
  <c r="F81" i="1"/>
  <c r="F85" i="1" s="1"/>
  <c r="F169" i="1" s="1"/>
  <c r="F88" i="1"/>
  <c r="G127" i="7"/>
  <c r="G126" i="7"/>
  <c r="F127" i="7" s="1"/>
  <c r="G95" i="7"/>
  <c r="G94" i="7"/>
  <c r="F95" i="7" s="1"/>
  <c r="G135" i="7"/>
  <c r="G134" i="7"/>
  <c r="F135" i="7" s="1"/>
  <c r="G119" i="7"/>
  <c r="G118" i="7"/>
  <c r="F119" i="7" s="1"/>
  <c r="G79" i="7"/>
  <c r="G78" i="7"/>
  <c r="F79" i="7" s="1"/>
  <c r="G103" i="7"/>
  <c r="G102" i="7"/>
  <c r="F103" i="7" s="1"/>
  <c r="G111" i="7"/>
  <c r="G110" i="7"/>
  <c r="F111" i="7" s="1"/>
  <c r="G87" i="7"/>
  <c r="G86" i="7"/>
  <c r="F87" i="7" s="1"/>
  <c r="G69" i="6"/>
  <c r="G68" i="6"/>
  <c r="F69" i="6" s="1"/>
  <c r="G153" i="4" l="1"/>
  <c r="G168" i="4"/>
  <c r="F169" i="4" s="1"/>
  <c r="F149" i="4"/>
  <c r="F165" i="4"/>
  <c r="D183" i="4"/>
  <c r="G185" i="4" s="1"/>
  <c r="G160" i="4"/>
  <c r="F161" i="4" s="1"/>
  <c r="G161" i="4"/>
  <c r="G176" i="4"/>
  <c r="F177" i="4" s="1"/>
  <c r="G177" i="4"/>
  <c r="G145" i="4"/>
  <c r="G144" i="4"/>
  <c r="F145" i="4" s="1"/>
  <c r="C84" i="1"/>
  <c r="C177" i="1" s="1"/>
  <c r="C178" i="1" s="1"/>
  <c r="F101" i="1"/>
  <c r="C924" i="1"/>
  <c r="C925" i="1" s="1"/>
  <c r="C933" i="1" s="1"/>
  <c r="C940" i="1"/>
  <c r="B377" i="1"/>
  <c r="B378" i="1" s="1"/>
  <c r="B887" i="1"/>
  <c r="B888" i="1" s="1"/>
  <c r="B893" i="1" s="1"/>
  <c r="B894" i="1" s="1"/>
  <c r="C914" i="1"/>
  <c r="C927" i="1"/>
  <c r="C937" i="1"/>
  <c r="C938" i="1" s="1"/>
  <c r="C946" i="1" s="1"/>
  <c r="E108" i="1"/>
  <c r="E101" i="1"/>
  <c r="F69" i="1"/>
  <c r="F162" i="1" s="1"/>
  <c r="F163" i="1" s="1"/>
  <c r="F66" i="1"/>
  <c r="F158" i="1" s="1"/>
  <c r="F159" i="1" s="1"/>
  <c r="C327" i="1"/>
  <c r="F67" i="1"/>
  <c r="F152" i="1" s="1"/>
  <c r="F153" i="1" s="1"/>
  <c r="D66" i="1"/>
  <c r="D158" i="1" s="1"/>
  <c r="D159" i="1" s="1"/>
  <c r="F107" i="1"/>
  <c r="F108" i="1"/>
  <c r="F102" i="1"/>
  <c r="F103" i="1" s="1"/>
  <c r="C185" i="1"/>
  <c r="C187" i="1" s="1"/>
  <c r="F171" i="1"/>
  <c r="F172" i="1" s="1"/>
  <c r="F170" i="1"/>
  <c r="F75" i="1"/>
  <c r="F70" i="1"/>
  <c r="F99" i="1"/>
  <c r="F100" i="1" s="1"/>
  <c r="D71" i="1"/>
  <c r="D154" i="1"/>
  <c r="C130" i="1"/>
  <c r="C131" i="1"/>
  <c r="F92" i="1"/>
  <c r="F83" i="1"/>
  <c r="C71" i="1"/>
  <c r="C156" i="1" s="1"/>
  <c r="C157" i="1" s="1"/>
  <c r="C154" i="1"/>
  <c r="C155" i="1" s="1"/>
  <c r="F141" i="1"/>
  <c r="F142" i="1" s="1"/>
  <c r="F140" i="1"/>
  <c r="B423" i="1"/>
  <c r="B424" i="1"/>
  <c r="B428" i="1" s="1"/>
  <c r="F82" i="1"/>
  <c r="F167" i="1" s="1"/>
  <c r="F168" i="1" s="1"/>
  <c r="D107" i="1"/>
  <c r="E70" i="1"/>
  <c r="D141" i="1"/>
  <c r="D142" i="1" s="1"/>
  <c r="D140" i="1"/>
  <c r="C87" i="1"/>
  <c r="C171" i="1"/>
  <c r="C172" i="1" s="1"/>
  <c r="F91" i="1"/>
  <c r="F173" i="1"/>
  <c r="F174" i="1" s="1"/>
  <c r="E85" i="1"/>
  <c r="E169" i="1" s="1"/>
  <c r="E173" i="1"/>
  <c r="E174" i="1" s="1"/>
  <c r="D85" i="1"/>
  <c r="D169" i="1" s="1"/>
  <c r="D173" i="1"/>
  <c r="D174" i="1" s="1"/>
  <c r="D99" i="1"/>
  <c r="D100" i="1" s="1"/>
  <c r="D86" i="1"/>
  <c r="D87" i="1" s="1"/>
  <c r="F105" i="1"/>
  <c r="F106" i="1"/>
  <c r="F119" i="1"/>
  <c r="F86" i="1"/>
  <c r="F87" i="1" s="1"/>
  <c r="D83" i="1"/>
  <c r="D76" i="1"/>
  <c r="F89" i="1"/>
  <c r="F90" i="1"/>
  <c r="F117" i="1"/>
  <c r="E86" i="1"/>
  <c r="E87" i="1" s="1"/>
  <c r="E69" i="1"/>
  <c r="E162" i="1" s="1"/>
  <c r="E163" i="1" s="1"/>
  <c r="D98" i="1"/>
  <c r="E89" i="1"/>
  <c r="E90" i="1"/>
  <c r="E117" i="1"/>
  <c r="C911" i="1"/>
  <c r="C68" i="1"/>
  <c r="C160" i="1" s="1"/>
  <c r="C161" i="1" s="1"/>
  <c r="D101" i="1"/>
  <c r="D69" i="1"/>
  <c r="D162" i="1" s="1"/>
  <c r="D163" i="1" s="1"/>
  <c r="F73" i="1"/>
  <c r="F74" i="1"/>
  <c r="F115" i="1"/>
  <c r="D75" i="1"/>
  <c r="E105" i="1"/>
  <c r="E106" i="1"/>
  <c r="E119" i="1"/>
  <c r="D102" i="1"/>
  <c r="D103" i="1" s="1"/>
  <c r="C323" i="1"/>
  <c r="C331" i="1" s="1"/>
  <c r="C329" i="1"/>
  <c r="D91" i="1"/>
  <c r="D67" i="1"/>
  <c r="D74" i="1"/>
  <c r="D73" i="1"/>
  <c r="D115" i="1"/>
  <c r="D92" i="1"/>
  <c r="D82" i="1"/>
  <c r="D167" i="1" s="1"/>
  <c r="D168" i="1" s="1"/>
  <c r="D90" i="1"/>
  <c r="D89" i="1"/>
  <c r="D117" i="1"/>
  <c r="G894" i="1"/>
  <c r="G898" i="1"/>
  <c r="G897" i="1"/>
  <c r="E137" i="1"/>
  <c r="E138" i="1" s="1"/>
  <c r="E107" i="1"/>
  <c r="E55" i="1"/>
  <c r="E139" i="1" s="1"/>
  <c r="E66" i="1"/>
  <c r="E158" i="1" s="1"/>
  <c r="E159" i="1" s="1"/>
  <c r="E57" i="1"/>
  <c r="E56" i="1"/>
  <c r="E67" i="1"/>
  <c r="E91" i="1"/>
  <c r="E98" i="1"/>
  <c r="E99" i="1"/>
  <c r="E100" i="1" s="1"/>
  <c r="E83" i="1"/>
  <c r="E82" i="1"/>
  <c r="E167" i="1" s="1"/>
  <c r="E168" i="1" s="1"/>
  <c r="E75" i="1"/>
  <c r="E73" i="1"/>
  <c r="E74" i="1"/>
  <c r="E115" i="1"/>
  <c r="D106" i="1"/>
  <c r="D105" i="1"/>
  <c r="D119" i="1"/>
  <c r="G184" i="4" l="1"/>
  <c r="F185" i="4" s="1"/>
  <c r="B379" i="1"/>
  <c r="B427" i="1" s="1"/>
  <c r="E505" i="1" s="1"/>
  <c r="E543" i="1" s="1"/>
  <c r="E567" i="1" s="1"/>
  <c r="C186" i="1"/>
  <c r="C913" i="1"/>
  <c r="C915" i="1" s="1"/>
  <c r="C916" i="1" s="1"/>
  <c r="C926" i="1"/>
  <c r="C928" i="1" s="1"/>
  <c r="C939" i="1"/>
  <c r="C941" i="1" s="1"/>
  <c r="C942" i="1" s="1"/>
  <c r="B898" i="1"/>
  <c r="F68" i="1"/>
  <c r="F160" i="1" s="1"/>
  <c r="F161" i="1" s="1"/>
  <c r="B897" i="1"/>
  <c r="E71" i="1"/>
  <c r="E154" i="1"/>
  <c r="E171" i="1"/>
  <c r="E172" i="1" s="1"/>
  <c r="E170" i="1"/>
  <c r="E141" i="1"/>
  <c r="E142" i="1" s="1"/>
  <c r="E140" i="1"/>
  <c r="E84" i="1"/>
  <c r="E177" i="1" s="1"/>
  <c r="E178" i="1" s="1"/>
  <c r="E175" i="1"/>
  <c r="E176" i="1" s="1"/>
  <c r="F71" i="1"/>
  <c r="F154" i="1"/>
  <c r="D84" i="1"/>
  <c r="D177" i="1" s="1"/>
  <c r="D178" i="1" s="1"/>
  <c r="D175" i="1"/>
  <c r="D176" i="1" s="1"/>
  <c r="E680" i="1"/>
  <c r="E704" i="1" s="1"/>
  <c r="I683" i="1"/>
  <c r="I707" i="1" s="1"/>
  <c r="E691" i="1"/>
  <c r="E715" i="1" s="1"/>
  <c r="C679" i="1"/>
  <c r="C703" i="1" s="1"/>
  <c r="G697" i="1"/>
  <c r="G721" i="1" s="1"/>
  <c r="K686" i="1"/>
  <c r="K710" i="1" s="1"/>
  <c r="J683" i="1"/>
  <c r="J707" i="1" s="1"/>
  <c r="K696" i="1"/>
  <c r="K720" i="1" s="1"/>
  <c r="E687" i="1"/>
  <c r="E711" i="1" s="1"/>
  <c r="G689" i="1"/>
  <c r="G713" i="1" s="1"/>
  <c r="K690" i="1"/>
  <c r="K714" i="1" s="1"/>
  <c r="J679" i="1"/>
  <c r="J703" i="1" s="1"/>
  <c r="G693" i="1"/>
  <c r="G717" i="1" s="1"/>
  <c r="F692" i="1"/>
  <c r="F716" i="1" s="1"/>
  <c r="I697" i="1"/>
  <c r="I721" i="1" s="1"/>
  <c r="J684" i="1"/>
  <c r="J708" i="1" s="1"/>
  <c r="C697" i="1"/>
  <c r="C721" i="1" s="1"/>
  <c r="F697" i="1"/>
  <c r="F721" i="1" s="1"/>
  <c r="H683" i="1"/>
  <c r="H707" i="1" s="1"/>
  <c r="G696" i="1"/>
  <c r="G720" i="1" s="1"/>
  <c r="C695" i="1"/>
  <c r="C719" i="1" s="1"/>
  <c r="J682" i="1"/>
  <c r="J706" i="1" s="1"/>
  <c r="C694" i="1"/>
  <c r="C718" i="1" s="1"/>
  <c r="F679" i="1"/>
  <c r="F703" i="1" s="1"/>
  <c r="J697" i="1"/>
  <c r="J721" i="1" s="1"/>
  <c r="I679" i="1"/>
  <c r="I703" i="1" s="1"/>
  <c r="E684" i="1"/>
  <c r="E708" i="1" s="1"/>
  <c r="H691" i="1"/>
  <c r="H715" i="1" s="1"/>
  <c r="J691" i="1"/>
  <c r="J715" i="1" s="1"/>
  <c r="H685" i="1"/>
  <c r="H709" i="1" s="1"/>
  <c r="D696" i="1"/>
  <c r="D720" i="1" s="1"/>
  <c r="D695" i="1"/>
  <c r="D719" i="1" s="1"/>
  <c r="D679" i="1"/>
  <c r="D703" i="1" s="1"/>
  <c r="C688" i="1"/>
  <c r="C712" i="1" s="1"/>
  <c r="I688" i="1"/>
  <c r="I712" i="1" s="1"/>
  <c r="E694" i="1"/>
  <c r="E718" i="1" s="1"/>
  <c r="I695" i="1"/>
  <c r="I719" i="1" s="1"/>
  <c r="G679" i="1"/>
  <c r="G703" i="1" s="1"/>
  <c r="G682" i="1"/>
  <c r="G706" i="1" s="1"/>
  <c r="C681" i="1"/>
  <c r="C705" i="1" s="1"/>
  <c r="E679" i="1"/>
  <c r="E703" i="1" s="1"/>
  <c r="G684" i="1"/>
  <c r="G708" i="1" s="1"/>
  <c r="K692" i="1"/>
  <c r="K716" i="1" s="1"/>
  <c r="G683" i="1"/>
  <c r="G707" i="1" s="1"/>
  <c r="H693" i="1"/>
  <c r="H717" i="1" s="1"/>
  <c r="G698" i="1"/>
  <c r="G722" i="1" s="1"/>
  <c r="J680" i="1"/>
  <c r="J704" i="1" s="1"/>
  <c r="G687" i="1"/>
  <c r="G711" i="1" s="1"/>
  <c r="C689" i="1"/>
  <c r="C713" i="1" s="1"/>
  <c r="F682" i="1"/>
  <c r="F706" i="1" s="1"/>
  <c r="I684" i="1"/>
  <c r="I708" i="1" s="1"/>
  <c r="C698" i="1"/>
  <c r="C722" i="1" s="1"/>
  <c r="F693" i="1"/>
  <c r="F717" i="1" s="1"/>
  <c r="G685" i="1"/>
  <c r="G709" i="1" s="1"/>
  <c r="J692" i="1"/>
  <c r="J716" i="1" s="1"/>
  <c r="H679" i="1"/>
  <c r="H703" i="1" s="1"/>
  <c r="C683" i="1"/>
  <c r="C707" i="1" s="1"/>
  <c r="E693" i="1"/>
  <c r="E717" i="1" s="1"/>
  <c r="G694" i="1"/>
  <c r="G718" i="1" s="1"/>
  <c r="J687" i="1"/>
  <c r="J711" i="1" s="1"/>
  <c r="I696" i="1"/>
  <c r="I720" i="1" s="1"/>
  <c r="H680" i="1"/>
  <c r="H704" i="1" s="1"/>
  <c r="D685" i="1"/>
  <c r="D709" i="1" s="1"/>
  <c r="J681" i="1"/>
  <c r="J705" i="1" s="1"/>
  <c r="D682" i="1"/>
  <c r="D706" i="1" s="1"/>
  <c r="C680" i="1"/>
  <c r="C704" i="1" s="1"/>
  <c r="J686" i="1"/>
  <c r="J710" i="1" s="1"/>
  <c r="K680" i="1"/>
  <c r="K704" i="1" s="1"/>
  <c r="E682" i="1"/>
  <c r="E706" i="1" s="1"/>
  <c r="K683" i="1"/>
  <c r="K707" i="1" s="1"/>
  <c r="E683" i="1"/>
  <c r="E707" i="1" s="1"/>
  <c r="H696" i="1"/>
  <c r="H720" i="1" s="1"/>
  <c r="D698" i="1"/>
  <c r="D722" i="1" s="1"/>
  <c r="F683" i="1"/>
  <c r="F707" i="1" s="1"/>
  <c r="J689" i="1"/>
  <c r="J713" i="1" s="1"/>
  <c r="H697" i="1"/>
  <c r="H721" i="1" s="1"/>
  <c r="K691" i="1"/>
  <c r="K715" i="1" s="1"/>
  <c r="K679" i="1"/>
  <c r="K703" i="1" s="1"/>
  <c r="I687" i="1"/>
  <c r="I711" i="1" s="1"/>
  <c r="H692" i="1"/>
  <c r="H716" i="1" s="1"/>
  <c r="J694" i="1"/>
  <c r="J718" i="1" s="1"/>
  <c r="I682" i="1"/>
  <c r="I706" i="1" s="1"/>
  <c r="H682" i="1"/>
  <c r="H706" i="1" s="1"/>
  <c r="G692" i="1"/>
  <c r="G716" i="1" s="1"/>
  <c r="I691" i="1"/>
  <c r="I715" i="1" s="1"/>
  <c r="J690" i="1"/>
  <c r="J714" i="1" s="1"/>
  <c r="H684" i="1"/>
  <c r="H708" i="1" s="1"/>
  <c r="I689" i="1"/>
  <c r="I713" i="1" s="1"/>
  <c r="D684" i="1"/>
  <c r="D708" i="1" s="1"/>
  <c r="G686" i="1"/>
  <c r="G710" i="1" s="1"/>
  <c r="I698" i="1"/>
  <c r="I722" i="1" s="1"/>
  <c r="H695" i="1"/>
  <c r="H719" i="1" s="1"/>
  <c r="E689" i="1"/>
  <c r="E713" i="1" s="1"/>
  <c r="F688" i="1"/>
  <c r="F712" i="1" s="1"/>
  <c r="I685" i="1"/>
  <c r="I709" i="1" s="1"/>
  <c r="D693" i="1"/>
  <c r="D717" i="1" s="1"/>
  <c r="D694" i="1"/>
  <c r="D718" i="1" s="1"/>
  <c r="K689" i="1"/>
  <c r="K713" i="1" s="1"/>
  <c r="J688" i="1"/>
  <c r="J712" i="1" s="1"/>
  <c r="D688" i="1"/>
  <c r="D712" i="1" s="1"/>
  <c r="C696" i="1"/>
  <c r="C720" i="1" s="1"/>
  <c r="J693" i="1"/>
  <c r="J717" i="1" s="1"/>
  <c r="H686" i="1"/>
  <c r="H710" i="1" s="1"/>
  <c r="C685" i="1"/>
  <c r="C709" i="1" s="1"/>
  <c r="K684" i="1"/>
  <c r="K708" i="1" s="1"/>
  <c r="H688" i="1"/>
  <c r="H712" i="1" s="1"/>
  <c r="D697" i="1"/>
  <c r="D721" i="1" s="1"/>
  <c r="F687" i="1"/>
  <c r="F711" i="1" s="1"/>
  <c r="E696" i="1"/>
  <c r="E720" i="1" s="1"/>
  <c r="F691" i="1"/>
  <c r="F715" i="1" s="1"/>
  <c r="F684" i="1"/>
  <c r="F708" i="1" s="1"/>
  <c r="E697" i="1"/>
  <c r="E721" i="1" s="1"/>
  <c r="C682" i="1"/>
  <c r="C706" i="1" s="1"/>
  <c r="I692" i="1"/>
  <c r="I716" i="1" s="1"/>
  <c r="E688" i="1"/>
  <c r="E712" i="1" s="1"/>
  <c r="E690" i="1"/>
  <c r="E714" i="1" s="1"/>
  <c r="G690" i="1"/>
  <c r="G714" i="1" s="1"/>
  <c r="H681" i="1"/>
  <c r="H705" i="1" s="1"/>
  <c r="H690" i="1"/>
  <c r="H714" i="1" s="1"/>
  <c r="D686" i="1"/>
  <c r="D710" i="1" s="1"/>
  <c r="K694" i="1"/>
  <c r="K718" i="1" s="1"/>
  <c r="D690" i="1"/>
  <c r="D714" i="1" s="1"/>
  <c r="G681" i="1"/>
  <c r="G705" i="1" s="1"/>
  <c r="F696" i="1"/>
  <c r="F720" i="1" s="1"/>
  <c r="E695" i="1"/>
  <c r="E719" i="1" s="1"/>
  <c r="H689" i="1"/>
  <c r="H713" i="1" s="1"/>
  <c r="K681" i="1"/>
  <c r="K705" i="1" s="1"/>
  <c r="C687" i="1"/>
  <c r="C711" i="1" s="1"/>
  <c r="E698" i="1"/>
  <c r="E722" i="1" s="1"/>
  <c r="D687" i="1"/>
  <c r="D711" i="1" s="1"/>
  <c r="K687" i="1"/>
  <c r="K711" i="1" s="1"/>
  <c r="K688" i="1"/>
  <c r="K712" i="1" s="1"/>
  <c r="K685" i="1"/>
  <c r="K709" i="1" s="1"/>
  <c r="I693" i="1"/>
  <c r="I717" i="1" s="1"/>
  <c r="D680" i="1"/>
  <c r="D704" i="1" s="1"/>
  <c r="I681" i="1"/>
  <c r="I705" i="1" s="1"/>
  <c r="J685" i="1"/>
  <c r="J709" i="1" s="1"/>
  <c r="C684" i="1"/>
  <c r="C708" i="1" s="1"/>
  <c r="F686" i="1"/>
  <c r="F710" i="1" s="1"/>
  <c r="G695" i="1"/>
  <c r="G719" i="1" s="1"/>
  <c r="I694" i="1"/>
  <c r="I718" i="1" s="1"/>
  <c r="D683" i="1"/>
  <c r="D707" i="1" s="1"/>
  <c r="D691" i="1"/>
  <c r="D715" i="1" s="1"/>
  <c r="D689" i="1"/>
  <c r="D713" i="1" s="1"/>
  <c r="C693" i="1"/>
  <c r="C717" i="1" s="1"/>
  <c r="K693" i="1"/>
  <c r="K717" i="1" s="1"/>
  <c r="F695" i="1"/>
  <c r="F719" i="1" s="1"/>
  <c r="E686" i="1"/>
  <c r="E710" i="1" s="1"/>
  <c r="C690" i="1"/>
  <c r="C714" i="1" s="1"/>
  <c r="E685" i="1"/>
  <c r="E709" i="1" s="1"/>
  <c r="K695" i="1"/>
  <c r="K719" i="1" s="1"/>
  <c r="F689" i="1"/>
  <c r="F713" i="1" s="1"/>
  <c r="C686" i="1"/>
  <c r="C710" i="1" s="1"/>
  <c r="H687" i="1"/>
  <c r="H711" i="1" s="1"/>
  <c r="G688" i="1"/>
  <c r="G712" i="1" s="1"/>
  <c r="F698" i="1"/>
  <c r="F722" i="1" s="1"/>
  <c r="F681" i="1"/>
  <c r="F705" i="1" s="1"/>
  <c r="F694" i="1"/>
  <c r="F718" i="1" s="1"/>
  <c r="J695" i="1"/>
  <c r="J719" i="1" s="1"/>
  <c r="C691" i="1"/>
  <c r="C715" i="1" s="1"/>
  <c r="H694" i="1"/>
  <c r="H718" i="1" s="1"/>
  <c r="G691" i="1"/>
  <c r="G715" i="1" s="1"/>
  <c r="E681" i="1"/>
  <c r="E705" i="1" s="1"/>
  <c r="G680" i="1"/>
  <c r="G704" i="1" s="1"/>
  <c r="D692" i="1"/>
  <c r="D716" i="1" s="1"/>
  <c r="F680" i="1"/>
  <c r="F704" i="1" s="1"/>
  <c r="I680" i="1"/>
  <c r="I704" i="1" s="1"/>
  <c r="K682" i="1"/>
  <c r="K706" i="1" s="1"/>
  <c r="D681" i="1"/>
  <c r="D705" i="1" s="1"/>
  <c r="K697" i="1"/>
  <c r="K721" i="1" s="1"/>
  <c r="K698" i="1"/>
  <c r="K722" i="1" s="1"/>
  <c r="J698" i="1"/>
  <c r="J722" i="1" s="1"/>
  <c r="I690" i="1"/>
  <c r="I714" i="1" s="1"/>
  <c r="H698" i="1"/>
  <c r="H722" i="1" s="1"/>
  <c r="F685" i="1"/>
  <c r="F709" i="1" s="1"/>
  <c r="C692" i="1"/>
  <c r="C716" i="1" s="1"/>
  <c r="F690" i="1"/>
  <c r="F714" i="1" s="1"/>
  <c r="E692" i="1"/>
  <c r="E716" i="1" s="1"/>
  <c r="J696" i="1"/>
  <c r="J720" i="1" s="1"/>
  <c r="I686" i="1"/>
  <c r="I710" i="1" s="1"/>
  <c r="F84" i="1"/>
  <c r="F177" i="1" s="1"/>
  <c r="F178" i="1" s="1"/>
  <c r="F175" i="1"/>
  <c r="F176" i="1" s="1"/>
  <c r="D68" i="1"/>
  <c r="D160" i="1" s="1"/>
  <c r="D161" i="1" s="1"/>
  <c r="D152" i="1"/>
  <c r="D153" i="1" s="1"/>
  <c r="E68" i="1"/>
  <c r="E160" i="1" s="1"/>
  <c r="E161" i="1" s="1"/>
  <c r="E152" i="1"/>
  <c r="E153" i="1" s="1"/>
  <c r="D171" i="1"/>
  <c r="D172" i="1" s="1"/>
  <c r="D170" i="1"/>
  <c r="D156" i="1"/>
  <c r="D157" i="1" s="1"/>
  <c r="D155" i="1"/>
  <c r="E508" i="1"/>
  <c r="E546" i="1" s="1"/>
  <c r="E570" i="1" s="1"/>
  <c r="K510" i="1"/>
  <c r="K548" i="1" s="1"/>
  <c r="K572" i="1" s="1"/>
  <c r="J511" i="1"/>
  <c r="J549" i="1" s="1"/>
  <c r="J573" i="1" s="1"/>
  <c r="D501" i="1"/>
  <c r="D539" i="1" s="1"/>
  <c r="D563" i="1" s="1"/>
  <c r="C498" i="1"/>
  <c r="C536" i="1" s="1"/>
  <c r="C560" i="1" s="1"/>
  <c r="F499" i="1"/>
  <c r="F537" i="1" s="1"/>
  <c r="F561" i="1" s="1"/>
  <c r="J496" i="1"/>
  <c r="J534" i="1" s="1"/>
  <c r="J558" i="1" s="1"/>
  <c r="G499" i="1"/>
  <c r="G537" i="1" s="1"/>
  <c r="G561" i="1" s="1"/>
  <c r="F507" i="1"/>
  <c r="F545" i="1" s="1"/>
  <c r="F569" i="1" s="1"/>
  <c r="H507" i="1"/>
  <c r="H545" i="1" s="1"/>
  <c r="H569" i="1" s="1"/>
  <c r="E492" i="1"/>
  <c r="E530" i="1" s="1"/>
  <c r="E554" i="1" s="1"/>
  <c r="F496" i="1"/>
  <c r="F534" i="1" s="1"/>
  <c r="F558" i="1" s="1"/>
  <c r="D505" i="1"/>
  <c r="D543" i="1" s="1"/>
  <c r="D567" i="1" s="1"/>
  <c r="C912" i="1"/>
  <c r="C920" i="1" s="1"/>
  <c r="B900" i="1" l="1"/>
  <c r="B901" i="1" s="1"/>
  <c r="C496" i="1"/>
  <c r="C534" i="1" s="1"/>
  <c r="C558" i="1" s="1"/>
  <c r="C510" i="1"/>
  <c r="C548" i="1" s="1"/>
  <c r="C572" i="1" s="1"/>
  <c r="D500" i="1"/>
  <c r="D538" i="1" s="1"/>
  <c r="D562" i="1" s="1"/>
  <c r="C917" i="1"/>
  <c r="J507" i="1"/>
  <c r="J545" i="1" s="1"/>
  <c r="J569" i="1" s="1"/>
  <c r="J670" i="1" s="1"/>
  <c r="F504" i="1"/>
  <c r="F542" i="1" s="1"/>
  <c r="F566" i="1" s="1"/>
  <c r="F595" i="1" s="1"/>
  <c r="F619" i="1" s="1"/>
  <c r="F643" i="1" s="1"/>
  <c r="K502" i="1"/>
  <c r="K540" i="1" s="1"/>
  <c r="K564" i="1" s="1"/>
  <c r="K665" i="1" s="1"/>
  <c r="C494" i="1"/>
  <c r="C532" i="1" s="1"/>
  <c r="C556" i="1" s="1"/>
  <c r="J508" i="1"/>
  <c r="J546" i="1" s="1"/>
  <c r="J570" i="1" s="1"/>
  <c r="J671" i="1" s="1"/>
  <c r="I510" i="1"/>
  <c r="I548" i="1" s="1"/>
  <c r="I572" i="1" s="1"/>
  <c r="D503" i="1"/>
  <c r="D541" i="1" s="1"/>
  <c r="D565" i="1" s="1"/>
  <c r="E499" i="1"/>
  <c r="E537" i="1" s="1"/>
  <c r="E561" i="1" s="1"/>
  <c r="E662" i="1" s="1"/>
  <c r="C502" i="1"/>
  <c r="C540" i="1" s="1"/>
  <c r="C564" i="1" s="1"/>
  <c r="C665" i="1" s="1"/>
  <c r="I508" i="1"/>
  <c r="I546" i="1" s="1"/>
  <c r="I570" i="1" s="1"/>
  <c r="I599" i="1" s="1"/>
  <c r="I623" i="1" s="1"/>
  <c r="I647" i="1" s="1"/>
  <c r="I503" i="1"/>
  <c r="I541" i="1" s="1"/>
  <c r="I565" i="1" s="1"/>
  <c r="I594" i="1" s="1"/>
  <c r="I618" i="1" s="1"/>
  <c r="I642" i="1" s="1"/>
  <c r="I502" i="1"/>
  <c r="I540" i="1" s="1"/>
  <c r="I564" i="1" s="1"/>
  <c r="K504" i="1"/>
  <c r="K542" i="1" s="1"/>
  <c r="K566" i="1" s="1"/>
  <c r="K667" i="1" s="1"/>
  <c r="J509" i="1"/>
  <c r="J547" i="1" s="1"/>
  <c r="J571" i="1" s="1"/>
  <c r="J600" i="1" s="1"/>
  <c r="J624" i="1" s="1"/>
  <c r="J648" i="1" s="1"/>
  <c r="K509" i="1"/>
  <c r="K547" i="1" s="1"/>
  <c r="K571" i="1" s="1"/>
  <c r="G495" i="1"/>
  <c r="G533" i="1" s="1"/>
  <c r="G557" i="1" s="1"/>
  <c r="G586" i="1" s="1"/>
  <c r="G610" i="1" s="1"/>
  <c r="G634" i="1" s="1"/>
  <c r="D504" i="1"/>
  <c r="D542" i="1" s="1"/>
  <c r="D566" i="1" s="1"/>
  <c r="D595" i="1" s="1"/>
  <c r="D619" i="1" s="1"/>
  <c r="D643" i="1" s="1"/>
  <c r="K499" i="1"/>
  <c r="K537" i="1" s="1"/>
  <c r="K561" i="1" s="1"/>
  <c r="K662" i="1" s="1"/>
  <c r="I498" i="1"/>
  <c r="I536" i="1" s="1"/>
  <c r="I560" i="1" s="1"/>
  <c r="I589" i="1" s="1"/>
  <c r="I613" i="1" s="1"/>
  <c r="I637" i="1" s="1"/>
  <c r="F509" i="1"/>
  <c r="F547" i="1" s="1"/>
  <c r="F571" i="1" s="1"/>
  <c r="E500" i="1"/>
  <c r="E538" i="1" s="1"/>
  <c r="E562" i="1" s="1"/>
  <c r="E591" i="1" s="1"/>
  <c r="E615" i="1" s="1"/>
  <c r="E639" i="1" s="1"/>
  <c r="D492" i="1"/>
  <c r="D530" i="1" s="1"/>
  <c r="D554" i="1" s="1"/>
  <c r="D583" i="1" s="1"/>
  <c r="D607" i="1" s="1"/>
  <c r="D631" i="1" s="1"/>
  <c r="F495" i="1"/>
  <c r="F533" i="1" s="1"/>
  <c r="F557" i="1" s="1"/>
  <c r="F505" i="1"/>
  <c r="F543" i="1" s="1"/>
  <c r="F567" i="1" s="1"/>
  <c r="F668" i="1" s="1"/>
  <c r="G497" i="1"/>
  <c r="G535" i="1" s="1"/>
  <c r="G559" i="1" s="1"/>
  <c r="G588" i="1" s="1"/>
  <c r="G612" i="1" s="1"/>
  <c r="G636" i="1" s="1"/>
  <c r="F498" i="1"/>
  <c r="F536" i="1" s="1"/>
  <c r="F560" i="1" s="1"/>
  <c r="F661" i="1" s="1"/>
  <c r="D499" i="1"/>
  <c r="D537" i="1" s="1"/>
  <c r="D561" i="1" s="1"/>
  <c r="D662" i="1" s="1"/>
  <c r="J501" i="1"/>
  <c r="J539" i="1" s="1"/>
  <c r="J563" i="1" s="1"/>
  <c r="K500" i="1"/>
  <c r="K538" i="1" s="1"/>
  <c r="K562" i="1" s="1"/>
  <c r="H503" i="1"/>
  <c r="H541" i="1" s="1"/>
  <c r="H565" i="1" s="1"/>
  <c r="H594" i="1" s="1"/>
  <c r="H618" i="1" s="1"/>
  <c r="H642" i="1" s="1"/>
  <c r="G500" i="1"/>
  <c r="G538" i="1" s="1"/>
  <c r="G562" i="1" s="1"/>
  <c r="H505" i="1"/>
  <c r="H543" i="1" s="1"/>
  <c r="H567" i="1" s="1"/>
  <c r="C497" i="1"/>
  <c r="C535" i="1" s="1"/>
  <c r="C559" i="1" s="1"/>
  <c r="C588" i="1" s="1"/>
  <c r="C612" i="1" s="1"/>
  <c r="C636" i="1" s="1"/>
  <c r="G508" i="1"/>
  <c r="G546" i="1" s="1"/>
  <c r="G570" i="1" s="1"/>
  <c r="G671" i="1" s="1"/>
  <c r="E494" i="1"/>
  <c r="E532" i="1" s="1"/>
  <c r="E556" i="1" s="1"/>
  <c r="E657" i="1" s="1"/>
  <c r="C506" i="1"/>
  <c r="C544" i="1" s="1"/>
  <c r="C568" i="1" s="1"/>
  <c r="I499" i="1"/>
  <c r="I537" i="1" s="1"/>
  <c r="I561" i="1" s="1"/>
  <c r="I590" i="1" s="1"/>
  <c r="I614" i="1" s="1"/>
  <c r="I638" i="1" s="1"/>
  <c r="E511" i="1"/>
  <c r="E549" i="1" s="1"/>
  <c r="E573" i="1" s="1"/>
  <c r="E674" i="1" s="1"/>
  <c r="F508" i="1"/>
  <c r="F546" i="1" s="1"/>
  <c r="F570" i="1" s="1"/>
  <c r="C499" i="1"/>
  <c r="C537" i="1" s="1"/>
  <c r="C561" i="1" s="1"/>
  <c r="C662" i="1" s="1"/>
  <c r="C511" i="1"/>
  <c r="C549" i="1" s="1"/>
  <c r="C573" i="1" s="1"/>
  <c r="C602" i="1" s="1"/>
  <c r="C626" i="1" s="1"/>
  <c r="C650" i="1" s="1"/>
  <c r="K508" i="1"/>
  <c r="K546" i="1" s="1"/>
  <c r="K570" i="1" s="1"/>
  <c r="K671" i="1" s="1"/>
  <c r="K495" i="1"/>
  <c r="K533" i="1" s="1"/>
  <c r="K557" i="1" s="1"/>
  <c r="K658" i="1" s="1"/>
  <c r="C507" i="1"/>
  <c r="C545" i="1" s="1"/>
  <c r="C569" i="1" s="1"/>
  <c r="C598" i="1" s="1"/>
  <c r="C622" i="1" s="1"/>
  <c r="C646" i="1" s="1"/>
  <c r="F494" i="1"/>
  <c r="F532" i="1" s="1"/>
  <c r="F556" i="1" s="1"/>
  <c r="F657" i="1" s="1"/>
  <c r="K511" i="1"/>
  <c r="K549" i="1" s="1"/>
  <c r="K573" i="1" s="1"/>
  <c r="K602" i="1" s="1"/>
  <c r="K626" i="1" s="1"/>
  <c r="K650" i="1" s="1"/>
  <c r="F500" i="1"/>
  <c r="F538" i="1" s="1"/>
  <c r="F562" i="1" s="1"/>
  <c r="D502" i="1"/>
  <c r="D540" i="1" s="1"/>
  <c r="D564" i="1" s="1"/>
  <c r="D593" i="1" s="1"/>
  <c r="D617" i="1" s="1"/>
  <c r="D641" i="1" s="1"/>
  <c r="G509" i="1"/>
  <c r="G547" i="1" s="1"/>
  <c r="G571" i="1" s="1"/>
  <c r="G672" i="1" s="1"/>
  <c r="J499" i="1"/>
  <c r="J537" i="1" s="1"/>
  <c r="J561" i="1" s="1"/>
  <c r="J662" i="1" s="1"/>
  <c r="I501" i="1"/>
  <c r="I539" i="1" s="1"/>
  <c r="I563" i="1" s="1"/>
  <c r="I664" i="1" s="1"/>
  <c r="D510" i="1"/>
  <c r="D548" i="1" s="1"/>
  <c r="D572" i="1" s="1"/>
  <c r="D673" i="1" s="1"/>
  <c r="I511" i="1"/>
  <c r="I549" i="1" s="1"/>
  <c r="I573" i="1" s="1"/>
  <c r="I674" i="1" s="1"/>
  <c r="G510" i="1"/>
  <c r="G548" i="1" s="1"/>
  <c r="G572" i="1" s="1"/>
  <c r="G673" i="1" s="1"/>
  <c r="D508" i="1"/>
  <c r="D546" i="1" s="1"/>
  <c r="D570" i="1" s="1"/>
  <c r="H500" i="1"/>
  <c r="H538" i="1" s="1"/>
  <c r="H562" i="1" s="1"/>
  <c r="H663" i="1" s="1"/>
  <c r="G502" i="1"/>
  <c r="G540" i="1" s="1"/>
  <c r="G564" i="1" s="1"/>
  <c r="G665" i="1" s="1"/>
  <c r="F506" i="1"/>
  <c r="F544" i="1" s="1"/>
  <c r="F568" i="1" s="1"/>
  <c r="F597" i="1" s="1"/>
  <c r="F621" i="1" s="1"/>
  <c r="F645" i="1" s="1"/>
  <c r="I509" i="1"/>
  <c r="I547" i="1" s="1"/>
  <c r="I571" i="1" s="1"/>
  <c r="I672" i="1" s="1"/>
  <c r="G498" i="1"/>
  <c r="G536" i="1" s="1"/>
  <c r="G560" i="1" s="1"/>
  <c r="G589" i="1" s="1"/>
  <c r="G613" i="1" s="1"/>
  <c r="G637" i="1" s="1"/>
  <c r="E510" i="1"/>
  <c r="E548" i="1" s="1"/>
  <c r="E572" i="1" s="1"/>
  <c r="E601" i="1" s="1"/>
  <c r="E625" i="1" s="1"/>
  <c r="E649" i="1" s="1"/>
  <c r="D494" i="1"/>
  <c r="D532" i="1" s="1"/>
  <c r="D556" i="1" s="1"/>
  <c r="D657" i="1" s="1"/>
  <c r="D511" i="1"/>
  <c r="D549" i="1" s="1"/>
  <c r="D573" i="1" s="1"/>
  <c r="I506" i="1"/>
  <c r="I544" i="1" s="1"/>
  <c r="I568" i="1" s="1"/>
  <c r="I597" i="1" s="1"/>
  <c r="I621" i="1" s="1"/>
  <c r="I645" i="1" s="1"/>
  <c r="K496" i="1"/>
  <c r="K534" i="1" s="1"/>
  <c r="K558" i="1" s="1"/>
  <c r="K659" i="1" s="1"/>
  <c r="H495" i="1"/>
  <c r="H533" i="1" s="1"/>
  <c r="H557" i="1" s="1"/>
  <c r="H658" i="1" s="1"/>
  <c r="F497" i="1"/>
  <c r="F535" i="1" s="1"/>
  <c r="F559" i="1" s="1"/>
  <c r="F588" i="1" s="1"/>
  <c r="F612" i="1" s="1"/>
  <c r="F636" i="1" s="1"/>
  <c r="F493" i="1"/>
  <c r="F531" i="1" s="1"/>
  <c r="F555" i="1" s="1"/>
  <c r="D495" i="1"/>
  <c r="D533" i="1" s="1"/>
  <c r="D557" i="1" s="1"/>
  <c r="D658" i="1" s="1"/>
  <c r="I495" i="1"/>
  <c r="I533" i="1" s="1"/>
  <c r="I557" i="1" s="1"/>
  <c r="I658" i="1" s="1"/>
  <c r="I494" i="1"/>
  <c r="I532" i="1" s="1"/>
  <c r="I556" i="1" s="1"/>
  <c r="I657" i="1" s="1"/>
  <c r="H506" i="1"/>
  <c r="H544" i="1" s="1"/>
  <c r="H568" i="1" s="1"/>
  <c r="E498" i="1"/>
  <c r="E536" i="1" s="1"/>
  <c r="E560" i="1" s="1"/>
  <c r="E661" i="1" s="1"/>
  <c r="J506" i="1"/>
  <c r="J544" i="1" s="1"/>
  <c r="J568" i="1" s="1"/>
  <c r="J669" i="1" s="1"/>
  <c r="G507" i="1"/>
  <c r="G545" i="1" s="1"/>
  <c r="G569" i="1" s="1"/>
  <c r="G670" i="1" s="1"/>
  <c r="H508" i="1"/>
  <c r="H546" i="1" s="1"/>
  <c r="H570" i="1" s="1"/>
  <c r="H671" i="1" s="1"/>
  <c r="K493" i="1"/>
  <c r="K531" i="1" s="1"/>
  <c r="K555" i="1" s="1"/>
  <c r="K584" i="1" s="1"/>
  <c r="K608" i="1" s="1"/>
  <c r="K632" i="1" s="1"/>
  <c r="C500" i="1"/>
  <c r="C538" i="1" s="1"/>
  <c r="C562" i="1" s="1"/>
  <c r="C663" i="1" s="1"/>
  <c r="I500" i="1"/>
  <c r="I538" i="1" s="1"/>
  <c r="I562" i="1" s="1"/>
  <c r="H504" i="1"/>
  <c r="H542" i="1" s="1"/>
  <c r="H566" i="1" s="1"/>
  <c r="H595" i="1" s="1"/>
  <c r="H619" i="1" s="1"/>
  <c r="H643" i="1" s="1"/>
  <c r="J492" i="1"/>
  <c r="J530" i="1" s="1"/>
  <c r="J554" i="1" s="1"/>
  <c r="J655" i="1" s="1"/>
  <c r="H501" i="1"/>
  <c r="H539" i="1" s="1"/>
  <c r="H563" i="1" s="1"/>
  <c r="H664" i="1" s="1"/>
  <c r="K505" i="1"/>
  <c r="K543" i="1" s="1"/>
  <c r="K567" i="1" s="1"/>
  <c r="K596" i="1" s="1"/>
  <c r="K620" i="1" s="1"/>
  <c r="K644" i="1" s="1"/>
  <c r="K507" i="1"/>
  <c r="K545" i="1" s="1"/>
  <c r="K569" i="1" s="1"/>
  <c r="K670" i="1" s="1"/>
  <c r="J497" i="1"/>
  <c r="J535" i="1" s="1"/>
  <c r="J559" i="1" s="1"/>
  <c r="J588" i="1" s="1"/>
  <c r="J612" i="1" s="1"/>
  <c r="J636" i="1" s="1"/>
  <c r="C504" i="1"/>
  <c r="C542" i="1" s="1"/>
  <c r="C566" i="1" s="1"/>
  <c r="C667" i="1" s="1"/>
  <c r="C505" i="1"/>
  <c r="C543" i="1" s="1"/>
  <c r="C567" i="1" s="1"/>
  <c r="E509" i="1"/>
  <c r="E547" i="1" s="1"/>
  <c r="E571" i="1" s="1"/>
  <c r="E672" i="1" s="1"/>
  <c r="I492" i="1"/>
  <c r="I530" i="1" s="1"/>
  <c r="I554" i="1" s="1"/>
  <c r="I655" i="1" s="1"/>
  <c r="G492" i="1"/>
  <c r="G530" i="1" s="1"/>
  <c r="G554" i="1" s="1"/>
  <c r="G583" i="1" s="1"/>
  <c r="G607" i="1" s="1"/>
  <c r="G631" i="1" s="1"/>
  <c r="J505" i="1"/>
  <c r="J543" i="1" s="1"/>
  <c r="J567" i="1" s="1"/>
  <c r="J596" i="1" s="1"/>
  <c r="J620" i="1" s="1"/>
  <c r="J644" i="1" s="1"/>
  <c r="H511" i="1"/>
  <c r="H549" i="1" s="1"/>
  <c r="H573" i="1" s="1"/>
  <c r="H674" i="1" s="1"/>
  <c r="D497" i="1"/>
  <c r="D535" i="1" s="1"/>
  <c r="D559" i="1" s="1"/>
  <c r="D588" i="1" s="1"/>
  <c r="D612" i="1" s="1"/>
  <c r="D636" i="1" s="1"/>
  <c r="D507" i="1"/>
  <c r="D545" i="1" s="1"/>
  <c r="D569" i="1" s="1"/>
  <c r="D598" i="1" s="1"/>
  <c r="D622" i="1" s="1"/>
  <c r="D646" i="1" s="1"/>
  <c r="K506" i="1"/>
  <c r="K544" i="1" s="1"/>
  <c r="K568" i="1" s="1"/>
  <c r="K669" i="1" s="1"/>
  <c r="I504" i="1"/>
  <c r="I542" i="1" s="1"/>
  <c r="I566" i="1" s="1"/>
  <c r="I595" i="1" s="1"/>
  <c r="I619" i="1" s="1"/>
  <c r="I643" i="1" s="1"/>
  <c r="D496" i="1"/>
  <c r="D534" i="1" s="1"/>
  <c r="D558" i="1" s="1"/>
  <c r="D587" i="1" s="1"/>
  <c r="D611" i="1" s="1"/>
  <c r="D635" i="1" s="1"/>
  <c r="F503" i="1"/>
  <c r="F541" i="1" s="1"/>
  <c r="F565" i="1" s="1"/>
  <c r="F666" i="1" s="1"/>
  <c r="D506" i="1"/>
  <c r="D544" i="1" s="1"/>
  <c r="D568" i="1" s="1"/>
  <c r="D669" i="1" s="1"/>
  <c r="G494" i="1"/>
  <c r="G532" i="1" s="1"/>
  <c r="G556" i="1" s="1"/>
  <c r="I496" i="1"/>
  <c r="I534" i="1" s="1"/>
  <c r="I558" i="1" s="1"/>
  <c r="I659" i="1" s="1"/>
  <c r="J504" i="1"/>
  <c r="J542" i="1" s="1"/>
  <c r="J566" i="1" s="1"/>
  <c r="J667" i="1" s="1"/>
  <c r="K501" i="1"/>
  <c r="K539" i="1" s="1"/>
  <c r="K563" i="1" s="1"/>
  <c r="H496" i="1"/>
  <c r="H534" i="1" s="1"/>
  <c r="H558" i="1" s="1"/>
  <c r="H587" i="1" s="1"/>
  <c r="H611" i="1" s="1"/>
  <c r="H635" i="1" s="1"/>
  <c r="H498" i="1"/>
  <c r="H536" i="1" s="1"/>
  <c r="H560" i="1" s="1"/>
  <c r="H661" i="1" s="1"/>
  <c r="E493" i="1"/>
  <c r="E531" i="1" s="1"/>
  <c r="E555" i="1" s="1"/>
  <c r="E656" i="1" s="1"/>
  <c r="E504" i="1"/>
  <c r="E542" i="1" s="1"/>
  <c r="E566" i="1" s="1"/>
  <c r="E667" i="1" s="1"/>
  <c r="H497" i="1"/>
  <c r="H535" i="1" s="1"/>
  <c r="H559" i="1" s="1"/>
  <c r="C508" i="1"/>
  <c r="C546" i="1" s="1"/>
  <c r="C570" i="1" s="1"/>
  <c r="C671" i="1" s="1"/>
  <c r="K503" i="1"/>
  <c r="K541" i="1" s="1"/>
  <c r="K565" i="1" s="1"/>
  <c r="K666" i="1" s="1"/>
  <c r="I493" i="1"/>
  <c r="I531" i="1" s="1"/>
  <c r="I555" i="1" s="1"/>
  <c r="I584" i="1" s="1"/>
  <c r="I608" i="1" s="1"/>
  <c r="I632" i="1" s="1"/>
  <c r="J494" i="1"/>
  <c r="J532" i="1" s="1"/>
  <c r="J556" i="1" s="1"/>
  <c r="J657" i="1" s="1"/>
  <c r="F511" i="1"/>
  <c r="F549" i="1" s="1"/>
  <c r="F573" i="1" s="1"/>
  <c r="F602" i="1" s="1"/>
  <c r="F626" i="1" s="1"/>
  <c r="F650" i="1" s="1"/>
  <c r="G511" i="1"/>
  <c r="G549" i="1" s="1"/>
  <c r="G573" i="1" s="1"/>
  <c r="G674" i="1" s="1"/>
  <c r="F501" i="1"/>
  <c r="F539" i="1" s="1"/>
  <c r="F563" i="1" s="1"/>
  <c r="F664" i="1" s="1"/>
  <c r="C493" i="1"/>
  <c r="C531" i="1" s="1"/>
  <c r="C555" i="1" s="1"/>
  <c r="F492" i="1"/>
  <c r="F530" i="1" s="1"/>
  <c r="F554" i="1" s="1"/>
  <c r="F583" i="1" s="1"/>
  <c r="F607" i="1" s="1"/>
  <c r="F631" i="1" s="1"/>
  <c r="H494" i="1"/>
  <c r="H532" i="1" s="1"/>
  <c r="H556" i="1" s="1"/>
  <c r="H657" i="1" s="1"/>
  <c r="J495" i="1"/>
  <c r="J533" i="1" s="1"/>
  <c r="J557" i="1" s="1"/>
  <c r="J586" i="1" s="1"/>
  <c r="J610" i="1" s="1"/>
  <c r="J634" i="1" s="1"/>
  <c r="G501" i="1"/>
  <c r="G539" i="1" s="1"/>
  <c r="G563" i="1" s="1"/>
  <c r="G664" i="1" s="1"/>
  <c r="G496" i="1"/>
  <c r="G534" i="1" s="1"/>
  <c r="G558" i="1" s="1"/>
  <c r="G659" i="1" s="1"/>
  <c r="E501" i="1"/>
  <c r="E539" i="1" s="1"/>
  <c r="E563" i="1" s="1"/>
  <c r="E592" i="1" s="1"/>
  <c r="E616" i="1" s="1"/>
  <c r="E640" i="1" s="1"/>
  <c r="E497" i="1"/>
  <c r="E535" i="1" s="1"/>
  <c r="E559" i="1" s="1"/>
  <c r="E660" i="1" s="1"/>
  <c r="J502" i="1"/>
  <c r="J540" i="1" s="1"/>
  <c r="J564" i="1" s="1"/>
  <c r="J593" i="1" s="1"/>
  <c r="J617" i="1" s="1"/>
  <c r="J641" i="1" s="1"/>
  <c r="J493" i="1"/>
  <c r="J531" i="1" s="1"/>
  <c r="J555" i="1" s="1"/>
  <c r="J656" i="1" s="1"/>
  <c r="E503" i="1"/>
  <c r="E541" i="1" s="1"/>
  <c r="E565" i="1" s="1"/>
  <c r="E666" i="1" s="1"/>
  <c r="E496" i="1"/>
  <c r="E534" i="1" s="1"/>
  <c r="E558" i="1" s="1"/>
  <c r="E659" i="1" s="1"/>
  <c r="K494" i="1"/>
  <c r="K532" i="1" s="1"/>
  <c r="K556" i="1" s="1"/>
  <c r="K657" i="1" s="1"/>
  <c r="H502" i="1"/>
  <c r="H540" i="1" s="1"/>
  <c r="H564" i="1" s="1"/>
  <c r="H593" i="1" s="1"/>
  <c r="H617" i="1" s="1"/>
  <c r="H641" i="1" s="1"/>
  <c r="F502" i="1"/>
  <c r="F540" i="1" s="1"/>
  <c r="F564" i="1" s="1"/>
  <c r="F665" i="1" s="1"/>
  <c r="E495" i="1"/>
  <c r="E533" i="1" s="1"/>
  <c r="E557" i="1" s="1"/>
  <c r="E586" i="1" s="1"/>
  <c r="E610" i="1" s="1"/>
  <c r="E634" i="1" s="1"/>
  <c r="I505" i="1"/>
  <c r="I543" i="1" s="1"/>
  <c r="I567" i="1" s="1"/>
  <c r="G504" i="1"/>
  <c r="G542" i="1" s="1"/>
  <c r="G566" i="1" s="1"/>
  <c r="D493" i="1"/>
  <c r="D531" i="1" s="1"/>
  <c r="D555" i="1" s="1"/>
  <c r="D584" i="1" s="1"/>
  <c r="D608" i="1" s="1"/>
  <c r="D632" i="1" s="1"/>
  <c r="I507" i="1"/>
  <c r="I545" i="1" s="1"/>
  <c r="I569" i="1" s="1"/>
  <c r="K492" i="1"/>
  <c r="K530" i="1" s="1"/>
  <c r="K554" i="1" s="1"/>
  <c r="K583" i="1" s="1"/>
  <c r="K607" i="1" s="1"/>
  <c r="K631" i="1" s="1"/>
  <c r="C501" i="1"/>
  <c r="C539" i="1" s="1"/>
  <c r="C563" i="1" s="1"/>
  <c r="C592" i="1" s="1"/>
  <c r="C616" i="1" s="1"/>
  <c r="C640" i="1" s="1"/>
  <c r="J503" i="1"/>
  <c r="J541" i="1" s="1"/>
  <c r="J565" i="1" s="1"/>
  <c r="J594" i="1" s="1"/>
  <c r="J618" i="1" s="1"/>
  <c r="J642" i="1" s="1"/>
  <c r="J510" i="1"/>
  <c r="J548" i="1" s="1"/>
  <c r="J572" i="1" s="1"/>
  <c r="J601" i="1" s="1"/>
  <c r="J625" i="1" s="1"/>
  <c r="J649" i="1" s="1"/>
  <c r="D498" i="1"/>
  <c r="D536" i="1" s="1"/>
  <c r="D560" i="1" s="1"/>
  <c r="D661" i="1" s="1"/>
  <c r="G506" i="1"/>
  <c r="G544" i="1" s="1"/>
  <c r="G568" i="1" s="1"/>
  <c r="G669" i="1" s="1"/>
  <c r="K498" i="1"/>
  <c r="K536" i="1" s="1"/>
  <c r="K560" i="1" s="1"/>
  <c r="K661" i="1" s="1"/>
  <c r="C503" i="1"/>
  <c r="C541" i="1" s="1"/>
  <c r="C565" i="1" s="1"/>
  <c r="G505" i="1"/>
  <c r="G543" i="1" s="1"/>
  <c r="G567" i="1" s="1"/>
  <c r="G596" i="1" s="1"/>
  <c r="G620" i="1" s="1"/>
  <c r="G644" i="1" s="1"/>
  <c r="F510" i="1"/>
  <c r="F548" i="1" s="1"/>
  <c r="F572" i="1" s="1"/>
  <c r="F601" i="1" s="1"/>
  <c r="F625" i="1" s="1"/>
  <c r="F649" i="1" s="1"/>
  <c r="E506" i="1"/>
  <c r="E544" i="1" s="1"/>
  <c r="E568" i="1" s="1"/>
  <c r="E669" i="1" s="1"/>
  <c r="E507" i="1"/>
  <c r="E545" i="1" s="1"/>
  <c r="E569" i="1" s="1"/>
  <c r="E670" i="1" s="1"/>
  <c r="J500" i="1"/>
  <c r="J538" i="1" s="1"/>
  <c r="J562" i="1" s="1"/>
  <c r="H493" i="1"/>
  <c r="H531" i="1" s="1"/>
  <c r="H555" i="1" s="1"/>
  <c r="H656" i="1" s="1"/>
  <c r="H509" i="1"/>
  <c r="H547" i="1" s="1"/>
  <c r="H571" i="1" s="1"/>
  <c r="H672" i="1" s="1"/>
  <c r="H492" i="1"/>
  <c r="H530" i="1" s="1"/>
  <c r="H554" i="1" s="1"/>
  <c r="H655" i="1" s="1"/>
  <c r="G503" i="1"/>
  <c r="G541" i="1" s="1"/>
  <c r="G565" i="1" s="1"/>
  <c r="G594" i="1" s="1"/>
  <c r="G618" i="1" s="1"/>
  <c r="G642" i="1" s="1"/>
  <c r="C492" i="1"/>
  <c r="C530" i="1" s="1"/>
  <c r="C554" i="1" s="1"/>
  <c r="C655" i="1" s="1"/>
  <c r="I497" i="1"/>
  <c r="I535" i="1" s="1"/>
  <c r="I559" i="1" s="1"/>
  <c r="I660" i="1" s="1"/>
  <c r="G493" i="1"/>
  <c r="G531" i="1" s="1"/>
  <c r="G555" i="1" s="1"/>
  <c r="G584" i="1" s="1"/>
  <c r="G608" i="1" s="1"/>
  <c r="G632" i="1" s="1"/>
  <c r="H510" i="1"/>
  <c r="H548" i="1" s="1"/>
  <c r="H572" i="1" s="1"/>
  <c r="H673" i="1" s="1"/>
  <c r="D509" i="1"/>
  <c r="D547" i="1" s="1"/>
  <c r="D571" i="1" s="1"/>
  <c r="D672" i="1" s="1"/>
  <c r="E502" i="1"/>
  <c r="E540" i="1" s="1"/>
  <c r="E564" i="1" s="1"/>
  <c r="E593" i="1" s="1"/>
  <c r="E617" i="1" s="1"/>
  <c r="E641" i="1" s="1"/>
  <c r="C509" i="1"/>
  <c r="C547" i="1" s="1"/>
  <c r="C571" i="1" s="1"/>
  <c r="C672" i="1" s="1"/>
  <c r="H499" i="1"/>
  <c r="H537" i="1" s="1"/>
  <c r="H561" i="1" s="1"/>
  <c r="H662" i="1" s="1"/>
  <c r="J498" i="1"/>
  <c r="J536" i="1" s="1"/>
  <c r="J560" i="1" s="1"/>
  <c r="J589" i="1" s="1"/>
  <c r="J613" i="1" s="1"/>
  <c r="J637" i="1" s="1"/>
  <c r="C495" i="1"/>
  <c r="C533" i="1" s="1"/>
  <c r="C557" i="1" s="1"/>
  <c r="C658" i="1" s="1"/>
  <c r="K497" i="1"/>
  <c r="K535" i="1" s="1"/>
  <c r="K559" i="1" s="1"/>
  <c r="K588" i="1" s="1"/>
  <c r="K612" i="1" s="1"/>
  <c r="K636" i="1" s="1"/>
  <c r="C943" i="1"/>
  <c r="C929" i="1"/>
  <c r="C930" i="1"/>
  <c r="J746" i="1"/>
  <c r="J775" i="1" s="1"/>
  <c r="J799" i="1" s="1"/>
  <c r="J823" i="1" s="1"/>
  <c r="J847" i="1"/>
  <c r="E835" i="1"/>
  <c r="E734" i="1"/>
  <c r="E763" i="1" s="1"/>
  <c r="E787" i="1" s="1"/>
  <c r="E811" i="1" s="1"/>
  <c r="F744" i="1"/>
  <c r="F773" i="1" s="1"/>
  <c r="F797" i="1" s="1"/>
  <c r="F821" i="1" s="1"/>
  <c r="F845" i="1"/>
  <c r="F836" i="1"/>
  <c r="F735" i="1"/>
  <c r="F764" i="1" s="1"/>
  <c r="F788" i="1" s="1"/>
  <c r="F812" i="1" s="1"/>
  <c r="G841" i="1"/>
  <c r="G740" i="1"/>
  <c r="G769" i="1" s="1"/>
  <c r="G793" i="1" s="1"/>
  <c r="G817" i="1" s="1"/>
  <c r="J735" i="1"/>
  <c r="J764" i="1" s="1"/>
  <c r="J788" i="1" s="1"/>
  <c r="J812" i="1" s="1"/>
  <c r="J836" i="1"/>
  <c r="C847" i="1"/>
  <c r="C746" i="1"/>
  <c r="C775" i="1" s="1"/>
  <c r="C799" i="1" s="1"/>
  <c r="C823" i="1" s="1"/>
  <c r="H840" i="1"/>
  <c r="H739" i="1"/>
  <c r="H768" i="1" s="1"/>
  <c r="H792" i="1" s="1"/>
  <c r="H816" i="1" s="1"/>
  <c r="J828" i="1"/>
  <c r="J727" i="1"/>
  <c r="J756" i="1" s="1"/>
  <c r="J780" i="1" s="1"/>
  <c r="J804" i="1" s="1"/>
  <c r="J744" i="1"/>
  <c r="J773" i="1" s="1"/>
  <c r="J797" i="1" s="1"/>
  <c r="J821" i="1" s="1"/>
  <c r="J845" i="1"/>
  <c r="K847" i="1"/>
  <c r="K746" i="1"/>
  <c r="K775" i="1" s="1"/>
  <c r="K799" i="1" s="1"/>
  <c r="K823" i="1" s="1"/>
  <c r="E830" i="1"/>
  <c r="E729" i="1"/>
  <c r="E758" i="1" s="1"/>
  <c r="E782" i="1" s="1"/>
  <c r="E806" i="1" s="1"/>
  <c r="G736" i="1"/>
  <c r="G765" i="1" s="1"/>
  <c r="G789" i="1" s="1"/>
  <c r="G813" i="1" s="1"/>
  <c r="G837" i="1"/>
  <c r="F743" i="1"/>
  <c r="F772" i="1" s="1"/>
  <c r="F796" i="1" s="1"/>
  <c r="F820" i="1" s="1"/>
  <c r="F844" i="1"/>
  <c r="F734" i="1"/>
  <c r="F763" i="1" s="1"/>
  <c r="F787" i="1" s="1"/>
  <c r="F811" i="1" s="1"/>
  <c r="F835" i="1"/>
  <c r="K836" i="1"/>
  <c r="K735" i="1"/>
  <c r="K764" i="1" s="1"/>
  <c r="K788" i="1" s="1"/>
  <c r="K812" i="1" s="1"/>
  <c r="G729" i="1"/>
  <c r="G758" i="1" s="1"/>
  <c r="G782" i="1" s="1"/>
  <c r="G806" i="1" s="1"/>
  <c r="G830" i="1"/>
  <c r="E837" i="1"/>
  <c r="E736" i="1"/>
  <c r="E765" i="1" s="1"/>
  <c r="E789" i="1" s="1"/>
  <c r="E813" i="1" s="1"/>
  <c r="D745" i="1"/>
  <c r="D774" i="1" s="1"/>
  <c r="D798" i="1" s="1"/>
  <c r="D822" i="1" s="1"/>
  <c r="D846" i="1"/>
  <c r="J837" i="1"/>
  <c r="J736" i="1"/>
  <c r="J765" i="1" s="1"/>
  <c r="J789" i="1" s="1"/>
  <c r="J813" i="1" s="1"/>
  <c r="I746" i="1"/>
  <c r="I775" i="1" s="1"/>
  <c r="I799" i="1" s="1"/>
  <c r="I823" i="1" s="1"/>
  <c r="I847" i="1"/>
  <c r="H831" i="1"/>
  <c r="H730" i="1"/>
  <c r="H759" i="1" s="1"/>
  <c r="H783" i="1" s="1"/>
  <c r="H807" i="1" s="1"/>
  <c r="J838" i="1"/>
  <c r="J737" i="1"/>
  <c r="J766" i="1" s="1"/>
  <c r="J790" i="1" s="1"/>
  <c r="J814" i="1" s="1"/>
  <c r="J734" i="1"/>
  <c r="J763" i="1" s="1"/>
  <c r="J787" i="1" s="1"/>
  <c r="J811" i="1" s="1"/>
  <c r="J835" i="1"/>
  <c r="G742" i="1"/>
  <c r="G771" i="1" s="1"/>
  <c r="G795" i="1" s="1"/>
  <c r="G819" i="1" s="1"/>
  <c r="G843" i="1"/>
  <c r="I732" i="1"/>
  <c r="I761" i="1" s="1"/>
  <c r="I785" i="1" s="1"/>
  <c r="I809" i="1" s="1"/>
  <c r="I833" i="1"/>
  <c r="K740" i="1"/>
  <c r="K769" i="1" s="1"/>
  <c r="K793" i="1" s="1"/>
  <c r="K817" i="1" s="1"/>
  <c r="K841" i="1"/>
  <c r="I736" i="1"/>
  <c r="I765" i="1" s="1"/>
  <c r="I789" i="1" s="1"/>
  <c r="I813" i="1" s="1"/>
  <c r="I837" i="1"/>
  <c r="E833" i="1"/>
  <c r="E732" i="1"/>
  <c r="E761" i="1" s="1"/>
  <c r="E785" i="1" s="1"/>
  <c r="E809" i="1" s="1"/>
  <c r="H832" i="1"/>
  <c r="H731" i="1"/>
  <c r="H760" i="1" s="1"/>
  <c r="H784" i="1" s="1"/>
  <c r="H808" i="1" s="1"/>
  <c r="K738" i="1"/>
  <c r="K767" i="1" s="1"/>
  <c r="K791" i="1" s="1"/>
  <c r="K815" i="1" s="1"/>
  <c r="K839" i="1"/>
  <c r="E739" i="1"/>
  <c r="E768" i="1" s="1"/>
  <c r="E792" i="1" s="1"/>
  <c r="E816" i="1" s="1"/>
  <c r="E840" i="1"/>
  <c r="G728" i="1"/>
  <c r="G757" i="1" s="1"/>
  <c r="G781" i="1" s="1"/>
  <c r="G805" i="1" s="1"/>
  <c r="G829" i="1"/>
  <c r="K837" i="1"/>
  <c r="K736" i="1"/>
  <c r="K765" i="1" s="1"/>
  <c r="K789" i="1" s="1"/>
  <c r="K813" i="1" s="1"/>
  <c r="D736" i="1"/>
  <c r="D765" i="1" s="1"/>
  <c r="D789" i="1" s="1"/>
  <c r="D813" i="1" s="1"/>
  <c r="D837" i="1"/>
  <c r="K728" i="1"/>
  <c r="K757" i="1" s="1"/>
  <c r="K781" i="1" s="1"/>
  <c r="K805" i="1" s="1"/>
  <c r="K829" i="1"/>
  <c r="E843" i="1"/>
  <c r="E742" i="1"/>
  <c r="E771" i="1" s="1"/>
  <c r="E795" i="1" s="1"/>
  <c r="E819" i="1" s="1"/>
  <c r="E740" i="1"/>
  <c r="E769" i="1" s="1"/>
  <c r="E793" i="1" s="1"/>
  <c r="E817" i="1" s="1"/>
  <c r="E841" i="1"/>
  <c r="K846" i="1"/>
  <c r="K745" i="1"/>
  <c r="K774" i="1" s="1"/>
  <c r="K798" i="1" s="1"/>
  <c r="K822" i="1" s="1"/>
  <c r="G840" i="1"/>
  <c r="G739" i="1"/>
  <c r="G768" i="1" s="1"/>
  <c r="G792" i="1" s="1"/>
  <c r="G816" i="1" s="1"/>
  <c r="H836" i="1"/>
  <c r="H735" i="1"/>
  <c r="H764" i="1" s="1"/>
  <c r="H788" i="1" s="1"/>
  <c r="H812" i="1" s="1"/>
  <c r="K842" i="1"/>
  <c r="K741" i="1"/>
  <c r="K770" i="1" s="1"/>
  <c r="K794" i="1" s="1"/>
  <c r="K818" i="1" s="1"/>
  <c r="C833" i="1"/>
  <c r="C732" i="1"/>
  <c r="C761" i="1" s="1"/>
  <c r="C785" i="1" s="1"/>
  <c r="C809" i="1" s="1"/>
  <c r="D735" i="1"/>
  <c r="D764" i="1" s="1"/>
  <c r="D788" i="1" s="1"/>
  <c r="D812" i="1" s="1"/>
  <c r="D836" i="1"/>
  <c r="D839" i="1"/>
  <c r="D738" i="1"/>
  <c r="D767" i="1" s="1"/>
  <c r="D791" i="1" s="1"/>
  <c r="D815" i="1" s="1"/>
  <c r="I841" i="1"/>
  <c r="I740" i="1"/>
  <c r="I769" i="1" s="1"/>
  <c r="I793" i="1" s="1"/>
  <c r="I817" i="1" s="1"/>
  <c r="H837" i="1"/>
  <c r="H736" i="1"/>
  <c r="H765" i="1" s="1"/>
  <c r="H789" i="1" s="1"/>
  <c r="H813" i="1" s="1"/>
  <c r="K737" i="1"/>
  <c r="K766" i="1" s="1"/>
  <c r="K790" i="1" s="1"/>
  <c r="K814" i="1" s="1"/>
  <c r="K838" i="1"/>
  <c r="G734" i="1"/>
  <c r="G763" i="1" s="1"/>
  <c r="G787" i="1" s="1"/>
  <c r="G811" i="1" s="1"/>
  <c r="G835" i="1"/>
  <c r="I831" i="1"/>
  <c r="I730" i="1"/>
  <c r="I759" i="1" s="1"/>
  <c r="I783" i="1" s="1"/>
  <c r="I807" i="1" s="1"/>
  <c r="F832" i="1"/>
  <c r="F731" i="1"/>
  <c r="F760" i="1" s="1"/>
  <c r="F784" i="1" s="1"/>
  <c r="F808" i="1" s="1"/>
  <c r="C728" i="1"/>
  <c r="C757" i="1" s="1"/>
  <c r="C781" i="1" s="1"/>
  <c r="C805" i="1" s="1"/>
  <c r="C829" i="1"/>
  <c r="E741" i="1"/>
  <c r="E770" i="1" s="1"/>
  <c r="E794" i="1" s="1"/>
  <c r="E818" i="1" s="1"/>
  <c r="E842" i="1"/>
  <c r="F730" i="1"/>
  <c r="F759" i="1" s="1"/>
  <c r="F783" i="1" s="1"/>
  <c r="F807" i="1" s="1"/>
  <c r="F831" i="1"/>
  <c r="G732" i="1"/>
  <c r="G761" i="1" s="1"/>
  <c r="G785" i="1" s="1"/>
  <c r="G809" i="1" s="1"/>
  <c r="G833" i="1"/>
  <c r="C837" i="1"/>
  <c r="C736" i="1"/>
  <c r="C765" i="1" s="1"/>
  <c r="C789" i="1" s="1"/>
  <c r="C813" i="1" s="1"/>
  <c r="I727" i="1"/>
  <c r="I756" i="1" s="1"/>
  <c r="I780" i="1" s="1"/>
  <c r="I804" i="1" s="1"/>
  <c r="I828" i="1"/>
  <c r="F846" i="1"/>
  <c r="F745" i="1"/>
  <c r="F774" i="1" s="1"/>
  <c r="F798" i="1" s="1"/>
  <c r="F822" i="1" s="1"/>
  <c r="G737" i="1"/>
  <c r="G766" i="1" s="1"/>
  <c r="G790" i="1" s="1"/>
  <c r="G814" i="1" s="1"/>
  <c r="G838" i="1"/>
  <c r="I731" i="1"/>
  <c r="I760" i="1" s="1"/>
  <c r="I784" i="1" s="1"/>
  <c r="I808" i="1" s="1"/>
  <c r="I832" i="1"/>
  <c r="I734" i="1"/>
  <c r="I763" i="1" s="1"/>
  <c r="I787" i="1" s="1"/>
  <c r="I811" i="1" s="1"/>
  <c r="I835" i="1"/>
  <c r="F746" i="1"/>
  <c r="F775" i="1" s="1"/>
  <c r="F799" i="1" s="1"/>
  <c r="F823" i="1" s="1"/>
  <c r="F847" i="1"/>
  <c r="G844" i="1"/>
  <c r="G743" i="1"/>
  <c r="G772" i="1" s="1"/>
  <c r="G796" i="1" s="1"/>
  <c r="G820" i="1" s="1"/>
  <c r="E839" i="1"/>
  <c r="E738" i="1"/>
  <c r="E767" i="1" s="1"/>
  <c r="E791" i="1" s="1"/>
  <c r="E815" i="1" s="1"/>
  <c r="H743" i="1"/>
  <c r="H772" i="1" s="1"/>
  <c r="H796" i="1" s="1"/>
  <c r="H820" i="1" s="1"/>
  <c r="H844" i="1"/>
  <c r="H745" i="1"/>
  <c r="H774" i="1" s="1"/>
  <c r="H798" i="1" s="1"/>
  <c r="H822" i="1" s="1"/>
  <c r="H846" i="1"/>
  <c r="G731" i="1"/>
  <c r="G760" i="1" s="1"/>
  <c r="G784" i="1" s="1"/>
  <c r="G808" i="1" s="1"/>
  <c r="G832" i="1"/>
  <c r="G845" i="1"/>
  <c r="G744" i="1"/>
  <c r="G773" i="1" s="1"/>
  <c r="G797" i="1" s="1"/>
  <c r="G821" i="1" s="1"/>
  <c r="C727" i="1"/>
  <c r="C756" i="1" s="1"/>
  <c r="C780" i="1" s="1"/>
  <c r="C804" i="1" s="1"/>
  <c r="C828" i="1"/>
  <c r="F738" i="1"/>
  <c r="F767" i="1" s="1"/>
  <c r="F791" i="1" s="1"/>
  <c r="F815" i="1" s="1"/>
  <c r="F839" i="1"/>
  <c r="D729" i="1"/>
  <c r="D758" i="1" s="1"/>
  <c r="D782" i="1" s="1"/>
  <c r="D806" i="1" s="1"/>
  <c r="D830" i="1"/>
  <c r="H843" i="1"/>
  <c r="H742" i="1"/>
  <c r="H771" i="1" s="1"/>
  <c r="H795" i="1" s="1"/>
  <c r="H819" i="1" s="1"/>
  <c r="C835" i="1"/>
  <c r="C734" i="1"/>
  <c r="C763" i="1" s="1"/>
  <c r="C787" i="1" s="1"/>
  <c r="C811" i="1" s="1"/>
  <c r="C741" i="1"/>
  <c r="C770" i="1" s="1"/>
  <c r="C794" i="1" s="1"/>
  <c r="C818" i="1" s="1"/>
  <c r="C842" i="1"/>
  <c r="J834" i="1"/>
  <c r="J733" i="1"/>
  <c r="J762" i="1" s="1"/>
  <c r="J786" i="1" s="1"/>
  <c r="J810" i="1" s="1"/>
  <c r="E746" i="1"/>
  <c r="E775" i="1" s="1"/>
  <c r="E799" i="1" s="1"/>
  <c r="E823" i="1" s="1"/>
  <c r="E847" i="1"/>
  <c r="K843" i="1"/>
  <c r="K742" i="1"/>
  <c r="K771" i="1" s="1"/>
  <c r="K795" i="1" s="1"/>
  <c r="K819" i="1" s="1"/>
  <c r="C831" i="1"/>
  <c r="C730" i="1"/>
  <c r="C759" i="1" s="1"/>
  <c r="C783" i="1" s="1"/>
  <c r="C807" i="1" s="1"/>
  <c r="K732" i="1"/>
  <c r="K761" i="1" s="1"/>
  <c r="K785" i="1" s="1"/>
  <c r="K809" i="1" s="1"/>
  <c r="K833" i="1"/>
  <c r="D843" i="1"/>
  <c r="D742" i="1"/>
  <c r="D771" i="1" s="1"/>
  <c r="D795" i="1" s="1"/>
  <c r="D819" i="1" s="1"/>
  <c r="D732" i="1"/>
  <c r="D761" i="1" s="1"/>
  <c r="D785" i="1" s="1"/>
  <c r="D809" i="1" s="1"/>
  <c r="D833" i="1"/>
  <c r="J843" i="1"/>
  <c r="J742" i="1"/>
  <c r="J771" i="1" s="1"/>
  <c r="J795" i="1" s="1"/>
  <c r="J819" i="1" s="1"/>
  <c r="D847" i="1"/>
  <c r="D746" i="1"/>
  <c r="D775" i="1" s="1"/>
  <c r="D799" i="1" s="1"/>
  <c r="D823" i="1" s="1"/>
  <c r="D831" i="1"/>
  <c r="D730" i="1"/>
  <c r="D759" i="1" s="1"/>
  <c r="D783" i="1" s="1"/>
  <c r="D807" i="1" s="1"/>
  <c r="C832" i="1"/>
  <c r="C731" i="1"/>
  <c r="C760" i="1" s="1"/>
  <c r="C784" i="1" s="1"/>
  <c r="C808" i="1" s="1"/>
  <c r="C838" i="1"/>
  <c r="C737" i="1"/>
  <c r="C766" i="1" s="1"/>
  <c r="C790" i="1" s="1"/>
  <c r="C814" i="1" s="1"/>
  <c r="E727" i="1"/>
  <c r="E756" i="1" s="1"/>
  <c r="E780" i="1" s="1"/>
  <c r="E804" i="1" s="1"/>
  <c r="E828" i="1"/>
  <c r="D828" i="1"/>
  <c r="D727" i="1"/>
  <c r="D756" i="1" s="1"/>
  <c r="D780" i="1" s="1"/>
  <c r="D804" i="1" s="1"/>
  <c r="J745" i="1"/>
  <c r="J774" i="1" s="1"/>
  <c r="J798" i="1" s="1"/>
  <c r="J822" i="1" s="1"/>
  <c r="J846" i="1"/>
  <c r="C846" i="1"/>
  <c r="C745" i="1"/>
  <c r="C774" i="1" s="1"/>
  <c r="C798" i="1" s="1"/>
  <c r="C822" i="1" s="1"/>
  <c r="E836" i="1"/>
  <c r="E735" i="1"/>
  <c r="E764" i="1" s="1"/>
  <c r="E788" i="1" s="1"/>
  <c r="E812" i="1" s="1"/>
  <c r="E829" i="1"/>
  <c r="E728" i="1"/>
  <c r="E757" i="1" s="1"/>
  <c r="E781" i="1" s="1"/>
  <c r="E805" i="1" s="1"/>
  <c r="C841" i="1"/>
  <c r="C740" i="1"/>
  <c r="C769" i="1" s="1"/>
  <c r="C793" i="1" s="1"/>
  <c r="C817" i="1" s="1"/>
  <c r="K831" i="1"/>
  <c r="K730" i="1"/>
  <c r="K759" i="1" s="1"/>
  <c r="K783" i="1" s="1"/>
  <c r="K807" i="1" s="1"/>
  <c r="C739" i="1"/>
  <c r="C768" i="1" s="1"/>
  <c r="C792" i="1" s="1"/>
  <c r="C816" i="1" s="1"/>
  <c r="C840" i="1"/>
  <c r="F737" i="1"/>
  <c r="F766" i="1" s="1"/>
  <c r="F790" i="1" s="1"/>
  <c r="F814" i="1" s="1"/>
  <c r="F838" i="1"/>
  <c r="D838" i="1"/>
  <c r="D737" i="1"/>
  <c r="D766" i="1" s="1"/>
  <c r="D790" i="1" s="1"/>
  <c r="D814" i="1" s="1"/>
  <c r="I830" i="1"/>
  <c r="I729" i="1"/>
  <c r="I758" i="1" s="1"/>
  <c r="I782" i="1" s="1"/>
  <c r="I806" i="1" s="1"/>
  <c r="C836" i="1"/>
  <c r="C735" i="1"/>
  <c r="C764" i="1" s="1"/>
  <c r="C788" i="1" s="1"/>
  <c r="C812" i="1" s="1"/>
  <c r="D835" i="1"/>
  <c r="D734" i="1"/>
  <c r="D763" i="1" s="1"/>
  <c r="D787" i="1" s="1"/>
  <c r="D811" i="1" s="1"/>
  <c r="E846" i="1"/>
  <c r="E745" i="1"/>
  <c r="E774" i="1" s="1"/>
  <c r="E798" i="1" s="1"/>
  <c r="E822" i="1" s="1"/>
  <c r="C834" i="1"/>
  <c r="C733" i="1"/>
  <c r="C762" i="1" s="1"/>
  <c r="C786" i="1" s="1"/>
  <c r="C810" i="1" s="1"/>
  <c r="D741" i="1"/>
  <c r="D770" i="1" s="1"/>
  <c r="D794" i="1" s="1"/>
  <c r="D818" i="1" s="1"/>
  <c r="D842" i="1"/>
  <c r="I737" i="1"/>
  <c r="I766" i="1" s="1"/>
  <c r="I790" i="1" s="1"/>
  <c r="I814" i="1" s="1"/>
  <c r="I838" i="1"/>
  <c r="H841" i="1"/>
  <c r="H740" i="1"/>
  <c r="H769" i="1" s="1"/>
  <c r="H793" i="1" s="1"/>
  <c r="H817" i="1" s="1"/>
  <c r="H744" i="1"/>
  <c r="H773" i="1" s="1"/>
  <c r="H797" i="1" s="1"/>
  <c r="H821" i="1" s="1"/>
  <c r="H845" i="1"/>
  <c r="J729" i="1"/>
  <c r="J758" i="1" s="1"/>
  <c r="J782" i="1" s="1"/>
  <c r="J806" i="1" s="1"/>
  <c r="J830" i="1"/>
  <c r="H727" i="1"/>
  <c r="H756" i="1" s="1"/>
  <c r="H780" i="1" s="1"/>
  <c r="H804" i="1" s="1"/>
  <c r="H828" i="1"/>
  <c r="G735" i="1"/>
  <c r="G764" i="1" s="1"/>
  <c r="G788" i="1" s="1"/>
  <c r="G812" i="1" s="1"/>
  <c r="G836" i="1"/>
  <c r="C729" i="1"/>
  <c r="C758" i="1" s="1"/>
  <c r="C782" i="1" s="1"/>
  <c r="C806" i="1" s="1"/>
  <c r="C830" i="1"/>
  <c r="D844" i="1"/>
  <c r="D743" i="1"/>
  <c r="D772" i="1" s="1"/>
  <c r="D796" i="1" s="1"/>
  <c r="D820" i="1" s="1"/>
  <c r="F828" i="1"/>
  <c r="F727" i="1"/>
  <c r="F756" i="1" s="1"/>
  <c r="F780" i="1" s="1"/>
  <c r="F804" i="1" s="1"/>
  <c r="J833" i="1"/>
  <c r="J732" i="1"/>
  <c r="J761" i="1" s="1"/>
  <c r="J785" i="1" s="1"/>
  <c r="J809" i="1" s="1"/>
  <c r="K845" i="1"/>
  <c r="K744" i="1"/>
  <c r="K773" i="1" s="1"/>
  <c r="K797" i="1" s="1"/>
  <c r="K821" i="1" s="1"/>
  <c r="F834" i="1"/>
  <c r="F733" i="1"/>
  <c r="F762" i="1" s="1"/>
  <c r="F786" i="1" s="1"/>
  <c r="F810" i="1" s="1"/>
  <c r="I829" i="1"/>
  <c r="I728" i="1"/>
  <c r="I757" i="1" s="1"/>
  <c r="I781" i="1" s="1"/>
  <c r="I805" i="1" s="1"/>
  <c r="J844" i="1"/>
  <c r="J743" i="1"/>
  <c r="J772" i="1" s="1"/>
  <c r="J796" i="1" s="1"/>
  <c r="J820" i="1" s="1"/>
  <c r="K743" i="1"/>
  <c r="K772" i="1" s="1"/>
  <c r="K796" i="1" s="1"/>
  <c r="K820" i="1" s="1"/>
  <c r="K844" i="1"/>
  <c r="D840" i="1"/>
  <c r="D739" i="1"/>
  <c r="D768" i="1" s="1"/>
  <c r="D792" i="1" s="1"/>
  <c r="D816" i="1" s="1"/>
  <c r="D728" i="1"/>
  <c r="D757" i="1" s="1"/>
  <c r="D781" i="1" s="1"/>
  <c r="D805" i="1" s="1"/>
  <c r="D829" i="1"/>
  <c r="K729" i="1"/>
  <c r="K758" i="1" s="1"/>
  <c r="K782" i="1" s="1"/>
  <c r="K806" i="1" s="1"/>
  <c r="K830" i="1"/>
  <c r="H839" i="1"/>
  <c r="H738" i="1"/>
  <c r="H767" i="1" s="1"/>
  <c r="H791" i="1" s="1"/>
  <c r="H815" i="1" s="1"/>
  <c r="F732" i="1"/>
  <c r="F761" i="1" s="1"/>
  <c r="F785" i="1" s="1"/>
  <c r="F809" i="1" s="1"/>
  <c r="F833" i="1"/>
  <c r="H835" i="1"/>
  <c r="H734" i="1"/>
  <c r="H763" i="1" s="1"/>
  <c r="H787" i="1" s="1"/>
  <c r="H811" i="1" s="1"/>
  <c r="I733" i="1"/>
  <c r="I762" i="1" s="1"/>
  <c r="I786" i="1" s="1"/>
  <c r="I810" i="1" s="1"/>
  <c r="I834" i="1"/>
  <c r="H732" i="1"/>
  <c r="H761" i="1" s="1"/>
  <c r="H785" i="1" s="1"/>
  <c r="H809" i="1" s="1"/>
  <c r="H833" i="1"/>
  <c r="I735" i="1"/>
  <c r="I764" i="1" s="1"/>
  <c r="I788" i="1" s="1"/>
  <c r="I812" i="1" s="1"/>
  <c r="I836" i="1"/>
  <c r="E832" i="1"/>
  <c r="E731" i="1"/>
  <c r="E760" i="1" s="1"/>
  <c r="E784" i="1" s="1"/>
  <c r="E808" i="1" s="1"/>
  <c r="D834" i="1"/>
  <c r="D733" i="1"/>
  <c r="D762" i="1" s="1"/>
  <c r="D786" i="1" s="1"/>
  <c r="D810" i="1" s="1"/>
  <c r="J841" i="1"/>
  <c r="J740" i="1"/>
  <c r="J769" i="1" s="1"/>
  <c r="J793" i="1" s="1"/>
  <c r="J817" i="1" s="1"/>
  <c r="J829" i="1"/>
  <c r="J728" i="1"/>
  <c r="J757" i="1" s="1"/>
  <c r="J781" i="1" s="1"/>
  <c r="J805" i="1" s="1"/>
  <c r="G730" i="1"/>
  <c r="G759" i="1" s="1"/>
  <c r="G783" i="1" s="1"/>
  <c r="G807" i="1" s="1"/>
  <c r="G831" i="1"/>
  <c r="D744" i="1"/>
  <c r="D773" i="1" s="1"/>
  <c r="D797" i="1" s="1"/>
  <c r="D821" i="1" s="1"/>
  <c r="D845" i="1"/>
  <c r="C843" i="1"/>
  <c r="C742" i="1"/>
  <c r="C771" i="1" s="1"/>
  <c r="C795" i="1" s="1"/>
  <c r="C819" i="1" s="1"/>
  <c r="I745" i="1"/>
  <c r="I774" i="1" s="1"/>
  <c r="I798" i="1" s="1"/>
  <c r="I822" i="1" s="1"/>
  <c r="I846" i="1"/>
  <c r="J832" i="1"/>
  <c r="J731" i="1"/>
  <c r="J760" i="1" s="1"/>
  <c r="J784" i="1" s="1"/>
  <c r="J808" i="1" s="1"/>
  <c r="H847" i="1"/>
  <c r="H746" i="1"/>
  <c r="H775" i="1" s="1"/>
  <c r="H799" i="1" s="1"/>
  <c r="H823" i="1" s="1"/>
  <c r="F728" i="1"/>
  <c r="F757" i="1" s="1"/>
  <c r="F781" i="1" s="1"/>
  <c r="F805" i="1" s="1"/>
  <c r="F829" i="1"/>
  <c r="F742" i="1"/>
  <c r="F771" i="1" s="1"/>
  <c r="F795" i="1" s="1"/>
  <c r="F819" i="1" s="1"/>
  <c r="F843" i="1"/>
  <c r="E733" i="1"/>
  <c r="E762" i="1" s="1"/>
  <c r="E786" i="1" s="1"/>
  <c r="E810" i="1" s="1"/>
  <c r="E834" i="1"/>
  <c r="D832" i="1"/>
  <c r="D731" i="1"/>
  <c r="D760" i="1" s="1"/>
  <c r="D784" i="1" s="1"/>
  <c r="D808" i="1" s="1"/>
  <c r="I741" i="1"/>
  <c r="I770" i="1" s="1"/>
  <c r="I794" i="1" s="1"/>
  <c r="I818" i="1" s="1"/>
  <c r="I842" i="1"/>
  <c r="H838" i="1"/>
  <c r="H737" i="1"/>
  <c r="H766" i="1" s="1"/>
  <c r="H790" i="1" s="1"/>
  <c r="H814" i="1" s="1"/>
  <c r="H729" i="1"/>
  <c r="H758" i="1" s="1"/>
  <c r="H782" i="1" s="1"/>
  <c r="H806" i="1" s="1"/>
  <c r="H830" i="1"/>
  <c r="F840" i="1"/>
  <c r="F739" i="1"/>
  <c r="F768" i="1" s="1"/>
  <c r="F792" i="1" s="1"/>
  <c r="F816" i="1" s="1"/>
  <c r="J741" i="1"/>
  <c r="J770" i="1" s="1"/>
  <c r="J794" i="1" s="1"/>
  <c r="J818" i="1" s="1"/>
  <c r="J842" i="1"/>
  <c r="F837" i="1"/>
  <c r="F736" i="1"/>
  <c r="F765" i="1" s="1"/>
  <c r="F789" i="1" s="1"/>
  <c r="F813" i="1" s="1"/>
  <c r="J738" i="1"/>
  <c r="J767" i="1" s="1"/>
  <c r="J791" i="1" s="1"/>
  <c r="J815" i="1" s="1"/>
  <c r="J839" i="1"/>
  <c r="K727" i="1"/>
  <c r="K756" i="1" s="1"/>
  <c r="K780" i="1" s="1"/>
  <c r="K804" i="1" s="1"/>
  <c r="K828" i="1"/>
  <c r="K731" i="1"/>
  <c r="K760" i="1" s="1"/>
  <c r="K784" i="1" s="1"/>
  <c r="K808" i="1" s="1"/>
  <c r="K832" i="1"/>
  <c r="H829" i="1"/>
  <c r="H728" i="1"/>
  <c r="H757" i="1" s="1"/>
  <c r="H781" i="1" s="1"/>
  <c r="H805" i="1" s="1"/>
  <c r="G733" i="1"/>
  <c r="G762" i="1" s="1"/>
  <c r="G786" i="1" s="1"/>
  <c r="G810" i="1" s="1"/>
  <c r="G834" i="1"/>
  <c r="G847" i="1"/>
  <c r="G746" i="1"/>
  <c r="G775" i="1" s="1"/>
  <c r="G799" i="1" s="1"/>
  <c r="G823" i="1" s="1"/>
  <c r="G828" i="1"/>
  <c r="G727" i="1"/>
  <c r="G756" i="1" s="1"/>
  <c r="G780" i="1" s="1"/>
  <c r="G804" i="1" s="1"/>
  <c r="H834" i="1"/>
  <c r="H733" i="1"/>
  <c r="H762" i="1" s="1"/>
  <c r="H786" i="1" s="1"/>
  <c r="H810" i="1" s="1"/>
  <c r="J730" i="1"/>
  <c r="J759" i="1" s="1"/>
  <c r="J783" i="1" s="1"/>
  <c r="J807" i="1" s="1"/>
  <c r="J831" i="1"/>
  <c r="F841" i="1"/>
  <c r="F740" i="1"/>
  <c r="F769" i="1" s="1"/>
  <c r="F793" i="1" s="1"/>
  <c r="F817" i="1" s="1"/>
  <c r="K734" i="1"/>
  <c r="K763" i="1" s="1"/>
  <c r="K787" i="1" s="1"/>
  <c r="K811" i="1" s="1"/>
  <c r="K835" i="1"/>
  <c r="F156" i="1"/>
  <c r="F157" i="1" s="1"/>
  <c r="F155" i="1"/>
  <c r="E156" i="1"/>
  <c r="E157" i="1" s="1"/>
  <c r="E155" i="1"/>
  <c r="I738" i="1"/>
  <c r="I767" i="1" s="1"/>
  <c r="I791" i="1" s="1"/>
  <c r="I815" i="1" s="1"/>
  <c r="I839" i="1"/>
  <c r="D841" i="1"/>
  <c r="D740" i="1"/>
  <c r="D769" i="1" s="1"/>
  <c r="D793" i="1" s="1"/>
  <c r="D817" i="1" s="1"/>
  <c r="F830" i="1"/>
  <c r="F729" i="1"/>
  <c r="F758" i="1" s="1"/>
  <c r="F782" i="1" s="1"/>
  <c r="F806" i="1" s="1"/>
  <c r="C738" i="1"/>
  <c r="C767" i="1" s="1"/>
  <c r="C791" i="1" s="1"/>
  <c r="C815" i="1" s="1"/>
  <c r="C839" i="1"/>
  <c r="I843" i="1"/>
  <c r="I742" i="1"/>
  <c r="I771" i="1" s="1"/>
  <c r="I795" i="1" s="1"/>
  <c r="I819" i="1" s="1"/>
  <c r="K733" i="1"/>
  <c r="K762" i="1" s="1"/>
  <c r="K786" i="1" s="1"/>
  <c r="K810" i="1" s="1"/>
  <c r="K834" i="1"/>
  <c r="E743" i="1"/>
  <c r="E772" i="1" s="1"/>
  <c r="E796" i="1" s="1"/>
  <c r="E820" i="1" s="1"/>
  <c r="E844" i="1"/>
  <c r="G738" i="1"/>
  <c r="G767" i="1" s="1"/>
  <c r="G791" i="1" s="1"/>
  <c r="G815" i="1" s="1"/>
  <c r="G839" i="1"/>
  <c r="E845" i="1"/>
  <c r="E744" i="1"/>
  <c r="E773" i="1" s="1"/>
  <c r="E797" i="1" s="1"/>
  <c r="E821" i="1" s="1"/>
  <c r="C845" i="1"/>
  <c r="C744" i="1"/>
  <c r="C773" i="1" s="1"/>
  <c r="C797" i="1" s="1"/>
  <c r="C821" i="1" s="1"/>
  <c r="E737" i="1"/>
  <c r="E766" i="1" s="1"/>
  <c r="E790" i="1" s="1"/>
  <c r="E814" i="1" s="1"/>
  <c r="E838" i="1"/>
  <c r="I840" i="1"/>
  <c r="I739" i="1"/>
  <c r="I768" i="1" s="1"/>
  <c r="I792" i="1" s="1"/>
  <c r="I816" i="1" s="1"/>
  <c r="K739" i="1"/>
  <c r="K768" i="1" s="1"/>
  <c r="K792" i="1" s="1"/>
  <c r="K816" i="1" s="1"/>
  <c r="K840" i="1"/>
  <c r="E730" i="1"/>
  <c r="E759" i="1" s="1"/>
  <c r="E783" i="1" s="1"/>
  <c r="E807" i="1" s="1"/>
  <c r="E831" i="1"/>
  <c r="I845" i="1"/>
  <c r="I744" i="1"/>
  <c r="I773" i="1" s="1"/>
  <c r="I797" i="1" s="1"/>
  <c r="I821" i="1" s="1"/>
  <c r="F842" i="1"/>
  <c r="F741" i="1"/>
  <c r="F770" i="1" s="1"/>
  <c r="F794" i="1" s="1"/>
  <c r="F818" i="1" s="1"/>
  <c r="H741" i="1"/>
  <c r="H770" i="1" s="1"/>
  <c r="H794" i="1" s="1"/>
  <c r="H818" i="1" s="1"/>
  <c r="H842" i="1"/>
  <c r="I743" i="1"/>
  <c r="I772" i="1" s="1"/>
  <c r="I796" i="1" s="1"/>
  <c r="I820" i="1" s="1"/>
  <c r="I844" i="1"/>
  <c r="J739" i="1"/>
  <c r="J768" i="1" s="1"/>
  <c r="J792" i="1" s="1"/>
  <c r="J816" i="1" s="1"/>
  <c r="J840" i="1"/>
  <c r="C743" i="1"/>
  <c r="C772" i="1" s="1"/>
  <c r="C796" i="1" s="1"/>
  <c r="C820" i="1" s="1"/>
  <c r="C844" i="1"/>
  <c r="G842" i="1"/>
  <c r="G741" i="1"/>
  <c r="G770" i="1" s="1"/>
  <c r="G794" i="1" s="1"/>
  <c r="G818" i="1" s="1"/>
  <c r="G745" i="1"/>
  <c r="G774" i="1" s="1"/>
  <c r="G798" i="1" s="1"/>
  <c r="G822" i="1" s="1"/>
  <c r="G846" i="1"/>
  <c r="H599" i="1"/>
  <c r="H623" i="1" s="1"/>
  <c r="H647" i="1" s="1"/>
  <c r="C670" i="1"/>
  <c r="K656" i="1"/>
  <c r="D589" i="1"/>
  <c r="D613" i="1" s="1"/>
  <c r="D637" i="1" s="1"/>
  <c r="D601" i="1"/>
  <c r="D625" i="1" s="1"/>
  <c r="D649" i="1" s="1"/>
  <c r="I602" i="1"/>
  <c r="I626" i="1" s="1"/>
  <c r="I650" i="1" s="1"/>
  <c r="D671" i="1"/>
  <c r="D599" i="1"/>
  <c r="D623" i="1" s="1"/>
  <c r="D647" i="1" s="1"/>
  <c r="H591" i="1"/>
  <c r="H615" i="1" s="1"/>
  <c r="H639" i="1" s="1"/>
  <c r="G661" i="1"/>
  <c r="D674" i="1"/>
  <c r="D602" i="1"/>
  <c r="D626" i="1" s="1"/>
  <c r="D650" i="1" s="1"/>
  <c r="F656" i="1"/>
  <c r="F584" i="1"/>
  <c r="F608" i="1" s="1"/>
  <c r="F632" i="1" s="1"/>
  <c r="D586" i="1"/>
  <c r="D610" i="1" s="1"/>
  <c r="D634" i="1" s="1"/>
  <c r="I663" i="1"/>
  <c r="I591" i="1"/>
  <c r="I615" i="1" s="1"/>
  <c r="I639" i="1" s="1"/>
  <c r="K598" i="1"/>
  <c r="K622" i="1" s="1"/>
  <c r="K646" i="1" s="1"/>
  <c r="C596" i="1"/>
  <c r="C620" i="1" s="1"/>
  <c r="C644" i="1" s="1"/>
  <c r="C668" i="1"/>
  <c r="H602" i="1"/>
  <c r="H626" i="1" s="1"/>
  <c r="H650" i="1" s="1"/>
  <c r="D660" i="1"/>
  <c r="K597" i="1"/>
  <c r="K621" i="1" s="1"/>
  <c r="K645" i="1" s="1"/>
  <c r="G657" i="1"/>
  <c r="G585" i="1"/>
  <c r="G609" i="1" s="1"/>
  <c r="G633" i="1" s="1"/>
  <c r="I656" i="1"/>
  <c r="C584" i="1"/>
  <c r="C608" i="1" s="1"/>
  <c r="C632" i="1" s="1"/>
  <c r="C656" i="1"/>
  <c r="J665" i="1"/>
  <c r="J584" i="1"/>
  <c r="J608" i="1" s="1"/>
  <c r="J632" i="1" s="1"/>
  <c r="E587" i="1"/>
  <c r="E611" i="1" s="1"/>
  <c r="E635" i="1" s="1"/>
  <c r="C666" i="1"/>
  <c r="C594" i="1"/>
  <c r="C618" i="1" s="1"/>
  <c r="C642" i="1" s="1"/>
  <c r="H584" i="1"/>
  <c r="H608" i="1" s="1"/>
  <c r="H632" i="1" s="1"/>
  <c r="D600" i="1"/>
  <c r="D624" i="1" s="1"/>
  <c r="D648" i="1" s="1"/>
  <c r="D668" i="1"/>
  <c r="D596" i="1"/>
  <c r="D620" i="1" s="1"/>
  <c r="D644" i="1" s="1"/>
  <c r="J663" i="1"/>
  <c r="J591" i="1"/>
  <c r="J615" i="1" s="1"/>
  <c r="J639" i="1" s="1"/>
  <c r="H601" i="1"/>
  <c r="H625" i="1" s="1"/>
  <c r="H649" i="1" s="1"/>
  <c r="E668" i="1"/>
  <c r="E596" i="1"/>
  <c r="E620" i="1" s="1"/>
  <c r="E644" i="1" s="1"/>
  <c r="C587" i="1"/>
  <c r="C611" i="1" s="1"/>
  <c r="C635" i="1" s="1"/>
  <c r="C659" i="1"/>
  <c r="F659" i="1"/>
  <c r="F587" i="1"/>
  <c r="F611" i="1" s="1"/>
  <c r="F635" i="1" s="1"/>
  <c r="C657" i="1"/>
  <c r="C585" i="1"/>
  <c r="C609" i="1" s="1"/>
  <c r="C633" i="1" s="1"/>
  <c r="E655" i="1"/>
  <c r="E583" i="1"/>
  <c r="E607" i="1" s="1"/>
  <c r="E631" i="1" s="1"/>
  <c r="H670" i="1"/>
  <c r="H598" i="1"/>
  <c r="H622" i="1" s="1"/>
  <c r="H646" i="1" s="1"/>
  <c r="F670" i="1"/>
  <c r="F598" i="1"/>
  <c r="F622" i="1" s="1"/>
  <c r="F646" i="1" s="1"/>
  <c r="G662" i="1"/>
  <c r="G590" i="1"/>
  <c r="G614" i="1" s="1"/>
  <c r="G638" i="1" s="1"/>
  <c r="C673" i="1"/>
  <c r="C601" i="1"/>
  <c r="C625" i="1" s="1"/>
  <c r="C649" i="1" s="1"/>
  <c r="J659" i="1"/>
  <c r="J587" i="1"/>
  <c r="J611" i="1" s="1"/>
  <c r="J635" i="1" s="1"/>
  <c r="F662" i="1"/>
  <c r="F590" i="1"/>
  <c r="F614" i="1" s="1"/>
  <c r="F638" i="1" s="1"/>
  <c r="C661" i="1"/>
  <c r="C589" i="1"/>
  <c r="C613" i="1" s="1"/>
  <c r="C637" i="1" s="1"/>
  <c r="D664" i="1"/>
  <c r="D592" i="1"/>
  <c r="D616" i="1" s="1"/>
  <c r="D640" i="1" s="1"/>
  <c r="J602" i="1"/>
  <c r="J626" i="1" s="1"/>
  <c r="J650" i="1" s="1"/>
  <c r="J674" i="1"/>
  <c r="D663" i="1"/>
  <c r="D591" i="1"/>
  <c r="D615" i="1" s="1"/>
  <c r="D639" i="1" s="1"/>
  <c r="K673" i="1"/>
  <c r="K601" i="1"/>
  <c r="K625" i="1" s="1"/>
  <c r="K649" i="1" s="1"/>
  <c r="I673" i="1"/>
  <c r="I601" i="1"/>
  <c r="I625" i="1" s="1"/>
  <c r="I649" i="1" s="1"/>
  <c r="E671" i="1"/>
  <c r="E599" i="1"/>
  <c r="E623" i="1" s="1"/>
  <c r="E647" i="1" s="1"/>
  <c r="I587" i="1"/>
  <c r="I611" i="1" s="1"/>
  <c r="I635" i="1" s="1"/>
  <c r="C669" i="1"/>
  <c r="C597" i="1"/>
  <c r="C621" i="1" s="1"/>
  <c r="C645" i="1" s="1"/>
  <c r="D666" i="1"/>
  <c r="D594" i="1"/>
  <c r="D618" i="1" s="1"/>
  <c r="D642" i="1" s="1"/>
  <c r="H669" i="1"/>
  <c r="H597" i="1"/>
  <c r="H621" i="1" s="1"/>
  <c r="H645" i="1" s="1"/>
  <c r="I662" i="1"/>
  <c r="I668" i="1"/>
  <c r="I596" i="1"/>
  <c r="I620" i="1" s="1"/>
  <c r="I644" i="1" s="1"/>
  <c r="G667" i="1"/>
  <c r="G595" i="1"/>
  <c r="G619" i="1" s="1"/>
  <c r="G643" i="1" s="1"/>
  <c r="K592" i="1"/>
  <c r="K616" i="1" s="1"/>
  <c r="K640" i="1" s="1"/>
  <c r="K664" i="1"/>
  <c r="F671" i="1"/>
  <c r="F599" i="1"/>
  <c r="F623" i="1" s="1"/>
  <c r="F647" i="1" s="1"/>
  <c r="I593" i="1"/>
  <c r="I617" i="1" s="1"/>
  <c r="I641" i="1" s="1"/>
  <c r="I665" i="1"/>
  <c r="I670" i="1"/>
  <c r="I598" i="1"/>
  <c r="I622" i="1" s="1"/>
  <c r="I646" i="1" s="1"/>
  <c r="K672" i="1"/>
  <c r="K600" i="1"/>
  <c r="K624" i="1" s="1"/>
  <c r="K648" i="1" s="1"/>
  <c r="G658" i="1"/>
  <c r="F600" i="1"/>
  <c r="F624" i="1" s="1"/>
  <c r="F648" i="1" s="1"/>
  <c r="F672" i="1"/>
  <c r="E663" i="1"/>
  <c r="F586" i="1"/>
  <c r="F610" i="1" s="1"/>
  <c r="F634" i="1" s="1"/>
  <c r="F658" i="1"/>
  <c r="J664" i="1"/>
  <c r="J592" i="1"/>
  <c r="J616" i="1" s="1"/>
  <c r="J640" i="1" s="1"/>
  <c r="K663" i="1"/>
  <c r="K591" i="1"/>
  <c r="K615" i="1" s="1"/>
  <c r="K639" i="1" s="1"/>
  <c r="G663" i="1"/>
  <c r="G591" i="1"/>
  <c r="G615" i="1" s="1"/>
  <c r="G639" i="1" s="1"/>
  <c r="H668" i="1"/>
  <c r="H596" i="1"/>
  <c r="H620" i="1" s="1"/>
  <c r="H644" i="1" s="1"/>
  <c r="H660" i="1"/>
  <c r="H588" i="1"/>
  <c r="H612" i="1" s="1"/>
  <c r="H636" i="1" s="1"/>
  <c r="F663" i="1"/>
  <c r="F591" i="1"/>
  <c r="F615" i="1" s="1"/>
  <c r="F639" i="1" s="1"/>
  <c r="F669" i="1" l="1"/>
  <c r="E673" i="1"/>
  <c r="G597" i="1"/>
  <c r="G621" i="1" s="1"/>
  <c r="G645" i="1" s="1"/>
  <c r="K595" i="1"/>
  <c r="K619" i="1" s="1"/>
  <c r="K643" i="1" s="1"/>
  <c r="J599" i="1"/>
  <c r="J623" i="1" s="1"/>
  <c r="J647" i="1" s="1"/>
  <c r="C599" i="1"/>
  <c r="C623" i="1" s="1"/>
  <c r="C647" i="1" s="1"/>
  <c r="F585" i="1"/>
  <c r="F609" i="1" s="1"/>
  <c r="F633" i="1" s="1"/>
  <c r="J660" i="1"/>
  <c r="C600" i="1"/>
  <c r="C624" i="1" s="1"/>
  <c r="C648" i="1" s="1"/>
  <c r="J658" i="1"/>
  <c r="F655" i="1"/>
  <c r="H583" i="1"/>
  <c r="H607" i="1" s="1"/>
  <c r="H631" i="1" s="1"/>
  <c r="I585" i="1"/>
  <c r="I609" i="1" s="1"/>
  <c r="I633" i="1" s="1"/>
  <c r="D590" i="1"/>
  <c r="D614" i="1" s="1"/>
  <c r="D638" i="1" s="1"/>
  <c r="F589" i="1"/>
  <c r="F613" i="1" s="1"/>
  <c r="F637" i="1" s="1"/>
  <c r="F596" i="1"/>
  <c r="F620" i="1" s="1"/>
  <c r="F644" i="1" s="1"/>
  <c r="C590" i="1"/>
  <c r="C614" i="1" s="1"/>
  <c r="C638" i="1" s="1"/>
  <c r="E590" i="1"/>
  <c r="E614" i="1" s="1"/>
  <c r="E638" i="1" s="1"/>
  <c r="J666" i="1"/>
  <c r="I671" i="1"/>
  <c r="E665" i="1"/>
  <c r="D667" i="1"/>
  <c r="G666" i="1"/>
  <c r="J583" i="1"/>
  <c r="J607" i="1" s="1"/>
  <c r="J631" i="1" s="1"/>
  <c r="I669" i="1"/>
  <c r="D665" i="1"/>
  <c r="K586" i="1"/>
  <c r="K610" i="1" s="1"/>
  <c r="K634" i="1" s="1"/>
  <c r="G660" i="1"/>
  <c r="E589" i="1"/>
  <c r="E613" i="1" s="1"/>
  <c r="E637" i="1" s="1"/>
  <c r="H589" i="1"/>
  <c r="H613" i="1" s="1"/>
  <c r="H637" i="1" s="1"/>
  <c r="C583" i="1"/>
  <c r="C607" i="1" s="1"/>
  <c r="C631" i="1" s="1"/>
  <c r="F673" i="1"/>
  <c r="I583" i="1"/>
  <c r="I607" i="1" s="1"/>
  <c r="I631" i="1" s="1"/>
  <c r="G600" i="1"/>
  <c r="G624" i="1" s="1"/>
  <c r="G648" i="1" s="1"/>
  <c r="C660" i="1"/>
  <c r="C674" i="1"/>
  <c r="K587" i="1"/>
  <c r="K611" i="1" s="1"/>
  <c r="K635" i="1" s="1"/>
  <c r="C593" i="1"/>
  <c r="C617" i="1" s="1"/>
  <c r="C641" i="1" s="1"/>
  <c r="F674" i="1"/>
  <c r="I667" i="1"/>
  <c r="D659" i="1"/>
  <c r="C664" i="1"/>
  <c r="J598" i="1"/>
  <c r="J622" i="1" s="1"/>
  <c r="J646" i="1" s="1"/>
  <c r="G592" i="1"/>
  <c r="G616" i="1" s="1"/>
  <c r="G640" i="1" s="1"/>
  <c r="G593" i="1"/>
  <c r="G617" i="1" s="1"/>
  <c r="G641" i="1" s="1"/>
  <c r="J661" i="1"/>
  <c r="H665" i="1"/>
  <c r="G587" i="1"/>
  <c r="G611" i="1" s="1"/>
  <c r="G635" i="1" s="1"/>
  <c r="H659" i="1"/>
  <c r="E600" i="1"/>
  <c r="E624" i="1" s="1"/>
  <c r="E648" i="1" s="1"/>
  <c r="E664" i="1"/>
  <c r="H590" i="1"/>
  <c r="H614" i="1" s="1"/>
  <c r="H638" i="1" s="1"/>
  <c r="K585" i="1"/>
  <c r="K609" i="1" s="1"/>
  <c r="K633" i="1" s="1"/>
  <c r="H667" i="1"/>
  <c r="J668" i="1"/>
  <c r="G655" i="1"/>
  <c r="E584" i="1"/>
  <c r="E608" i="1" s="1"/>
  <c r="E632" i="1" s="1"/>
  <c r="J590" i="1"/>
  <c r="J614" i="1" s="1"/>
  <c r="J638" i="1" s="1"/>
  <c r="I588" i="1"/>
  <c r="I612" i="1" s="1"/>
  <c r="I636" i="1" s="1"/>
  <c r="G602" i="1"/>
  <c r="G626" i="1" s="1"/>
  <c r="G650" i="1" s="1"/>
  <c r="E585" i="1"/>
  <c r="E609" i="1" s="1"/>
  <c r="E633" i="1" s="1"/>
  <c r="K599" i="1"/>
  <c r="K623" i="1" s="1"/>
  <c r="K647" i="1" s="1"/>
  <c r="G599" i="1"/>
  <c r="G623" i="1" s="1"/>
  <c r="G647" i="1" s="1"/>
  <c r="F667" i="1"/>
  <c r="K660" i="1"/>
  <c r="E597" i="1"/>
  <c r="E621" i="1" s="1"/>
  <c r="E645" i="1" s="1"/>
  <c r="F593" i="1"/>
  <c r="F617" i="1" s="1"/>
  <c r="F641" i="1" s="1"/>
  <c r="H586" i="1"/>
  <c r="H610" i="1" s="1"/>
  <c r="H634" i="1" s="1"/>
  <c r="K590" i="1"/>
  <c r="K614" i="1" s="1"/>
  <c r="K638" i="1" s="1"/>
  <c r="J597" i="1"/>
  <c r="J621" i="1" s="1"/>
  <c r="J645" i="1" s="1"/>
  <c r="E658" i="1"/>
  <c r="C586" i="1"/>
  <c r="C610" i="1" s="1"/>
  <c r="C634" i="1" s="1"/>
  <c r="F594" i="1"/>
  <c r="F618" i="1" s="1"/>
  <c r="F642" i="1" s="1"/>
  <c r="H592" i="1"/>
  <c r="H616" i="1" s="1"/>
  <c r="H640" i="1" s="1"/>
  <c r="J673" i="1"/>
  <c r="E588" i="1"/>
  <c r="E612" i="1" s="1"/>
  <c r="E636" i="1" s="1"/>
  <c r="G598" i="1"/>
  <c r="G622" i="1" s="1"/>
  <c r="G646" i="1" s="1"/>
  <c r="E595" i="1"/>
  <c r="E619" i="1" s="1"/>
  <c r="E643" i="1" s="1"/>
  <c r="K593" i="1"/>
  <c r="K617" i="1" s="1"/>
  <c r="K641" i="1" s="1"/>
  <c r="E598" i="1"/>
  <c r="E622" i="1" s="1"/>
  <c r="E646" i="1" s="1"/>
  <c r="J585" i="1"/>
  <c r="J609" i="1" s="1"/>
  <c r="J633" i="1" s="1"/>
  <c r="K655" i="1"/>
  <c r="I661" i="1"/>
  <c r="G668" i="1"/>
  <c r="G656" i="1"/>
  <c r="I666" i="1"/>
  <c r="D597" i="1"/>
  <c r="D621" i="1" s="1"/>
  <c r="D645" i="1" s="1"/>
  <c r="I592" i="1"/>
  <c r="I616" i="1" s="1"/>
  <c r="I640" i="1" s="1"/>
  <c r="F592" i="1"/>
  <c r="F616" i="1" s="1"/>
  <c r="F640" i="1" s="1"/>
  <c r="I600" i="1"/>
  <c r="I624" i="1" s="1"/>
  <c r="I648" i="1" s="1"/>
  <c r="K668" i="1"/>
  <c r="F660" i="1"/>
  <c r="J595" i="1"/>
  <c r="J619" i="1" s="1"/>
  <c r="J643" i="1" s="1"/>
  <c r="J672" i="1"/>
  <c r="E602" i="1"/>
  <c r="E626" i="1" s="1"/>
  <c r="E650" i="1" s="1"/>
  <c r="H666" i="1"/>
  <c r="D656" i="1"/>
  <c r="D655" i="1"/>
  <c r="H600" i="1"/>
  <c r="H624" i="1" s="1"/>
  <c r="H648" i="1" s="1"/>
  <c r="I586" i="1"/>
  <c r="I610" i="1" s="1"/>
  <c r="I634" i="1" s="1"/>
  <c r="D585" i="1"/>
  <c r="D609" i="1" s="1"/>
  <c r="D633" i="1" s="1"/>
  <c r="G601" i="1"/>
  <c r="G625" i="1" s="1"/>
  <c r="G649" i="1" s="1"/>
  <c r="C591" i="1"/>
  <c r="C615" i="1" s="1"/>
  <c r="C639" i="1" s="1"/>
  <c r="K674" i="1"/>
  <c r="E594" i="1"/>
  <c r="E618" i="1" s="1"/>
  <c r="E642" i="1" s="1"/>
  <c r="H585" i="1"/>
  <c r="H609" i="1" s="1"/>
  <c r="H633" i="1" s="1"/>
  <c r="K594" i="1"/>
  <c r="K618" i="1" s="1"/>
  <c r="K642" i="1" s="1"/>
  <c r="D670" i="1"/>
  <c r="C595" i="1"/>
  <c r="C619" i="1" s="1"/>
  <c r="C643" i="1" s="1"/>
  <c r="K589" i="1"/>
  <c r="K613" i="1" s="1"/>
  <c r="K637" i="1" s="1"/>
</calcChain>
</file>

<file path=xl/sharedStrings.xml><?xml version="1.0" encoding="utf-8"?>
<sst xmlns="http://schemas.openxmlformats.org/spreadsheetml/2006/main" count="2871" uniqueCount="765">
  <si>
    <t>DANE</t>
  </si>
  <si>
    <t>MASA AUTA [kg]</t>
  </si>
  <si>
    <t>Odległość środka masy od osi przedniej</t>
  </si>
  <si>
    <t>Odległość środka masy od osi tylnej</t>
  </si>
  <si>
    <t>Kąt Ackermana</t>
  </si>
  <si>
    <t>Wysokość położenia środka masy</t>
  </si>
  <si>
    <t>ROZSTAW OSI [m]</t>
  </si>
  <si>
    <t>DŁUGOŚĆ AUTA [m]</t>
  </si>
  <si>
    <t>SZEROKOŚĆ AUTA [m]</t>
  </si>
  <si>
    <t>PROMIEŃ SKRĘTU [m]</t>
  </si>
  <si>
    <t>hm [m]</t>
  </si>
  <si>
    <t>Lm R [m]</t>
  </si>
  <si>
    <t>Lm F [m]</t>
  </si>
  <si>
    <t>Promień zataczania -10mm</t>
  </si>
  <si>
    <t>D s [m]</t>
  </si>
  <si>
    <t>Średnica zawracania</t>
  </si>
  <si>
    <t>Masa całkowita [kg]</t>
  </si>
  <si>
    <t>Ciężar całkowity [kg]</t>
  </si>
  <si>
    <t>Siła hamowania</t>
  </si>
  <si>
    <t>Fh [N]</t>
  </si>
  <si>
    <t>μ</t>
  </si>
  <si>
    <t>ΔWx [N]</t>
  </si>
  <si>
    <t>Przeniesienie obciążenia wzdłużnego</t>
  </si>
  <si>
    <t>W FR [N]</t>
  </si>
  <si>
    <t>W FL [N]</t>
  </si>
  <si>
    <t>W R [N]</t>
  </si>
  <si>
    <t>W F [N]</t>
  </si>
  <si>
    <t>W RR [N]</t>
  </si>
  <si>
    <t>W RL [N]</t>
  </si>
  <si>
    <t>Różnica kątów</t>
  </si>
  <si>
    <r>
      <t xml:space="preserve">sin </t>
    </r>
    <r>
      <rPr>
        <sz val="11"/>
        <color theme="1"/>
        <rFont val="Calibri"/>
        <family val="2"/>
        <charset val="238"/>
      </rPr>
      <t>δA,o</t>
    </r>
  </si>
  <si>
    <t>δA,o [rad]</t>
  </si>
  <si>
    <t>δA,o [st]</t>
  </si>
  <si>
    <t>Kąt skrętu koła wewnętrznego</t>
  </si>
  <si>
    <r>
      <rPr>
        <sz val="11"/>
        <color theme="1"/>
        <rFont val="Calibri"/>
        <family val="2"/>
        <charset val="238"/>
      </rPr>
      <t>δi</t>
    </r>
    <r>
      <rPr>
        <sz val="11"/>
        <color theme="1"/>
        <rFont val="Calibri"/>
        <family val="2"/>
        <charset val="238"/>
        <scheme val="minor"/>
      </rPr>
      <t xml:space="preserve"> [rad]</t>
    </r>
  </si>
  <si>
    <t>δi [st]</t>
  </si>
  <si>
    <t>ctg δi</t>
  </si>
  <si>
    <t>ctg δA,o</t>
  </si>
  <si>
    <t>ΔδA [st]</t>
  </si>
  <si>
    <t>Promień zawracania</t>
  </si>
  <si>
    <t>R s [m]</t>
  </si>
  <si>
    <r>
      <t>R s - r</t>
    </r>
    <r>
      <rPr>
        <sz val="11"/>
        <color theme="1"/>
        <rFont val="Calibri"/>
        <family val="2"/>
        <charset val="238"/>
      </rPr>
      <t>σ [m]</t>
    </r>
  </si>
  <si>
    <r>
      <t>r</t>
    </r>
    <r>
      <rPr>
        <sz val="11"/>
        <color theme="1"/>
        <rFont val="Calibri"/>
        <family val="2"/>
        <charset val="238"/>
      </rPr>
      <t>σ [m]</t>
    </r>
  </si>
  <si>
    <t>iL</t>
  </si>
  <si>
    <t>ib</t>
  </si>
  <si>
    <t>1 osoba</t>
  </si>
  <si>
    <t>2 osoby</t>
  </si>
  <si>
    <t>4 osoby</t>
  </si>
  <si>
    <t>3 osoby</t>
  </si>
  <si>
    <t>Masa osób + bagażu na osobę [kg]</t>
  </si>
  <si>
    <t>g [m/s2]</t>
  </si>
  <si>
    <t>Przyspieszenie ziemskie</t>
  </si>
  <si>
    <t>Oś tylna</t>
  </si>
  <si>
    <t>Oś przednia</t>
  </si>
  <si>
    <t>Kolo tyle lewe</t>
  </si>
  <si>
    <t>Koło tylne prawe</t>
  </si>
  <si>
    <t>Koło przednie lewe</t>
  </si>
  <si>
    <t>Koło przednie prawe</t>
  </si>
  <si>
    <t>Hamowanie [m/s2]</t>
  </si>
  <si>
    <t>Hamowanie [g]</t>
  </si>
  <si>
    <t>OBCIĄŻENIA</t>
  </si>
  <si>
    <t>Opóźnienie</t>
  </si>
  <si>
    <t>Koło tylne lewe</t>
  </si>
  <si>
    <t>Prędkość maksymalna</t>
  </si>
  <si>
    <t>v max [m/s]</t>
  </si>
  <si>
    <t>v max [km/h]</t>
  </si>
  <si>
    <t>sb [m]</t>
  </si>
  <si>
    <t>Droga hamowania</t>
  </si>
  <si>
    <t>B [m]</t>
  </si>
  <si>
    <t>Szerokość opony</t>
  </si>
  <si>
    <t>D tc,kb [m]</t>
  </si>
  <si>
    <t>Średnica zawracania między krawężnikami</t>
  </si>
  <si>
    <t>R r,o [m]</t>
  </si>
  <si>
    <t>R r,i [m]</t>
  </si>
  <si>
    <t>Promień łuku koła tylnego zewnętrznego</t>
  </si>
  <si>
    <t>Promień łuku koła tylnego wewnętrznego</t>
  </si>
  <si>
    <t>ROZSTAW KÓŁ [m]</t>
  </si>
  <si>
    <t>PRZEŚWIT MIĘDZY BRZUCHEM A ZIEMIĄ [m]</t>
  </si>
  <si>
    <t>OBCIĄŻENIA STATYCZNE</t>
  </si>
  <si>
    <t>Współczynnik przyczepności</t>
  </si>
  <si>
    <t>SUCHY ASFALT</t>
  </si>
  <si>
    <t>MOKRY ASFALT</t>
  </si>
  <si>
    <t>NAWIERZCHNIA OBLODZONA</t>
  </si>
  <si>
    <t>HAMOWANIE Z PRĘDKOŚCI MAKSYMALNEJ</t>
  </si>
  <si>
    <t>PARAMETR PORÓWNAWCZY ROZSTAWU OSI</t>
  </si>
  <si>
    <t>WSKAŹNIK WYKORZYSTANIA SZEROKOŚCI</t>
  </si>
  <si>
    <t>KĄT ACKERMANA</t>
  </si>
  <si>
    <t>Masa przypadająca na koło przednie</t>
  </si>
  <si>
    <t>Masa przypadająca na koło tylne</t>
  </si>
  <si>
    <t>m FL = m FR [kg]</t>
  </si>
  <si>
    <t>m RL = m RR [kg]</t>
  </si>
  <si>
    <t>Masa na kole przednim przy hamowaniu</t>
  </si>
  <si>
    <t>Masa na kole tylnym przy hamowaniu</t>
  </si>
  <si>
    <t>HAMOWANIE ZE 100 km/h</t>
  </si>
  <si>
    <t>v [km/h]</t>
  </si>
  <si>
    <t>v [m/s]</t>
  </si>
  <si>
    <t>Promień statyczny</t>
  </si>
  <si>
    <t>r stat [m]</t>
  </si>
  <si>
    <t>r 0 [m]</t>
  </si>
  <si>
    <t>Promień dynamiczny</t>
  </si>
  <si>
    <t>r dyn [m]</t>
  </si>
  <si>
    <t>Prędkość środka masy</t>
  </si>
  <si>
    <r>
      <rPr>
        <sz val="11"/>
        <color theme="1"/>
        <rFont val="Calibri"/>
        <family val="2"/>
        <charset val="238"/>
        <scheme val="minor"/>
      </rPr>
      <t>ω</t>
    </r>
    <r>
      <rPr>
        <sz val="9.35"/>
        <color theme="1"/>
        <rFont val="Calibri"/>
        <family val="2"/>
        <charset val="238"/>
        <scheme val="minor"/>
      </rPr>
      <t xml:space="preserve"> [rad/s]</t>
    </r>
  </si>
  <si>
    <t>Prędkość kątowa</t>
  </si>
  <si>
    <t>Prędkość poślizgu</t>
  </si>
  <si>
    <t>v p [m/s]</t>
  </si>
  <si>
    <t>Poślizg - przyspieszanie</t>
  </si>
  <si>
    <t>Poślizg - hamowanie</t>
  </si>
  <si>
    <t>Profil opony</t>
  </si>
  <si>
    <t>Średnica felgi</t>
  </si>
  <si>
    <t>Profil opony x 2</t>
  </si>
  <si>
    <t>Średnica koła</t>
  </si>
  <si>
    <t xml:space="preserve">Promień koła </t>
  </si>
  <si>
    <t>d 0 [m]</t>
  </si>
  <si>
    <t>d f [m]</t>
  </si>
  <si>
    <t>d f [cal]</t>
  </si>
  <si>
    <t>Obwód toczenia</t>
  </si>
  <si>
    <t>U [m]</t>
  </si>
  <si>
    <t>Yaw rate</t>
  </si>
  <si>
    <t>Przyspieszenie dośrodkowe</t>
  </si>
  <si>
    <t>a y [m/s^2]</t>
  </si>
  <si>
    <t>Promień zakrętu</t>
  </si>
  <si>
    <t>m = 475kg</t>
  </si>
  <si>
    <t>m = 550kg</t>
  </si>
  <si>
    <t>m = 625kg</t>
  </si>
  <si>
    <t>m = 750kg</t>
  </si>
  <si>
    <t>Siła boczna - koło przednie F y [N]</t>
  </si>
  <si>
    <t>Siła boczna - koło tylne F y [N]</t>
  </si>
  <si>
    <t>MAX</t>
  </si>
  <si>
    <t>s B [%]</t>
  </si>
  <si>
    <t>s A [%]</t>
  </si>
  <si>
    <t>Kąt poślizgu - przód [rad]</t>
  </si>
  <si>
    <t>Kąt poślizgu - tył [rad]</t>
  </si>
  <si>
    <r>
      <t>Kąt poślizgu - przód [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]</t>
    </r>
  </si>
  <si>
    <t>Kąt poślizgu - tył [°]</t>
  </si>
  <si>
    <r>
      <rPr>
        <sz val="11"/>
        <color theme="1"/>
        <rFont val="Calibri"/>
        <family val="2"/>
        <charset val="238"/>
      </rPr>
      <t>ρ</t>
    </r>
    <r>
      <rPr>
        <sz val="11"/>
        <color theme="1"/>
        <rFont val="Calibri"/>
        <family val="2"/>
        <charset val="238"/>
        <scheme val="minor"/>
      </rPr>
      <t xml:space="preserve"> [m]</t>
    </r>
  </si>
  <si>
    <r>
      <rPr>
        <sz val="11"/>
        <color theme="1"/>
        <rFont val="Calibri"/>
        <family val="2"/>
        <charset val="238"/>
      </rPr>
      <t xml:space="preserve">ρ </t>
    </r>
    <r>
      <rPr>
        <sz val="11"/>
        <color theme="1"/>
        <rFont val="Calibri"/>
        <family val="2"/>
        <charset val="238"/>
        <scheme val="minor"/>
      </rPr>
      <t>[m]</t>
    </r>
  </si>
  <si>
    <t>PRĘDKOŚĆ 18 km/h</t>
  </si>
  <si>
    <t>SIŁA BOCZNA</t>
  </si>
  <si>
    <t>SIŁA BOCZNA I KĄTY POŚLIZGU</t>
  </si>
  <si>
    <t>ψ [1/s]</t>
  </si>
  <si>
    <t>DOUBLE WISHBONE SUSPENSION - SIDE VIEW</t>
  </si>
  <si>
    <t>L svsa [m]</t>
  </si>
  <si>
    <t>H svsa [m]</t>
  </si>
  <si>
    <t>% anti-dive</t>
  </si>
  <si>
    <t>ANTI-DIVE [%]</t>
  </si>
  <si>
    <t>F F [%]</t>
  </si>
  <si>
    <t>Teta 1</t>
  </si>
  <si>
    <t>Sive-view swing axle - LENGHT</t>
  </si>
  <si>
    <t>Sive-view swing axle - HEIGHT</t>
  </si>
  <si>
    <t>ϴ 1 [rad]</t>
  </si>
  <si>
    <t>ϴ 1 [st]</t>
  </si>
  <si>
    <t>F R [%]</t>
  </si>
  <si>
    <t>% anti-lift</t>
  </si>
  <si>
    <t>ANTI-LIFT [%]</t>
  </si>
  <si>
    <t>Teta 2</t>
  </si>
  <si>
    <t>ϴ 2 [st]</t>
  </si>
  <si>
    <t>ϴ 2 [rad]</t>
  </si>
  <si>
    <t>% anti-squat</t>
  </si>
  <si>
    <t>ANTI-SQUAT [%]</t>
  </si>
  <si>
    <t>% total braking force - FRONT</t>
  </si>
  <si>
    <t>% total braking force - REAR</t>
  </si>
  <si>
    <t>i mf</t>
  </si>
  <si>
    <t>i mr</t>
  </si>
  <si>
    <t>m 1f [kg]</t>
  </si>
  <si>
    <t>m 1r [kg]</t>
  </si>
  <si>
    <t>m 2f [kg]</t>
  </si>
  <si>
    <t>m 2r [kg]</t>
  </si>
  <si>
    <t>Masa na osi przedniej - st. nieobciążony</t>
  </si>
  <si>
    <t>Masa na osi tylnej - st. nieobciążony</t>
  </si>
  <si>
    <t>Współczynnik dla zawieszenia - PRZÓD</t>
  </si>
  <si>
    <t>Współczynnik dla zawieszenia - TYŁ</t>
  </si>
  <si>
    <t>Masa nieresorowana na 1 kole - PRZÓD</t>
  </si>
  <si>
    <t>Masa nieresorowana na 1 kole - TYŁ</t>
  </si>
  <si>
    <t>Masa nieresorowana - OŚ PRZEDNIA</t>
  </si>
  <si>
    <t>Masa nieresorowana - OŚ TYLNA</t>
  </si>
  <si>
    <t>Masa nieresorowana CAŁKOWITA</t>
  </si>
  <si>
    <t>m f [kg]</t>
  </si>
  <si>
    <t>m r [kg]</t>
  </si>
  <si>
    <t>m [kg]</t>
  </si>
  <si>
    <t>Masa resorowana na 1 kole - PRZÓD</t>
  </si>
  <si>
    <t>Masa resorowana na 1 kole - TYŁ</t>
  </si>
  <si>
    <t>Masa resorowana - OŚ PRZEDNIA</t>
  </si>
  <si>
    <t>Masa resorowana - OŚ TYLNA</t>
  </si>
  <si>
    <t>Masa resorowana - CAŁKOWITA</t>
  </si>
  <si>
    <t>H CSM [m]</t>
  </si>
  <si>
    <t>FRONT ROLL CENTRE</t>
  </si>
  <si>
    <t>Kąt pochylenia wahacza dolnego [st]</t>
  </si>
  <si>
    <t>Kąt pochylenia wahacza górnego [st]</t>
  </si>
  <si>
    <t>[rad]</t>
  </si>
  <si>
    <t>y1 = a1 * x + b1</t>
  </si>
  <si>
    <t>Równanie prostej wahacza górnego</t>
  </si>
  <si>
    <t>Równanie prostej wahacza dolnego</t>
  </si>
  <si>
    <t>y2 = a2 * x + b2</t>
  </si>
  <si>
    <t>a1</t>
  </si>
  <si>
    <t>a2</t>
  </si>
  <si>
    <t>Rozstaw kół [m]</t>
  </si>
  <si>
    <t>Kąt pochylenia osi zwrotnicy [st]</t>
  </si>
  <si>
    <t>Dla IC za osią symetrii pojazdu</t>
  </si>
  <si>
    <t>b2</t>
  </si>
  <si>
    <t>Odcinek k [m]</t>
  </si>
  <si>
    <t>Odcinek n [m]</t>
  </si>
  <si>
    <t>Odcinek l [m]</t>
  </si>
  <si>
    <t>Odcinek t [m]</t>
  </si>
  <si>
    <t>b1</t>
  </si>
  <si>
    <t>x [m]</t>
  </si>
  <si>
    <t>Na minusie jeśli wahacz dolny zwrócony w górę</t>
  </si>
  <si>
    <t>Dla koła po lewo patrząc od przodu</t>
  </si>
  <si>
    <t>Mierzone od osi koła</t>
  </si>
  <si>
    <t>Mocowanie dolne - odległość [m]</t>
  </si>
  <si>
    <t>Mocowanie górne - odległość [m]</t>
  </si>
  <si>
    <t>Dla koła po prawo patrząc od przodu</t>
  </si>
  <si>
    <t>Średnica koła [m]</t>
  </si>
  <si>
    <t>Wysokość IC [m]</t>
  </si>
  <si>
    <t>Odległość od osi symetrii auta [m]</t>
  </si>
  <si>
    <t>Na lewo od osi</t>
  </si>
  <si>
    <t>Na prawo od osi</t>
  </si>
  <si>
    <t>ROLL CENTRE - POŁOŻENIE</t>
  </si>
  <si>
    <t>Kąt pochylenia linii RC [rad]</t>
  </si>
  <si>
    <t>[st]</t>
  </si>
  <si>
    <t>Wysokość RC [m]</t>
  </si>
  <si>
    <t>Położenie środka masy resorowanej</t>
  </si>
  <si>
    <t>Wysokość [m]</t>
  </si>
  <si>
    <t>Na minusie jeśli wahacz górny zwrócony w dół</t>
  </si>
  <si>
    <t>IC po prawej od osi symetrii auta</t>
  </si>
  <si>
    <t>IC po lewej od osi symetrii auta</t>
  </si>
  <si>
    <t>ANALIZA KOŁA PO PRAWO NA RYSUNKU</t>
  </si>
  <si>
    <t>ANALIZA KOŁA PO LEWO NA RYSUNKU</t>
  </si>
  <si>
    <t>REAR ROLL CENTRE</t>
  </si>
  <si>
    <t>Odcinek t1 [m]</t>
  </si>
  <si>
    <t>Prędkość | Cornering Velocity [m/s]</t>
  </si>
  <si>
    <t>Promień zakrętu | Cornering Radius [m]</t>
  </si>
  <si>
    <t>PRZÓD</t>
  </si>
  <si>
    <t>TYŁ</t>
  </si>
  <si>
    <t>ODLEGŁOŚĆ CENTRE OF SPRUNG MASS - ROLL CENTRE [m]</t>
  </si>
  <si>
    <t>PRZYSPIESZENIE DOŚRODKOWE | CENTRIPETAL ACCELERATION [m/s^2]</t>
  </si>
  <si>
    <t>SIŁA DOŚRODKOWA | CENTRIPETAL FORCE [N]</t>
  </si>
  <si>
    <t>ROLL COUPLE - FRONT [Nm]</t>
  </si>
  <si>
    <t>ROLL COUPLE - REAR [Nm]</t>
  </si>
  <si>
    <t>Promień zataczania [m]</t>
  </si>
  <si>
    <r>
      <t xml:space="preserve">Kąt pochylenia wahacza </t>
    </r>
    <r>
      <rPr>
        <sz val="11"/>
        <color theme="1"/>
        <rFont val="Calibri"/>
        <family val="2"/>
        <charset val="238"/>
      </rPr>
      <t>α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</si>
  <si>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β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</si>
  <si>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ϕ</t>
    </r>
    <r>
      <rPr>
        <sz val="9.35"/>
        <color theme="1"/>
        <rFont val="Calibri"/>
        <family val="2"/>
        <charset val="238"/>
      </rPr>
      <t xml:space="preserve"> [st]</t>
    </r>
  </si>
  <si>
    <r>
      <t xml:space="preserve">Kąt pochylenia wahacza </t>
    </r>
    <r>
      <rPr>
        <sz val="11"/>
        <color theme="1"/>
        <rFont val="Calibri"/>
        <family val="2"/>
        <charset val="238"/>
      </rPr>
      <t>δ</t>
    </r>
    <r>
      <rPr>
        <sz val="9.35"/>
        <color theme="1"/>
        <rFont val="Calibri"/>
        <family val="2"/>
        <charset val="238"/>
      </rPr>
      <t xml:space="preserve"> [st]</t>
    </r>
  </si>
  <si>
    <t>FRONT WHEEL</t>
  </si>
  <si>
    <t>l [m]</t>
  </si>
  <si>
    <t>s [m]</t>
  </si>
  <si>
    <t>u [m]</t>
  </si>
  <si>
    <t>p [m]</t>
  </si>
  <si>
    <t>w [m]</t>
  </si>
  <si>
    <t>v [m]</t>
  </si>
  <si>
    <t>SIDE VIEW SWING AXLE</t>
  </si>
  <si>
    <t>Długość fvsa [m]</t>
  </si>
  <si>
    <t>Długość svsa [m]</t>
  </si>
  <si>
    <t>FRONT VIEW INSTANT CENTRE - POŁOŻENIE</t>
  </si>
  <si>
    <t>SIDE VIEW INSTANT CENTRE - POŁOŻENIE</t>
  </si>
  <si>
    <t>Koło przednie</t>
  </si>
  <si>
    <t>REAR WHEEL</t>
  </si>
  <si>
    <t>Koło tylne</t>
  </si>
  <si>
    <t>SIDE VIEW - PITCH CENTRE</t>
  </si>
  <si>
    <t>PITCH CENTRE - POŁOŻENIE</t>
  </si>
  <si>
    <t>Kąt pochylenia linii PC [rad]</t>
  </si>
  <si>
    <t>Równanie prostej linii PC</t>
  </si>
  <si>
    <t>y1 = a * q + b</t>
  </si>
  <si>
    <t>b</t>
  </si>
  <si>
    <t>a</t>
  </si>
  <si>
    <t>q [m]</t>
  </si>
  <si>
    <t>Wysokość PC [m]</t>
  </si>
  <si>
    <t>SPRUNG MASS - MASA RESOROWANA</t>
  </si>
  <si>
    <t>UNSPRUNG MASS - MASA NIERESOROWANA</t>
  </si>
  <si>
    <t>SLIP - POŚLIZG</t>
  </si>
  <si>
    <t>VELOCITY - PRĘDKOŚĆ 100 km/h</t>
  </si>
  <si>
    <t>MAX VELOCITY - PRĘDKOŚĆ MAKSYMALNA</t>
  </si>
  <si>
    <t>TIRES - OPONY</t>
  </si>
  <si>
    <t>W zależności jak to wygląda geometrycznie, być może trzeba tutaj będzie dodać jeszcze odcinek n</t>
  </si>
  <si>
    <t>MECHANICAL TRAIL</t>
  </si>
  <si>
    <t>Caster angle [st]</t>
  </si>
  <si>
    <t>Kąt wyprzedzenia osi zwrotnicy [rad]</t>
  </si>
  <si>
    <t>Mechanical trail [m]</t>
  </si>
  <si>
    <t>Side view kingpin offset [m]</t>
  </si>
  <si>
    <t>FRONT</t>
  </si>
  <si>
    <t>REAR</t>
  </si>
  <si>
    <t>Camber change rate</t>
  </si>
  <si>
    <t>FRONT VIEW SWING ARM</t>
  </si>
  <si>
    <t>Tłumienie krytyczne (critical dumping)</t>
  </si>
  <si>
    <t>"Sztywność koła"</t>
  </si>
  <si>
    <t>Przód (na koło)</t>
  </si>
  <si>
    <t>sztywność sprężyny</t>
  </si>
  <si>
    <t>tfu</t>
  </si>
  <si>
    <t>Wheel rate</t>
  </si>
  <si>
    <t>zasięg odbicia</t>
  </si>
  <si>
    <t>zasięg dobicia</t>
  </si>
  <si>
    <t>zażyczony skok zawieszenia</t>
  </si>
  <si>
    <t>skok amortyzatora</t>
  </si>
  <si>
    <t>odbicie-dobicie</t>
  </si>
  <si>
    <t>sztywność sprężyny dla wheel rate</t>
  </si>
  <si>
    <t>wheel rate</t>
  </si>
  <si>
    <t>częstotliwość</t>
  </si>
  <si>
    <t>d1[mm]</t>
  </si>
  <si>
    <t>d2[mm]</t>
  </si>
  <si>
    <t>a stopnie</t>
  </si>
  <si>
    <t>a rad</t>
  </si>
  <si>
    <t>r_spring</t>
  </si>
  <si>
    <t>R_pushrod</t>
  </si>
  <si>
    <t>MR</t>
  </si>
  <si>
    <t>f[Hz]</t>
  </si>
  <si>
    <t>masa na koło [kg]</t>
  </si>
  <si>
    <t>masa nieresorowana[kg]</t>
  </si>
  <si>
    <t>sprung mass[kg]</t>
  </si>
  <si>
    <t>spring rate[N/m]</t>
  </si>
  <si>
    <t>N/mm</t>
  </si>
  <si>
    <t>kg/mm</t>
  </si>
  <si>
    <t>lb/in</t>
  </si>
  <si>
    <t>N/(mm/s)</t>
  </si>
  <si>
    <t>mm</t>
  </si>
  <si>
    <t>Hz</t>
  </si>
  <si>
    <t>tył (na koło)</t>
  </si>
  <si>
    <t>Coil spring wheel rate [kg/mm]</t>
  </si>
  <si>
    <t>Coil spring wheel rate [kg/m]</t>
  </si>
  <si>
    <t>Coil spring wheel rate [N/m]</t>
  </si>
  <si>
    <t>Track widht [m]</t>
  </si>
  <si>
    <t>Combined wheel rate [N/m]</t>
  </si>
  <si>
    <t>Anti-roll bar wheel rate [N/m]</t>
  </si>
  <si>
    <t>Z Excela Jacka</t>
  </si>
  <si>
    <t>Z Excela Tomka</t>
  </si>
  <si>
    <t>Masa pojazdu</t>
  </si>
  <si>
    <t>kg</t>
  </si>
  <si>
    <t>Pasażer 1</t>
  </si>
  <si>
    <t>Pasażer 2</t>
  </si>
  <si>
    <t>Pasażer 3</t>
  </si>
  <si>
    <t>Pasażer 4</t>
  </si>
  <si>
    <t>Masa człowieka + bagaż na osobę</t>
  </si>
  <si>
    <t>Masa całkowita pojazdu</t>
  </si>
  <si>
    <t>Masa poszczególnego pasażera</t>
  </si>
  <si>
    <t>Środek ciężkości pojazdu</t>
  </si>
  <si>
    <t>%</t>
  </si>
  <si>
    <t>Obciążenia statyczne</t>
  </si>
  <si>
    <t>Liczba pasażerów - warianty</t>
  </si>
  <si>
    <t>Rozstaw kół z przodu</t>
  </si>
  <si>
    <t>m</t>
  </si>
  <si>
    <t>1+2</t>
  </si>
  <si>
    <t>1+3</t>
  </si>
  <si>
    <t>1+4</t>
  </si>
  <si>
    <t>1+2+3</t>
  </si>
  <si>
    <t>1+2+4</t>
  </si>
  <si>
    <t>1+3+4</t>
  </si>
  <si>
    <t>1+2+3+4</t>
  </si>
  <si>
    <t>Rozstaw kół z tyłu</t>
  </si>
  <si>
    <t>Obciążenie koła przedniego (LEWEGO)</t>
  </si>
  <si>
    <t>Masa całowita pojazdu</t>
  </si>
  <si>
    <t>Rozstaw osi</t>
  </si>
  <si>
    <t>N</t>
  </si>
  <si>
    <t>Total Vehicle Mass</t>
  </si>
  <si>
    <t>Obciążenie koła przedniego (PRAWEGO)</t>
  </si>
  <si>
    <t>Wysokość środka ciężkości</t>
  </si>
  <si>
    <t>Obciążenie koła tylnego (LEWEGO)</t>
  </si>
  <si>
    <t>Położenia środka ciężkości od osi przedniej (X)</t>
  </si>
  <si>
    <t>?</t>
  </si>
  <si>
    <t>Promień toczenia (promień dynamiczny koła)</t>
  </si>
  <si>
    <t>COG Position Distance From Front Wheels (X)</t>
  </si>
  <si>
    <t>Współczynnika tarcia opon</t>
  </si>
  <si>
    <t>X</t>
  </si>
  <si>
    <t>Obciążenie koła tylnego (PRAWEGO)</t>
  </si>
  <si>
    <t>Położenia środka ciężkości od osi przedniej (Y)</t>
  </si>
  <si>
    <t>Szerokość całkowita pojazdu</t>
  </si>
  <si>
    <t>COG Position Distance From Front Wheels (Y)</t>
  </si>
  <si>
    <t>Promień skrętu minimalny</t>
  </si>
  <si>
    <t>Obciążenie osi z przodu</t>
  </si>
  <si>
    <t>Położenia środka ciężkości od osi tylnej (X)</t>
  </si>
  <si>
    <t>Długość całkowita pojazdu</t>
  </si>
  <si>
    <t>COG Position Distance From Rear Wheels (X)</t>
  </si>
  <si>
    <t>Moc jednego silnika</t>
  </si>
  <si>
    <t>W</t>
  </si>
  <si>
    <t>Obciążenie osi z tyłu</t>
  </si>
  <si>
    <t>Położenia środka ciężkości od osi tylnej (Y)</t>
  </si>
  <si>
    <t>Moc całkowita</t>
  </si>
  <si>
    <t>COG Position Distance From Rear Wheels (Y)</t>
  </si>
  <si>
    <t>Gętość powietrza (standardowa)</t>
  </si>
  <si>
    <t>kg/m^3</t>
  </si>
  <si>
    <t>Wysokość auta</t>
  </si>
  <si>
    <t>Obciążenie auta przy ruszaniu</t>
  </si>
  <si>
    <t>Szerokość auta</t>
  </si>
  <si>
    <t>Współczynnik oporu powietrza (0,35-0,7)</t>
  </si>
  <si>
    <t>Siła napędowa</t>
  </si>
  <si>
    <t>Szerokość przekroju opony</t>
  </si>
  <si>
    <t>Przenoszenie obciążenia wzdłużnego</t>
  </si>
  <si>
    <t>Prześwit między brzuchem a ziemią</t>
  </si>
  <si>
    <t>Obciążenie na przednie koło (kinetyczne)</t>
  </si>
  <si>
    <t>Obciążenie na tylne koło (kinetyczne)</t>
  </si>
  <si>
    <t>Maksymalny moment obrotowy na tylnych kołach</t>
  </si>
  <si>
    <t>Nm</t>
  </si>
  <si>
    <t>Powierzchnia auta z przodu</t>
  </si>
  <si>
    <t>m^2</t>
  </si>
  <si>
    <t xml:space="preserve">Przyspieszenie </t>
  </si>
  <si>
    <t>m/s^2</t>
  </si>
  <si>
    <t>m/s</t>
  </si>
  <si>
    <t>g</t>
  </si>
  <si>
    <t>Płaskie zakręty | Flat circuits</t>
  </si>
  <si>
    <t>km/h</t>
  </si>
  <si>
    <t>Obciążenie auta na zakrętach</t>
  </si>
  <si>
    <t>Opór aerodynamiczny (zależny od prędkości)</t>
  </si>
  <si>
    <t>Promień zakrętu do pokonania</t>
  </si>
  <si>
    <t>Wysokość środka obrotu z przodu | Front Roll Centre Height</t>
  </si>
  <si>
    <t>Wysokość środka obrotu z tyłu | Rear Roll Centre Height</t>
  </si>
  <si>
    <t xml:space="preserve">Sztywność przechyłu podwozia | Chassis Roll Stiffness </t>
  </si>
  <si>
    <t>Nm/Radian</t>
  </si>
  <si>
    <t>Rozstaw kół</t>
  </si>
  <si>
    <t>Maksymalna siła na zakręcie</t>
  </si>
  <si>
    <t>Wysokość środka ciężkości | Centre's High of Gravity (Z)</t>
  </si>
  <si>
    <t>Położenia środka ciężkości od osi przedniej (X) | COG Position Distance From Front Wheels (X)</t>
  </si>
  <si>
    <t>sqrt</t>
  </si>
  <si>
    <t>u</t>
  </si>
  <si>
    <t>r</t>
  </si>
  <si>
    <t>Boczne przeniesienie ciężaru</t>
  </si>
  <si>
    <t>Położenia środka ciężkości od osi tylnej (X) | COG Position Distance From Rear Wheels (X)</t>
  </si>
  <si>
    <t>coefficient of friction</t>
  </si>
  <si>
    <t>radius</t>
  </si>
  <si>
    <t>gravity</t>
  </si>
  <si>
    <t>Prędkość pojazdu</t>
  </si>
  <si>
    <t>Prędkość auta na zakręcie</t>
  </si>
  <si>
    <t>Masa całowita pojazdu | Total Vehicle Mass</t>
  </si>
  <si>
    <t>rad</t>
  </si>
  <si>
    <t>Obszar czołowy pojazdu</t>
  </si>
  <si>
    <t>Obciążenia przy hamowaniu</t>
  </si>
  <si>
    <t>Poziome przyspieszenie boczne | Horizontal Lateral Acceleration [g]</t>
  </si>
  <si>
    <t>Opór aerodynamiczny</t>
  </si>
  <si>
    <t>Pochylenie nawierzchni | Banking Angle [stopnie]</t>
  </si>
  <si>
    <t>Dynamiczny promień koła</t>
  </si>
  <si>
    <t>Obciążenie koła z przodu przy hamowaniu</t>
  </si>
  <si>
    <t>cal</t>
  </si>
  <si>
    <t>Obciążenie koła z tyłu podczas hamowania</t>
  </si>
  <si>
    <t>Przyspieszenie boczne | Lateral Acceleration [g]</t>
  </si>
  <si>
    <t>Hamowanie</t>
  </si>
  <si>
    <t>Efektywna masa pojazdu z powodu pokonywania zakrętu | Effective Weight of the Car Due to the Banking [kg]</t>
  </si>
  <si>
    <t>Opór toczenia</t>
  </si>
  <si>
    <t>Współczynnik oporu toczenia</t>
  </si>
  <si>
    <t>Nachylenie powierzchni</t>
  </si>
  <si>
    <t>°</t>
  </si>
  <si>
    <t>Współczynnika tarcia pow. sucha</t>
  </si>
  <si>
    <t>Współczynnika tarcia pow. mokra</t>
  </si>
  <si>
    <t>Opór wzniesienia</t>
  </si>
  <si>
    <t xml:space="preserve"> </t>
  </si>
  <si>
    <t>Moc pojazdu zależna od parametrów pojazdu</t>
  </si>
  <si>
    <t>Prędkość</t>
  </si>
  <si>
    <t>Wymagana moc pojazdu</t>
  </si>
  <si>
    <t xml:space="preserve">Prędkość pojazdu </t>
  </si>
  <si>
    <t>Przyspieszenie boczne | Lateral Acceleration</t>
  </si>
  <si>
    <t>Efektywna masa pojazdu z powodu pokonywania zakrętu | Effective Weight of the Car Due to the Banking</t>
  </si>
  <si>
    <t>Efektywne obciążenie przedniej osi | Effective Front Axle Mass</t>
  </si>
  <si>
    <t>Efektywne obciążenie tylnej osi | Effective Rear Axle Mass</t>
  </si>
  <si>
    <t>Sztywność przechyłu podwozia z przodu | Front Roll Rate</t>
  </si>
  <si>
    <t>Nm/Stopień</t>
  </si>
  <si>
    <t>Sztywność przechyłu podwozia z tyłu | Rear Roll Rate</t>
  </si>
  <si>
    <t>Gradient toczenia | Roll gradient</t>
  </si>
  <si>
    <t>Radian/g</t>
  </si>
  <si>
    <t>Przeniesienia obciążenia z przodu | Front Lateral Load Transfer</t>
  </si>
  <si>
    <t>Przeniesienia obciążenia z tyłu | Rear Lateral Load Transfer</t>
  </si>
  <si>
    <t>Obciążenie na przednią oś | Front Axle Load</t>
  </si>
  <si>
    <t>kg | N</t>
  </si>
  <si>
    <t>Obciążenie na tylną oś | Rear Axle Load</t>
  </si>
  <si>
    <t>Efektywne obciążenie poszczególnego koła | Effective Individual Wheel Load</t>
  </si>
  <si>
    <t>Przednie zewnętrzne koło | Front Outside Wheel</t>
  </si>
  <si>
    <t>Przednie wewnętrzne koło | Front Inside Wheel</t>
  </si>
  <si>
    <t>Tylne zewnętrzne koło | Rear Outside Wheel</t>
  </si>
  <si>
    <t xml:space="preserve">Tylne wewnętrzne koło | Rear Inside Wheel </t>
  </si>
  <si>
    <t>Zmiana obciążenia koła | Wheel Load Change</t>
  </si>
  <si>
    <t>Ustalamy maksymalny skok zawieszenia na przednią oraz tylną oś</t>
  </si>
  <si>
    <t>Dodatek na przedni zderzak | Front Bump Allowance</t>
  </si>
  <si>
    <t>Dodatek na tylny zderzak | Rear Bump Allowance</t>
  </si>
  <si>
    <t>N/m</t>
  </si>
  <si>
    <t>Częstotliwość jazdy z przodu | Front Ride Frequency</t>
  </si>
  <si>
    <t>Częstotliwość jazdy z tyłu | Rear Ride Frequency</t>
  </si>
  <si>
    <t>Cykle na minutę z przodu | Front Cycles Per Minute</t>
  </si>
  <si>
    <t>cpm</t>
  </si>
  <si>
    <t>Cykle na minutę z tyłu | Rear Cycles Per Minute</t>
  </si>
  <si>
    <t>Częstotliwość drgań własnych z przodu wyższa niż z tyłu</t>
  </si>
  <si>
    <t>Częstotliwość drgań własnych z tyłu wyższa niż z przodu</t>
  </si>
  <si>
    <t>Zwiększamy częstotliwość jazdy z tyłu | Increase the Rear Ride Frequency</t>
  </si>
  <si>
    <t>Nowe cykle na minutę z tyłu | New Rear Cycles Per Minute</t>
  </si>
  <si>
    <t>Stosunek dwóch częstotliwości własnych | Ratio of the two Natural Frequencies</t>
  </si>
  <si>
    <t>-------</t>
  </si>
  <si>
    <t>Nowa częstotliwość jazdy z tyłu | New Rear Ride Frequency</t>
  </si>
  <si>
    <t>… | Front Roll Rate</t>
  </si>
  <si>
    <t>… | Rear Roll Rate</t>
  </si>
  <si>
    <t xml:space="preserve">Wheel Centre Rates for Independent Suspension </t>
  </si>
  <si>
    <t>Sztywność pionowa opony | Tyre Vertical Stiffness</t>
  </si>
  <si>
    <t>… | Front Wheel Centre Rate</t>
  </si>
  <si>
    <t>… | Rear Wheel Centre Rate</t>
  </si>
  <si>
    <t>Wymagana sztywność sprężyny stabilizatora przedniego | Required Front Anti-Roll Bar Spring Rate</t>
  </si>
  <si>
    <t>Nm/radian</t>
  </si>
  <si>
    <t>Wymagana sztywność sprężyny stabilizatora tylnego | Required Rear Anti-Roll Bar Spring Rate</t>
  </si>
  <si>
    <t>… | Spring Track Width</t>
  </si>
  <si>
    <t>… | Front Vertical Axle Rate</t>
  </si>
  <si>
    <t>… | Rear Vertical Axle Rate</t>
  </si>
  <si>
    <t xml:space="preserve">Wariant 1 - </t>
  </si>
  <si>
    <t>Wariant 2 - Równanie należy zastosować, jeśli stabilizator jest zamontowany do tylnej osi belki.</t>
  </si>
  <si>
    <t>… | Roll Rate of the Anti-Roll Bar (combined roll rate of the springs and the roll bar)</t>
  </si>
  <si>
    <t>CHASSIS ROLL STIFFNESS</t>
  </si>
  <si>
    <t>FRONT Chassis roll stiffness [Nm/st]</t>
  </si>
  <si>
    <t>REAR Chassis roll stiffness [Nm/st]</t>
  </si>
  <si>
    <t>Track width [m]</t>
  </si>
  <si>
    <t>CHASSIS ROLL ANGLE - REAR [st]</t>
  </si>
  <si>
    <t>CHASSIS ROLL ANGLE - FRONT [st]</t>
  </si>
  <si>
    <t>TOTAL CHASSIS ROLL STIFFNESS [Nm/st]</t>
  </si>
  <si>
    <t>VERTICAL WHEEL DISPLACEMENT - FRONT [m]</t>
  </si>
  <si>
    <t>CHASSIS ROLL ANGLE - FRONT [rad]</t>
  </si>
  <si>
    <t>VERTICAL WHEEL DISPLACEMENT - REAR [m]</t>
  </si>
  <si>
    <t>CHASSIS ROLL ANGLE - REAR [rad]</t>
  </si>
  <si>
    <t>Camber change rate [st]</t>
  </si>
  <si>
    <t>SCRUB RADIUS | PROMIEŃ ZATACZANIA [m]</t>
  </si>
  <si>
    <t>CAMBER CHANGE RATE | CAMBER GAIN [st/mm]</t>
  </si>
  <si>
    <t>CASTER CHANGE RATE [st/mm]</t>
  </si>
  <si>
    <t>Element</t>
  </si>
  <si>
    <t>Mass</t>
  </si>
  <si>
    <t>Horiz. dist. front axle</t>
  </si>
  <si>
    <t>Horiz.  moment</t>
  </si>
  <si>
    <t>Vert. dist. ground</t>
  </si>
  <si>
    <t>Vert. moment</t>
  </si>
  <si>
    <t>(kg)</t>
  </si>
  <si>
    <t xml:space="preserve">(mm) </t>
  </si>
  <si>
    <t>(kgm)</t>
  </si>
  <si>
    <t>Car</t>
  </si>
  <si>
    <t>Steering gear</t>
  </si>
  <si>
    <r>
      <t xml:space="preserve">Total </t>
    </r>
    <r>
      <rPr>
        <sz val="10"/>
        <rFont val="Arial"/>
        <family val="2"/>
      </rPr>
      <t>car</t>
    </r>
  </si>
  <si>
    <t>Driver</t>
  </si>
  <si>
    <t>Weight of driver</t>
  </si>
  <si>
    <t>Horiz. moment</t>
  </si>
  <si>
    <t>(mm)</t>
  </si>
  <si>
    <t>Grand total</t>
  </si>
  <si>
    <t>Rear load</t>
  </si>
  <si>
    <t>Front load</t>
  </si>
  <si>
    <t>Ratio F/R</t>
  </si>
  <si>
    <t>Kąt pochylenia koła [st]</t>
  </si>
  <si>
    <t>ROLL CAMBER - REAR [/]</t>
  </si>
  <si>
    <t>FRONT VIEW SWING ARM - REAR [m]</t>
  </si>
  <si>
    <t>WHEEL CAMBER ANGLE - REAR</t>
  </si>
  <si>
    <t>WHEEL CAMBER ANGLE - FRONT</t>
  </si>
  <si>
    <t>ROLL CAMBER - FRONT [/]</t>
  </si>
  <si>
    <t>FRONT VIEW SWING ARM - FRONT [m]</t>
  </si>
  <si>
    <t>CAMBER CHANGE RATE | CAMBER GAIN - FRONT [st/mm]</t>
  </si>
  <si>
    <t>CAMBER CHANGE RATE | CAMBER GAIN - REAR [st/mm]</t>
  </si>
  <si>
    <t>Przekładnia kierownicza</t>
  </si>
  <si>
    <t>Stabilizator</t>
  </si>
  <si>
    <t>Kierownica</t>
  </si>
  <si>
    <t>Klatka bezpieczeństwa</t>
  </si>
  <si>
    <t>Steering wheel</t>
  </si>
  <si>
    <t>Anti-roll bar</t>
  </si>
  <si>
    <t>Roll cage</t>
  </si>
  <si>
    <t>Kolumna kierownicza</t>
  </si>
  <si>
    <t>Steering column</t>
  </si>
  <si>
    <t>Silnik</t>
  </si>
  <si>
    <t>Engine</t>
  </si>
  <si>
    <t>Ogniwo paliwowe</t>
  </si>
  <si>
    <t>Zbiornik wodoru</t>
  </si>
  <si>
    <t>Hydrogen cell</t>
  </si>
  <si>
    <t>ZAWIESZENIE PRZÓD</t>
  </si>
  <si>
    <t>ZAWIESZENIE TYŁ</t>
  </si>
  <si>
    <t>NAPĘD</t>
  </si>
  <si>
    <t>KONSTRUKCJA</t>
  </si>
  <si>
    <t>Laminat</t>
  </si>
  <si>
    <t>Laminate</t>
  </si>
  <si>
    <t>Hydrogen tank</t>
  </si>
  <si>
    <t>Auto</t>
  </si>
  <si>
    <t>Car centre of mass calculator</t>
  </si>
  <si>
    <t>ŚRODEK MASY AUTA</t>
  </si>
  <si>
    <t>ELEKTRONIKA</t>
  </si>
  <si>
    <t>WNĘTRZE</t>
  </si>
  <si>
    <t>Gaśnica</t>
  </si>
  <si>
    <t>Extinguisher</t>
  </si>
  <si>
    <t>Kanapa tylna</t>
  </si>
  <si>
    <t>Car seat couch</t>
  </si>
  <si>
    <t>Pompa ABS</t>
  </si>
  <si>
    <t>ABS pump</t>
  </si>
  <si>
    <t>Maska</t>
  </si>
  <si>
    <t>Kierowca</t>
  </si>
  <si>
    <t>Waga</t>
  </si>
  <si>
    <t>Falownik</t>
  </si>
  <si>
    <t>Inverter</t>
  </si>
  <si>
    <t>Pasażer PRZÓD</t>
  </si>
  <si>
    <t>Passenger FRONT</t>
  </si>
  <si>
    <t>Pasażer TYŁ PO LEWO</t>
  </si>
  <si>
    <t>Pasażer TYŁ PO PRAWO</t>
  </si>
  <si>
    <t>Passenger REAR LEFT</t>
  </si>
  <si>
    <t>Passenger REAR RIGHT</t>
  </si>
  <si>
    <t>Wahacz górny prawy</t>
  </si>
  <si>
    <t>Wahacz górny lewy</t>
  </si>
  <si>
    <t>Wahacz dolny prawy</t>
  </si>
  <si>
    <t>Wahacz dolny lewy</t>
  </si>
  <si>
    <t>Zwrotnica lewa</t>
  </si>
  <si>
    <t>Left kingpin</t>
  </si>
  <si>
    <t>Zwrotnica prawa</t>
  </si>
  <si>
    <t>Right kingpin</t>
  </si>
  <si>
    <t>Right lower wishbone</t>
  </si>
  <si>
    <t>Left lower wishbone</t>
  </si>
  <si>
    <t>Right upper wishbone</t>
  </si>
  <si>
    <t>Left upper wishbone</t>
  </si>
  <si>
    <t>Tarcza hamulcowa prawa</t>
  </si>
  <si>
    <t>Tarcza hamulcowa lewa</t>
  </si>
  <si>
    <t>Left brake disc</t>
  </si>
  <si>
    <t>Right brake disc</t>
  </si>
  <si>
    <t>Zacisk hamulca prawy</t>
  </si>
  <si>
    <t>Zacisk hamulca lewy</t>
  </si>
  <si>
    <t>Right brake caliper</t>
  </si>
  <si>
    <t>Left brake caliper</t>
  </si>
  <si>
    <t>Amortyzator prawy</t>
  </si>
  <si>
    <t>Amortyzator lewy</t>
  </si>
  <si>
    <t>Left damper</t>
  </si>
  <si>
    <t>Right damper</t>
  </si>
  <si>
    <t>Opona prawa</t>
  </si>
  <si>
    <t>Right tire</t>
  </si>
  <si>
    <t>Left tire</t>
  </si>
  <si>
    <t>Opona lewa</t>
  </si>
  <si>
    <t>Felga prawa</t>
  </si>
  <si>
    <t>Right rim</t>
  </si>
  <si>
    <t>Left rim</t>
  </si>
  <si>
    <t>Felga lewa</t>
  </si>
  <si>
    <t>Piasta prawa</t>
  </si>
  <si>
    <t>Right hub</t>
  </si>
  <si>
    <t>Piasta lewa</t>
  </si>
  <si>
    <t>Left hub</t>
  </si>
  <si>
    <t>Rocker plate prawy</t>
  </si>
  <si>
    <t>Rocker plate lewy</t>
  </si>
  <si>
    <t>Right rocker plate</t>
  </si>
  <si>
    <t>Left rocker plate</t>
  </si>
  <si>
    <t>Drzwi przód prawe</t>
  </si>
  <si>
    <t>Drzwi przód lewe</t>
  </si>
  <si>
    <t>Drzwi tył prawe</t>
  </si>
  <si>
    <t>Drzwi tył lewe</t>
  </si>
  <si>
    <t>Fotel przedni prawy</t>
  </si>
  <si>
    <t>Fotel przedni lewy</t>
  </si>
  <si>
    <t>Left car seat</t>
  </si>
  <si>
    <t>Right car seat</t>
  </si>
  <si>
    <t>Półoś prawa</t>
  </si>
  <si>
    <t>Right axle shaft</t>
  </si>
  <si>
    <t>Półoś lewa</t>
  </si>
  <si>
    <t>Left axle shaft</t>
  </si>
  <si>
    <t>WARIANT</t>
  </si>
  <si>
    <t>UKŁAD KIEROWNICZY</t>
  </si>
  <si>
    <t>Drążek kierowniczy prawy</t>
  </si>
  <si>
    <t>Right tie rod</t>
  </si>
  <si>
    <t>Left tie rod</t>
  </si>
  <si>
    <t>Drążek kierowniczy lewy</t>
  </si>
  <si>
    <t>Front left door</t>
  </si>
  <si>
    <t>Front right door</t>
  </si>
  <si>
    <t>Rear left door</t>
  </si>
  <si>
    <t>Rear right door</t>
  </si>
  <si>
    <t>Hood</t>
  </si>
  <si>
    <t>Weight of passenger REAR RIGHT</t>
  </si>
  <si>
    <t>Weight of passenger REAR LEFT</t>
  </si>
  <si>
    <t>Weight of passenger FRONT</t>
  </si>
  <si>
    <t>Panele słoneczne</t>
  </si>
  <si>
    <t>Solar panels</t>
  </si>
  <si>
    <t>Akumulator</t>
  </si>
  <si>
    <t>Battery</t>
  </si>
  <si>
    <r>
      <t xml:space="preserve">Total </t>
    </r>
    <r>
      <rPr>
        <sz val="10"/>
        <rFont val="Arial"/>
        <family val="2"/>
        <charset val="238"/>
      </rPr>
      <t>unsprung mass</t>
    </r>
  </si>
  <si>
    <t>Car centre of unsprung mass calculator</t>
  </si>
  <si>
    <t>ŚRODEK MASY NIERESOROWANEJ AUTA</t>
  </si>
  <si>
    <t>ŚRODEK MASY NIERESOROWANEJ</t>
  </si>
  <si>
    <t>ŚRODEK MASY RESOROWANEJ AUTA</t>
  </si>
  <si>
    <t>Car centre of sprung mass calculator</t>
  </si>
  <si>
    <t>Tylna - przednia oś</t>
  </si>
  <si>
    <t>Rear - Front axis</t>
  </si>
  <si>
    <t>ROLLING RESISTANCE - OPÓR TOCZENIA</t>
  </si>
  <si>
    <t>Fx [N]</t>
  </si>
  <si>
    <t>NAWIERZCHNIA OBLODOZONA</t>
  </si>
  <si>
    <t>δ A [rad]</t>
  </si>
  <si>
    <t>δ A [st]</t>
  </si>
  <si>
    <t>Kąt skrętu Ackermanna</t>
  </si>
  <si>
    <t>Gradient samosterowności EG                Self-steering gradient EG</t>
  </si>
  <si>
    <t>Kąt skrętu koła (uwzględniając poślizg)                                                   Steering angle                                                 δ [rad]</t>
  </si>
  <si>
    <t>Kąt skrętu koła (uwzględniając poślizg)                                                                              Steering angle                                                 δ [st]</t>
  </si>
  <si>
    <r>
      <t xml:space="preserve">Kąt pośligu samochodu                                      Side slip angle                                                                           </t>
    </r>
    <r>
      <rPr>
        <sz val="11"/>
        <color theme="1"/>
        <rFont val="Calibri"/>
        <family val="2"/>
        <charset val="238"/>
      </rPr>
      <t>β</t>
    </r>
    <r>
      <rPr>
        <sz val="9.35"/>
        <color theme="1"/>
        <rFont val="Calibri"/>
        <family val="2"/>
        <charset val="238"/>
      </rPr>
      <t xml:space="preserve"> [rad]</t>
    </r>
  </si>
  <si>
    <t>Kąt pośligu samochodu                                      Side slip angle                                                                           β [st]</t>
  </si>
  <si>
    <t>Sztywność boczna opony przedniej                   c α,v [N/rad]</t>
  </si>
  <si>
    <t>Sztywność boczna opony tylnej                       c α,h [N/rad]</t>
  </si>
  <si>
    <t>Siła boczna - koło przednie F v,y [N]</t>
  </si>
  <si>
    <t>Siła boczna - koło tylne F h,y [N]</t>
  </si>
  <si>
    <r>
      <t xml:space="preserve">Prędkość kątowa odchylania                                             Yaw rate                                                              </t>
    </r>
    <r>
      <rPr>
        <sz val="11"/>
        <color theme="1"/>
        <rFont val="Calibri"/>
        <family val="2"/>
        <charset val="238"/>
      </rPr>
      <t>ψ [1/s]</t>
    </r>
  </si>
  <si>
    <t>Prędkość krytyczna                                              Critical velocity                                                                               vkr [m/s]</t>
  </si>
  <si>
    <t>Gradient samosterowności EG                                        Self-steering gradient EG</t>
  </si>
  <si>
    <t>Dążymy do około [m]:</t>
  </si>
  <si>
    <t>Obecny stosunek [%]:</t>
  </si>
  <si>
    <t>Ciężar całkowity [N]</t>
  </si>
  <si>
    <t>Odległość PC od osi przedniej [m]</t>
  </si>
  <si>
    <t>!</t>
  </si>
  <si>
    <t>Maximum speed on corner</t>
  </si>
  <si>
    <t>Pochylenie nawierzchni | Banking Angle (od 2% do 4%)</t>
  </si>
  <si>
    <t>Tempo jazdy z przodu | Front Ride Rate</t>
  </si>
  <si>
    <t>Tempo jazdy z tyłu | Rear Ride Rate</t>
  </si>
  <si>
    <t>Nowe tempo jazdy z tyłu | New Rear Ride Rate</t>
  </si>
  <si>
    <t>Sztywność sprężyny przedniej stabilizatora | Front Anti-Roll Bar Spring Rate</t>
  </si>
  <si>
    <t>Sztywność sprężyny tylnej stabilizatora | Rear Anti-Roll Bar Spring Rate</t>
  </si>
  <si>
    <t>Nowy gradient toczenia | New Roll Gradient</t>
  </si>
  <si>
    <t>°/g</t>
  </si>
  <si>
    <t>`</t>
  </si>
  <si>
    <t>Nowe pionowe przemieszczenie koła z przdu | New Front Wheel Ride Displacement</t>
  </si>
  <si>
    <t>Nowe pionowe przemieszczenie koła z tyłu | New Rear Wheel Ride Displacement</t>
  </si>
  <si>
    <t>Sztywność pionowa opony | Tyre Vertical Rate</t>
  </si>
  <si>
    <t>Calculating Rates for An Axle Suspension (amortyzatory piórowe)</t>
  </si>
  <si>
    <t>Gradient toczenia | Roll Gradient</t>
  </si>
  <si>
    <t>radian/g</t>
  </si>
  <si>
    <t>Final Stage | Podsumowanie</t>
  </si>
  <si>
    <t>Współczynnik skrętu kątowego stabilizatora | Front Anti-Roll Bar Angular Twist Rate</t>
  </si>
  <si>
    <t>Współczynnik skrętu kątowego stabilizatora | Rear Anti-Roll Bar Angular Twist Rate</t>
  </si>
  <si>
    <t>Długość wspornika stabilizatora | Front Anti-Roll Bar Cantilever Length</t>
  </si>
  <si>
    <t>Długość wspornika stabilizatora | Rear Anti-Roll Bar Cantilever Length</t>
  </si>
  <si>
    <t>Dystans A oraz B dla stabilizatora (zawieszenia przedniego)</t>
  </si>
  <si>
    <t>A</t>
  </si>
  <si>
    <t>B</t>
  </si>
  <si>
    <t>Dystans A oraz B dla stabilizatora (zawieszenia tylnego)</t>
  </si>
  <si>
    <t>Skorygować geometrię na późniejszym etapie!</t>
  </si>
  <si>
    <t>Geometria Rockerplate'a (stabilizator)</t>
  </si>
  <si>
    <t>Przedniego</t>
  </si>
  <si>
    <t>R</t>
  </si>
  <si>
    <t>Tylnego</t>
  </si>
  <si>
    <t>Dystans A oraz B dla sprężyn (zawieszenia przedniego)</t>
  </si>
  <si>
    <t>Dystans A oraz B dla srpężyn (zawieszenia tylnego)</t>
  </si>
  <si>
    <t>Kąt pochylenia Pushroda</t>
  </si>
  <si>
    <t>°/radiany</t>
  </si>
  <si>
    <t>Geometria Rockerplate'a (sprężyny)</t>
  </si>
  <si>
    <t>Współczynnik montażu stabilizatora | Front Installation Ratio of the Anti-Roll Bar</t>
  </si>
  <si>
    <t>Współczynnik montażu stabilizatora | Rear Installation Ratio of the Anti-Roll Bar</t>
  </si>
  <si>
    <t>Stosunek instalacji przedniej sprężyny | Installation Ratio of Front Spring</t>
  </si>
  <si>
    <t>Stosunek instalacji tylnej sprężyny | Installation Ratio of Rear Spring</t>
  </si>
  <si>
    <t>… | Front Anti-Roll Bar Rate Contribution to Car Roll Rate</t>
  </si>
  <si>
    <t>… | Rear Anti-Roll Bar Rate Contribution to Car Roll Rate</t>
  </si>
  <si>
    <t>Sztywność sprężyn przednich | Front Spring Rate</t>
  </si>
  <si>
    <t>Sztywność sprężyn tylnych | Rear Spring Rate</t>
  </si>
  <si>
    <t>Sztywność stabilizatora przedniego | Front Anti Roll Bar Stiffness</t>
  </si>
  <si>
    <t>Sztywność stabilizatora tylnego | Rear Anti Roll Bar Stiffness</t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</si>
  <si>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przodu i napęd na tylne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</si>
  <si>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przodu i napęd na przednie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</si>
  <si>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tyłu i napęd na tylne koła</t>
    </r>
  </si>
  <si>
    <r>
      <rPr>
        <b/>
        <sz val="11"/>
        <color theme="1"/>
        <rFont val="Calibri"/>
        <family val="2"/>
        <charset val="238"/>
        <scheme val="minor"/>
      </rPr>
      <t>Założenia:</t>
    </r>
    <r>
      <rPr>
        <sz val="11"/>
        <color theme="1"/>
        <rFont val="Calibri"/>
        <family val="2"/>
        <charset val="238"/>
        <scheme val="minor"/>
      </rPr>
      <t xml:space="preserve"> silnik z tyłu i napęd na przednie koła</t>
    </r>
  </si>
  <si>
    <t>CAMBER THRUST [rad]</t>
  </si>
  <si>
    <t>Kąt pochylenia koła FRONT [st]</t>
  </si>
  <si>
    <t>Kąt pochylenia koła REAR [st]</t>
  </si>
  <si>
    <t>Camber thrust [N]</t>
  </si>
  <si>
    <t>CAMBER W CZASIE SKRĘTU - FRONT [st]</t>
  </si>
  <si>
    <t>CAMBER W CZASIE SKRĘTU - REAR [st]</t>
  </si>
  <si>
    <t>CAMBER W CZASIE SKRĘTU - FRONT [rad]</t>
  </si>
  <si>
    <t>CAMBER THRUST W CZASIE SKRĘTU - FRONT [N]</t>
  </si>
  <si>
    <t>CAMBER W CZASIE SKRĘTU - REAR [rad]</t>
  </si>
  <si>
    <t>JACKING</t>
  </si>
  <si>
    <t>ANALIZUJEMY PRZYPADEK JAK NA OBRAZKU POWYŻEJ (SKRĘT W PRAWO)</t>
  </si>
  <si>
    <t>PRZENIESIENIE OBCIĄŻENIA PODCZAS SKRĘTU / LOAD TRANSFER DURING CORNERING [N]</t>
  </si>
  <si>
    <t>OBCIĄŻENIE STATYCZNE / STATIC LOADS [N]</t>
  </si>
  <si>
    <t>[m]</t>
  </si>
  <si>
    <t>OŚ TYLNA / REAR AXLE</t>
  </si>
  <si>
    <t>OŚ PRZEDNIA / FRONT AXLE</t>
  </si>
  <si>
    <t>KOŁO ZEWNĘTRZNE PRZEDNIE (LEWE) / OUTER FRONT WHEEL (LEFT)</t>
  </si>
  <si>
    <t>KOŁO WEWNĘTRZNE PRZEDNIE (PRAWE) / INNER FRONT WHEEL (RIGHT)</t>
  </si>
  <si>
    <t>OBCIĄŻENIE NA KOŁACH PODCZAS SKRĘTU / WHEEL LOAD DURING CORNERING [N]</t>
  </si>
  <si>
    <t>KOŁO ZEWNĘTRZNE TYLNE (LEWE) / OUTER REAR WHEEL (LEFT)</t>
  </si>
  <si>
    <t>KOŁO WEWNĘTRZNE TYLNE (PRAWE) / INNER REAR WHEEL (RIGHT)</t>
  </si>
  <si>
    <t>KOŁO ZEWNĘTRZNE PRZEDNIE (LEWE)</t>
  </si>
  <si>
    <t>KOŁO WEWNTĘTRZNE PRZEDNIE (PRAWE)</t>
  </si>
  <si>
    <t>KOŁO WEWNTĘTRZNE TYLNE (PRAWE)</t>
  </si>
  <si>
    <t>KOŁO ZEWNĘTRZNE TYLNE (LEWE)</t>
  </si>
  <si>
    <t>WHEEL CENTRE RATE [N/m]</t>
  </si>
  <si>
    <t>[N/m]</t>
  </si>
  <si>
    <t>[N/mm]</t>
  </si>
  <si>
    <t>PODRYWANIE KOŁA / JACKING [mm]</t>
  </si>
  <si>
    <t>PRZEDNIE KOŁO WEWNĘTRZNE / FRONT INNER WHEEL</t>
  </si>
  <si>
    <t>TYLNE KOŁO WEWNĘTRZNE / REAR INNER 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</si>
</sst>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"/>
    <numFmt numFmtId="166" formatCode="0.0"/>
    <numFmt numFmtId="167" formatCode="0.0%"/>
    <numFmt numFmtId="168" formatCode="0.00000"/>
  </numFmts>
  <fonts count="1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9.35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.35"/>
      <color theme="1"/>
      <name val="Calibri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charset val="238"/>
      <scheme val="minor"/>
    </font>
    <font>
      <b/>
      <sz val="12"/>
      <name val="Arial"/>
      <family val="2"/>
      <charset val="238"/>
    </font>
    <font>
      <sz val="10"/>
      <name val="Arial"/>
      <family val="2"/>
      <charset val="238"/>
    </font>
    <font>
      <sz val="11"/>
      <color rgb="FFFF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0">
    <xf numFmtId="0" fontId="0" fillId="0" borderId="0" xfId="0"/>
    <xf numFmtId="0" fontId="0" fillId="0" borderId="0" xfId="0" applyAlignment="1"/>
    <xf numFmtId="0" fontId="0" fillId="2" borderId="1" xfId="0" applyFill="1" applyBorder="1"/>
    <xf numFmtId="0" fontId="0" fillId="3" borderId="1" xfId="0" applyFill="1" applyBorder="1"/>
    <xf numFmtId="2" fontId="0" fillId="0" borderId="0" xfId="0" applyNumberFormat="1"/>
    <xf numFmtId="0" fontId="0" fillId="0" borderId="0" xfId="0" applyBorder="1"/>
    <xf numFmtId="2" fontId="0" fillId="4" borderId="1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2" fontId="0" fillId="3" borderId="1" xfId="0" applyNumberFormat="1" applyFill="1" applyBorder="1"/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164" fontId="0" fillId="3" borderId="1" xfId="0" applyNumberForma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0" borderId="1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6" fontId="0" fillId="0" borderId="0" xfId="0" applyNumberFormat="1" applyFill="1" applyBorder="1"/>
    <xf numFmtId="164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/>
    <xf numFmtId="0" fontId="0" fillId="0" borderId="1" xfId="0" applyFill="1" applyBorder="1"/>
    <xf numFmtId="1" fontId="0" fillId="0" borderId="1" xfId="0" applyNumberForma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8" borderId="1" xfId="0" applyNumberForma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2" fontId="0" fillId="0" borderId="0" xfId="0" applyNumberFormat="1" applyFill="1" applyBorder="1" applyAlignment="1"/>
    <xf numFmtId="164" fontId="1" fillId="0" borderId="0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ont="1" applyFill="1" applyBorder="1" applyAlignment="1">
      <alignment horizontal="center"/>
    </xf>
    <xf numFmtId="164" fontId="0" fillId="4" borderId="1" xfId="0" applyNumberFormat="1" applyFont="1" applyFill="1" applyBorder="1" applyAlignment="1">
      <alignment horizontal="center"/>
    </xf>
    <xf numFmtId="0" fontId="0" fillId="0" borderId="0" xfId="0" applyFill="1" applyBorder="1" applyAlignment="1"/>
    <xf numFmtId="0" fontId="0" fillId="6" borderId="1" xfId="0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0" fillId="5" borderId="1" xfId="0" applyFill="1" applyBorder="1"/>
    <xf numFmtId="0" fontId="0" fillId="6" borderId="4" xfId="0" applyFill="1" applyBorder="1"/>
    <xf numFmtId="164" fontId="0" fillId="0" borderId="4" xfId="0" applyNumberFormat="1" applyBorder="1"/>
    <xf numFmtId="2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4" borderId="1" xfId="0" applyFill="1" applyBorder="1"/>
    <xf numFmtId="0" fontId="0" fillId="4" borderId="1" xfId="0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166" fontId="0" fillId="0" borderId="1" xfId="0" applyNumberFormat="1" applyBorder="1"/>
    <xf numFmtId="166" fontId="0" fillId="3" borderId="1" xfId="0" applyNumberFormat="1" applyFill="1" applyBorder="1"/>
    <xf numFmtId="166" fontId="0" fillId="0" borderId="1" xfId="0" applyNumberFormat="1" applyFill="1" applyBorder="1"/>
    <xf numFmtId="2" fontId="0" fillId="0" borderId="1" xfId="0" applyNumberFormat="1" applyBorder="1"/>
    <xf numFmtId="166" fontId="0" fillId="4" borderId="1" xfId="0" applyNumberFormat="1" applyFill="1" applyBorder="1"/>
    <xf numFmtId="2" fontId="0" fillId="11" borderId="1" xfId="0" applyNumberFormat="1" applyFill="1" applyBorder="1"/>
    <xf numFmtId="0" fontId="0" fillId="12" borderId="1" xfId="0" applyFill="1" applyBorder="1"/>
    <xf numFmtId="166" fontId="0" fillId="12" borderId="1" xfId="0" applyNumberFormat="1" applyFill="1" applyBorder="1"/>
    <xf numFmtId="2" fontId="0" fillId="0" borderId="1" xfId="0" applyNumberFormat="1" applyFill="1" applyBorder="1"/>
    <xf numFmtId="2" fontId="1" fillId="6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66" fontId="0" fillId="0" borderId="0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2" xfId="0" applyBorder="1" applyAlignment="1">
      <alignment wrapText="1"/>
    </xf>
    <xf numFmtId="0" fontId="9" fillId="0" borderId="12" xfId="0" applyFont="1" applyBorder="1" applyAlignment="1">
      <alignment wrapText="1"/>
    </xf>
    <xf numFmtId="0" fontId="0" fillId="0" borderId="15" xfId="0" applyBorder="1"/>
    <xf numFmtId="0" fontId="10" fillId="0" borderId="0" xfId="0" applyFont="1"/>
    <xf numFmtId="0" fontId="12" fillId="0" borderId="0" xfId="0" applyFont="1" applyAlignment="1">
      <alignment horizontal="left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horizontal="center"/>
    </xf>
    <xf numFmtId="0" fontId="0" fillId="0" borderId="16" xfId="0" applyBorder="1"/>
    <xf numFmtId="0" fontId="0" fillId="0" borderId="0" xfId="0" applyAlignment="1">
      <alignment horizontal="center"/>
    </xf>
    <xf numFmtId="0" fontId="10" fillId="0" borderId="12" xfId="0" applyFont="1" applyBorder="1"/>
    <xf numFmtId="0" fontId="10" fillId="0" borderId="12" xfId="0" applyFont="1" applyBorder="1" applyAlignment="1">
      <alignment wrapText="1"/>
    </xf>
    <xf numFmtId="0" fontId="0" fillId="0" borderId="0" xfId="0" applyBorder="1" applyAlignment="1">
      <alignment wrapText="1"/>
    </xf>
    <xf numFmtId="0" fontId="9" fillId="0" borderId="0" xfId="0" applyFont="1" applyBorder="1" applyAlignment="1">
      <alignment wrapText="1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/>
    <xf numFmtId="0" fontId="0" fillId="13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 applyBorder="1" applyAlignment="1">
      <alignment horizontal="center"/>
    </xf>
    <xf numFmtId="0" fontId="8" fillId="0" borderId="0" xfId="0" applyFont="1" applyAlignment="1">
      <alignment horizontal="center"/>
    </xf>
    <xf numFmtId="1" fontId="8" fillId="12" borderId="0" xfId="0" applyNumberFormat="1" applyFont="1" applyFill="1" applyAlignment="1">
      <alignment horizontal="center"/>
    </xf>
    <xf numFmtId="167" fontId="0" fillId="0" borderId="12" xfId="0" applyNumberFormat="1" applyBorder="1" applyAlignment="1">
      <alignment horizontal="center"/>
    </xf>
    <xf numFmtId="0" fontId="9" fillId="0" borderId="0" xfId="0" applyFont="1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7" fontId="8" fillId="0" borderId="5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1" fontId="8" fillId="1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/>
    <xf numFmtId="0" fontId="9" fillId="0" borderId="19" xfId="0" applyFont="1" applyBorder="1" applyAlignment="1">
      <alignment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0" fillId="0" borderId="21" xfId="0" applyBorder="1"/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0" fontId="0" fillId="0" borderId="24" xfId="0" applyBorder="1"/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5" borderId="22" xfId="0" applyFont="1" applyFill="1" applyBorder="1" applyAlignment="1">
      <alignment horizontal="center"/>
    </xf>
    <xf numFmtId="2" fontId="0" fillId="0" borderId="22" xfId="0" applyNumberFormat="1" applyFill="1" applyBorder="1" applyAlignment="1">
      <alignment horizontal="center"/>
    </xf>
    <xf numFmtId="2" fontId="0" fillId="0" borderId="23" xfId="0" applyNumberFormat="1" applyFill="1" applyBorder="1" applyAlignment="1">
      <alignment horizontal="center"/>
    </xf>
    <xf numFmtId="0" fontId="0" fillId="5" borderId="25" xfId="0" applyFont="1" applyFill="1" applyBorder="1" applyAlignment="1">
      <alignment horizontal="center"/>
    </xf>
    <xf numFmtId="2" fontId="0" fillId="0" borderId="25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27" xfId="0" applyBorder="1"/>
    <xf numFmtId="2" fontId="0" fillId="0" borderId="28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68" fontId="0" fillId="0" borderId="22" xfId="0" applyNumberFormat="1" applyFill="1" applyBorder="1" applyAlignment="1">
      <alignment horizontal="center"/>
    </xf>
    <xf numFmtId="168" fontId="0" fillId="0" borderId="23" xfId="0" applyNumberFormat="1" applyFill="1" applyBorder="1" applyAlignment="1">
      <alignment horizontal="center"/>
    </xf>
    <xf numFmtId="168" fontId="0" fillId="0" borderId="31" xfId="0" applyNumberForma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168" fontId="0" fillId="0" borderId="25" xfId="0" applyNumberFormat="1" applyFill="1" applyBorder="1" applyAlignment="1">
      <alignment horizontal="center"/>
    </xf>
    <xf numFmtId="168" fontId="0" fillId="0" borderId="26" xfId="0" applyNumberFormat="1" applyFill="1" applyBorder="1" applyAlignment="1">
      <alignment horizontal="center"/>
    </xf>
    <xf numFmtId="2" fontId="0" fillId="0" borderId="31" xfId="0" applyNumberFormat="1" applyFill="1" applyBorder="1" applyAlignment="1">
      <alignment horizontal="center"/>
    </xf>
    <xf numFmtId="2" fontId="0" fillId="0" borderId="36" xfId="0" applyNumberFormat="1" applyFill="1" applyBorder="1" applyAlignment="1">
      <alignment horizontal="center"/>
    </xf>
    <xf numFmtId="2" fontId="0" fillId="0" borderId="37" xfId="0" applyNumberForma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9" borderId="22" xfId="0" applyFont="1" applyFill="1" applyBorder="1" applyAlignment="1">
      <alignment horizontal="center"/>
    </xf>
    <xf numFmtId="0" fontId="0" fillId="9" borderId="25" xfId="0" applyFont="1" applyFill="1" applyBorder="1" applyAlignment="1">
      <alignment horizontal="center"/>
    </xf>
    <xf numFmtId="168" fontId="0" fillId="0" borderId="3" xfId="0" applyNumberFormat="1" applyFill="1" applyBorder="1" applyAlignment="1">
      <alignment horizontal="center"/>
    </xf>
    <xf numFmtId="168" fontId="0" fillId="0" borderId="28" xfId="0" applyNumberFormat="1" applyFill="1" applyBorder="1" applyAlignment="1">
      <alignment horizontal="center"/>
    </xf>
    <xf numFmtId="168" fontId="0" fillId="0" borderId="36" xfId="0" applyNumberFormat="1" applyFill="1" applyBorder="1" applyAlignment="1">
      <alignment horizontal="center"/>
    </xf>
    <xf numFmtId="168" fontId="0" fillId="0" borderId="37" xfId="0" applyNumberForma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25" xfId="0" applyFont="1" applyFill="1" applyBorder="1" applyAlignment="1">
      <alignment horizontal="center"/>
    </xf>
    <xf numFmtId="1" fontId="0" fillId="0" borderId="22" xfId="0" applyNumberFormat="1" applyFill="1" applyBorder="1" applyAlignment="1">
      <alignment horizontal="center"/>
    </xf>
    <xf numFmtId="1" fontId="0" fillId="0" borderId="2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31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1" fontId="0" fillId="0" borderId="26" xfId="0" applyNumberFormat="1" applyFill="1" applyBorder="1" applyAlignment="1">
      <alignment horizontal="center"/>
    </xf>
    <xf numFmtId="0" fontId="0" fillId="0" borderId="30" xfId="0" applyFill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0" fontId="0" fillId="0" borderId="32" xfId="0" applyFill="1" applyBorder="1" applyAlignment="1">
      <alignment horizontal="center"/>
    </xf>
    <xf numFmtId="166" fontId="0" fillId="0" borderId="25" xfId="0" applyNumberFormat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2" borderId="39" xfId="0" applyFont="1" applyFill="1" applyBorder="1" applyAlignment="1">
      <alignment horizontal="center"/>
    </xf>
    <xf numFmtId="1" fontId="0" fillId="6" borderId="39" xfId="0" applyNumberFormat="1" applyFill="1" applyBorder="1" applyAlignment="1">
      <alignment horizontal="center"/>
    </xf>
    <xf numFmtId="1" fontId="0" fillId="6" borderId="19" xfId="0" applyNumberFormat="1" applyFill="1" applyBorder="1" applyAlignment="1">
      <alignment horizontal="center"/>
    </xf>
    <xf numFmtId="164" fontId="0" fillId="0" borderId="22" xfId="0" applyNumberFormat="1" applyFill="1" applyBorder="1" applyAlignment="1">
      <alignment horizontal="center"/>
    </xf>
    <xf numFmtId="164" fontId="0" fillId="0" borderId="23" xfId="0" applyNumberFormat="1" applyFill="1" applyBorder="1" applyAlignment="1">
      <alignment horizontal="center"/>
    </xf>
    <xf numFmtId="164" fontId="0" fillId="0" borderId="31" xfId="0" applyNumberFormat="1" applyFill="1" applyBorder="1" applyAlignment="1">
      <alignment horizontal="center"/>
    </xf>
    <xf numFmtId="164" fontId="0" fillId="0" borderId="25" xfId="0" applyNumberFormat="1" applyFill="1" applyBorder="1" applyAlignment="1">
      <alignment horizontal="center"/>
    </xf>
    <xf numFmtId="164" fontId="0" fillId="0" borderId="26" xfId="0" applyNumberFormat="1" applyFill="1" applyBorder="1" applyAlignment="1">
      <alignment horizontal="center"/>
    </xf>
    <xf numFmtId="0" fontId="0" fillId="8" borderId="2" xfId="0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0" fontId="0" fillId="9" borderId="3" xfId="0" applyFont="1" applyFill="1" applyBorder="1" applyAlignment="1">
      <alignment horizontal="center"/>
    </xf>
    <xf numFmtId="1" fontId="0" fillId="6" borderId="22" xfId="0" applyNumberFormat="1" applyFill="1" applyBorder="1" applyAlignment="1">
      <alignment horizontal="center"/>
    </xf>
    <xf numFmtId="1" fontId="0" fillId="6" borderId="25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2" fontId="0" fillId="0" borderId="2" xfId="0" applyNumberFormat="1" applyFill="1" applyBorder="1" applyAlignment="1">
      <alignment horizontal="center"/>
    </xf>
    <xf numFmtId="2" fontId="0" fillId="0" borderId="43" xfId="0" applyNumberForma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0" fillId="0" borderId="0" xfId="0" applyFont="1" applyBorder="1"/>
    <xf numFmtId="0" fontId="8" fillId="0" borderId="0" xfId="0" applyFont="1" applyBorder="1" applyAlignment="1">
      <alignment wrapText="1"/>
    </xf>
    <xf numFmtId="16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8" fillId="0" borderId="0" xfId="0" applyNumberFormat="1" applyFont="1" applyFill="1" applyAlignment="1">
      <alignment horizontal="center"/>
    </xf>
    <xf numFmtId="0" fontId="10" fillId="0" borderId="0" xfId="0" applyFont="1" applyBorder="1" applyAlignment="1">
      <alignment wrapText="1"/>
    </xf>
    <xf numFmtId="0" fontId="9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67" fontId="0" fillId="0" borderId="0" xfId="0" applyNumberFormat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6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13" borderId="2" xfId="0" applyFont="1" applyFill="1" applyBorder="1" applyAlignment="1">
      <alignment vertical="center"/>
    </xf>
    <xf numFmtId="0" fontId="0" fillId="13" borderId="8" xfId="0" applyFont="1" applyFill="1" applyBorder="1" applyAlignment="1">
      <alignment vertical="center"/>
    </xf>
    <xf numFmtId="0" fontId="0" fillId="13" borderId="12" xfId="0" applyFont="1" applyFill="1" applyBorder="1" applyAlignment="1">
      <alignment vertical="center"/>
    </xf>
    <xf numFmtId="0" fontId="0" fillId="13" borderId="9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0" fontId="0" fillId="14" borderId="2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15" borderId="2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14" borderId="3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15" borderId="3" xfId="0" applyFont="1" applyFill="1" applyBorder="1" applyAlignment="1">
      <alignment horizontal="center" vertical="center"/>
    </xf>
    <xf numFmtId="0" fontId="0" fillId="13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/>
    <xf numFmtId="0" fontId="13" fillId="0" borderId="0" xfId="0" applyFont="1" applyAlignment="1">
      <alignment horizontal="center" vertical="center"/>
    </xf>
    <xf numFmtId="2" fontId="0" fillId="13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16" fillId="0" borderId="0" xfId="0" applyFont="1" applyBorder="1" applyAlignment="1">
      <alignment vertical="center"/>
    </xf>
    <xf numFmtId="0" fontId="0" fillId="15" borderId="1" xfId="0" applyFont="1" applyFill="1" applyBorder="1" applyAlignment="1">
      <alignment vertical="center"/>
    </xf>
    <xf numFmtId="0" fontId="3" fillId="15" borderId="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8" borderId="22" xfId="0" applyFont="1" applyFill="1" applyBorder="1" applyAlignment="1">
      <alignment horizontal="center" vertical="center"/>
    </xf>
    <xf numFmtId="0" fontId="0" fillId="18" borderId="23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center" vertical="center"/>
    </xf>
    <xf numFmtId="0" fontId="0" fillId="18" borderId="31" xfId="0" applyFont="1" applyFill="1" applyBorder="1" applyAlignment="1">
      <alignment horizontal="center" vertical="center"/>
    </xf>
    <xf numFmtId="0" fontId="0" fillId="18" borderId="25" xfId="0" applyFont="1" applyFill="1" applyBorder="1" applyAlignment="1">
      <alignment horizontal="center" vertical="center"/>
    </xf>
    <xf numFmtId="0" fontId="0" fillId="18" borderId="26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0" borderId="1" xfId="0" quotePrefix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4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2" fontId="0" fillId="2" borderId="40" xfId="0" applyNumberFormat="1" applyFill="1" applyBorder="1" applyAlignment="1">
      <alignment horizontal="center"/>
    </xf>
    <xf numFmtId="2" fontId="0" fillId="2" borderId="41" xfId="0" applyNumberFormat="1" applyFill="1" applyBorder="1" applyAlignment="1">
      <alignment horizontal="center"/>
    </xf>
    <xf numFmtId="0" fontId="0" fillId="0" borderId="34" xfId="0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33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2" fontId="0" fillId="7" borderId="6" xfId="0" applyNumberFormat="1" applyFill="1" applyBorder="1" applyAlignment="1">
      <alignment horizontal="center"/>
    </xf>
    <xf numFmtId="2" fontId="0" fillId="7" borderId="4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19" borderId="1" xfId="0" applyNumberForma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3" borderId="2" xfId="0" applyFont="1" applyFill="1" applyBorder="1" applyAlignment="1">
      <alignment horizontal="center" vertical="center"/>
    </xf>
    <xf numFmtId="0" fontId="0" fillId="13" borderId="3" xfId="0" applyFont="1" applyFill="1" applyBorder="1" applyAlignment="1">
      <alignment horizontal="center" vertical="center"/>
    </xf>
    <xf numFmtId="0" fontId="10" fillId="14" borderId="6" xfId="0" applyFont="1" applyFill="1" applyBorder="1" applyAlignment="1">
      <alignment horizontal="center" vertical="center"/>
    </xf>
    <xf numFmtId="0" fontId="10" fillId="14" borderId="7" xfId="0" applyFont="1" applyFill="1" applyBorder="1" applyAlignment="1">
      <alignment horizontal="center" vertical="center"/>
    </xf>
    <xf numFmtId="0" fontId="10" fillId="14" borderId="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4" borderId="7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3" borderId="6" xfId="0" applyFont="1" applyFill="1" applyBorder="1" applyAlignment="1">
      <alignment horizontal="center" vertical="center"/>
    </xf>
    <xf numFmtId="0" fontId="0" fillId="13" borderId="7" xfId="0" applyFont="1" applyFill="1" applyBorder="1" applyAlignment="1">
      <alignment horizontal="center" vertical="center"/>
    </xf>
    <xf numFmtId="0" fontId="0" fillId="13" borderId="4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3" borderId="12" xfId="0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13" borderId="10" xfId="0" applyFont="1" applyFill="1" applyBorder="1" applyAlignment="1">
      <alignment horizontal="center" vertical="center"/>
    </xf>
    <xf numFmtId="0" fontId="0" fillId="13" borderId="14" xfId="0" applyFont="1" applyFill="1" applyBorder="1" applyAlignment="1">
      <alignment horizontal="center" vertical="center"/>
    </xf>
    <xf numFmtId="0" fontId="0" fillId="13" borderId="11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0" fillId="17" borderId="1" xfId="0" applyFont="1" applyFill="1" applyBorder="1" applyAlignment="1">
      <alignment horizontal="center" vertical="center"/>
    </xf>
    <xf numFmtId="0" fontId="0" fillId="11" borderId="29" xfId="0" applyFont="1" applyFill="1" applyBorder="1" applyAlignment="1">
      <alignment horizontal="center" vertical="center"/>
    </xf>
    <xf numFmtId="0" fontId="0" fillId="11" borderId="22" xfId="0" applyFont="1" applyFill="1" applyBorder="1" applyAlignment="1">
      <alignment horizontal="center" vertical="center"/>
    </xf>
    <xf numFmtId="0" fontId="0" fillId="11" borderId="30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32" xfId="0" applyFont="1" applyFill="1" applyBorder="1" applyAlignment="1">
      <alignment horizontal="center" vertical="center"/>
    </xf>
    <xf numFmtId="0" fontId="0" fillId="11" borderId="25" xfId="0" applyFont="1" applyFill="1" applyBorder="1" applyAlignment="1">
      <alignment horizontal="center" vertical="center"/>
    </xf>
    <xf numFmtId="0" fontId="0" fillId="16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2" fontId="0" fillId="19" borderId="6" xfId="0" applyNumberFormat="1" applyFill="1" applyBorder="1" applyAlignment="1">
      <alignment horizontal="center"/>
    </xf>
    <xf numFmtId="2" fontId="0" fillId="19" borderId="7" xfId="0" applyNumberFormat="1" applyFill="1" applyBorder="1" applyAlignment="1">
      <alignment horizontal="center"/>
    </xf>
    <xf numFmtId="2" fontId="0" fillId="19" borderId="4" xfId="0" applyNumberForma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jpe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26" Type="http://schemas.openxmlformats.org/officeDocument/2006/relationships/image" Target="../media/image25.png"/><Relationship Id="rId3" Type="http://schemas.openxmlformats.org/officeDocument/2006/relationships/image" Target="../media/image3.png"/><Relationship Id="rId21" Type="http://schemas.openxmlformats.org/officeDocument/2006/relationships/image" Target="../media/image19.png"/><Relationship Id="rId7" Type="http://schemas.openxmlformats.org/officeDocument/2006/relationships/image" Target="../media/image6.png"/><Relationship Id="rId12" Type="http://schemas.openxmlformats.org/officeDocument/2006/relationships/image" Target="../media/image10.png"/><Relationship Id="rId17" Type="http://schemas.openxmlformats.org/officeDocument/2006/relationships/image" Target="../media/image15.png"/><Relationship Id="rId25" Type="http://schemas.openxmlformats.org/officeDocument/2006/relationships/image" Target="../media/image23.png"/><Relationship Id="rId2" Type="http://schemas.openxmlformats.org/officeDocument/2006/relationships/image" Target="../media/image2.pn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9.png"/><Relationship Id="rId24" Type="http://schemas.openxmlformats.org/officeDocument/2006/relationships/image" Target="../media/image22.png"/><Relationship Id="rId5" Type="http://schemas.openxmlformats.org/officeDocument/2006/relationships/image" Target="../media/image24.png"/><Relationship Id="rId15" Type="http://schemas.openxmlformats.org/officeDocument/2006/relationships/image" Target="../media/image13.png"/><Relationship Id="rId23" Type="http://schemas.openxmlformats.org/officeDocument/2006/relationships/image" Target="../media/image21.png"/><Relationship Id="rId10" Type="http://schemas.openxmlformats.org/officeDocument/2006/relationships/image" Target="../media/image8.png"/><Relationship Id="rId19" Type="http://schemas.openxmlformats.org/officeDocument/2006/relationships/image" Target="../media/image17.png"/><Relationship Id="rId4" Type="http://schemas.openxmlformats.org/officeDocument/2006/relationships/image" Target="../media/image4.png"/><Relationship Id="rId9" Type="http://schemas.openxmlformats.org/officeDocument/2006/relationships/image" Target="../media/image26.png"/><Relationship Id="rId14" Type="http://schemas.openxmlformats.org/officeDocument/2006/relationships/image" Target="../media/image12.png"/><Relationship Id="rId22" Type="http://schemas.openxmlformats.org/officeDocument/2006/relationships/image" Target="../media/image2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8.png"/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268942</xdr:colOff>
      <xdr:row>4</xdr:row>
      <xdr:rowOff>34962</xdr:rowOff>
    </xdr:from>
    <xdr:to>
      <xdr:col>17</xdr:col>
      <xdr:colOff>272080</xdr:colOff>
      <xdr:row>12</xdr:row>
      <xdr:rowOff>172587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6882" y="766482"/>
          <a:ext cx="5758479" cy="1600665"/>
        </a:xfrm>
        <a:prstGeom prst="rect">
          <a:avLst/>
        </a:prstGeom>
      </xdr:spPr>
    </xdr:pic>
    <xdr:clientData/>
  </xdr:twoCellAnchor>
  <xdr:twoCellAnchor editAs="oneCell">
    <xdr:from>
      <xdr:col>9</xdr:col>
      <xdr:colOff>130513</xdr:colOff>
      <xdr:row>18</xdr:row>
      <xdr:rowOff>118621</xdr:rowOff>
    </xdr:from>
    <xdr:to>
      <xdr:col>16</xdr:col>
      <xdr:colOff>366480</xdr:colOff>
      <xdr:row>35</xdr:row>
      <xdr:rowOff>119466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28453" y="3410461"/>
          <a:ext cx="5381708" cy="3109805"/>
        </a:xfrm>
        <a:prstGeom prst="rect">
          <a:avLst/>
        </a:prstGeom>
      </xdr:spPr>
    </xdr:pic>
    <xdr:clientData/>
  </xdr:twoCellAnchor>
  <xdr:twoCellAnchor editAs="oneCell">
    <xdr:from>
      <xdr:col>9</xdr:col>
      <xdr:colOff>224020</xdr:colOff>
      <xdr:row>13</xdr:row>
      <xdr:rowOff>56399</xdr:rowOff>
    </xdr:from>
    <xdr:to>
      <xdr:col>15</xdr:col>
      <xdr:colOff>154094</xdr:colOff>
      <xdr:row>18</xdr:row>
      <xdr:rowOff>64020</xdr:rowOff>
    </xdr:to>
    <xdr:pic>
      <xdr:nvPicPr>
        <xdr:cNvPr id="4" name="Obraz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21960" y="2433839"/>
          <a:ext cx="4466215" cy="92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182496</xdr:colOff>
      <xdr:row>308</xdr:row>
      <xdr:rowOff>89647</xdr:rowOff>
    </xdr:from>
    <xdr:to>
      <xdr:col>12</xdr:col>
      <xdr:colOff>512396</xdr:colOff>
      <xdr:row>333</xdr:row>
      <xdr:rowOff>112507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316" y="56744347"/>
          <a:ext cx="11843272" cy="4594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412375</xdr:colOff>
      <xdr:row>1254</xdr:row>
      <xdr:rowOff>62755</xdr:rowOff>
    </xdr:from>
    <xdr:to>
      <xdr:col>27</xdr:col>
      <xdr:colOff>51298</xdr:colOff>
      <xdr:row>1279</xdr:row>
      <xdr:rowOff>95442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491881" y="153717814"/>
          <a:ext cx="13686617" cy="4515040"/>
        </a:xfrm>
        <a:prstGeom prst="rect">
          <a:avLst/>
        </a:prstGeom>
      </xdr:spPr>
    </xdr:pic>
    <xdr:clientData/>
  </xdr:twoCellAnchor>
  <xdr:twoCellAnchor editAs="oneCell">
    <xdr:from>
      <xdr:col>7</xdr:col>
      <xdr:colOff>663390</xdr:colOff>
      <xdr:row>1285</xdr:row>
      <xdr:rowOff>161366</xdr:rowOff>
    </xdr:from>
    <xdr:to>
      <xdr:col>29</xdr:col>
      <xdr:colOff>299017</xdr:colOff>
      <xdr:row>1313</xdr:row>
      <xdr:rowOff>83986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742896" y="159374542"/>
          <a:ext cx="14902521" cy="4942856"/>
        </a:xfrm>
        <a:prstGeom prst="rect">
          <a:avLst/>
        </a:prstGeom>
      </xdr:spPr>
    </xdr:pic>
    <xdr:clientData/>
  </xdr:twoCellAnchor>
  <xdr:twoCellAnchor editAs="oneCell">
    <xdr:from>
      <xdr:col>7</xdr:col>
      <xdr:colOff>259976</xdr:colOff>
      <xdr:row>336</xdr:row>
      <xdr:rowOff>112707</xdr:rowOff>
    </xdr:from>
    <xdr:to>
      <xdr:col>14</xdr:col>
      <xdr:colOff>16584</xdr:colOff>
      <xdr:row>346</xdr:row>
      <xdr:rowOff>15388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284336" y="61888047"/>
          <a:ext cx="5879502" cy="1731481"/>
        </a:xfrm>
        <a:prstGeom prst="rect">
          <a:avLst/>
        </a:prstGeom>
      </xdr:spPr>
    </xdr:pic>
    <xdr:clientData/>
  </xdr:twoCellAnchor>
  <xdr:twoCellAnchor editAs="oneCell">
    <xdr:from>
      <xdr:col>7</xdr:col>
      <xdr:colOff>591671</xdr:colOff>
      <xdr:row>534</xdr:row>
      <xdr:rowOff>170330</xdr:rowOff>
    </xdr:from>
    <xdr:to>
      <xdr:col>11</xdr:col>
      <xdr:colOff>142987</xdr:colOff>
      <xdr:row>540</xdr:row>
      <xdr:rowOff>163309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16031" y="98155910"/>
          <a:ext cx="3845410" cy="1090259"/>
        </a:xfrm>
        <a:prstGeom prst="rect">
          <a:avLst/>
        </a:prstGeom>
      </xdr:spPr>
    </xdr:pic>
    <xdr:clientData/>
  </xdr:twoCellAnchor>
  <xdr:twoCellAnchor editAs="oneCell">
    <xdr:from>
      <xdr:col>6</xdr:col>
      <xdr:colOff>475129</xdr:colOff>
      <xdr:row>659</xdr:row>
      <xdr:rowOff>26895</xdr:rowOff>
    </xdr:from>
    <xdr:to>
      <xdr:col>11</xdr:col>
      <xdr:colOff>153960</xdr:colOff>
      <xdr:row>664</xdr:row>
      <xdr:rowOff>44711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158369" y="120872475"/>
          <a:ext cx="5443585" cy="932216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1165412</xdr:colOff>
      <xdr:row>513</xdr:row>
      <xdr:rowOff>53789</xdr:rowOff>
    </xdr:from>
    <xdr:to>
      <xdr:col>18</xdr:col>
      <xdr:colOff>192353</xdr:colOff>
      <xdr:row>517</xdr:row>
      <xdr:rowOff>69946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189772" y="94198889"/>
          <a:ext cx="7588235" cy="747677"/>
        </a:xfrm>
        <a:prstGeom prst="rect">
          <a:avLst/>
        </a:prstGeom>
      </xdr:spPr>
    </xdr:pic>
    <xdr:clientData/>
  </xdr:twoCellAnchor>
  <xdr:twoCellAnchor editAs="oneCell">
    <xdr:from>
      <xdr:col>7</xdr:col>
      <xdr:colOff>1237128</xdr:colOff>
      <xdr:row>518</xdr:row>
      <xdr:rowOff>1</xdr:rowOff>
    </xdr:from>
    <xdr:to>
      <xdr:col>15</xdr:col>
      <xdr:colOff>407155</xdr:colOff>
      <xdr:row>524</xdr:row>
      <xdr:rowOff>152807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3261488" y="95059501"/>
          <a:ext cx="5902521" cy="1250086"/>
        </a:xfrm>
        <a:prstGeom prst="rect">
          <a:avLst/>
        </a:prstGeom>
      </xdr:spPr>
    </xdr:pic>
    <xdr:clientData/>
  </xdr:twoCellAnchor>
  <xdr:twoCellAnchor editAs="oneCell">
    <xdr:from>
      <xdr:col>5</xdr:col>
      <xdr:colOff>2017061</xdr:colOff>
      <xdr:row>631</xdr:row>
      <xdr:rowOff>129507</xdr:rowOff>
    </xdr:from>
    <xdr:to>
      <xdr:col>9</xdr:col>
      <xdr:colOff>605119</xdr:colOff>
      <xdr:row>647</xdr:row>
      <xdr:rowOff>164689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134167" y="113622683"/>
          <a:ext cx="4746811" cy="2903888"/>
        </a:xfrm>
        <a:prstGeom prst="rect">
          <a:avLst/>
        </a:prstGeom>
      </xdr:spPr>
    </xdr:pic>
    <xdr:clientData/>
  </xdr:twoCellAnchor>
  <xdr:twoCellAnchor editAs="oneCell">
    <xdr:from>
      <xdr:col>8</xdr:col>
      <xdr:colOff>8966</xdr:colOff>
      <xdr:row>588</xdr:row>
      <xdr:rowOff>71719</xdr:rowOff>
    </xdr:from>
    <xdr:to>
      <xdr:col>11</xdr:col>
      <xdr:colOff>105168</xdr:colOff>
      <xdr:row>591</xdr:row>
      <xdr:rowOff>171932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313486" y="107932819"/>
          <a:ext cx="3144202" cy="648853"/>
        </a:xfrm>
        <a:prstGeom prst="rect">
          <a:avLst/>
        </a:prstGeom>
      </xdr:spPr>
    </xdr:pic>
    <xdr:clientData/>
  </xdr:twoCellAnchor>
  <xdr:twoCellAnchor editAs="oneCell">
    <xdr:from>
      <xdr:col>6</xdr:col>
      <xdr:colOff>941295</xdr:colOff>
      <xdr:row>610</xdr:row>
      <xdr:rowOff>170329</xdr:rowOff>
    </xdr:from>
    <xdr:to>
      <xdr:col>11</xdr:col>
      <xdr:colOff>162983</xdr:colOff>
      <xdr:row>615</xdr:row>
      <xdr:rowOff>83382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624535" y="112054789"/>
          <a:ext cx="4986442" cy="827453"/>
        </a:xfrm>
        <a:prstGeom prst="rect">
          <a:avLst/>
        </a:prstGeom>
      </xdr:spPr>
    </xdr:pic>
    <xdr:clientData/>
  </xdr:twoCellAnchor>
  <xdr:twoCellAnchor editAs="oneCell">
    <xdr:from>
      <xdr:col>6</xdr:col>
      <xdr:colOff>484094</xdr:colOff>
      <xdr:row>133</xdr:row>
      <xdr:rowOff>89648</xdr:rowOff>
    </xdr:from>
    <xdr:to>
      <xdr:col>9</xdr:col>
      <xdr:colOff>859769</xdr:colOff>
      <xdr:row>151</xdr:row>
      <xdr:rowOff>137311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167334" y="24412688"/>
          <a:ext cx="4042688" cy="3339503"/>
        </a:xfrm>
        <a:prstGeom prst="rect">
          <a:avLst/>
        </a:prstGeom>
      </xdr:spPr>
    </xdr:pic>
    <xdr:clientData/>
  </xdr:twoCellAnchor>
  <xdr:twoCellAnchor editAs="oneCell">
    <xdr:from>
      <xdr:col>9</xdr:col>
      <xdr:colOff>376519</xdr:colOff>
      <xdr:row>221</xdr:row>
      <xdr:rowOff>32517</xdr:rowOff>
    </xdr:from>
    <xdr:to>
      <xdr:col>14</xdr:col>
      <xdr:colOff>427616</xdr:colOff>
      <xdr:row>244</xdr:row>
      <xdr:rowOff>32271</xdr:rowOff>
    </xdr:to>
    <xdr:pic>
      <xdr:nvPicPr>
        <xdr:cNvPr id="17" name="Obraz 16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4459" y="40631877"/>
          <a:ext cx="3977638" cy="42059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259975</xdr:colOff>
      <xdr:row>245</xdr:row>
      <xdr:rowOff>161360</xdr:rowOff>
    </xdr:from>
    <xdr:to>
      <xdr:col>17</xdr:col>
      <xdr:colOff>28435</xdr:colOff>
      <xdr:row>271</xdr:row>
      <xdr:rowOff>47060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4257915" y="45195560"/>
          <a:ext cx="5523801" cy="4640580"/>
        </a:xfrm>
        <a:prstGeom prst="rect">
          <a:avLst/>
        </a:prstGeom>
      </xdr:spPr>
    </xdr:pic>
    <xdr:clientData/>
  </xdr:twoCellAnchor>
  <xdr:twoCellAnchor editAs="oneCell">
    <xdr:from>
      <xdr:col>5</xdr:col>
      <xdr:colOff>188259</xdr:colOff>
      <xdr:row>262</xdr:row>
      <xdr:rowOff>44824</xdr:rowOff>
    </xdr:from>
    <xdr:to>
      <xdr:col>6</xdr:col>
      <xdr:colOff>420328</xdr:colOff>
      <xdr:row>265</xdr:row>
      <xdr:rowOff>172264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54079" y="48226084"/>
          <a:ext cx="2726947" cy="676080"/>
        </a:xfrm>
        <a:prstGeom prst="rect">
          <a:avLst/>
        </a:prstGeom>
      </xdr:spPr>
    </xdr:pic>
    <xdr:clientData/>
  </xdr:twoCellAnchor>
  <xdr:twoCellAnchor editAs="oneCell">
    <xdr:from>
      <xdr:col>4</xdr:col>
      <xdr:colOff>950257</xdr:colOff>
      <xdr:row>267</xdr:row>
      <xdr:rowOff>71719</xdr:rowOff>
    </xdr:from>
    <xdr:to>
      <xdr:col>7</xdr:col>
      <xdr:colOff>173255</xdr:colOff>
      <xdr:row>275</xdr:row>
      <xdr:rowOff>117701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036857" y="49174999"/>
          <a:ext cx="4369636" cy="1509022"/>
        </a:xfrm>
        <a:prstGeom prst="rect">
          <a:avLst/>
        </a:prstGeom>
      </xdr:spPr>
    </xdr:pic>
    <xdr:clientData/>
  </xdr:twoCellAnchor>
  <xdr:twoCellAnchor editAs="oneCell">
    <xdr:from>
      <xdr:col>4</xdr:col>
      <xdr:colOff>887506</xdr:colOff>
      <xdr:row>246</xdr:row>
      <xdr:rowOff>44823</xdr:rowOff>
    </xdr:from>
    <xdr:to>
      <xdr:col>6</xdr:col>
      <xdr:colOff>1285477</xdr:colOff>
      <xdr:row>249</xdr:row>
      <xdr:rowOff>172263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974106" y="45261903"/>
          <a:ext cx="4074397" cy="676080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439270</xdr:colOff>
      <xdr:row>267</xdr:row>
      <xdr:rowOff>179296</xdr:rowOff>
    </xdr:from>
    <xdr:to>
      <xdr:col>5</xdr:col>
      <xdr:colOff>872627</xdr:colOff>
      <xdr:row>302</xdr:row>
      <xdr:rowOff>125845</xdr:rowOff>
    </xdr:to>
    <xdr:pic>
      <xdr:nvPicPr>
        <xdr:cNvPr id="22" name="Obraz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039035" y="48364590"/>
          <a:ext cx="6950698" cy="6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1201270</xdr:colOff>
      <xdr:row>276</xdr:row>
      <xdr:rowOff>80683</xdr:rowOff>
    </xdr:from>
    <xdr:to>
      <xdr:col>6</xdr:col>
      <xdr:colOff>182037</xdr:colOff>
      <xdr:row>279</xdr:row>
      <xdr:rowOff>123213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287870" y="50867983"/>
          <a:ext cx="2679605" cy="591170"/>
        </a:xfrm>
        <a:prstGeom prst="rect">
          <a:avLst/>
        </a:prstGeom>
      </xdr:spPr>
    </xdr:pic>
    <xdr:clientData/>
  </xdr:twoCellAnchor>
  <xdr:twoCellAnchor editAs="oneCell">
    <xdr:from>
      <xdr:col>5</xdr:col>
      <xdr:colOff>286870</xdr:colOff>
      <xdr:row>279</xdr:row>
      <xdr:rowOff>182345</xdr:rowOff>
    </xdr:from>
    <xdr:to>
      <xdr:col>5</xdr:col>
      <xdr:colOff>1593027</xdr:colOff>
      <xdr:row>284</xdr:row>
      <xdr:rowOff>26444</xdr:rowOff>
    </xdr:to>
    <xdr:pic>
      <xdr:nvPicPr>
        <xdr:cNvPr id="24" name="Obraz 23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52690" y="51518285"/>
          <a:ext cx="1308847" cy="7584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107576</xdr:colOff>
      <xdr:row>345</xdr:row>
      <xdr:rowOff>98610</xdr:rowOff>
    </xdr:from>
    <xdr:to>
      <xdr:col>22</xdr:col>
      <xdr:colOff>437796</xdr:colOff>
      <xdr:row>367</xdr:row>
      <xdr:rowOff>161364</xdr:rowOff>
    </xdr:to>
    <xdr:pic>
      <xdr:nvPicPr>
        <xdr:cNvPr id="25" name="Obraz 24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7082" y="62313669"/>
          <a:ext cx="11329914" cy="40072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197224</xdr:colOff>
      <xdr:row>28</xdr:row>
      <xdr:rowOff>98612</xdr:rowOff>
    </xdr:from>
    <xdr:to>
      <xdr:col>5</xdr:col>
      <xdr:colOff>1152636</xdr:colOff>
      <xdr:row>31</xdr:row>
      <xdr:rowOff>141681</xdr:rowOff>
    </xdr:to>
    <xdr:pic>
      <xdr:nvPicPr>
        <xdr:cNvPr id="26" name="Obraz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669742" y="5118847"/>
          <a:ext cx="3600000" cy="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555812</xdr:colOff>
      <xdr:row>1344</xdr:row>
      <xdr:rowOff>125506</xdr:rowOff>
    </xdr:from>
    <xdr:to>
      <xdr:col>6</xdr:col>
      <xdr:colOff>1152369</xdr:colOff>
      <xdr:row>1361</xdr:row>
      <xdr:rowOff>10839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028330" y="169917035"/>
          <a:ext cx="5733333" cy="29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591671</xdr:colOff>
      <xdr:row>1355</xdr:row>
      <xdr:rowOff>26895</xdr:rowOff>
    </xdr:from>
    <xdr:to>
      <xdr:col>2</xdr:col>
      <xdr:colOff>1559858</xdr:colOff>
      <xdr:row>1381</xdr:row>
      <xdr:rowOff>104776</xdr:rowOff>
    </xdr:to>
    <xdr:pic>
      <xdr:nvPicPr>
        <xdr:cNvPr id="28" name="Obraz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591671" y="171790660"/>
          <a:ext cx="5791199" cy="4739528"/>
        </a:xfrm>
        <a:prstGeom prst="rect">
          <a:avLst/>
        </a:prstGeom>
      </xdr:spPr>
    </xdr:pic>
    <xdr:clientData/>
  </xdr:twoCellAnchor>
  <xdr:twoCellAnchor editAs="oneCell">
    <xdr:from>
      <xdr:col>6</xdr:col>
      <xdr:colOff>179295</xdr:colOff>
      <xdr:row>849</xdr:row>
      <xdr:rowOff>125507</xdr:rowOff>
    </xdr:from>
    <xdr:to>
      <xdr:col>10</xdr:col>
      <xdr:colOff>237565</xdr:colOff>
      <xdr:row>865</xdr:row>
      <xdr:rowOff>160689</xdr:rowOff>
    </xdr:to>
    <xdr:pic>
      <xdr:nvPicPr>
        <xdr:cNvPr id="29" name="Obraz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88589" y="152704801"/>
          <a:ext cx="4746811" cy="2903888"/>
        </a:xfrm>
        <a:prstGeom prst="rect">
          <a:avLst/>
        </a:prstGeom>
      </xdr:spPr>
    </xdr:pic>
    <xdr:clientData/>
  </xdr:twoCellAnchor>
  <xdr:twoCellAnchor editAs="oneCell">
    <xdr:from>
      <xdr:col>3</xdr:col>
      <xdr:colOff>331694</xdr:colOff>
      <xdr:row>1005</xdr:row>
      <xdr:rowOff>26895</xdr:rowOff>
    </xdr:from>
    <xdr:to>
      <xdr:col>9</xdr:col>
      <xdr:colOff>242047</xdr:colOff>
      <xdr:row>1021</xdr:row>
      <xdr:rowOff>100805</xdr:rowOff>
    </xdr:to>
    <xdr:pic>
      <xdr:nvPicPr>
        <xdr:cNvPr id="30" name="Obraz 29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804212" y="180576071"/>
          <a:ext cx="8713694" cy="2942616"/>
        </a:xfrm>
        <a:prstGeom prst="rect">
          <a:avLst/>
        </a:prstGeom>
      </xdr:spPr>
    </xdr:pic>
    <xdr:clientData/>
  </xdr:twoCellAnchor>
  <xdr:twoCellAnchor editAs="oneCell">
    <xdr:from>
      <xdr:col>0</xdr:col>
      <xdr:colOff>1407460</xdr:colOff>
      <xdr:row>1005</xdr:row>
      <xdr:rowOff>8966</xdr:rowOff>
    </xdr:from>
    <xdr:to>
      <xdr:col>3</xdr:col>
      <xdr:colOff>322729</xdr:colOff>
      <xdr:row>1024</xdr:row>
      <xdr:rowOff>42038</xdr:rowOff>
    </xdr:to>
    <xdr:pic>
      <xdr:nvPicPr>
        <xdr:cNvPr id="31" name="Obraz 30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407460" y="180558142"/>
          <a:ext cx="5387787" cy="3439661"/>
        </a:xfrm>
        <a:prstGeom prst="rect">
          <a:avLst/>
        </a:prstGeom>
      </xdr:spPr>
    </xdr:pic>
    <xdr:clientData/>
  </xdr:twoCellAnchor>
  <xdr:twoCellAnchor editAs="oneCell">
    <xdr:from>
      <xdr:col>5</xdr:col>
      <xdr:colOff>986118</xdr:colOff>
      <xdr:row>1201</xdr:row>
      <xdr:rowOff>17931</xdr:rowOff>
    </xdr:from>
    <xdr:to>
      <xdr:col>10</xdr:col>
      <xdr:colOff>253008</xdr:colOff>
      <xdr:row>1204</xdr:row>
      <xdr:rowOff>156239</xdr:rowOff>
    </xdr:to>
    <xdr:pic>
      <xdr:nvPicPr>
        <xdr:cNvPr id="32" name="Obraz 31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0103224" y="215708755"/>
          <a:ext cx="6447619" cy="676190"/>
        </a:xfrm>
        <a:prstGeom prst="rect">
          <a:avLst/>
        </a:prstGeom>
      </xdr:spPr>
    </xdr:pic>
    <xdr:clientData/>
  </xdr:twoCellAnchor>
  <xdr:twoCellAnchor editAs="oneCell">
    <xdr:from>
      <xdr:col>4</xdr:col>
      <xdr:colOff>71717</xdr:colOff>
      <xdr:row>1204</xdr:row>
      <xdr:rowOff>152402</xdr:rowOff>
    </xdr:from>
    <xdr:to>
      <xdr:col>10</xdr:col>
      <xdr:colOff>421341</xdr:colOff>
      <xdr:row>1221</xdr:row>
      <xdr:rowOff>47018</xdr:rowOff>
    </xdr:to>
    <xdr:pic>
      <xdr:nvPicPr>
        <xdr:cNvPr id="33" name="Obraz 32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005482" y="216381108"/>
          <a:ext cx="8713694" cy="29426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60758</xdr:colOff>
      <xdr:row>2</xdr:row>
      <xdr:rowOff>179876</xdr:rowOff>
    </xdr:from>
    <xdr:to>
      <xdr:col>33</xdr:col>
      <xdr:colOff>562506</xdr:colOff>
      <xdr:row>20</xdr:row>
      <xdr:rowOff>5113</xdr:rowOff>
    </xdr:to>
    <xdr:pic>
      <xdr:nvPicPr>
        <xdr:cNvPr id="2" name="Pictur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49458" y="522776"/>
          <a:ext cx="6597748" cy="311707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657941</xdr:colOff>
      <xdr:row>48</xdr:row>
      <xdr:rowOff>15864</xdr:rowOff>
    </xdr:from>
    <xdr:to>
      <xdr:col>36</xdr:col>
      <xdr:colOff>545344</xdr:colOff>
      <xdr:row>75</xdr:row>
      <xdr:rowOff>127662</xdr:rowOff>
    </xdr:to>
    <xdr:pic>
      <xdr:nvPicPr>
        <xdr:cNvPr id="3" name="Picture 10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546641" y="8428344"/>
          <a:ext cx="7857923" cy="5049558"/>
        </a:xfrm>
        <a:prstGeom prst="rect">
          <a:avLst/>
        </a:prstGeom>
        <a:noFill/>
      </xdr:spPr>
    </xdr:pic>
    <xdr:clientData/>
  </xdr:twoCellAnchor>
  <xdr:twoCellAnchor editAs="oneCell">
    <xdr:from>
      <xdr:col>24</xdr:col>
      <xdr:colOff>70014</xdr:colOff>
      <xdr:row>78</xdr:row>
      <xdr:rowOff>52574</xdr:rowOff>
    </xdr:from>
    <xdr:to>
      <xdr:col>36</xdr:col>
      <xdr:colOff>527957</xdr:colOff>
      <xdr:row>103</xdr:row>
      <xdr:rowOff>94481</xdr:rowOff>
    </xdr:to>
    <xdr:pic>
      <xdr:nvPicPr>
        <xdr:cNvPr id="4" name="Picture 11" descr="macphereson-rc.jpg (750×500)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644514" y="13722854"/>
          <a:ext cx="7773143" cy="4613907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110497</xdr:colOff>
      <xdr:row>170</xdr:row>
      <xdr:rowOff>35994</xdr:rowOff>
    </xdr:from>
    <xdr:to>
      <xdr:col>33</xdr:col>
      <xdr:colOff>91449</xdr:colOff>
      <xdr:row>185</xdr:row>
      <xdr:rowOff>21772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9197" y="29845434"/>
          <a:ext cx="6076952" cy="27289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145458</xdr:colOff>
      <xdr:row>189</xdr:row>
      <xdr:rowOff>49627</xdr:rowOff>
    </xdr:from>
    <xdr:to>
      <xdr:col>33</xdr:col>
      <xdr:colOff>571238</xdr:colOff>
      <xdr:row>206</xdr:row>
      <xdr:rowOff>101047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034158" y="33204247"/>
          <a:ext cx="6521780" cy="3160380"/>
        </a:xfrm>
        <a:prstGeom prst="rect">
          <a:avLst/>
        </a:prstGeom>
        <a:noFill/>
      </xdr:spPr>
    </xdr:pic>
    <xdr:clientData/>
  </xdr:twoCellAnchor>
  <xdr:twoCellAnchor editAs="oneCell">
    <xdr:from>
      <xdr:col>23</xdr:col>
      <xdr:colOff>191739</xdr:colOff>
      <xdr:row>206</xdr:row>
      <xdr:rowOff>139782</xdr:rowOff>
    </xdr:from>
    <xdr:to>
      <xdr:col>33</xdr:col>
      <xdr:colOff>538843</xdr:colOff>
      <xdr:row>230</xdr:row>
      <xdr:rowOff>3121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4080439" y="36319542"/>
          <a:ext cx="6443104" cy="4248873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268942</xdr:colOff>
      <xdr:row>4</xdr:row>
      <xdr:rowOff>34962</xdr:rowOff>
    </xdr:from>
    <xdr:to>
      <xdr:col>15</xdr:col>
      <xdr:colOff>266701</xdr:colOff>
      <xdr:row>12</xdr:row>
      <xdr:rowOff>172587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04142" y="752138"/>
          <a:ext cx="5762065" cy="1571978"/>
        </a:xfrm>
        <a:prstGeom prst="rect">
          <a:avLst/>
        </a:prstGeom>
      </xdr:spPr>
    </xdr:pic>
    <xdr:clientData/>
  </xdr:twoCellAnchor>
  <xdr:twoCellAnchor editAs="oneCell">
    <xdr:from>
      <xdr:col>9</xdr:col>
      <xdr:colOff>130513</xdr:colOff>
      <xdr:row>18</xdr:row>
      <xdr:rowOff>118621</xdr:rowOff>
    </xdr:from>
    <xdr:to>
      <xdr:col>14</xdr:col>
      <xdr:colOff>361101</xdr:colOff>
      <xdr:row>35</xdr:row>
      <xdr:rowOff>119466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82254" y="3345915"/>
          <a:ext cx="5385294" cy="3048845"/>
        </a:xfrm>
        <a:prstGeom prst="rect">
          <a:avLst/>
        </a:prstGeom>
      </xdr:spPr>
    </xdr:pic>
    <xdr:clientData/>
  </xdr:twoCellAnchor>
  <xdr:twoCellAnchor editAs="oneCell">
    <xdr:from>
      <xdr:col>9</xdr:col>
      <xdr:colOff>224020</xdr:colOff>
      <xdr:row>13</xdr:row>
      <xdr:rowOff>56399</xdr:rowOff>
    </xdr:from>
    <xdr:to>
      <xdr:col>13</xdr:col>
      <xdr:colOff>1169795</xdr:colOff>
      <xdr:row>18</xdr:row>
      <xdr:rowOff>64020</xdr:rowOff>
    </xdr:to>
    <xdr:pic>
      <xdr:nvPicPr>
        <xdr:cNvPr id="6" name="Obraz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5761" y="2387223"/>
          <a:ext cx="4468905" cy="9040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182496</xdr:colOff>
      <xdr:row>308</xdr:row>
      <xdr:rowOff>89647</xdr:rowOff>
    </xdr:from>
    <xdr:to>
      <xdr:col>13</xdr:col>
      <xdr:colOff>306208</xdr:colOff>
      <xdr:row>333</xdr:row>
      <xdr:rowOff>112507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91625" y="36844941"/>
          <a:ext cx="11849548" cy="45052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457202</xdr:colOff>
      <xdr:row>337</xdr:row>
      <xdr:rowOff>62751</xdr:rowOff>
    </xdr:from>
    <xdr:to>
      <xdr:col>39</xdr:col>
      <xdr:colOff>401073</xdr:colOff>
      <xdr:row>366</xdr:row>
      <xdr:rowOff>17928</xdr:rowOff>
    </xdr:to>
    <xdr:pic>
      <xdr:nvPicPr>
        <xdr:cNvPr id="9" name="Obraz 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33343" y="60870351"/>
          <a:ext cx="14574271" cy="5154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385482</xdr:colOff>
      <xdr:row>851</xdr:row>
      <xdr:rowOff>44824</xdr:rowOff>
    </xdr:from>
    <xdr:to>
      <xdr:col>25</xdr:col>
      <xdr:colOff>241799</xdr:colOff>
      <xdr:row>876</xdr:row>
      <xdr:rowOff>77511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425082" y="134380942"/>
          <a:ext cx="13688858" cy="4515040"/>
        </a:xfrm>
        <a:prstGeom prst="rect">
          <a:avLst/>
        </a:prstGeom>
      </xdr:spPr>
    </xdr:pic>
    <xdr:clientData/>
  </xdr:twoCellAnchor>
  <xdr:twoCellAnchor editAs="oneCell">
    <xdr:from>
      <xdr:col>7</xdr:col>
      <xdr:colOff>519955</xdr:colOff>
      <xdr:row>887</xdr:row>
      <xdr:rowOff>143436</xdr:rowOff>
    </xdr:from>
    <xdr:to>
      <xdr:col>27</xdr:col>
      <xdr:colOff>372976</xdr:colOff>
      <xdr:row>915</xdr:row>
      <xdr:rowOff>66057</xdr:rowOff>
    </xdr:to>
    <xdr:pic>
      <xdr:nvPicPr>
        <xdr:cNvPr id="10" name="Obraz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559555" y="113098730"/>
          <a:ext cx="14904762" cy="49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259976</xdr:colOff>
      <xdr:row>336</xdr:row>
      <xdr:rowOff>112707</xdr:rowOff>
    </xdr:from>
    <xdr:to>
      <xdr:col>13</xdr:col>
      <xdr:colOff>645458</xdr:colOff>
      <xdr:row>346</xdr:row>
      <xdr:rowOff>15388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299576" y="41888236"/>
          <a:ext cx="5880847" cy="1695622"/>
        </a:xfrm>
        <a:prstGeom prst="rect">
          <a:avLst/>
        </a:prstGeom>
      </xdr:spPr>
    </xdr:pic>
    <xdr:clientData/>
  </xdr:twoCellAnchor>
  <xdr:twoCellAnchor editAs="oneCell">
    <xdr:from>
      <xdr:col>2</xdr:col>
      <xdr:colOff>600635</xdr:colOff>
      <xdr:row>949</xdr:row>
      <xdr:rowOff>152401</xdr:rowOff>
    </xdr:from>
    <xdr:to>
      <xdr:col>7</xdr:col>
      <xdr:colOff>1159299</xdr:colOff>
      <xdr:row>972</xdr:row>
      <xdr:rowOff>107578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226423" y="124223930"/>
          <a:ext cx="7972476" cy="4078941"/>
        </a:xfrm>
        <a:prstGeom prst="rect">
          <a:avLst/>
        </a:prstGeom>
      </xdr:spPr>
    </xdr:pic>
    <xdr:clientData/>
  </xdr:twoCellAnchor>
  <xdr:twoCellAnchor editAs="oneCell">
    <xdr:from>
      <xdr:col>7</xdr:col>
      <xdr:colOff>591671</xdr:colOff>
      <xdr:row>534</xdr:row>
      <xdr:rowOff>170330</xdr:rowOff>
    </xdr:from>
    <xdr:to>
      <xdr:col>12</xdr:col>
      <xdr:colOff>573741</xdr:colOff>
      <xdr:row>540</xdr:row>
      <xdr:rowOff>163309</xdr:rowOff>
    </xdr:to>
    <xdr:pic>
      <xdr:nvPicPr>
        <xdr:cNvPr id="11" name="Obraz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631271" y="77446095"/>
          <a:ext cx="3845858" cy="1068744"/>
        </a:xfrm>
        <a:prstGeom prst="rect">
          <a:avLst/>
        </a:prstGeom>
      </xdr:spPr>
    </xdr:pic>
    <xdr:clientData/>
  </xdr:twoCellAnchor>
  <xdr:twoCellAnchor editAs="oneCell">
    <xdr:from>
      <xdr:col>6</xdr:col>
      <xdr:colOff>475129</xdr:colOff>
      <xdr:row>659</xdr:row>
      <xdr:rowOff>26895</xdr:rowOff>
    </xdr:from>
    <xdr:to>
      <xdr:col>12</xdr:col>
      <xdr:colOff>714254</xdr:colOff>
      <xdr:row>664</xdr:row>
      <xdr:rowOff>44711</xdr:rowOff>
    </xdr:to>
    <xdr:pic>
      <xdr:nvPicPr>
        <xdr:cNvPr id="12" name="Obraz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170023" y="85908777"/>
          <a:ext cx="5447619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1165412</xdr:colOff>
      <xdr:row>513</xdr:row>
      <xdr:rowOff>53789</xdr:rowOff>
    </xdr:from>
    <xdr:to>
      <xdr:col>16</xdr:col>
      <xdr:colOff>409747</xdr:colOff>
      <xdr:row>517</xdr:row>
      <xdr:rowOff>69946</xdr:rowOff>
    </xdr:to>
    <xdr:pic>
      <xdr:nvPicPr>
        <xdr:cNvPr id="13" name="Obraz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205012" y="73564377"/>
          <a:ext cx="7590476" cy="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1237128</xdr:colOff>
      <xdr:row>518</xdr:row>
      <xdr:rowOff>1</xdr:rowOff>
    </xdr:from>
    <xdr:to>
      <xdr:col>14</xdr:col>
      <xdr:colOff>14949</xdr:colOff>
      <xdr:row>524</xdr:row>
      <xdr:rowOff>152807</xdr:rowOff>
    </xdr:to>
    <xdr:pic>
      <xdr:nvPicPr>
        <xdr:cNvPr id="14" name="Obraz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276728" y="74407060"/>
          <a:ext cx="5904762" cy="1228571"/>
        </a:xfrm>
        <a:prstGeom prst="rect">
          <a:avLst/>
        </a:prstGeom>
      </xdr:spPr>
    </xdr:pic>
    <xdr:clientData/>
  </xdr:twoCellAnchor>
  <xdr:twoCellAnchor editAs="oneCell">
    <xdr:from>
      <xdr:col>6</xdr:col>
      <xdr:colOff>1075765</xdr:colOff>
      <xdr:row>632</xdr:row>
      <xdr:rowOff>129505</xdr:rowOff>
    </xdr:from>
    <xdr:to>
      <xdr:col>12</xdr:col>
      <xdr:colOff>618564</xdr:colOff>
      <xdr:row>648</xdr:row>
      <xdr:rowOff>164688</xdr:rowOff>
    </xdr:to>
    <xdr:pic>
      <xdr:nvPicPr>
        <xdr:cNvPr id="15" name="Obraz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770659" y="94976093"/>
          <a:ext cx="4751293" cy="2903889"/>
        </a:xfrm>
        <a:prstGeom prst="rect">
          <a:avLst/>
        </a:prstGeom>
      </xdr:spPr>
    </xdr:pic>
    <xdr:clientData/>
  </xdr:twoCellAnchor>
  <xdr:twoCellAnchor editAs="oneCell">
    <xdr:from>
      <xdr:col>8</xdr:col>
      <xdr:colOff>8966</xdr:colOff>
      <xdr:row>588</xdr:row>
      <xdr:rowOff>71719</xdr:rowOff>
    </xdr:from>
    <xdr:to>
      <xdr:col>12</xdr:col>
      <xdr:colOff>569988</xdr:colOff>
      <xdr:row>591</xdr:row>
      <xdr:rowOff>171932</xdr:rowOff>
    </xdr:to>
    <xdr:pic>
      <xdr:nvPicPr>
        <xdr:cNvPr id="16" name="Obraz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330519" y="87029366"/>
          <a:ext cx="3142857" cy="638095"/>
        </a:xfrm>
        <a:prstGeom prst="rect">
          <a:avLst/>
        </a:prstGeom>
      </xdr:spPr>
    </xdr:pic>
    <xdr:clientData/>
  </xdr:twoCellAnchor>
  <xdr:twoCellAnchor editAs="oneCell">
    <xdr:from>
      <xdr:col>6</xdr:col>
      <xdr:colOff>941295</xdr:colOff>
      <xdr:row>610</xdr:row>
      <xdr:rowOff>170329</xdr:rowOff>
    </xdr:from>
    <xdr:to>
      <xdr:col>12</xdr:col>
      <xdr:colOff>723277</xdr:colOff>
      <xdr:row>615</xdr:row>
      <xdr:rowOff>83382</xdr:rowOff>
    </xdr:to>
    <xdr:pic>
      <xdr:nvPicPr>
        <xdr:cNvPr id="17" name="Obraz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1636189" y="91072447"/>
          <a:ext cx="4990476" cy="809524"/>
        </a:xfrm>
        <a:prstGeom prst="rect">
          <a:avLst/>
        </a:prstGeom>
      </xdr:spPr>
    </xdr:pic>
    <xdr:clientData/>
  </xdr:twoCellAnchor>
  <xdr:twoCellAnchor editAs="oneCell">
    <xdr:from>
      <xdr:col>6</xdr:col>
      <xdr:colOff>484094</xdr:colOff>
      <xdr:row>133</xdr:row>
      <xdr:rowOff>89648</xdr:rowOff>
    </xdr:from>
    <xdr:to>
      <xdr:col>10</xdr:col>
      <xdr:colOff>587242</xdr:colOff>
      <xdr:row>151</xdr:row>
      <xdr:rowOff>76351</xdr:rowOff>
    </xdr:to>
    <xdr:pic>
      <xdr:nvPicPr>
        <xdr:cNvPr id="18" name="Obraz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1178988" y="23935766"/>
          <a:ext cx="4047619" cy="3285714"/>
        </a:xfrm>
        <a:prstGeom prst="rect">
          <a:avLst/>
        </a:prstGeom>
      </xdr:spPr>
    </xdr:pic>
    <xdr:clientData/>
  </xdr:twoCellAnchor>
  <xdr:twoCellAnchor editAs="oneCell">
    <xdr:from>
      <xdr:col>9</xdr:col>
      <xdr:colOff>376519</xdr:colOff>
      <xdr:row>221</xdr:row>
      <xdr:rowOff>32517</xdr:rowOff>
    </xdr:from>
    <xdr:to>
      <xdr:col>13</xdr:col>
      <xdr:colOff>833717</xdr:colOff>
      <xdr:row>243</xdr:row>
      <xdr:rowOff>177051</xdr:rowOff>
    </xdr:to>
    <xdr:pic>
      <xdr:nvPicPr>
        <xdr:cNvPr id="22" name="Obraz 21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8354" y="39871670"/>
          <a:ext cx="3980328" cy="4133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259975</xdr:colOff>
      <xdr:row>245</xdr:row>
      <xdr:rowOff>161360</xdr:rowOff>
    </xdr:from>
    <xdr:to>
      <xdr:col>15</xdr:col>
      <xdr:colOff>23056</xdr:colOff>
      <xdr:row>270</xdr:row>
      <xdr:rowOff>161360</xdr:rowOff>
    </xdr:to>
    <xdr:pic>
      <xdr:nvPicPr>
        <xdr:cNvPr id="23" name="Obraz 22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4271810" y="44357360"/>
          <a:ext cx="5527387" cy="4563035"/>
        </a:xfrm>
        <a:prstGeom prst="rect">
          <a:avLst/>
        </a:prstGeom>
      </xdr:spPr>
    </xdr:pic>
    <xdr:clientData/>
  </xdr:twoCellAnchor>
  <xdr:twoCellAnchor editAs="oneCell">
    <xdr:from>
      <xdr:col>5</xdr:col>
      <xdr:colOff>188259</xdr:colOff>
      <xdr:row>262</xdr:row>
      <xdr:rowOff>44824</xdr:rowOff>
    </xdr:from>
    <xdr:to>
      <xdr:col>6</xdr:col>
      <xdr:colOff>697786</xdr:colOff>
      <xdr:row>265</xdr:row>
      <xdr:rowOff>164644</xdr:rowOff>
    </xdr:to>
    <xdr:pic>
      <xdr:nvPicPr>
        <xdr:cNvPr id="20" name="Obraz 1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68871" y="47333648"/>
          <a:ext cx="2723809" cy="6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950257</xdr:colOff>
      <xdr:row>267</xdr:row>
      <xdr:rowOff>71719</xdr:rowOff>
    </xdr:from>
    <xdr:to>
      <xdr:col>7</xdr:col>
      <xdr:colOff>382133</xdr:colOff>
      <xdr:row>275</xdr:row>
      <xdr:rowOff>87221</xdr:rowOff>
    </xdr:to>
    <xdr:pic>
      <xdr:nvPicPr>
        <xdr:cNvPr id="21" name="Obraz 2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050304" y="48265978"/>
          <a:ext cx="4371429" cy="1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887506</xdr:colOff>
      <xdr:row>246</xdr:row>
      <xdr:rowOff>44823</xdr:rowOff>
    </xdr:from>
    <xdr:to>
      <xdr:col>7</xdr:col>
      <xdr:colOff>24143</xdr:colOff>
      <xdr:row>249</xdr:row>
      <xdr:rowOff>164643</xdr:rowOff>
    </xdr:to>
    <xdr:pic>
      <xdr:nvPicPr>
        <xdr:cNvPr id="24" name="Obraz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987553" y="44420117"/>
          <a:ext cx="4076190" cy="6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600636</xdr:colOff>
      <xdr:row>284</xdr:row>
      <xdr:rowOff>143436</xdr:rowOff>
    </xdr:from>
    <xdr:to>
      <xdr:col>5</xdr:col>
      <xdr:colOff>1601011</xdr:colOff>
      <xdr:row>319</xdr:row>
      <xdr:rowOff>134809</xdr:rowOff>
    </xdr:to>
    <xdr:pic>
      <xdr:nvPicPr>
        <xdr:cNvPr id="19" name="Obraz 18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119718" y="51448448"/>
          <a:ext cx="6961905" cy="62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1201270</xdr:colOff>
      <xdr:row>276</xdr:row>
      <xdr:rowOff>80683</xdr:rowOff>
    </xdr:from>
    <xdr:to>
      <xdr:col>6</xdr:col>
      <xdr:colOff>284235</xdr:colOff>
      <xdr:row>279</xdr:row>
      <xdr:rowOff>123213</xdr:rowOff>
    </xdr:to>
    <xdr:pic>
      <xdr:nvPicPr>
        <xdr:cNvPr id="25" name="Obraz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301317" y="49933412"/>
          <a:ext cx="2677812" cy="580413"/>
        </a:xfrm>
        <a:prstGeom prst="rect">
          <a:avLst/>
        </a:prstGeom>
      </xdr:spPr>
    </xdr:pic>
    <xdr:clientData/>
  </xdr:twoCellAnchor>
  <xdr:twoCellAnchor editAs="oneCell">
    <xdr:from>
      <xdr:col>5</xdr:col>
      <xdr:colOff>286870</xdr:colOff>
      <xdr:row>279</xdr:row>
      <xdr:rowOff>182345</xdr:rowOff>
    </xdr:from>
    <xdr:to>
      <xdr:col>5</xdr:col>
      <xdr:colOff>1595717</xdr:colOff>
      <xdr:row>284</xdr:row>
      <xdr:rowOff>11204</xdr:rowOff>
    </xdr:to>
    <xdr:pic>
      <xdr:nvPicPr>
        <xdr:cNvPr id="26" name="Obraz 25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7482" y="50572957"/>
          <a:ext cx="1308847" cy="7432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286871</xdr:colOff>
      <xdr:row>28</xdr:row>
      <xdr:rowOff>71719</xdr:rowOff>
    </xdr:from>
    <xdr:to>
      <xdr:col>5</xdr:col>
      <xdr:colOff>1215388</xdr:colOff>
      <xdr:row>31</xdr:row>
      <xdr:rowOff>114788</xdr:rowOff>
    </xdr:to>
    <xdr:pic>
      <xdr:nvPicPr>
        <xdr:cNvPr id="27" name="Obraz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096000" y="5091954"/>
          <a:ext cx="3600000" cy="58095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  <xdr:twoCellAnchor editAs="oneCell">
    <xdr:from>
      <xdr:col>2</xdr:col>
      <xdr:colOff>1805939</xdr:colOff>
      <xdr:row>105</xdr:row>
      <xdr:rowOff>167640</xdr:rowOff>
    </xdr:from>
    <xdr:to>
      <xdr:col>8</xdr:col>
      <xdr:colOff>61588</xdr:colOff>
      <xdr:row>119</xdr:row>
      <xdr:rowOff>45720</xdr:rowOff>
    </xdr:to>
    <xdr:pic>
      <xdr:nvPicPr>
        <xdr:cNvPr id="5" name="Obraz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39639" y="19834860"/>
          <a:ext cx="6630029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91440</xdr:colOff>
      <xdr:row>9</xdr:row>
      <xdr:rowOff>20338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42560" cy="1742458"/>
        </a:xfrm>
        <a:prstGeom prst="rect">
          <a:avLst/>
        </a:prstGeom>
      </xdr:spPr>
    </xdr:pic>
    <xdr:clientData/>
  </xdr:twoCellAnchor>
  <xdr:twoCellAnchor editAs="oneCell">
    <xdr:from>
      <xdr:col>2</xdr:col>
      <xdr:colOff>1897379</xdr:colOff>
      <xdr:row>55</xdr:row>
      <xdr:rowOff>76200</xdr:rowOff>
    </xdr:from>
    <xdr:to>
      <xdr:col>8</xdr:col>
      <xdr:colOff>153028</xdr:colOff>
      <xdr:row>68</xdr:row>
      <xdr:rowOff>137160</xdr:rowOff>
    </xdr:to>
    <xdr:pic>
      <xdr:nvPicPr>
        <xdr:cNvPr id="3" name="Obraz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31079" y="27348180"/>
          <a:ext cx="6630029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3"/>
  <sheetViews>
    <sheetView tabSelected="1" topLeftCell="A1189" zoomScale="85" zoomScaleNormal="85" workbookViewId="0">
      <selection activeCell="F1199" sqref="F1199"/>
    </sheetView>
  </sheetViews>
  <sheetFormatPr defaultRowHeight="14.4" x14ac:dyDescent="0.3"/>
  <cols>
    <col min="1" max="1" width="37.88671875" customWidth="1"/>
    <col min="2" max="2" width="32.44140625" customWidth="1"/>
    <col min="3" max="3" width="24" customWidth="1"/>
    <col min="4" max="4" width="21.33203125" customWidth="1"/>
    <col min="5" max="5" width="17.21875" customWidth="1"/>
    <col min="6" max="6" width="36.33203125" customWidth="1"/>
    <col min="7" max="7" width="21.44140625" customWidth="1"/>
    <col min="8" max="8" width="18.21875" customWidth="1"/>
    <col min="9" max="9" width="13.88671875" customWidth="1"/>
    <col min="10" max="10" width="14.88671875" customWidth="1"/>
    <col min="11" max="11" width="15.6640625" customWidth="1"/>
  </cols>
  <sheetData>
    <row r="1" spans="1:9" x14ac:dyDescent="0.3">
      <c r="B1" s="371" t="s">
        <v>0</v>
      </c>
      <c r="C1" s="371"/>
      <c r="D1" s="371"/>
      <c r="E1" s="371"/>
      <c r="F1" s="371"/>
      <c r="G1" s="371"/>
      <c r="H1" s="371"/>
    </row>
    <row r="3" spans="1:9" x14ac:dyDescent="0.3">
      <c r="B3" s="277" t="s">
        <v>1</v>
      </c>
      <c r="C3" s="277" t="s">
        <v>6</v>
      </c>
      <c r="D3" s="277" t="s">
        <v>7</v>
      </c>
      <c r="E3" s="277" t="s">
        <v>76</v>
      </c>
      <c r="F3" s="277" t="s">
        <v>8</v>
      </c>
      <c r="G3" s="277" t="s">
        <v>9</v>
      </c>
      <c r="H3" s="77" t="s">
        <v>77</v>
      </c>
      <c r="I3" s="2"/>
    </row>
    <row r="4" spans="1:9" x14ac:dyDescent="0.3">
      <c r="B4" s="282">
        <v>400</v>
      </c>
      <c r="C4" s="282">
        <v>2.6</v>
      </c>
      <c r="D4" s="282">
        <v>4.2</v>
      </c>
      <c r="E4" s="282">
        <v>1.5</v>
      </c>
      <c r="F4" s="282">
        <v>1.75</v>
      </c>
      <c r="G4" s="282">
        <v>7</v>
      </c>
      <c r="H4" s="282">
        <v>0.125</v>
      </c>
    </row>
    <row r="5" spans="1:9" x14ac:dyDescent="0.3">
      <c r="B5" s="284"/>
      <c r="C5" s="284"/>
      <c r="D5" s="284"/>
      <c r="E5" s="284"/>
      <c r="F5" s="284"/>
      <c r="G5" s="284"/>
      <c r="H5" s="284"/>
    </row>
    <row r="6" spans="1:9" x14ac:dyDescent="0.3">
      <c r="B6" s="5"/>
      <c r="C6" s="5"/>
      <c r="D6" s="5"/>
      <c r="E6" s="5"/>
      <c r="F6" s="5"/>
      <c r="G6" s="5"/>
    </row>
    <row r="7" spans="1:9" x14ac:dyDescent="0.3">
      <c r="B7" s="11" t="s">
        <v>86</v>
      </c>
      <c r="C7" s="4"/>
      <c r="G7" s="5"/>
    </row>
    <row r="8" spans="1:9" x14ac:dyDescent="0.3">
      <c r="A8" t="s">
        <v>39</v>
      </c>
      <c r="B8" s="277" t="s">
        <v>40</v>
      </c>
      <c r="C8" s="287">
        <f>G4</f>
        <v>7</v>
      </c>
      <c r="D8" s="14"/>
      <c r="E8" s="287">
        <v>7.5</v>
      </c>
      <c r="F8" s="287">
        <v>6.5</v>
      </c>
      <c r="G8" s="287">
        <v>6</v>
      </c>
      <c r="H8" s="287">
        <v>5.5</v>
      </c>
      <c r="I8" s="287">
        <v>5</v>
      </c>
    </row>
    <row r="9" spans="1:9" x14ac:dyDescent="0.3">
      <c r="A9" t="s">
        <v>15</v>
      </c>
      <c r="B9" s="277" t="s">
        <v>14</v>
      </c>
      <c r="C9" s="287">
        <f>C8*2</f>
        <v>14</v>
      </c>
      <c r="E9" s="287">
        <f>E8*2</f>
        <v>15</v>
      </c>
      <c r="F9" s="287">
        <f>F8*2</f>
        <v>13</v>
      </c>
      <c r="G9" s="287">
        <f>G8*2</f>
        <v>12</v>
      </c>
      <c r="H9" s="287">
        <f>H8*2</f>
        <v>11</v>
      </c>
      <c r="I9" s="287">
        <f>I8*2</f>
        <v>10</v>
      </c>
    </row>
    <row r="10" spans="1:9" x14ac:dyDescent="0.3">
      <c r="A10" t="s">
        <v>13</v>
      </c>
      <c r="B10" s="277" t="s">
        <v>42</v>
      </c>
      <c r="C10" s="282">
        <v>-0.01</v>
      </c>
      <c r="D10" s="1"/>
      <c r="E10" s="280">
        <f>C10</f>
        <v>-0.01</v>
      </c>
      <c r="F10" s="280">
        <f>C10</f>
        <v>-0.01</v>
      </c>
      <c r="G10" s="280">
        <f>C10</f>
        <v>-0.01</v>
      </c>
      <c r="H10" s="280">
        <f>C10</f>
        <v>-0.01</v>
      </c>
      <c r="I10" s="280">
        <f>C10</f>
        <v>-0.01</v>
      </c>
    </row>
    <row r="11" spans="1:9" x14ac:dyDescent="0.3">
      <c r="B11" s="277" t="s">
        <v>41</v>
      </c>
      <c r="C11" s="287">
        <f>C8-C10</f>
        <v>7.01</v>
      </c>
      <c r="E11" s="287">
        <f>E8-E10</f>
        <v>7.51</v>
      </c>
      <c r="F11" s="287">
        <f>F8-F10</f>
        <v>6.51</v>
      </c>
      <c r="G11" s="287">
        <f>G8-G10</f>
        <v>6.01</v>
      </c>
      <c r="H11" s="287">
        <f>H8-H10</f>
        <v>5.51</v>
      </c>
      <c r="I11" s="287">
        <f>I8-I10</f>
        <v>5.01</v>
      </c>
    </row>
    <row r="12" spans="1:9" x14ac:dyDescent="0.3">
      <c r="B12" s="277" t="s">
        <v>30</v>
      </c>
      <c r="C12" s="16">
        <f>C4/C11</f>
        <v>0.37089871611982883</v>
      </c>
      <c r="E12" s="16">
        <f>C4/E11</f>
        <v>0.34620505992010653</v>
      </c>
      <c r="F12" s="16">
        <f>C4/F11</f>
        <v>0.39938556067588327</v>
      </c>
      <c r="G12" s="16">
        <f>C4/G11</f>
        <v>0.43261231281198004</v>
      </c>
      <c r="H12" s="16">
        <f>C4/H11</f>
        <v>0.47186932849364793</v>
      </c>
      <c r="I12" s="16">
        <f>C4/I11</f>
        <v>0.51896207584830345</v>
      </c>
    </row>
    <row r="13" spans="1:9" x14ac:dyDescent="0.3">
      <c r="B13" s="277" t="s">
        <v>31</v>
      </c>
      <c r="C13" s="16">
        <f>ASIN(C12)</f>
        <v>0.3799765758374315</v>
      </c>
      <c r="E13" s="16">
        <f>ASIN(E12)</f>
        <v>0.35352297567995666</v>
      </c>
      <c r="F13" s="16">
        <f>ASIN(F12)</f>
        <v>0.41084653580111113</v>
      </c>
      <c r="G13" s="16">
        <f>ASIN(G12)</f>
        <v>0.44738825249292652</v>
      </c>
      <c r="H13" s="16">
        <f>ASIN(H12)</f>
        <v>0.49140979496789833</v>
      </c>
      <c r="I13" s="16">
        <f>ASIN(I12)</f>
        <v>0.54563626821858735</v>
      </c>
    </row>
    <row r="14" spans="1:9" x14ac:dyDescent="0.3">
      <c r="A14" t="s">
        <v>4</v>
      </c>
      <c r="B14" s="277" t="s">
        <v>32</v>
      </c>
      <c r="C14" s="34">
        <f>DEGREES(C13)</f>
        <v>21.771054109317479</v>
      </c>
      <c r="E14" s="34">
        <f>DEGREES(E13)</f>
        <v>20.25537446736756</v>
      </c>
      <c r="F14" s="34">
        <f>DEGREES(F13)</f>
        <v>23.539772528974147</v>
      </c>
      <c r="G14" s="34">
        <f>DEGREES(G13)</f>
        <v>25.63345867157792</v>
      </c>
      <c r="H14" s="34">
        <f>DEGREES(H13)</f>
        <v>28.155707263049695</v>
      </c>
      <c r="I14" s="34">
        <f>DEGREES(I13)</f>
        <v>31.262655318193229</v>
      </c>
    </row>
    <row r="15" spans="1:9" x14ac:dyDescent="0.3">
      <c r="B15" s="277" t="s">
        <v>37</v>
      </c>
      <c r="C15" s="16">
        <f>_xlfn.COT(C13)</f>
        <v>2.5038461538461534</v>
      </c>
      <c r="E15" s="16">
        <f>_xlfn.COT(E13)</f>
        <v>2.7098357993006874</v>
      </c>
      <c r="F15" s="16">
        <f>_xlfn.COT(F13)</f>
        <v>2.2954837316195853</v>
      </c>
      <c r="G15" s="16">
        <f>_xlfn.COT(G13)</f>
        <v>2.0840369620454426</v>
      </c>
      <c r="H15" s="16">
        <f>_xlfn.COT(H13)</f>
        <v>1.8684590049702556</v>
      </c>
      <c r="I15" s="16">
        <f>_xlfn.COT(I13)</f>
        <v>1.6471285755455451</v>
      </c>
    </row>
    <row r="16" spans="1:9" x14ac:dyDescent="0.3">
      <c r="B16" s="277" t="s">
        <v>36</v>
      </c>
      <c r="C16" s="16">
        <f>C15-((E4-(2*C10))/C4)</f>
        <v>1.9192307692307686</v>
      </c>
      <c r="E16" s="16">
        <f>E15-((E4-(2*E10))/C4)</f>
        <v>2.1252204146853027</v>
      </c>
      <c r="F16" s="16">
        <f>F15-((E4-(2*F10))/C4)</f>
        <v>1.7108683470042005</v>
      </c>
      <c r="G16" s="16">
        <f>G15-((E4-(2*G10))/C4)</f>
        <v>1.4994215774300579</v>
      </c>
      <c r="H16" s="16">
        <f>H15-((E4-(2*H10))/C4)</f>
        <v>1.2838436203548711</v>
      </c>
      <c r="I16" s="16">
        <f>I15-((E4-(2*I10))/C4)</f>
        <v>1.0625131909301606</v>
      </c>
    </row>
    <row r="17" spans="1:11" x14ac:dyDescent="0.3">
      <c r="B17" s="277" t="s">
        <v>34</v>
      </c>
      <c r="C17" s="16">
        <f>_xlfn.ACOT(C16)</f>
        <v>0.48033922243010885</v>
      </c>
      <c r="E17" s="16">
        <f>_xlfn.ACOT(E16)</f>
        <v>0.43980262433970019</v>
      </c>
      <c r="F17" s="16">
        <f>_xlfn.ACOT(F16)</f>
        <v>0.52894336233351025</v>
      </c>
      <c r="G17" s="16">
        <f>_xlfn.ACOT(G16)</f>
        <v>0.58818062724701992</v>
      </c>
      <c r="H17" s="16">
        <f>_xlfn.ACOT(H16)</f>
        <v>0.66174890546458431</v>
      </c>
      <c r="I17" s="16">
        <f>_xlfn.ACOT(I16)</f>
        <v>0.75509820741281997</v>
      </c>
    </row>
    <row r="18" spans="1:11" x14ac:dyDescent="0.3">
      <c r="A18" t="s">
        <v>33</v>
      </c>
      <c r="B18" s="277" t="s">
        <v>35</v>
      </c>
      <c r="C18" s="34">
        <f>DEGREES(C17)</f>
        <v>27.521410179840924</v>
      </c>
      <c r="E18" s="34">
        <f>DEGREES(E17)</f>
        <v>25.198834193442433</v>
      </c>
      <c r="F18" s="34">
        <f>DEGREES(F17)</f>
        <v>30.306222263169218</v>
      </c>
      <c r="G18" s="34">
        <f>DEGREES(G17)</f>
        <v>33.700267532611711</v>
      </c>
      <c r="H18" s="34">
        <f>DEGREES(H17)</f>
        <v>37.91541938052238</v>
      </c>
      <c r="I18" s="34">
        <f>DEGREES(I17)</f>
        <v>43.263940402648636</v>
      </c>
    </row>
    <row r="19" spans="1:11" x14ac:dyDescent="0.3">
      <c r="A19" t="s">
        <v>29</v>
      </c>
      <c r="B19" s="21" t="s">
        <v>38</v>
      </c>
      <c r="C19" s="34">
        <f>C18-C14</f>
        <v>5.7503560705234449</v>
      </c>
      <c r="D19" s="13"/>
      <c r="E19" s="34">
        <f>E18-E14</f>
        <v>4.9434597260748738</v>
      </c>
      <c r="F19" s="34">
        <f>F18-F14</f>
        <v>6.7664497341950707</v>
      </c>
      <c r="G19" s="34">
        <f>G18-G14</f>
        <v>8.0668088610337918</v>
      </c>
      <c r="H19" s="34">
        <f>H18-H14</f>
        <v>9.7597121174726844</v>
      </c>
      <c r="I19" s="34">
        <f>I18-I14</f>
        <v>12.001285084455407</v>
      </c>
    </row>
    <row r="21" spans="1:11" x14ac:dyDescent="0.3">
      <c r="A21" t="s">
        <v>69</v>
      </c>
      <c r="B21" s="21" t="s">
        <v>68</v>
      </c>
      <c r="C21" s="282">
        <v>0.185</v>
      </c>
      <c r="E21" s="280">
        <f>C21</f>
        <v>0.185</v>
      </c>
      <c r="F21" s="280">
        <f>C21</f>
        <v>0.185</v>
      </c>
      <c r="G21" s="280">
        <f>C21</f>
        <v>0.185</v>
      </c>
      <c r="H21" s="280">
        <f>C21</f>
        <v>0.185</v>
      </c>
      <c r="I21" s="280">
        <f>C21</f>
        <v>0.185</v>
      </c>
    </row>
    <row r="22" spans="1:11" x14ac:dyDescent="0.3">
      <c r="A22" t="s">
        <v>71</v>
      </c>
      <c r="B22" s="21" t="s">
        <v>70</v>
      </c>
      <c r="C22" s="287">
        <f>C9+C21</f>
        <v>14.185</v>
      </c>
      <c r="E22" s="287">
        <f>E9+E21</f>
        <v>15.185</v>
      </c>
      <c r="F22" s="287">
        <f>F9+F21</f>
        <v>13.185</v>
      </c>
      <c r="G22" s="287">
        <f>G9+G21</f>
        <v>12.185</v>
      </c>
      <c r="H22" s="287">
        <f>H9+H21</f>
        <v>11.185</v>
      </c>
      <c r="I22" s="287">
        <f>I9+I21</f>
        <v>10.185</v>
      </c>
    </row>
    <row r="23" spans="1:11" x14ac:dyDescent="0.3">
      <c r="A23" t="s">
        <v>74</v>
      </c>
      <c r="B23" s="21" t="s">
        <v>72</v>
      </c>
      <c r="C23" s="287">
        <f>(SQRT((((C9/2)-C10)^2)-($C$4^2)))+(($E$4-($E$4-(2*C10)))/2)</f>
        <v>6.5</v>
      </c>
      <c r="E23" s="16">
        <f>(SQRT((((E9/2)-E10)^2)-($C$4^2)))+(($E$4-($E$4-(2*E10)))/2)</f>
        <v>7.0355730781817885</v>
      </c>
      <c r="F23" s="16">
        <f>(SQRT((((F9/2)-F10)^2)-($C$4^2)))+(($E$4-($E$4-(2*F10)))/2)</f>
        <v>5.9582577022109229</v>
      </c>
      <c r="G23" s="16">
        <f>(SQRT((((G9/2)-G10)^2)-($C$4^2)))+(($E$4-($E$4-(2*G10)))/2)</f>
        <v>5.4084961013181507</v>
      </c>
      <c r="H23" s="16">
        <f>(SQRT((((H9/2)-H10)^2)-($C$4^2)))+(($E$4-($E$4-(2*H10)))/2)</f>
        <v>4.8479934129226647</v>
      </c>
      <c r="I23" s="16">
        <f>(SQRT((((I9/2)-I10)^2)-($C$4^2)))+(($E$4-($E$4-(2*I10)))/2)</f>
        <v>4.2725342964184181</v>
      </c>
    </row>
    <row r="24" spans="1:11" x14ac:dyDescent="0.3">
      <c r="A24" t="s">
        <v>75</v>
      </c>
      <c r="B24" s="21" t="s">
        <v>73</v>
      </c>
      <c r="C24" s="287">
        <f>C23-$E$4</f>
        <v>5</v>
      </c>
      <c r="E24" s="16">
        <f>E23-$E$4</f>
        <v>5.5355730781817885</v>
      </c>
      <c r="F24" s="16">
        <f>F23-$E$4</f>
        <v>4.4582577022109229</v>
      </c>
      <c r="G24" s="16">
        <f>G23-$E$4</f>
        <v>3.9084961013181507</v>
      </c>
      <c r="H24" s="16">
        <f>H23-$E$4</f>
        <v>3.3479934129226647</v>
      </c>
      <c r="I24" s="16">
        <f>I23-$E$4</f>
        <v>2.7725342964184181</v>
      </c>
    </row>
    <row r="26" spans="1:11" x14ac:dyDescent="0.3">
      <c r="B26" s="7"/>
      <c r="C26" s="8"/>
    </row>
    <row r="27" spans="1:11" x14ac:dyDescent="0.3">
      <c r="B27" s="3" t="s">
        <v>84</v>
      </c>
      <c r="C27" s="9"/>
    </row>
    <row r="28" spans="1:11" x14ac:dyDescent="0.3">
      <c r="B28" s="277" t="s">
        <v>43</v>
      </c>
      <c r="C28" s="6">
        <f>C4/D4</f>
        <v>0.61904761904761907</v>
      </c>
    </row>
    <row r="29" spans="1:11" x14ac:dyDescent="0.3">
      <c r="B29" s="7"/>
      <c r="C29" s="8"/>
      <c r="K29" s="5"/>
    </row>
    <row r="30" spans="1:11" x14ac:dyDescent="0.3">
      <c r="B30" s="3" t="s">
        <v>85</v>
      </c>
      <c r="C30" s="19"/>
    </row>
    <row r="31" spans="1:11" x14ac:dyDescent="0.3">
      <c r="B31" s="277" t="s">
        <v>44</v>
      </c>
      <c r="C31" s="6">
        <f>E4/F4</f>
        <v>0.8571428571428571</v>
      </c>
    </row>
    <row r="32" spans="1:11" x14ac:dyDescent="0.3">
      <c r="B32" s="7"/>
      <c r="C32" s="18"/>
    </row>
    <row r="33" spans="1:6" x14ac:dyDescent="0.3">
      <c r="B33" s="22"/>
      <c r="C33" s="27"/>
    </row>
    <row r="34" spans="1:6" x14ac:dyDescent="0.3">
      <c r="B34" s="372" t="s">
        <v>60</v>
      </c>
      <c r="C34" s="372"/>
      <c r="D34" s="372"/>
      <c r="E34" s="372"/>
      <c r="F34" s="372"/>
    </row>
    <row r="35" spans="1:6" x14ac:dyDescent="0.3">
      <c r="B35" s="22"/>
      <c r="C35" s="18"/>
    </row>
    <row r="36" spans="1:6" x14ac:dyDescent="0.3">
      <c r="B36" s="22"/>
      <c r="C36" s="25" t="s">
        <v>45</v>
      </c>
      <c r="D36" s="282" t="s">
        <v>46</v>
      </c>
      <c r="E36" s="282" t="s">
        <v>48</v>
      </c>
      <c r="F36" s="282" t="s">
        <v>47</v>
      </c>
    </row>
    <row r="37" spans="1:6" x14ac:dyDescent="0.3">
      <c r="B37" s="22"/>
      <c r="C37" s="24"/>
      <c r="D37" s="286"/>
      <c r="E37" s="286"/>
      <c r="F37" s="286"/>
    </row>
    <row r="38" spans="1:6" x14ac:dyDescent="0.3">
      <c r="B38" s="277" t="s">
        <v>49</v>
      </c>
      <c r="C38" s="282">
        <v>75</v>
      </c>
      <c r="D38" s="287">
        <f>2*C38</f>
        <v>150</v>
      </c>
      <c r="E38" s="287">
        <f>3*C38</f>
        <v>225</v>
      </c>
      <c r="F38" s="287">
        <f>4*C38</f>
        <v>300</v>
      </c>
    </row>
    <row r="39" spans="1:6" x14ac:dyDescent="0.3">
      <c r="B39" s="277" t="s">
        <v>16</v>
      </c>
      <c r="C39" s="280">
        <f>B4+C38</f>
        <v>475</v>
      </c>
      <c r="D39" s="287">
        <f>D38+B4</f>
        <v>550</v>
      </c>
      <c r="E39" s="287">
        <f>E38+B4</f>
        <v>625</v>
      </c>
      <c r="F39" s="287">
        <f>F38+B4</f>
        <v>700</v>
      </c>
    </row>
    <row r="40" spans="1:6" x14ac:dyDescent="0.3">
      <c r="A40" t="s">
        <v>51</v>
      </c>
      <c r="B40" s="277" t="s">
        <v>50</v>
      </c>
      <c r="C40" s="282">
        <v>9.81</v>
      </c>
      <c r="D40" s="287">
        <f>C40</f>
        <v>9.81</v>
      </c>
      <c r="E40" s="287">
        <f>C40</f>
        <v>9.81</v>
      </c>
      <c r="F40" s="287">
        <f>C40</f>
        <v>9.81</v>
      </c>
    </row>
    <row r="41" spans="1:6" x14ac:dyDescent="0.3">
      <c r="B41" s="277" t="s">
        <v>682</v>
      </c>
      <c r="C41" s="287">
        <f>C39*C40</f>
        <v>4659.75</v>
      </c>
      <c r="D41" s="287">
        <f>D39*D40</f>
        <v>5395.5</v>
      </c>
      <c r="E41" s="287">
        <f>E39*E40</f>
        <v>6131.25</v>
      </c>
      <c r="F41" s="287">
        <f>F39*F40</f>
        <v>6867</v>
      </c>
    </row>
    <row r="42" spans="1:6" x14ac:dyDescent="0.3">
      <c r="A42" t="s">
        <v>63</v>
      </c>
      <c r="B42" s="277" t="s">
        <v>64</v>
      </c>
      <c r="C42" s="287">
        <v>38.381680000000003</v>
      </c>
      <c r="D42" s="287">
        <f>C42</f>
        <v>38.381680000000003</v>
      </c>
      <c r="E42" s="287">
        <f>C42</f>
        <v>38.381680000000003</v>
      </c>
      <c r="F42" s="287">
        <f>C42</f>
        <v>38.381680000000003</v>
      </c>
    </row>
    <row r="43" spans="1:6" x14ac:dyDescent="0.3">
      <c r="B43" s="277" t="s">
        <v>65</v>
      </c>
      <c r="C43" s="28">
        <f>C42*3.6</f>
        <v>138.17404800000003</v>
      </c>
      <c r="D43" s="28">
        <f>C43</f>
        <v>138.17404800000003</v>
      </c>
      <c r="E43" s="28">
        <f>C43</f>
        <v>138.17404800000003</v>
      </c>
      <c r="F43" s="28">
        <f>C43</f>
        <v>138.17404800000003</v>
      </c>
    </row>
    <row r="44" spans="1:6" x14ac:dyDescent="0.3">
      <c r="B44" s="286"/>
      <c r="C44" s="286"/>
      <c r="D44" s="286"/>
      <c r="E44" s="286"/>
      <c r="F44" s="286"/>
    </row>
    <row r="45" spans="1:6" x14ac:dyDescent="0.3">
      <c r="A45" t="s">
        <v>2</v>
      </c>
      <c r="B45" s="277" t="s">
        <v>12</v>
      </c>
      <c r="C45" s="16">
        <f>0.6*C4</f>
        <v>1.56</v>
      </c>
      <c r="D45" s="16">
        <f>C45</f>
        <v>1.56</v>
      </c>
      <c r="E45" s="16">
        <f>C45</f>
        <v>1.56</v>
      </c>
      <c r="F45" s="16">
        <f>C45</f>
        <v>1.56</v>
      </c>
    </row>
    <row r="46" spans="1:6" x14ac:dyDescent="0.3">
      <c r="A46" t="s">
        <v>3</v>
      </c>
      <c r="B46" s="277" t="s">
        <v>11</v>
      </c>
      <c r="C46" s="16">
        <f>0.4*C4</f>
        <v>1.04</v>
      </c>
      <c r="D46" s="16">
        <f>C46</f>
        <v>1.04</v>
      </c>
      <c r="E46" s="16">
        <f>C46</f>
        <v>1.04</v>
      </c>
      <c r="F46" s="16">
        <f>C46</f>
        <v>1.04</v>
      </c>
    </row>
    <row r="47" spans="1:6" x14ac:dyDescent="0.3">
      <c r="A47" t="s">
        <v>5</v>
      </c>
      <c r="B47" s="277" t="s">
        <v>10</v>
      </c>
      <c r="C47" s="16">
        <v>0.5</v>
      </c>
      <c r="D47" s="16">
        <f>C47</f>
        <v>0.5</v>
      </c>
      <c r="E47" s="16">
        <f>C47</f>
        <v>0.5</v>
      </c>
      <c r="F47" s="16">
        <f>C47</f>
        <v>0.5</v>
      </c>
    </row>
    <row r="49" spans="1:12" x14ac:dyDescent="0.3">
      <c r="B49" s="370" t="s">
        <v>78</v>
      </c>
      <c r="C49" s="370"/>
      <c r="D49" s="370"/>
      <c r="E49" s="370"/>
      <c r="F49" s="370"/>
    </row>
    <row r="50" spans="1:12" x14ac:dyDescent="0.3">
      <c r="B50" s="284"/>
      <c r="C50" s="284"/>
      <c r="D50" s="284"/>
      <c r="E50" s="284"/>
      <c r="F50" s="284"/>
    </row>
    <row r="51" spans="1:12" x14ac:dyDescent="0.3">
      <c r="A51" t="s">
        <v>52</v>
      </c>
      <c r="B51" s="277" t="s">
        <v>25</v>
      </c>
      <c r="C51" s="16">
        <f>(C41*C45)/$C$4</f>
        <v>2795.85</v>
      </c>
      <c r="D51" s="16">
        <f t="shared" ref="D51:F51" si="0">(D41*D45)/$C$4</f>
        <v>3237.2999999999997</v>
      </c>
      <c r="E51" s="16">
        <f t="shared" si="0"/>
        <v>3678.75</v>
      </c>
      <c r="F51" s="16">
        <f t="shared" si="0"/>
        <v>4120.2</v>
      </c>
    </row>
    <row r="52" spans="1:12" x14ac:dyDescent="0.3">
      <c r="A52" t="s">
        <v>53</v>
      </c>
      <c r="B52" s="277" t="s">
        <v>26</v>
      </c>
      <c r="C52" s="16">
        <f>C41-C51</f>
        <v>1863.9</v>
      </c>
      <c r="D52" s="16">
        <f t="shared" ref="D52:F52" si="1">D41-D51</f>
        <v>2158.2000000000003</v>
      </c>
      <c r="E52" s="16">
        <f t="shared" si="1"/>
        <v>2452.5</v>
      </c>
      <c r="F52" s="16">
        <f t="shared" si="1"/>
        <v>2746.8</v>
      </c>
    </row>
    <row r="53" spans="1:12" x14ac:dyDescent="0.3">
      <c r="A53" t="s">
        <v>54</v>
      </c>
      <c r="B53" s="277" t="s">
        <v>28</v>
      </c>
      <c r="C53" s="26">
        <f>C51/2</f>
        <v>1397.925</v>
      </c>
      <c r="D53" s="26">
        <f t="shared" ref="D53:F53" si="2">D51/2</f>
        <v>1618.6499999999999</v>
      </c>
      <c r="E53" s="26">
        <f t="shared" si="2"/>
        <v>1839.375</v>
      </c>
      <c r="F53" s="26">
        <f t="shared" si="2"/>
        <v>2060.1</v>
      </c>
    </row>
    <row r="54" spans="1:12" x14ac:dyDescent="0.3">
      <c r="A54" t="s">
        <v>55</v>
      </c>
      <c r="B54" s="277" t="s">
        <v>27</v>
      </c>
      <c r="C54" s="26">
        <f>C51/2</f>
        <v>1397.925</v>
      </c>
      <c r="D54" s="26">
        <f t="shared" ref="D54:F55" si="3">D51/2</f>
        <v>1618.6499999999999</v>
      </c>
      <c r="E54" s="26">
        <f t="shared" si="3"/>
        <v>1839.375</v>
      </c>
      <c r="F54" s="26">
        <f t="shared" si="3"/>
        <v>2060.1</v>
      </c>
    </row>
    <row r="55" spans="1:12" x14ac:dyDescent="0.3">
      <c r="A55" t="s">
        <v>56</v>
      </c>
      <c r="B55" s="277" t="s">
        <v>24</v>
      </c>
      <c r="C55" s="26">
        <f>C52/2</f>
        <v>931.95</v>
      </c>
      <c r="D55" s="26">
        <f t="shared" si="3"/>
        <v>1079.1000000000001</v>
      </c>
      <c r="E55" s="26">
        <f t="shared" si="3"/>
        <v>1226.25</v>
      </c>
      <c r="F55" s="26">
        <f t="shared" si="3"/>
        <v>1373.4</v>
      </c>
    </row>
    <row r="56" spans="1:12" x14ac:dyDescent="0.3">
      <c r="A56" t="s">
        <v>57</v>
      </c>
      <c r="B56" s="277" t="s">
        <v>23</v>
      </c>
      <c r="C56" s="26">
        <f>C52/2</f>
        <v>931.95</v>
      </c>
      <c r="D56" s="26">
        <f t="shared" ref="D56:F56" si="4">D52/2</f>
        <v>1079.1000000000001</v>
      </c>
      <c r="E56" s="26">
        <f t="shared" si="4"/>
        <v>1226.25</v>
      </c>
      <c r="F56" s="26">
        <f t="shared" si="4"/>
        <v>1373.4</v>
      </c>
    </row>
    <row r="57" spans="1:12" x14ac:dyDescent="0.3">
      <c r="A57" t="s">
        <v>87</v>
      </c>
      <c r="B57" s="277" t="s">
        <v>89</v>
      </c>
      <c r="C57" s="26">
        <f>C$52/(2*C$40)</f>
        <v>95</v>
      </c>
      <c r="D57" s="26">
        <f t="shared" ref="D57:F57" si="5">D$52/(2*D$40)</f>
        <v>110.00000000000001</v>
      </c>
      <c r="E57" s="26">
        <f t="shared" si="5"/>
        <v>125</v>
      </c>
      <c r="F57" s="26">
        <f t="shared" si="5"/>
        <v>140</v>
      </c>
    </row>
    <row r="58" spans="1:12" x14ac:dyDescent="0.3">
      <c r="A58" t="s">
        <v>88</v>
      </c>
      <c r="B58" s="277" t="s">
        <v>90</v>
      </c>
      <c r="C58" s="26">
        <f>C$51/(2*C$40)</f>
        <v>142.5</v>
      </c>
      <c r="D58" s="26">
        <f t="shared" ref="D58:F58" si="6">D$51/(2*D$40)</f>
        <v>164.99999999999997</v>
      </c>
      <c r="E58" s="26">
        <f t="shared" si="6"/>
        <v>187.5</v>
      </c>
      <c r="F58" s="26">
        <f t="shared" si="6"/>
        <v>209.99999999999997</v>
      </c>
      <c r="H58" s="284"/>
      <c r="I58" s="7"/>
      <c r="J58" s="7"/>
      <c r="K58" s="7"/>
      <c r="L58" s="7"/>
    </row>
    <row r="59" spans="1:12" x14ac:dyDescent="0.3">
      <c r="B59" s="7"/>
      <c r="C59" s="8"/>
      <c r="H59" s="284"/>
      <c r="I59" s="7"/>
      <c r="J59" s="7"/>
      <c r="K59" s="7"/>
      <c r="L59" s="7"/>
    </row>
    <row r="60" spans="1:12" x14ac:dyDescent="0.3">
      <c r="B60" s="370" t="s">
        <v>83</v>
      </c>
      <c r="C60" s="370"/>
      <c r="D60" s="370"/>
      <c r="E60" s="370"/>
      <c r="F60" s="370"/>
      <c r="H60" s="284"/>
      <c r="I60" s="368"/>
      <c r="J60" s="368"/>
      <c r="K60" s="368"/>
      <c r="L60" s="368"/>
    </row>
    <row r="61" spans="1:12" x14ac:dyDescent="0.3">
      <c r="B61" s="7"/>
      <c r="C61" s="8"/>
      <c r="E61" s="5"/>
      <c r="H61" s="35"/>
      <c r="I61" s="7"/>
      <c r="J61" s="7"/>
      <c r="K61" s="7"/>
      <c r="L61" s="7"/>
    </row>
    <row r="62" spans="1:12" x14ac:dyDescent="0.3">
      <c r="B62" s="367" t="s">
        <v>80</v>
      </c>
      <c r="C62" s="367"/>
      <c r="D62" s="367"/>
      <c r="E62" s="367"/>
      <c r="F62" s="367"/>
      <c r="H62" s="368"/>
      <c r="I62" s="368"/>
      <c r="J62" s="368"/>
      <c r="K62" s="368"/>
      <c r="L62" s="368"/>
    </row>
    <row r="63" spans="1:12" x14ac:dyDescent="0.3">
      <c r="A63" t="s">
        <v>79</v>
      </c>
      <c r="B63" s="31" t="s">
        <v>20</v>
      </c>
      <c r="C63" s="32">
        <v>1</v>
      </c>
      <c r="D63" s="33">
        <f>C63</f>
        <v>1</v>
      </c>
      <c r="E63" s="33">
        <f>C63</f>
        <v>1</v>
      </c>
      <c r="F63" s="33">
        <f>C63</f>
        <v>1</v>
      </c>
      <c r="H63" s="36"/>
      <c r="I63" s="35"/>
      <c r="J63" s="35"/>
      <c r="K63" s="35"/>
      <c r="L63" s="35"/>
    </row>
    <row r="64" spans="1:12" x14ac:dyDescent="0.3">
      <c r="A64" t="s">
        <v>18</v>
      </c>
      <c r="B64" s="29" t="s">
        <v>19</v>
      </c>
      <c r="C64" s="26">
        <f>C$41*C63</f>
        <v>4659.75</v>
      </c>
      <c r="D64" s="26">
        <f t="shared" ref="D64:F64" si="7">D$41*D63</f>
        <v>5395.5</v>
      </c>
      <c r="E64" s="26">
        <f t="shared" si="7"/>
        <v>6131.25</v>
      </c>
      <c r="F64" s="26">
        <f t="shared" si="7"/>
        <v>6867</v>
      </c>
      <c r="H64" s="284"/>
      <c r="I64" s="35"/>
      <c r="J64" s="35"/>
      <c r="K64" s="35"/>
      <c r="L64" s="35"/>
    </row>
    <row r="65" spans="1:12" x14ac:dyDescent="0.3">
      <c r="A65" t="s">
        <v>22</v>
      </c>
      <c r="B65" s="30" t="s">
        <v>21</v>
      </c>
      <c r="C65" s="26">
        <f>(C64*C$47)/$C$4</f>
        <v>896.10576923076917</v>
      </c>
      <c r="D65" s="26">
        <f>(D64*D$47)/$C$4</f>
        <v>1037.5961538461538</v>
      </c>
      <c r="E65" s="26">
        <f>(E64*E$47)/$C$4</f>
        <v>1179.0865384615383</v>
      </c>
      <c r="F65" s="26">
        <f>(F64*F$47)/$C$4</f>
        <v>1320.5769230769231</v>
      </c>
      <c r="H65" s="37"/>
      <c r="I65" s="35"/>
      <c r="J65" s="35"/>
      <c r="K65" s="35"/>
      <c r="L65" s="35"/>
    </row>
    <row r="66" spans="1:12" x14ac:dyDescent="0.3">
      <c r="A66" t="s">
        <v>53</v>
      </c>
      <c r="B66" s="30" t="s">
        <v>26</v>
      </c>
      <c r="C66" s="26">
        <f>C$52+C65</f>
        <v>2760.0057692307691</v>
      </c>
      <c r="D66" s="26">
        <f t="shared" ref="D66:F66" si="8">D$52+D65</f>
        <v>3195.7961538461541</v>
      </c>
      <c r="E66" s="26">
        <f t="shared" si="8"/>
        <v>3631.5865384615381</v>
      </c>
      <c r="F66" s="26">
        <f t="shared" si="8"/>
        <v>4067.376923076923</v>
      </c>
      <c r="H66" s="37"/>
      <c r="I66" s="35"/>
      <c r="J66" s="35"/>
      <c r="K66" s="35"/>
      <c r="L66" s="35"/>
    </row>
    <row r="67" spans="1:12" x14ac:dyDescent="0.3">
      <c r="A67" t="s">
        <v>56</v>
      </c>
      <c r="B67" s="30" t="s">
        <v>24</v>
      </c>
      <c r="C67" s="16">
        <f>(C$52+C65)/2</f>
        <v>1380.0028846153846</v>
      </c>
      <c r="D67" s="16">
        <f t="shared" ref="D67:F67" si="9">(D$52+D65)/2</f>
        <v>1597.898076923077</v>
      </c>
      <c r="E67" s="16">
        <f t="shared" si="9"/>
        <v>1815.7932692307691</v>
      </c>
      <c r="F67" s="16">
        <f t="shared" si="9"/>
        <v>2033.6884615384615</v>
      </c>
      <c r="H67" s="37"/>
      <c r="I67" s="35"/>
      <c r="J67" s="35"/>
      <c r="K67" s="35"/>
      <c r="L67" s="35"/>
    </row>
    <row r="68" spans="1:12" x14ac:dyDescent="0.3">
      <c r="A68" t="s">
        <v>57</v>
      </c>
      <c r="B68" s="30" t="s">
        <v>23</v>
      </c>
      <c r="C68" s="16">
        <f>C67</f>
        <v>1380.0028846153846</v>
      </c>
      <c r="D68" s="16">
        <f t="shared" ref="D68:F68" si="10">D67</f>
        <v>1597.898076923077</v>
      </c>
      <c r="E68" s="16">
        <f t="shared" si="10"/>
        <v>1815.7932692307691</v>
      </c>
      <c r="F68" s="16">
        <f t="shared" si="10"/>
        <v>2033.6884615384615</v>
      </c>
      <c r="H68" s="37"/>
      <c r="I68" s="35"/>
      <c r="J68" s="35"/>
      <c r="K68" s="35"/>
      <c r="L68" s="35"/>
    </row>
    <row r="69" spans="1:12" x14ac:dyDescent="0.3">
      <c r="A69" t="s">
        <v>52</v>
      </c>
      <c r="B69" s="30" t="s">
        <v>25</v>
      </c>
      <c r="C69" s="16">
        <f>C$51-C65</f>
        <v>1899.7442307692309</v>
      </c>
      <c r="D69" s="16">
        <f t="shared" ref="D69:F69" si="11">D$51-D65</f>
        <v>2199.7038461538459</v>
      </c>
      <c r="E69" s="16">
        <f t="shared" si="11"/>
        <v>2499.6634615384619</v>
      </c>
      <c r="F69" s="16">
        <f t="shared" si="11"/>
        <v>2799.623076923077</v>
      </c>
      <c r="H69" s="37"/>
      <c r="I69" s="35"/>
      <c r="J69" s="35"/>
      <c r="K69" s="35"/>
      <c r="L69" s="35"/>
    </row>
    <row r="70" spans="1:12" x14ac:dyDescent="0.3">
      <c r="A70" t="s">
        <v>62</v>
      </c>
      <c r="B70" s="30" t="s">
        <v>28</v>
      </c>
      <c r="C70" s="16">
        <f>(C$51-C65)/2</f>
        <v>949.87211538461543</v>
      </c>
      <c r="D70" s="16">
        <f t="shared" ref="D70:F70" si="12">(D$51-D65)/2</f>
        <v>1099.851923076923</v>
      </c>
      <c r="E70" s="16">
        <f t="shared" si="12"/>
        <v>1249.8317307692309</v>
      </c>
      <c r="F70" s="16">
        <f t="shared" si="12"/>
        <v>1399.8115384615385</v>
      </c>
      <c r="H70" s="37"/>
      <c r="I70" s="35"/>
      <c r="J70" s="35"/>
      <c r="K70" s="35"/>
      <c r="L70" s="35"/>
    </row>
    <row r="71" spans="1:12" x14ac:dyDescent="0.3">
      <c r="A71" t="s">
        <v>55</v>
      </c>
      <c r="B71" s="30" t="s">
        <v>27</v>
      </c>
      <c r="C71" s="26">
        <f>C70</f>
        <v>949.87211538461543</v>
      </c>
      <c r="D71" s="26">
        <f t="shared" ref="D71:F71" si="13">D70</f>
        <v>1099.851923076923</v>
      </c>
      <c r="E71" s="26">
        <f t="shared" si="13"/>
        <v>1249.8317307692309</v>
      </c>
      <c r="F71" s="26">
        <f t="shared" si="13"/>
        <v>1399.8115384615385</v>
      </c>
      <c r="G71" s="7"/>
      <c r="H71" s="37"/>
      <c r="I71" s="35"/>
      <c r="J71" s="35"/>
      <c r="K71" s="35"/>
      <c r="L71" s="35"/>
    </row>
    <row r="72" spans="1:12" x14ac:dyDescent="0.3">
      <c r="A72" t="s">
        <v>61</v>
      </c>
      <c r="B72" s="30" t="s">
        <v>58</v>
      </c>
      <c r="C72" s="34">
        <f>C64/C$39</f>
        <v>9.81</v>
      </c>
      <c r="D72" s="26">
        <f t="shared" ref="D72:F72" si="14">D64/D$39</f>
        <v>9.81</v>
      </c>
      <c r="E72" s="26">
        <f t="shared" si="14"/>
        <v>9.81</v>
      </c>
      <c r="F72" s="26">
        <f t="shared" si="14"/>
        <v>9.81</v>
      </c>
      <c r="H72" s="37"/>
      <c r="I72" s="35"/>
      <c r="J72" s="35"/>
      <c r="K72" s="35"/>
      <c r="L72" s="35"/>
    </row>
    <row r="73" spans="1:12" x14ac:dyDescent="0.3">
      <c r="B73" s="30" t="s">
        <v>59</v>
      </c>
      <c r="C73" s="26">
        <f>C72/C$40</f>
        <v>1</v>
      </c>
      <c r="D73" s="26">
        <f t="shared" ref="D73:F73" si="15">D72/D$40</f>
        <v>1</v>
      </c>
      <c r="E73" s="26">
        <f t="shared" si="15"/>
        <v>1</v>
      </c>
      <c r="F73" s="26">
        <f t="shared" si="15"/>
        <v>1</v>
      </c>
      <c r="H73" s="37"/>
      <c r="I73" s="35"/>
      <c r="J73" s="35"/>
      <c r="K73" s="35"/>
      <c r="L73" s="35"/>
    </row>
    <row r="74" spans="1:12" x14ac:dyDescent="0.3">
      <c r="A74" t="s">
        <v>67</v>
      </c>
      <c r="B74" s="30" t="s">
        <v>66</v>
      </c>
      <c r="C74" s="34">
        <f>(C$42^2)/(2*C72)</f>
        <v>75.084269093904197</v>
      </c>
      <c r="D74" s="26">
        <f t="shared" ref="D74:F74" si="16">(D$42^2)/(2*D72)</f>
        <v>75.084269093904197</v>
      </c>
      <c r="E74" s="26">
        <f t="shared" si="16"/>
        <v>75.084269093904197</v>
      </c>
      <c r="F74" s="26">
        <f t="shared" si="16"/>
        <v>75.084269093904197</v>
      </c>
      <c r="H74" s="37"/>
      <c r="I74" s="35"/>
      <c r="J74" s="35"/>
      <c r="K74" s="35"/>
      <c r="L74" s="35"/>
    </row>
    <row r="75" spans="1:12" x14ac:dyDescent="0.3">
      <c r="A75" t="s">
        <v>91</v>
      </c>
      <c r="B75" s="30" t="s">
        <v>89</v>
      </c>
      <c r="C75" s="26">
        <f>(C$52+C65)/(2*C$40)</f>
        <v>140.67307692307691</v>
      </c>
      <c r="D75" s="26">
        <f t="shared" ref="D75:F75" si="17">(D$52+D65)/(2*D$40)</f>
        <v>162.88461538461539</v>
      </c>
      <c r="E75" s="26">
        <f t="shared" si="17"/>
        <v>185.09615384615381</v>
      </c>
      <c r="F75" s="26">
        <f t="shared" si="17"/>
        <v>207.30769230769229</v>
      </c>
      <c r="H75" s="37"/>
      <c r="I75" s="35"/>
      <c r="J75" s="35"/>
      <c r="K75" s="35"/>
      <c r="L75" s="35"/>
    </row>
    <row r="76" spans="1:12" x14ac:dyDescent="0.3">
      <c r="A76" t="s">
        <v>92</v>
      </c>
      <c r="B76" s="30" t="s">
        <v>90</v>
      </c>
      <c r="C76" s="26">
        <f>(C$51-C65)/(2*C$40)</f>
        <v>96.82692307692308</v>
      </c>
      <c r="D76" s="26">
        <f t="shared" ref="D76:F76" si="18">(D$51-D65)/(2*D$40)</f>
        <v>112.1153846153846</v>
      </c>
      <c r="E76" s="26">
        <f t="shared" si="18"/>
        <v>127.40384615384616</v>
      </c>
      <c r="F76" s="26">
        <f t="shared" si="18"/>
        <v>142.69230769230768</v>
      </c>
      <c r="H76" s="37"/>
      <c r="I76" s="35"/>
      <c r="J76" s="35"/>
      <c r="K76" s="35"/>
      <c r="L76" s="35"/>
    </row>
    <row r="77" spans="1:12" x14ac:dyDescent="0.3">
      <c r="B77" s="7"/>
      <c r="C77" s="7"/>
      <c r="H77" s="7"/>
      <c r="I77" s="7"/>
      <c r="J77" s="7"/>
      <c r="K77" s="7"/>
      <c r="L77" s="7"/>
    </row>
    <row r="78" spans="1:12" x14ac:dyDescent="0.3">
      <c r="B78" s="367" t="s">
        <v>81</v>
      </c>
      <c r="C78" s="367"/>
      <c r="D78" s="367"/>
      <c r="E78" s="367"/>
      <c r="F78" s="367"/>
      <c r="H78" s="368"/>
      <c r="I78" s="368"/>
      <c r="J78" s="368"/>
      <c r="K78" s="368"/>
      <c r="L78" s="368"/>
    </row>
    <row r="79" spans="1:12" x14ac:dyDescent="0.3">
      <c r="A79" t="s">
        <v>79</v>
      </c>
      <c r="B79" s="31" t="s">
        <v>20</v>
      </c>
      <c r="C79" s="32">
        <v>0.6</v>
      </c>
      <c r="D79" s="33">
        <f>C79</f>
        <v>0.6</v>
      </c>
      <c r="E79" s="33">
        <f>C79</f>
        <v>0.6</v>
      </c>
      <c r="F79" s="33">
        <f>C79</f>
        <v>0.6</v>
      </c>
      <c r="H79" s="36"/>
      <c r="I79" s="35"/>
      <c r="J79" s="35"/>
      <c r="K79" s="35"/>
      <c r="L79" s="35"/>
    </row>
    <row r="80" spans="1:12" x14ac:dyDescent="0.3">
      <c r="A80" t="s">
        <v>18</v>
      </c>
      <c r="B80" s="29" t="s">
        <v>19</v>
      </c>
      <c r="C80" s="26">
        <f>C$41*C79</f>
        <v>2795.85</v>
      </c>
      <c r="D80" s="26">
        <f t="shared" ref="D80:F80" si="19">D$41*D79</f>
        <v>3237.2999999999997</v>
      </c>
      <c r="E80" s="26">
        <f t="shared" si="19"/>
        <v>3678.75</v>
      </c>
      <c r="F80" s="26">
        <f t="shared" si="19"/>
        <v>4120.2</v>
      </c>
      <c r="H80" s="284"/>
      <c r="I80" s="35"/>
      <c r="J80" s="35"/>
      <c r="K80" s="35"/>
      <c r="L80" s="35"/>
    </row>
    <row r="81" spans="1:12" x14ac:dyDescent="0.3">
      <c r="A81" t="s">
        <v>22</v>
      </c>
      <c r="B81" s="30" t="s">
        <v>21</v>
      </c>
      <c r="C81" s="26">
        <f>(C80*C$47)/$C$4</f>
        <v>537.66346153846155</v>
      </c>
      <c r="D81" s="26">
        <f>(D80*D$47)/$C$4</f>
        <v>622.55769230769226</v>
      </c>
      <c r="E81" s="26">
        <f>(E80*E$47)/$C$4</f>
        <v>707.45192307692309</v>
      </c>
      <c r="F81" s="26">
        <f>(F80*F$47)/$C$4</f>
        <v>792.34615384615381</v>
      </c>
      <c r="H81" s="37"/>
      <c r="I81" s="35"/>
      <c r="J81" s="35"/>
      <c r="K81" s="35"/>
      <c r="L81" s="35"/>
    </row>
    <row r="82" spans="1:12" x14ac:dyDescent="0.3">
      <c r="A82" t="s">
        <v>53</v>
      </c>
      <c r="B82" s="30" t="s">
        <v>26</v>
      </c>
      <c r="C82" s="26">
        <f>C$52+C81</f>
        <v>2401.5634615384615</v>
      </c>
      <c r="D82" s="26">
        <f t="shared" ref="D82:F82" si="20">D$52+D81</f>
        <v>2780.7576923076927</v>
      </c>
      <c r="E82" s="26">
        <f t="shared" si="20"/>
        <v>3159.9519230769229</v>
      </c>
      <c r="F82" s="26">
        <f t="shared" si="20"/>
        <v>3539.146153846154</v>
      </c>
      <c r="H82" s="37"/>
      <c r="I82" s="35"/>
      <c r="J82" s="35"/>
      <c r="K82" s="35"/>
      <c r="L82" s="35"/>
    </row>
    <row r="83" spans="1:12" x14ac:dyDescent="0.3">
      <c r="A83" t="s">
        <v>56</v>
      </c>
      <c r="B83" s="30" t="s">
        <v>24</v>
      </c>
      <c r="C83" s="16">
        <f>(C$52+C81)/2</f>
        <v>1200.7817307692308</v>
      </c>
      <c r="D83" s="16">
        <f t="shared" ref="D83:F83" si="21">(D$52+D81)/2</f>
        <v>1390.3788461538463</v>
      </c>
      <c r="E83" s="16">
        <f t="shared" si="21"/>
        <v>1579.9759615384614</v>
      </c>
      <c r="F83" s="16">
        <f t="shared" si="21"/>
        <v>1769.573076923077</v>
      </c>
      <c r="H83" s="37"/>
      <c r="I83" s="35"/>
      <c r="J83" s="35"/>
      <c r="K83" s="35"/>
      <c r="L83" s="35"/>
    </row>
    <row r="84" spans="1:12" x14ac:dyDescent="0.3">
      <c r="A84" t="s">
        <v>57</v>
      </c>
      <c r="B84" s="30" t="s">
        <v>23</v>
      </c>
      <c r="C84" s="16">
        <f>C83</f>
        <v>1200.7817307692308</v>
      </c>
      <c r="D84" s="16">
        <f t="shared" ref="D84:F84" si="22">D83</f>
        <v>1390.3788461538463</v>
      </c>
      <c r="E84" s="16">
        <f t="shared" si="22"/>
        <v>1579.9759615384614</v>
      </c>
      <c r="F84" s="16">
        <f t="shared" si="22"/>
        <v>1769.573076923077</v>
      </c>
      <c r="H84" s="37"/>
      <c r="I84" s="35"/>
      <c r="J84" s="35"/>
      <c r="K84" s="35"/>
      <c r="L84" s="35"/>
    </row>
    <row r="85" spans="1:12" x14ac:dyDescent="0.3">
      <c r="A85" t="s">
        <v>52</v>
      </c>
      <c r="B85" s="30" t="s">
        <v>25</v>
      </c>
      <c r="C85" s="16">
        <f>C$51-C81</f>
        <v>2258.1865384615385</v>
      </c>
      <c r="D85" s="16">
        <f t="shared" ref="D85:F85" si="23">D$51-D81</f>
        <v>2614.7423076923073</v>
      </c>
      <c r="E85" s="16">
        <f t="shared" si="23"/>
        <v>2971.2980769230771</v>
      </c>
      <c r="F85" s="16">
        <f t="shared" si="23"/>
        <v>3327.853846153846</v>
      </c>
      <c r="H85" s="37"/>
      <c r="I85" s="35"/>
      <c r="J85" s="35"/>
      <c r="K85" s="35"/>
      <c r="L85" s="35"/>
    </row>
    <row r="86" spans="1:12" x14ac:dyDescent="0.3">
      <c r="A86" t="s">
        <v>62</v>
      </c>
      <c r="B86" s="30" t="s">
        <v>28</v>
      </c>
      <c r="C86" s="16">
        <f>(C$51-C81)/2</f>
        <v>1129.0932692307692</v>
      </c>
      <c r="D86" s="16">
        <f t="shared" ref="D86:F86" si="24">(D$51-D81)/2</f>
        <v>1307.3711538461537</v>
      </c>
      <c r="E86" s="16">
        <f t="shared" si="24"/>
        <v>1485.6490384615386</v>
      </c>
      <c r="F86" s="16">
        <f t="shared" si="24"/>
        <v>1663.926923076923</v>
      </c>
      <c r="H86" s="37"/>
      <c r="I86" s="35"/>
      <c r="J86" s="35"/>
      <c r="K86" s="35"/>
      <c r="L86" s="35"/>
    </row>
    <row r="87" spans="1:12" x14ac:dyDescent="0.3">
      <c r="A87" t="s">
        <v>55</v>
      </c>
      <c r="B87" s="30" t="s">
        <v>27</v>
      </c>
      <c r="C87" s="26">
        <f>C86</f>
        <v>1129.0932692307692</v>
      </c>
      <c r="D87" s="26">
        <f t="shared" ref="D87:F87" si="25">D86</f>
        <v>1307.3711538461537</v>
      </c>
      <c r="E87" s="26">
        <f t="shared" si="25"/>
        <v>1485.6490384615386</v>
      </c>
      <c r="F87" s="26">
        <f t="shared" si="25"/>
        <v>1663.926923076923</v>
      </c>
      <c r="H87" s="37"/>
      <c r="I87" s="35"/>
      <c r="J87" s="35"/>
      <c r="K87" s="35"/>
      <c r="L87" s="35"/>
    </row>
    <row r="88" spans="1:12" x14ac:dyDescent="0.3">
      <c r="A88" t="s">
        <v>61</v>
      </c>
      <c r="B88" s="30" t="s">
        <v>58</v>
      </c>
      <c r="C88" s="34">
        <f>C80/C$39</f>
        <v>5.8860000000000001</v>
      </c>
      <c r="D88" s="26">
        <f t="shared" ref="D88:F88" si="26">D80/D$39</f>
        <v>5.8859999999999992</v>
      </c>
      <c r="E88" s="26">
        <f t="shared" si="26"/>
        <v>5.8860000000000001</v>
      </c>
      <c r="F88" s="26">
        <f t="shared" si="26"/>
        <v>5.8860000000000001</v>
      </c>
      <c r="H88" s="37"/>
      <c r="I88" s="35"/>
      <c r="J88" s="35"/>
      <c r="K88" s="35"/>
      <c r="L88" s="35"/>
    </row>
    <row r="89" spans="1:12" x14ac:dyDescent="0.3">
      <c r="B89" s="30" t="s">
        <v>59</v>
      </c>
      <c r="C89" s="26">
        <f>C88/C$40</f>
        <v>0.6</v>
      </c>
      <c r="D89" s="26">
        <f t="shared" ref="D89:F89" si="27">D88/D$40</f>
        <v>0.59999999999999987</v>
      </c>
      <c r="E89" s="26">
        <f t="shared" si="27"/>
        <v>0.6</v>
      </c>
      <c r="F89" s="26">
        <f t="shared" si="27"/>
        <v>0.6</v>
      </c>
      <c r="H89" s="37"/>
      <c r="I89" s="35"/>
      <c r="J89" s="35"/>
      <c r="K89" s="35"/>
      <c r="L89" s="35"/>
    </row>
    <row r="90" spans="1:12" x14ac:dyDescent="0.3">
      <c r="A90" t="s">
        <v>67</v>
      </c>
      <c r="B90" s="30" t="s">
        <v>66</v>
      </c>
      <c r="C90" s="34">
        <f>(C$42^2)/(2*C88)</f>
        <v>125.14044848984032</v>
      </c>
      <c r="D90" s="26">
        <f t="shared" ref="D90:F90" si="28">(D$42^2)/(2*D88)</f>
        <v>125.14044848984034</v>
      </c>
      <c r="E90" s="26">
        <f t="shared" si="28"/>
        <v>125.14044848984032</v>
      </c>
      <c r="F90" s="26">
        <f t="shared" si="28"/>
        <v>125.14044848984032</v>
      </c>
      <c r="H90" s="37"/>
      <c r="I90" s="35"/>
      <c r="J90" s="35"/>
      <c r="K90" s="35"/>
      <c r="L90" s="35"/>
    </row>
    <row r="91" spans="1:12" x14ac:dyDescent="0.3">
      <c r="A91" t="s">
        <v>91</v>
      </c>
      <c r="B91" s="30" t="s">
        <v>89</v>
      </c>
      <c r="C91" s="26">
        <f>(C$52+C81)/(2*C$40)</f>
        <v>122.40384615384615</v>
      </c>
      <c r="D91" s="26">
        <f t="shared" ref="D91:F91" si="29">(D$52+D81)/(2*D$40)</f>
        <v>141.73076923076925</v>
      </c>
      <c r="E91" s="26">
        <f t="shared" si="29"/>
        <v>161.05769230769229</v>
      </c>
      <c r="F91" s="26">
        <f t="shared" si="29"/>
        <v>180.38461538461539</v>
      </c>
      <c r="H91" s="37"/>
      <c r="I91" s="35"/>
      <c r="J91" s="35"/>
      <c r="K91" s="35"/>
      <c r="L91" s="35"/>
    </row>
    <row r="92" spans="1:12" x14ac:dyDescent="0.3">
      <c r="A92" t="s">
        <v>92</v>
      </c>
      <c r="B92" s="30" t="s">
        <v>90</v>
      </c>
      <c r="C92" s="26">
        <f>(C$51-C81)/(2*C$40)</f>
        <v>115.09615384615384</v>
      </c>
      <c r="D92" s="26">
        <f t="shared" ref="D92:F92" si="30">(D$51-D81)/(2*D$40)</f>
        <v>133.26923076923075</v>
      </c>
      <c r="E92" s="26">
        <f t="shared" si="30"/>
        <v>151.44230769230771</v>
      </c>
      <c r="F92" s="26">
        <f t="shared" si="30"/>
        <v>169.61538461538461</v>
      </c>
      <c r="H92" s="37"/>
      <c r="I92" s="35"/>
      <c r="J92" s="35"/>
      <c r="K92" s="35"/>
      <c r="L92" s="35"/>
    </row>
    <row r="93" spans="1:12" x14ac:dyDescent="0.3">
      <c r="H93" s="7"/>
      <c r="I93" s="7"/>
      <c r="J93" s="7"/>
      <c r="K93" s="7"/>
      <c r="L93" s="7"/>
    </row>
    <row r="94" spans="1:12" x14ac:dyDescent="0.3">
      <c r="B94" s="367" t="s">
        <v>82</v>
      </c>
      <c r="C94" s="367"/>
      <c r="D94" s="367"/>
      <c r="E94" s="367"/>
      <c r="F94" s="367"/>
      <c r="H94" s="368"/>
      <c r="I94" s="368"/>
      <c r="J94" s="368"/>
      <c r="K94" s="368"/>
      <c r="L94" s="368"/>
    </row>
    <row r="95" spans="1:12" x14ac:dyDescent="0.3">
      <c r="A95" t="s">
        <v>79</v>
      </c>
      <c r="B95" s="31" t="s">
        <v>20</v>
      </c>
      <c r="C95" s="32">
        <v>0.15</v>
      </c>
      <c r="D95" s="33">
        <f>C95</f>
        <v>0.15</v>
      </c>
      <c r="E95" s="33">
        <f>C95</f>
        <v>0.15</v>
      </c>
      <c r="F95" s="33">
        <f>C95</f>
        <v>0.15</v>
      </c>
      <c r="H95" s="36"/>
      <c r="I95" s="35"/>
      <c r="J95" s="35"/>
      <c r="K95" s="35"/>
      <c r="L95" s="35"/>
    </row>
    <row r="96" spans="1:12" x14ac:dyDescent="0.3">
      <c r="A96" t="s">
        <v>18</v>
      </c>
      <c r="B96" s="29" t="s">
        <v>19</v>
      </c>
      <c r="C96" s="26">
        <f>C$41*C95</f>
        <v>698.96249999999998</v>
      </c>
      <c r="D96" s="26">
        <f t="shared" ref="D96:F96" si="31">D$41*D95</f>
        <v>809.32499999999993</v>
      </c>
      <c r="E96" s="26">
        <f t="shared" si="31"/>
        <v>919.6875</v>
      </c>
      <c r="F96" s="26">
        <f t="shared" si="31"/>
        <v>1030.05</v>
      </c>
      <c r="H96" s="284"/>
      <c r="I96" s="35"/>
      <c r="J96" s="35"/>
      <c r="K96" s="35"/>
      <c r="L96" s="35"/>
    </row>
    <row r="97" spans="1:12" x14ac:dyDescent="0.3">
      <c r="A97" t="s">
        <v>22</v>
      </c>
      <c r="B97" s="30" t="s">
        <v>21</v>
      </c>
      <c r="C97" s="26">
        <f>(C96*C$47)/$C$4</f>
        <v>134.41586538461539</v>
      </c>
      <c r="D97" s="26">
        <f>(D96*D$47)/$C$4</f>
        <v>155.63942307692307</v>
      </c>
      <c r="E97" s="26">
        <f>(E96*E$47)/$C$4</f>
        <v>176.86298076923077</v>
      </c>
      <c r="F97" s="26">
        <f>(F96*F$47)/$C$4</f>
        <v>198.08653846153845</v>
      </c>
      <c r="H97" s="37"/>
      <c r="I97" s="35"/>
      <c r="J97" s="35"/>
      <c r="K97" s="35"/>
      <c r="L97" s="35"/>
    </row>
    <row r="98" spans="1:12" x14ac:dyDescent="0.3">
      <c r="A98" t="s">
        <v>53</v>
      </c>
      <c r="B98" s="30" t="s">
        <v>26</v>
      </c>
      <c r="C98" s="26">
        <f>C$52+C97</f>
        <v>1998.3158653846156</v>
      </c>
      <c r="D98" s="26">
        <f t="shared" ref="D98:F98" si="32">D$52+D97</f>
        <v>2313.8394230769231</v>
      </c>
      <c r="E98" s="26">
        <f t="shared" si="32"/>
        <v>2629.3629807692309</v>
      </c>
      <c r="F98" s="26">
        <f t="shared" si="32"/>
        <v>2944.8865384615387</v>
      </c>
      <c r="H98" s="37"/>
      <c r="I98" s="35"/>
      <c r="J98" s="35"/>
      <c r="K98" s="35"/>
      <c r="L98" s="35"/>
    </row>
    <row r="99" spans="1:12" x14ac:dyDescent="0.3">
      <c r="A99" t="s">
        <v>56</v>
      </c>
      <c r="B99" s="30" t="s">
        <v>24</v>
      </c>
      <c r="C99" s="16">
        <f>(C$52+C97)/2</f>
        <v>999.15793269230778</v>
      </c>
      <c r="D99" s="16">
        <f t="shared" ref="D99:F99" si="33">(D$52+D97)/2</f>
        <v>1156.9197115384616</v>
      </c>
      <c r="E99" s="16">
        <f t="shared" si="33"/>
        <v>1314.6814903846155</v>
      </c>
      <c r="F99" s="16">
        <f t="shared" si="33"/>
        <v>1472.4432692307694</v>
      </c>
      <c r="H99" s="37"/>
      <c r="I99" s="35"/>
      <c r="J99" s="35"/>
      <c r="K99" s="35"/>
      <c r="L99" s="35"/>
    </row>
    <row r="100" spans="1:12" x14ac:dyDescent="0.3">
      <c r="A100" t="s">
        <v>57</v>
      </c>
      <c r="B100" s="30" t="s">
        <v>23</v>
      </c>
      <c r="C100" s="16">
        <f>C99</f>
        <v>999.15793269230778</v>
      </c>
      <c r="D100" s="16">
        <f t="shared" ref="D100:F100" si="34">D99</f>
        <v>1156.9197115384616</v>
      </c>
      <c r="E100" s="16">
        <f t="shared" si="34"/>
        <v>1314.6814903846155</v>
      </c>
      <c r="F100" s="16">
        <f t="shared" si="34"/>
        <v>1472.4432692307694</v>
      </c>
      <c r="H100" s="37"/>
      <c r="I100" s="35"/>
      <c r="J100" s="35"/>
      <c r="K100" s="35"/>
      <c r="L100" s="35"/>
    </row>
    <row r="101" spans="1:12" x14ac:dyDescent="0.3">
      <c r="A101" t="s">
        <v>52</v>
      </c>
      <c r="B101" s="30" t="s">
        <v>25</v>
      </c>
      <c r="C101" s="16">
        <f>C$51-C97</f>
        <v>2661.4341346153847</v>
      </c>
      <c r="D101" s="16">
        <f t="shared" ref="D101:F101" si="35">D$51-D97</f>
        <v>3081.6605769230769</v>
      </c>
      <c r="E101" s="16">
        <f t="shared" si="35"/>
        <v>3501.8870192307691</v>
      </c>
      <c r="F101" s="16">
        <f t="shared" si="35"/>
        <v>3922.1134615384613</v>
      </c>
      <c r="H101" s="37"/>
      <c r="I101" s="35"/>
      <c r="J101" s="35"/>
      <c r="K101" s="35"/>
      <c r="L101" s="35"/>
    </row>
    <row r="102" spans="1:12" x14ac:dyDescent="0.3">
      <c r="A102" t="s">
        <v>62</v>
      </c>
      <c r="B102" s="30" t="s">
        <v>28</v>
      </c>
      <c r="C102" s="16">
        <f>(C$51-C97)/2</f>
        <v>1330.7170673076923</v>
      </c>
      <c r="D102" s="16">
        <f t="shared" ref="D102:F102" si="36">(D$51-D97)/2</f>
        <v>1540.8302884615384</v>
      </c>
      <c r="E102" s="16">
        <f t="shared" si="36"/>
        <v>1750.9435096153845</v>
      </c>
      <c r="F102" s="16">
        <f t="shared" si="36"/>
        <v>1961.0567307692306</v>
      </c>
      <c r="H102" s="37"/>
      <c r="I102" s="35"/>
      <c r="J102" s="35"/>
      <c r="K102" s="35"/>
      <c r="L102" s="35"/>
    </row>
    <row r="103" spans="1:12" x14ac:dyDescent="0.3">
      <c r="A103" t="s">
        <v>55</v>
      </c>
      <c r="B103" s="30" t="s">
        <v>27</v>
      </c>
      <c r="C103" s="26">
        <f>C102</f>
        <v>1330.7170673076923</v>
      </c>
      <c r="D103" s="26">
        <f t="shared" ref="D103:F103" si="37">D102</f>
        <v>1540.8302884615384</v>
      </c>
      <c r="E103" s="26">
        <f t="shared" si="37"/>
        <v>1750.9435096153845</v>
      </c>
      <c r="F103" s="26">
        <f t="shared" si="37"/>
        <v>1961.0567307692306</v>
      </c>
      <c r="H103" s="37"/>
      <c r="I103" s="35"/>
      <c r="J103" s="35"/>
      <c r="K103" s="35"/>
      <c r="L103" s="35"/>
    </row>
    <row r="104" spans="1:12" x14ac:dyDescent="0.3">
      <c r="A104" t="s">
        <v>61</v>
      </c>
      <c r="B104" s="30" t="s">
        <v>58</v>
      </c>
      <c r="C104" s="34">
        <f>C96/C$39</f>
        <v>1.4715</v>
      </c>
      <c r="D104" s="26">
        <f t="shared" ref="D104:F104" si="38">D96/D$39</f>
        <v>1.4714999999999998</v>
      </c>
      <c r="E104" s="26">
        <f t="shared" si="38"/>
        <v>1.4715</v>
      </c>
      <c r="F104" s="26">
        <f t="shared" si="38"/>
        <v>1.4715</v>
      </c>
      <c r="H104" s="37"/>
      <c r="I104" s="35"/>
      <c r="J104" s="35"/>
      <c r="K104" s="35"/>
      <c r="L104" s="35"/>
    </row>
    <row r="105" spans="1:12" x14ac:dyDescent="0.3">
      <c r="B105" s="30" t="s">
        <v>59</v>
      </c>
      <c r="C105" s="26">
        <f>C104/C$40</f>
        <v>0.15</v>
      </c>
      <c r="D105" s="26">
        <f t="shared" ref="D105:F105" si="39">D104/D$40</f>
        <v>0.14999999999999997</v>
      </c>
      <c r="E105" s="26">
        <f t="shared" si="39"/>
        <v>0.15</v>
      </c>
      <c r="F105" s="26">
        <f t="shared" si="39"/>
        <v>0.15</v>
      </c>
      <c r="H105" s="37"/>
      <c r="I105" s="35"/>
      <c r="J105" s="35"/>
      <c r="K105" s="35"/>
      <c r="L105" s="35"/>
    </row>
    <row r="106" spans="1:12" x14ac:dyDescent="0.3">
      <c r="A106" t="s">
        <v>67</v>
      </c>
      <c r="B106" s="30" t="s">
        <v>66</v>
      </c>
      <c r="C106" s="34">
        <f>(C$42^2)/(2*C104)</f>
        <v>500.5617939593613</v>
      </c>
      <c r="D106" s="26">
        <f t="shared" ref="D106:F106" si="40">(D$42^2)/(2*D104)</f>
        <v>500.56179395936135</v>
      </c>
      <c r="E106" s="26">
        <f t="shared" si="40"/>
        <v>500.5617939593613</v>
      </c>
      <c r="F106" s="26">
        <f t="shared" si="40"/>
        <v>500.5617939593613</v>
      </c>
      <c r="H106" s="37"/>
      <c r="I106" s="35"/>
      <c r="J106" s="35"/>
      <c r="K106" s="35"/>
      <c r="L106" s="35"/>
    </row>
    <row r="107" spans="1:12" x14ac:dyDescent="0.3">
      <c r="A107" t="s">
        <v>91</v>
      </c>
      <c r="B107" s="30" t="s">
        <v>89</v>
      </c>
      <c r="C107" s="26">
        <f>(C$52+C97)/(2*C$40)</f>
        <v>101.85096153846155</v>
      </c>
      <c r="D107" s="26">
        <f t="shared" ref="D107:F107" si="41">(D$52+D97)/(2*D$40)</f>
        <v>117.93269230769231</v>
      </c>
      <c r="E107" s="26">
        <f t="shared" si="41"/>
        <v>134.01442307692307</v>
      </c>
      <c r="F107" s="26">
        <f t="shared" si="41"/>
        <v>150.09615384615384</v>
      </c>
      <c r="H107" s="37"/>
      <c r="I107" s="35"/>
      <c r="J107" s="35"/>
      <c r="K107" s="35"/>
      <c r="L107" s="35"/>
    </row>
    <row r="108" spans="1:12" x14ac:dyDescent="0.3">
      <c r="A108" t="s">
        <v>92</v>
      </c>
      <c r="B108" s="30" t="s">
        <v>90</v>
      </c>
      <c r="C108" s="26">
        <f>(C$51-C97)/(2*C$40)</f>
        <v>135.64903846153845</v>
      </c>
      <c r="D108" s="26">
        <f t="shared" ref="D108:F108" si="42">(D$51-D97)/(2*D$40)</f>
        <v>157.06730769230768</v>
      </c>
      <c r="E108" s="26">
        <f t="shared" si="42"/>
        <v>178.48557692307691</v>
      </c>
      <c r="F108" s="26">
        <f t="shared" si="42"/>
        <v>199.90384615384613</v>
      </c>
      <c r="H108" s="37"/>
      <c r="I108" s="35"/>
      <c r="J108" s="35"/>
      <c r="K108" s="35"/>
      <c r="L108" s="35"/>
    </row>
    <row r="109" spans="1:12" x14ac:dyDescent="0.3">
      <c r="H109" s="7"/>
      <c r="I109" s="7"/>
      <c r="J109" s="7"/>
      <c r="K109" s="7"/>
      <c r="L109" s="7"/>
    </row>
    <row r="110" spans="1:12" x14ac:dyDescent="0.3">
      <c r="B110" s="30" t="s">
        <v>94</v>
      </c>
    </row>
    <row r="111" spans="1:12" x14ac:dyDescent="0.3">
      <c r="B111" s="282">
        <v>100</v>
      </c>
    </row>
    <row r="112" spans="1:12" x14ac:dyDescent="0.3">
      <c r="B112" s="30" t="s">
        <v>95</v>
      </c>
      <c r="C112" s="369" t="s">
        <v>93</v>
      </c>
      <c r="D112" s="370"/>
      <c r="E112" s="370"/>
      <c r="F112" s="370"/>
    </row>
    <row r="113" spans="1:6" x14ac:dyDescent="0.3">
      <c r="B113" s="38">
        <f>B111/3.6</f>
        <v>27.777777777777779</v>
      </c>
    </row>
    <row r="114" spans="1:6" x14ac:dyDescent="0.3">
      <c r="B114" s="367" t="s">
        <v>80</v>
      </c>
      <c r="C114" s="367"/>
      <c r="D114" s="367"/>
      <c r="E114" s="367"/>
      <c r="F114" s="367"/>
    </row>
    <row r="115" spans="1:6" x14ac:dyDescent="0.3">
      <c r="A115" t="s">
        <v>67</v>
      </c>
      <c r="B115" s="277" t="s">
        <v>66</v>
      </c>
      <c r="C115" s="16">
        <f>($B$113^2)/(2*C$72)</f>
        <v>39.32746882118272</v>
      </c>
      <c r="D115" s="16">
        <f t="shared" ref="D115:F115" si="43">($B$113^2)/(2*D$72)</f>
        <v>39.32746882118272</v>
      </c>
      <c r="E115" s="16">
        <f t="shared" si="43"/>
        <v>39.32746882118272</v>
      </c>
      <c r="F115" s="16">
        <f t="shared" si="43"/>
        <v>39.32746882118272</v>
      </c>
    </row>
    <row r="116" spans="1:6" x14ac:dyDescent="0.3">
      <c r="B116" s="367" t="s">
        <v>81</v>
      </c>
      <c r="C116" s="367"/>
      <c r="D116" s="367"/>
      <c r="E116" s="367"/>
      <c r="F116" s="367"/>
    </row>
    <row r="117" spans="1:6" x14ac:dyDescent="0.3">
      <c r="A117" t="s">
        <v>67</v>
      </c>
      <c r="B117" s="277" t="s">
        <v>66</v>
      </c>
      <c r="C117" s="16">
        <f>($B$113^2)/(2*C$88)</f>
        <v>65.545781368637861</v>
      </c>
      <c r="D117" s="16">
        <f t="shared" ref="D117:F117" si="44">($B$113^2)/(2*D$88)</f>
        <v>65.545781368637876</v>
      </c>
      <c r="E117" s="16">
        <f t="shared" si="44"/>
        <v>65.545781368637861</v>
      </c>
      <c r="F117" s="16">
        <f t="shared" si="44"/>
        <v>65.545781368637861</v>
      </c>
    </row>
    <row r="118" spans="1:6" x14ac:dyDescent="0.3">
      <c r="B118" s="367" t="s">
        <v>82</v>
      </c>
      <c r="C118" s="367"/>
      <c r="D118" s="367"/>
      <c r="E118" s="367"/>
      <c r="F118" s="367"/>
    </row>
    <row r="119" spans="1:6" x14ac:dyDescent="0.3">
      <c r="A119" t="s">
        <v>67</v>
      </c>
      <c r="B119" s="277" t="s">
        <v>66</v>
      </c>
      <c r="C119" s="16">
        <f>($B$113^2)/(2*C$104)</f>
        <v>262.18312547455145</v>
      </c>
      <c r="D119" s="16">
        <f t="shared" ref="D119:F119" si="45">($B$113^2)/(2*D$104)</f>
        <v>262.1831254745515</v>
      </c>
      <c r="E119" s="16">
        <f t="shared" si="45"/>
        <v>262.18312547455145</v>
      </c>
      <c r="F119" s="16">
        <f t="shared" si="45"/>
        <v>262.18312547455145</v>
      </c>
    </row>
    <row r="121" spans="1:6" x14ac:dyDescent="0.3">
      <c r="A121" s="370" t="s">
        <v>273</v>
      </c>
      <c r="B121" s="370"/>
      <c r="C121" s="370"/>
    </row>
    <row r="122" spans="1:6" x14ac:dyDescent="0.3">
      <c r="B122" s="41"/>
      <c r="C122" s="41"/>
    </row>
    <row r="123" spans="1:6" x14ac:dyDescent="0.3">
      <c r="A123" s="51" t="s">
        <v>108</v>
      </c>
      <c r="B123" s="277"/>
      <c r="C123" s="61">
        <v>5.5E-2</v>
      </c>
    </row>
    <row r="124" spans="1:6" x14ac:dyDescent="0.3">
      <c r="A124" s="51" t="s">
        <v>109</v>
      </c>
      <c r="B124" s="277" t="s">
        <v>115</v>
      </c>
      <c r="C124" s="61">
        <v>16</v>
      </c>
    </row>
    <row r="125" spans="1:6" x14ac:dyDescent="0.3">
      <c r="A125" s="51" t="s">
        <v>110</v>
      </c>
      <c r="B125" s="277"/>
      <c r="C125" s="42">
        <f>2*C123</f>
        <v>0.11</v>
      </c>
    </row>
    <row r="126" spans="1:6" x14ac:dyDescent="0.3">
      <c r="A126" s="52" t="s">
        <v>109</v>
      </c>
      <c r="B126" s="277" t="s">
        <v>114</v>
      </c>
      <c r="C126" s="45">
        <f>C124*25.4/1000</f>
        <v>0.40639999999999998</v>
      </c>
    </row>
    <row r="127" spans="1:6" x14ac:dyDescent="0.3">
      <c r="A127" s="52" t="s">
        <v>111</v>
      </c>
      <c r="B127" s="277" t="s">
        <v>113</v>
      </c>
      <c r="C127" s="45">
        <f>C126+C125</f>
        <v>0.51639999999999997</v>
      </c>
    </row>
    <row r="128" spans="1:6" x14ac:dyDescent="0.3">
      <c r="A128" s="52" t="s">
        <v>112</v>
      </c>
      <c r="B128" s="277" t="s">
        <v>98</v>
      </c>
      <c r="C128" s="45">
        <f>C127/2</f>
        <v>0.25819999999999999</v>
      </c>
    </row>
    <row r="129" spans="1:6" x14ac:dyDescent="0.3">
      <c r="A129" s="52" t="s">
        <v>99</v>
      </c>
      <c r="B129" s="277" t="s">
        <v>100</v>
      </c>
      <c r="C129" s="45">
        <f>0.98*C128</f>
        <v>0.25303599999999998</v>
      </c>
    </row>
    <row r="130" spans="1:6" x14ac:dyDescent="0.3">
      <c r="A130" s="51" t="s">
        <v>96</v>
      </c>
      <c r="B130" s="277" t="s">
        <v>97</v>
      </c>
      <c r="C130" s="28">
        <f>3*(C129-((2/3)*C128))</f>
        <v>0.24270800000000003</v>
      </c>
      <c r="F130" s="47"/>
    </row>
    <row r="131" spans="1:6" x14ac:dyDescent="0.3">
      <c r="A131" s="51" t="s">
        <v>116</v>
      </c>
      <c r="B131" s="277" t="s">
        <v>117</v>
      </c>
      <c r="C131" s="28">
        <f>2*PI()*C129</f>
        <v>1.5898720773874937</v>
      </c>
    </row>
    <row r="132" spans="1:6" x14ac:dyDescent="0.3">
      <c r="A132" s="51"/>
      <c r="B132" s="284"/>
      <c r="C132" s="62"/>
    </row>
    <row r="133" spans="1:6" x14ac:dyDescent="0.3">
      <c r="A133" s="381" t="s">
        <v>662</v>
      </c>
      <c r="B133" s="381"/>
      <c r="C133" s="381"/>
      <c r="D133" s="381"/>
      <c r="E133" s="381"/>
      <c r="F133" s="381"/>
    </row>
    <row r="134" spans="1:6" x14ac:dyDescent="0.3">
      <c r="A134" s="51"/>
      <c r="B134" s="284"/>
      <c r="C134" s="62"/>
    </row>
    <row r="135" spans="1:6" x14ac:dyDescent="0.3">
      <c r="B135" s="367" t="s">
        <v>80</v>
      </c>
      <c r="C135" s="367"/>
      <c r="D135" s="367"/>
      <c r="E135" s="367"/>
      <c r="F135" s="367"/>
    </row>
    <row r="136" spans="1:6" ht="15" thickBot="1" x14ac:dyDescent="0.35">
      <c r="A136" t="s">
        <v>79</v>
      </c>
      <c r="B136" s="219" t="s">
        <v>20</v>
      </c>
      <c r="C136" s="220">
        <v>1</v>
      </c>
      <c r="D136" s="221">
        <f>C136</f>
        <v>1</v>
      </c>
      <c r="E136" s="221">
        <f>C136</f>
        <v>1</v>
      </c>
      <c r="F136" s="221">
        <f>C136</f>
        <v>1</v>
      </c>
    </row>
    <row r="137" spans="1:6" x14ac:dyDescent="0.3">
      <c r="A137" s="207" t="s">
        <v>53</v>
      </c>
      <c r="B137" s="213" t="s">
        <v>26</v>
      </c>
      <c r="C137" s="214">
        <f>C52</f>
        <v>1863.9</v>
      </c>
      <c r="D137" s="214">
        <f t="shared" ref="D137:F137" si="46">D52</f>
        <v>2158.2000000000003</v>
      </c>
      <c r="E137" s="214">
        <f t="shared" si="46"/>
        <v>2452.5</v>
      </c>
      <c r="F137" s="215">
        <f t="shared" si="46"/>
        <v>2746.8</v>
      </c>
    </row>
    <row r="138" spans="1:6" ht="15" thickBot="1" x14ac:dyDescent="0.35">
      <c r="A138" s="210" t="s">
        <v>434</v>
      </c>
      <c r="B138" s="216" t="s">
        <v>663</v>
      </c>
      <c r="C138" s="217">
        <f>C136*C137</f>
        <v>1863.9</v>
      </c>
      <c r="D138" s="217">
        <f t="shared" ref="D138:F138" si="47">D136*D137</f>
        <v>2158.2000000000003</v>
      </c>
      <c r="E138" s="217">
        <f t="shared" si="47"/>
        <v>2452.5</v>
      </c>
      <c r="F138" s="218">
        <f t="shared" si="47"/>
        <v>2746.8</v>
      </c>
    </row>
    <row r="139" spans="1:6" x14ac:dyDescent="0.3">
      <c r="A139" s="207" t="s">
        <v>56</v>
      </c>
      <c r="B139" s="213" t="s">
        <v>24</v>
      </c>
      <c r="C139" s="208">
        <f>C55</f>
        <v>931.95</v>
      </c>
      <c r="D139" s="208">
        <f t="shared" ref="D139:F139" si="48">D55</f>
        <v>1079.1000000000001</v>
      </c>
      <c r="E139" s="208">
        <f t="shared" si="48"/>
        <v>1226.25</v>
      </c>
      <c r="F139" s="209">
        <f t="shared" si="48"/>
        <v>1373.4</v>
      </c>
    </row>
    <row r="140" spans="1:6" ht="15" thickBot="1" x14ac:dyDescent="0.35">
      <c r="A140" s="210" t="s">
        <v>434</v>
      </c>
      <c r="B140" s="216" t="s">
        <v>663</v>
      </c>
      <c r="C140" s="211">
        <f>C136*C139</f>
        <v>931.95</v>
      </c>
      <c r="D140" s="211">
        <f t="shared" ref="D140:F140" si="49">D136*D139</f>
        <v>1079.1000000000001</v>
      </c>
      <c r="E140" s="211">
        <f t="shared" si="49"/>
        <v>1226.25</v>
      </c>
      <c r="F140" s="212">
        <f t="shared" si="49"/>
        <v>1373.4</v>
      </c>
    </row>
    <row r="141" spans="1:6" x14ac:dyDescent="0.3">
      <c r="A141" s="207" t="s">
        <v>57</v>
      </c>
      <c r="B141" s="213" t="s">
        <v>23</v>
      </c>
      <c r="C141" s="208">
        <f>C56</f>
        <v>931.95</v>
      </c>
      <c r="D141" s="208">
        <f t="shared" ref="D141:F141" si="50">D139</f>
        <v>1079.1000000000001</v>
      </c>
      <c r="E141" s="208">
        <f t="shared" si="50"/>
        <v>1226.25</v>
      </c>
      <c r="F141" s="209">
        <f t="shared" si="50"/>
        <v>1373.4</v>
      </c>
    </row>
    <row r="142" spans="1:6" ht="15" thickBot="1" x14ac:dyDescent="0.35">
      <c r="A142" s="210" t="s">
        <v>434</v>
      </c>
      <c r="B142" s="216" t="s">
        <v>663</v>
      </c>
      <c r="C142" s="211">
        <f>C136*C141</f>
        <v>931.95</v>
      </c>
      <c r="D142" s="211">
        <f t="shared" ref="D142:F142" si="51">D136*D141</f>
        <v>1079.1000000000001</v>
      </c>
      <c r="E142" s="211">
        <f t="shared" si="51"/>
        <v>1226.25</v>
      </c>
      <c r="F142" s="212">
        <f t="shared" si="51"/>
        <v>1373.4</v>
      </c>
    </row>
    <row r="143" spans="1:6" x14ac:dyDescent="0.3">
      <c r="A143" s="207" t="s">
        <v>52</v>
      </c>
      <c r="B143" s="213" t="s">
        <v>25</v>
      </c>
      <c r="C143" s="208">
        <f>C51</f>
        <v>2795.85</v>
      </c>
      <c r="D143" s="208">
        <f t="shared" ref="D143:F143" si="52">D51</f>
        <v>3237.2999999999997</v>
      </c>
      <c r="E143" s="208">
        <f t="shared" si="52"/>
        <v>3678.75</v>
      </c>
      <c r="F143" s="209">
        <f t="shared" si="52"/>
        <v>4120.2</v>
      </c>
    </row>
    <row r="144" spans="1:6" ht="15" thickBot="1" x14ac:dyDescent="0.35">
      <c r="A144" s="210" t="s">
        <v>434</v>
      </c>
      <c r="B144" s="216" t="s">
        <v>663</v>
      </c>
      <c r="C144" s="211">
        <f>C136*C143</f>
        <v>2795.85</v>
      </c>
      <c r="D144" s="211">
        <f t="shared" ref="D144:F144" si="53">D136*D143</f>
        <v>3237.2999999999997</v>
      </c>
      <c r="E144" s="211">
        <f t="shared" si="53"/>
        <v>3678.75</v>
      </c>
      <c r="F144" s="212">
        <f t="shared" si="53"/>
        <v>4120.2</v>
      </c>
    </row>
    <row r="145" spans="1:6" x14ac:dyDescent="0.3">
      <c r="A145" s="207" t="s">
        <v>62</v>
      </c>
      <c r="B145" s="213" t="s">
        <v>28</v>
      </c>
      <c r="C145" s="208">
        <f>C53</f>
        <v>1397.925</v>
      </c>
      <c r="D145" s="208">
        <f t="shared" ref="D145:F145" si="54">D53</f>
        <v>1618.6499999999999</v>
      </c>
      <c r="E145" s="208">
        <f t="shared" si="54"/>
        <v>1839.375</v>
      </c>
      <c r="F145" s="209">
        <f t="shared" si="54"/>
        <v>2060.1</v>
      </c>
    </row>
    <row r="146" spans="1:6" ht="15" thickBot="1" x14ac:dyDescent="0.35">
      <c r="A146" s="210" t="s">
        <v>434</v>
      </c>
      <c r="B146" s="216" t="s">
        <v>663</v>
      </c>
      <c r="C146" s="211">
        <f>C136*C145</f>
        <v>1397.925</v>
      </c>
      <c r="D146" s="211">
        <f t="shared" ref="D146:F146" si="55">D136*D145</f>
        <v>1618.6499999999999</v>
      </c>
      <c r="E146" s="211">
        <f t="shared" si="55"/>
        <v>1839.375</v>
      </c>
      <c r="F146" s="212">
        <f t="shared" si="55"/>
        <v>2060.1</v>
      </c>
    </row>
    <row r="147" spans="1:6" x14ac:dyDescent="0.3">
      <c r="A147" s="222" t="s">
        <v>55</v>
      </c>
      <c r="B147" s="205" t="s">
        <v>27</v>
      </c>
      <c r="C147" s="206">
        <f>C54</f>
        <v>1397.925</v>
      </c>
      <c r="D147" s="206">
        <f t="shared" ref="D147:F147" si="56">D54</f>
        <v>1618.6499999999999</v>
      </c>
      <c r="E147" s="206">
        <f t="shared" si="56"/>
        <v>1839.375</v>
      </c>
      <c r="F147" s="223">
        <f t="shared" si="56"/>
        <v>2060.1</v>
      </c>
    </row>
    <row r="148" spans="1:6" ht="15" thickBot="1" x14ac:dyDescent="0.35">
      <c r="A148" s="210" t="s">
        <v>434</v>
      </c>
      <c r="B148" s="216" t="s">
        <v>663</v>
      </c>
      <c r="C148" s="217">
        <f>C136*C147</f>
        <v>1397.925</v>
      </c>
      <c r="D148" s="217">
        <f t="shared" ref="D148:F148" si="57">D136*D147</f>
        <v>1618.6499999999999</v>
      </c>
      <c r="E148" s="217">
        <f t="shared" si="57"/>
        <v>1839.375</v>
      </c>
      <c r="F148" s="218">
        <f t="shared" si="57"/>
        <v>2060.1</v>
      </c>
    </row>
    <row r="149" spans="1:6" x14ac:dyDescent="0.3">
      <c r="B149" s="37"/>
      <c r="C149" s="35"/>
      <c r="D149" s="35"/>
      <c r="E149" s="35"/>
      <c r="F149" s="35"/>
    </row>
    <row r="150" spans="1:6" x14ac:dyDescent="0.3">
      <c r="B150" s="367" t="s">
        <v>81</v>
      </c>
      <c r="C150" s="367"/>
      <c r="D150" s="367"/>
      <c r="E150" s="367"/>
      <c r="F150" s="367"/>
    </row>
    <row r="151" spans="1:6" ht="15" thickBot="1" x14ac:dyDescent="0.35">
      <c r="A151" t="s">
        <v>79</v>
      </c>
      <c r="B151" s="219" t="s">
        <v>20</v>
      </c>
      <c r="C151" s="220">
        <v>0.6</v>
      </c>
      <c r="D151" s="221">
        <f>C151</f>
        <v>0.6</v>
      </c>
      <c r="E151" s="221">
        <f>C151</f>
        <v>0.6</v>
      </c>
      <c r="F151" s="221">
        <f>C151</f>
        <v>0.6</v>
      </c>
    </row>
    <row r="152" spans="1:6" x14ac:dyDescent="0.3">
      <c r="A152" s="207" t="s">
        <v>53</v>
      </c>
      <c r="B152" s="213" t="s">
        <v>26</v>
      </c>
      <c r="C152" s="214">
        <f>C67</f>
        <v>1380.0028846153846</v>
      </c>
      <c r="D152" s="214">
        <f t="shared" ref="D152:F152" si="58">D67</f>
        <v>1597.898076923077</v>
      </c>
      <c r="E152" s="214">
        <f t="shared" si="58"/>
        <v>1815.7932692307691</v>
      </c>
      <c r="F152" s="215">
        <f t="shared" si="58"/>
        <v>2033.6884615384615</v>
      </c>
    </row>
    <row r="153" spans="1:6" ht="15" thickBot="1" x14ac:dyDescent="0.35">
      <c r="A153" s="210" t="s">
        <v>434</v>
      </c>
      <c r="B153" s="216" t="s">
        <v>663</v>
      </c>
      <c r="C153" s="217">
        <f>C151*C152</f>
        <v>828.00173076923068</v>
      </c>
      <c r="D153" s="217">
        <f t="shared" ref="D153:F153" si="59">D151*D152</f>
        <v>958.73884615384623</v>
      </c>
      <c r="E153" s="217">
        <f t="shared" si="59"/>
        <v>1089.4759615384614</v>
      </c>
      <c r="F153" s="218">
        <f t="shared" si="59"/>
        <v>1220.2130769230769</v>
      </c>
    </row>
    <row r="154" spans="1:6" x14ac:dyDescent="0.3">
      <c r="A154" s="207" t="s">
        <v>56</v>
      </c>
      <c r="B154" s="213" t="s">
        <v>24</v>
      </c>
      <c r="C154" s="208">
        <f>C70</f>
        <v>949.87211538461543</v>
      </c>
      <c r="D154" s="208">
        <f t="shared" ref="D154:F154" si="60">D70</f>
        <v>1099.851923076923</v>
      </c>
      <c r="E154" s="208">
        <f t="shared" si="60"/>
        <v>1249.8317307692309</v>
      </c>
      <c r="F154" s="209">
        <f t="shared" si="60"/>
        <v>1399.8115384615385</v>
      </c>
    </row>
    <row r="155" spans="1:6" ht="15" thickBot="1" x14ac:dyDescent="0.35">
      <c r="A155" s="210" t="s">
        <v>434</v>
      </c>
      <c r="B155" s="216" t="s">
        <v>663</v>
      </c>
      <c r="C155" s="211">
        <f>C151*C154</f>
        <v>569.92326923076928</v>
      </c>
      <c r="D155" s="211">
        <f t="shared" ref="D155:F155" si="61">D151*D154</f>
        <v>659.91115384615375</v>
      </c>
      <c r="E155" s="211">
        <f t="shared" si="61"/>
        <v>749.89903846153857</v>
      </c>
      <c r="F155" s="212">
        <f t="shared" si="61"/>
        <v>839.88692307692304</v>
      </c>
    </row>
    <row r="156" spans="1:6" x14ac:dyDescent="0.3">
      <c r="A156" s="207" t="s">
        <v>57</v>
      </c>
      <c r="B156" s="213" t="s">
        <v>23</v>
      </c>
      <c r="C156" s="208">
        <f>C71</f>
        <v>949.87211538461543</v>
      </c>
      <c r="D156" s="208">
        <f t="shared" ref="D156:F156" si="62">D154</f>
        <v>1099.851923076923</v>
      </c>
      <c r="E156" s="208">
        <f t="shared" si="62"/>
        <v>1249.8317307692309</v>
      </c>
      <c r="F156" s="209">
        <f t="shared" si="62"/>
        <v>1399.8115384615385</v>
      </c>
    </row>
    <row r="157" spans="1:6" ht="15" thickBot="1" x14ac:dyDescent="0.35">
      <c r="A157" s="210" t="s">
        <v>434</v>
      </c>
      <c r="B157" s="216" t="s">
        <v>663</v>
      </c>
      <c r="C157" s="211">
        <f>C151*C156</f>
        <v>569.92326923076928</v>
      </c>
      <c r="D157" s="211">
        <f t="shared" ref="D157:F157" si="63">D151*D156</f>
        <v>659.91115384615375</v>
      </c>
      <c r="E157" s="211">
        <f t="shared" si="63"/>
        <v>749.89903846153857</v>
      </c>
      <c r="F157" s="212">
        <f t="shared" si="63"/>
        <v>839.88692307692304</v>
      </c>
    </row>
    <row r="158" spans="1:6" x14ac:dyDescent="0.3">
      <c r="A158" s="207" t="s">
        <v>52</v>
      </c>
      <c r="B158" s="213" t="s">
        <v>25</v>
      </c>
      <c r="C158" s="208">
        <f>C66</f>
        <v>2760.0057692307691</v>
      </c>
      <c r="D158" s="208">
        <f t="shared" ref="D158:F158" si="64">D66</f>
        <v>3195.7961538461541</v>
      </c>
      <c r="E158" s="208">
        <f t="shared" si="64"/>
        <v>3631.5865384615381</v>
      </c>
      <c r="F158" s="209">
        <f t="shared" si="64"/>
        <v>4067.376923076923</v>
      </c>
    </row>
    <row r="159" spans="1:6" ht="15" thickBot="1" x14ac:dyDescent="0.35">
      <c r="A159" s="210" t="s">
        <v>434</v>
      </c>
      <c r="B159" s="216" t="s">
        <v>663</v>
      </c>
      <c r="C159" s="211">
        <f>C151*C158</f>
        <v>1656.0034615384614</v>
      </c>
      <c r="D159" s="211">
        <f t="shared" ref="D159:F159" si="65">D151*D158</f>
        <v>1917.4776923076925</v>
      </c>
      <c r="E159" s="211">
        <f t="shared" si="65"/>
        <v>2178.9519230769229</v>
      </c>
      <c r="F159" s="212">
        <f t="shared" si="65"/>
        <v>2440.4261538461537</v>
      </c>
    </row>
    <row r="160" spans="1:6" x14ac:dyDescent="0.3">
      <c r="A160" s="207" t="s">
        <v>62</v>
      </c>
      <c r="B160" s="213" t="s">
        <v>28</v>
      </c>
      <c r="C160" s="208">
        <f>C68</f>
        <v>1380.0028846153846</v>
      </c>
      <c r="D160" s="208">
        <f t="shared" ref="D160:F160" si="66">D68</f>
        <v>1597.898076923077</v>
      </c>
      <c r="E160" s="208">
        <f t="shared" si="66"/>
        <v>1815.7932692307691</v>
      </c>
      <c r="F160" s="209">
        <f t="shared" si="66"/>
        <v>2033.6884615384615</v>
      </c>
    </row>
    <row r="161" spans="1:6" ht="15" thickBot="1" x14ac:dyDescent="0.35">
      <c r="A161" s="210" t="s">
        <v>434</v>
      </c>
      <c r="B161" s="216" t="s">
        <v>663</v>
      </c>
      <c r="C161" s="211">
        <f>C151*C160</f>
        <v>828.00173076923068</v>
      </c>
      <c r="D161" s="211">
        <f t="shared" ref="D161:F161" si="67">D151*D160</f>
        <v>958.73884615384623</v>
      </c>
      <c r="E161" s="211">
        <f t="shared" si="67"/>
        <v>1089.4759615384614</v>
      </c>
      <c r="F161" s="212">
        <f t="shared" si="67"/>
        <v>1220.2130769230769</v>
      </c>
    </row>
    <row r="162" spans="1:6" x14ac:dyDescent="0.3">
      <c r="A162" s="222" t="s">
        <v>55</v>
      </c>
      <c r="B162" s="205" t="s">
        <v>27</v>
      </c>
      <c r="C162" s="206">
        <f>C69</f>
        <v>1899.7442307692309</v>
      </c>
      <c r="D162" s="206">
        <f t="shared" ref="D162:F162" si="68">D69</f>
        <v>2199.7038461538459</v>
      </c>
      <c r="E162" s="206">
        <f t="shared" si="68"/>
        <v>2499.6634615384619</v>
      </c>
      <c r="F162" s="223">
        <f t="shared" si="68"/>
        <v>2799.623076923077</v>
      </c>
    </row>
    <row r="163" spans="1:6" ht="15" thickBot="1" x14ac:dyDescent="0.35">
      <c r="A163" s="210" t="s">
        <v>434</v>
      </c>
      <c r="B163" s="216" t="s">
        <v>663</v>
      </c>
      <c r="C163" s="217">
        <f>C151*C162</f>
        <v>1139.8465384615386</v>
      </c>
      <c r="D163" s="217">
        <f t="shared" ref="D163:F163" si="69">D151*D162</f>
        <v>1319.8223076923075</v>
      </c>
      <c r="E163" s="217">
        <f t="shared" si="69"/>
        <v>1499.7980769230771</v>
      </c>
      <c r="F163" s="218">
        <f t="shared" si="69"/>
        <v>1679.7738461538461</v>
      </c>
    </row>
    <row r="164" spans="1:6" x14ac:dyDescent="0.3">
      <c r="A164" s="7"/>
      <c r="B164" s="37"/>
      <c r="C164" s="35"/>
      <c r="D164" s="35"/>
      <c r="E164" s="35"/>
      <c r="F164" s="35"/>
    </row>
    <row r="165" spans="1:6" x14ac:dyDescent="0.3">
      <c r="B165" s="367" t="s">
        <v>664</v>
      </c>
      <c r="C165" s="367"/>
      <c r="D165" s="367"/>
      <c r="E165" s="367"/>
      <c r="F165" s="367"/>
    </row>
    <row r="166" spans="1:6" ht="15" thickBot="1" x14ac:dyDescent="0.35">
      <c r="A166" t="s">
        <v>79</v>
      </c>
      <c r="B166" s="219" t="s">
        <v>20</v>
      </c>
      <c r="C166" s="220">
        <v>0.15</v>
      </c>
      <c r="D166" s="221">
        <f>C166</f>
        <v>0.15</v>
      </c>
      <c r="E166" s="221">
        <f>C166</f>
        <v>0.15</v>
      </c>
      <c r="F166" s="221">
        <f>C166</f>
        <v>0.15</v>
      </c>
    </row>
    <row r="167" spans="1:6" x14ac:dyDescent="0.3">
      <c r="A167" s="207" t="s">
        <v>53</v>
      </c>
      <c r="B167" s="213" t="s">
        <v>26</v>
      </c>
      <c r="C167" s="214">
        <f>C82</f>
        <v>2401.5634615384615</v>
      </c>
      <c r="D167" s="214">
        <f t="shared" ref="D167:F167" si="70">D82</f>
        <v>2780.7576923076927</v>
      </c>
      <c r="E167" s="214">
        <f t="shared" si="70"/>
        <v>3159.9519230769229</v>
      </c>
      <c r="F167" s="215">
        <f t="shared" si="70"/>
        <v>3539.146153846154</v>
      </c>
    </row>
    <row r="168" spans="1:6" ht="15" thickBot="1" x14ac:dyDescent="0.35">
      <c r="A168" s="210" t="s">
        <v>434</v>
      </c>
      <c r="B168" s="216" t="s">
        <v>663</v>
      </c>
      <c r="C168" s="217">
        <f>C166*C167</f>
        <v>360.23451923076919</v>
      </c>
      <c r="D168" s="217">
        <f t="shared" ref="D168:F168" si="71">D166*D167</f>
        <v>417.11365384615391</v>
      </c>
      <c r="E168" s="217">
        <f t="shared" si="71"/>
        <v>473.9927884615384</v>
      </c>
      <c r="F168" s="218">
        <f t="shared" si="71"/>
        <v>530.87192307692305</v>
      </c>
    </row>
    <row r="169" spans="1:6" x14ac:dyDescent="0.3">
      <c r="A169" s="207" t="s">
        <v>56</v>
      </c>
      <c r="B169" s="213" t="s">
        <v>24</v>
      </c>
      <c r="C169" s="208">
        <f>C85</f>
        <v>2258.1865384615385</v>
      </c>
      <c r="D169" s="208">
        <f t="shared" ref="D169:F169" si="72">D85</f>
        <v>2614.7423076923073</v>
      </c>
      <c r="E169" s="208">
        <f t="shared" si="72"/>
        <v>2971.2980769230771</v>
      </c>
      <c r="F169" s="209">
        <f t="shared" si="72"/>
        <v>3327.853846153846</v>
      </c>
    </row>
    <row r="170" spans="1:6" ht="15" thickBot="1" x14ac:dyDescent="0.35">
      <c r="A170" s="210" t="s">
        <v>434</v>
      </c>
      <c r="B170" s="216" t="s">
        <v>663</v>
      </c>
      <c r="C170" s="211">
        <f>C166*C169</f>
        <v>338.72798076923078</v>
      </c>
      <c r="D170" s="211">
        <f t="shared" ref="D170:F170" si="73">D166*D169</f>
        <v>392.21134615384608</v>
      </c>
      <c r="E170" s="211">
        <f t="shared" si="73"/>
        <v>445.69471153846155</v>
      </c>
      <c r="F170" s="212">
        <f t="shared" si="73"/>
        <v>499.1780769230769</v>
      </c>
    </row>
    <row r="171" spans="1:6" x14ac:dyDescent="0.3">
      <c r="A171" s="207" t="s">
        <v>57</v>
      </c>
      <c r="B171" s="213" t="s">
        <v>23</v>
      </c>
      <c r="C171" s="208">
        <f>C86</f>
        <v>1129.0932692307692</v>
      </c>
      <c r="D171" s="208">
        <f t="shared" ref="D171:F171" si="74">D169</f>
        <v>2614.7423076923073</v>
      </c>
      <c r="E171" s="208">
        <f t="shared" si="74"/>
        <v>2971.2980769230771</v>
      </c>
      <c r="F171" s="209">
        <f t="shared" si="74"/>
        <v>3327.853846153846</v>
      </c>
    </row>
    <row r="172" spans="1:6" ht="15" thickBot="1" x14ac:dyDescent="0.35">
      <c r="A172" s="210" t="s">
        <v>434</v>
      </c>
      <c r="B172" s="216" t="s">
        <v>663</v>
      </c>
      <c r="C172" s="211">
        <f>C166*C171</f>
        <v>169.36399038461539</v>
      </c>
      <c r="D172" s="211">
        <f t="shared" ref="D172:F172" si="75">D166*D171</f>
        <v>392.21134615384608</v>
      </c>
      <c r="E172" s="211">
        <f t="shared" si="75"/>
        <v>445.69471153846155</v>
      </c>
      <c r="F172" s="212">
        <f t="shared" si="75"/>
        <v>499.1780769230769</v>
      </c>
    </row>
    <row r="173" spans="1:6" x14ac:dyDescent="0.3">
      <c r="A173" s="207" t="s">
        <v>52</v>
      </c>
      <c r="B173" s="213" t="s">
        <v>25</v>
      </c>
      <c r="C173" s="208">
        <f>C81</f>
        <v>537.66346153846155</v>
      </c>
      <c r="D173" s="208">
        <f t="shared" ref="D173:F173" si="76">D81</f>
        <v>622.55769230769226</v>
      </c>
      <c r="E173" s="208">
        <f t="shared" si="76"/>
        <v>707.45192307692309</v>
      </c>
      <c r="F173" s="209">
        <f t="shared" si="76"/>
        <v>792.34615384615381</v>
      </c>
    </row>
    <row r="174" spans="1:6" ht="15" thickBot="1" x14ac:dyDescent="0.35">
      <c r="A174" s="210" t="s">
        <v>434</v>
      </c>
      <c r="B174" s="216" t="s">
        <v>663</v>
      </c>
      <c r="C174" s="211">
        <f>C166*C173</f>
        <v>80.649519230769229</v>
      </c>
      <c r="D174" s="211">
        <f t="shared" ref="D174:F174" si="77">D166*D173</f>
        <v>93.383653846153834</v>
      </c>
      <c r="E174" s="211">
        <f t="shared" si="77"/>
        <v>106.11778846153847</v>
      </c>
      <c r="F174" s="212">
        <f t="shared" si="77"/>
        <v>118.85192307692307</v>
      </c>
    </row>
    <row r="175" spans="1:6" x14ac:dyDescent="0.3">
      <c r="A175" s="207" t="s">
        <v>62</v>
      </c>
      <c r="B175" s="213" t="s">
        <v>28</v>
      </c>
      <c r="C175" s="208">
        <f>C83</f>
        <v>1200.7817307692308</v>
      </c>
      <c r="D175" s="208">
        <f t="shared" ref="D175:F175" si="78">D83</f>
        <v>1390.3788461538463</v>
      </c>
      <c r="E175" s="208">
        <f t="shared" si="78"/>
        <v>1579.9759615384614</v>
      </c>
      <c r="F175" s="209">
        <f t="shared" si="78"/>
        <v>1769.573076923077</v>
      </c>
    </row>
    <row r="176" spans="1:6" ht="15" thickBot="1" x14ac:dyDescent="0.35">
      <c r="A176" s="210" t="s">
        <v>434</v>
      </c>
      <c r="B176" s="216" t="s">
        <v>663</v>
      </c>
      <c r="C176" s="211">
        <f>C166*C175</f>
        <v>180.1172596153846</v>
      </c>
      <c r="D176" s="211">
        <f t="shared" ref="D176:F176" si="79">D166*D175</f>
        <v>208.55682692307695</v>
      </c>
      <c r="E176" s="211">
        <f t="shared" si="79"/>
        <v>236.9963942307692</v>
      </c>
      <c r="F176" s="212">
        <f t="shared" si="79"/>
        <v>265.43596153846153</v>
      </c>
    </row>
    <row r="177" spans="1:14" x14ac:dyDescent="0.3">
      <c r="A177" s="222" t="s">
        <v>55</v>
      </c>
      <c r="B177" s="205" t="s">
        <v>27</v>
      </c>
      <c r="C177" s="206">
        <f>C84</f>
        <v>1200.7817307692308</v>
      </c>
      <c r="D177" s="206">
        <f t="shared" ref="D177:F177" si="80">D84</f>
        <v>1390.3788461538463</v>
      </c>
      <c r="E177" s="206">
        <f t="shared" si="80"/>
        <v>1579.9759615384614</v>
      </c>
      <c r="F177" s="223">
        <f t="shared" si="80"/>
        <v>1769.573076923077</v>
      </c>
    </row>
    <row r="178" spans="1:14" ht="15" thickBot="1" x14ac:dyDescent="0.35">
      <c r="A178" s="210" t="s">
        <v>434</v>
      </c>
      <c r="B178" s="216" t="s">
        <v>663</v>
      </c>
      <c r="C178" s="217">
        <f>C166*C177</f>
        <v>180.1172596153846</v>
      </c>
      <c r="D178" s="217">
        <f t="shared" ref="D178:F178" si="81">D166*D177</f>
        <v>208.55682692307695</v>
      </c>
      <c r="E178" s="217">
        <f t="shared" si="81"/>
        <v>236.9963942307692</v>
      </c>
      <c r="F178" s="218">
        <f t="shared" si="81"/>
        <v>265.43596153846153</v>
      </c>
    </row>
    <row r="179" spans="1:14" x14ac:dyDescent="0.3">
      <c r="A179" s="7"/>
      <c r="B179" s="37"/>
      <c r="C179" s="35"/>
      <c r="D179" s="35"/>
      <c r="E179" s="35"/>
      <c r="F179" s="35"/>
    </row>
    <row r="180" spans="1:14" x14ac:dyDescent="0.3">
      <c r="A180" s="373" t="s">
        <v>270</v>
      </c>
      <c r="B180" s="374"/>
      <c r="C180" s="375"/>
    </row>
    <row r="181" spans="1:14" x14ac:dyDescent="0.3">
      <c r="A181" s="51"/>
      <c r="B181" s="284"/>
      <c r="C181" s="56"/>
    </row>
    <row r="182" spans="1:14" x14ac:dyDescent="0.3">
      <c r="A182" s="5"/>
      <c r="C182" s="287" t="s">
        <v>128</v>
      </c>
      <c r="D182" s="284"/>
    </row>
    <row r="183" spans="1:14" x14ac:dyDescent="0.3">
      <c r="A183" s="5" t="s">
        <v>101</v>
      </c>
      <c r="B183" s="277" t="s">
        <v>95</v>
      </c>
      <c r="C183" s="16">
        <f>C42</f>
        <v>38.381680000000003</v>
      </c>
      <c r="D183" s="35"/>
      <c r="E183" s="41"/>
    </row>
    <row r="184" spans="1:14" x14ac:dyDescent="0.3">
      <c r="A184" s="5" t="s">
        <v>103</v>
      </c>
      <c r="B184" s="50" t="s">
        <v>102</v>
      </c>
      <c r="C184" s="16">
        <f>C183/$C$128</f>
        <v>148.65096824167316</v>
      </c>
      <c r="D184" s="35"/>
      <c r="E184" s="46"/>
    </row>
    <row r="185" spans="1:14" x14ac:dyDescent="0.3">
      <c r="A185" s="5" t="s">
        <v>104</v>
      </c>
      <c r="B185" s="50" t="s">
        <v>105</v>
      </c>
      <c r="C185" s="16">
        <f>C183-(C184*$C$129)</f>
        <v>0.76763359999999636</v>
      </c>
      <c r="D185" s="35"/>
      <c r="E185" s="46"/>
    </row>
    <row r="186" spans="1:14" x14ac:dyDescent="0.3">
      <c r="A186" s="5" t="s">
        <v>106</v>
      </c>
      <c r="B186" s="50" t="s">
        <v>130</v>
      </c>
      <c r="C186" s="43">
        <f>(C185/(C184*$C$129))*100</f>
        <v>2.0408163265306025</v>
      </c>
      <c r="D186" s="24"/>
      <c r="E186" s="44"/>
    </row>
    <row r="187" spans="1:14" x14ac:dyDescent="0.3">
      <c r="A187" s="5" t="s">
        <v>107</v>
      </c>
      <c r="B187" s="50" t="s">
        <v>129</v>
      </c>
      <c r="C187" s="43">
        <f>(C185/C183)*100</f>
        <v>1.9999999999999902</v>
      </c>
      <c r="D187" s="24"/>
      <c r="E187" s="44"/>
    </row>
    <row r="188" spans="1:14" x14ac:dyDescent="0.3">
      <c r="A188" s="7"/>
      <c r="B188" s="37"/>
      <c r="C188" s="24"/>
      <c r="D188" s="24"/>
      <c r="E188" s="44"/>
    </row>
    <row r="189" spans="1:14" x14ac:dyDescent="0.3">
      <c r="A189" s="370" t="s">
        <v>138</v>
      </c>
      <c r="B189" s="370"/>
      <c r="C189" s="370"/>
      <c r="D189" s="370"/>
      <c r="E189" s="370"/>
      <c r="F189" s="370"/>
    </row>
    <row r="190" spans="1:14" x14ac:dyDescent="0.3">
      <c r="A190" s="5"/>
      <c r="B190" s="37"/>
      <c r="C190" s="44"/>
      <c r="D190" s="44"/>
      <c r="E190" s="44"/>
    </row>
    <row r="191" spans="1:14" x14ac:dyDescent="0.3">
      <c r="A191" s="376" t="s">
        <v>272</v>
      </c>
      <c r="B191" s="376"/>
      <c r="C191" s="376"/>
      <c r="D191" s="377">
        <f>C42</f>
        <v>38.381680000000003</v>
      </c>
      <c r="E191" s="377"/>
      <c r="F191" s="377"/>
    </row>
    <row r="192" spans="1:14" x14ac:dyDescent="0.3">
      <c r="A192" s="48" t="s">
        <v>121</v>
      </c>
      <c r="B192" s="50" t="s">
        <v>136</v>
      </c>
      <c r="C192" s="63">
        <v>7</v>
      </c>
      <c r="D192" s="63">
        <v>8</v>
      </c>
      <c r="E192" s="63">
        <v>9</v>
      </c>
      <c r="F192" s="63">
        <v>10</v>
      </c>
      <c r="G192" s="63">
        <v>15</v>
      </c>
      <c r="H192" s="63">
        <v>20</v>
      </c>
      <c r="I192" s="63">
        <v>25</v>
      </c>
      <c r="J192" s="63">
        <v>30</v>
      </c>
      <c r="K192" s="63">
        <v>35</v>
      </c>
      <c r="L192" s="63">
        <v>40</v>
      </c>
      <c r="M192" s="63">
        <v>45</v>
      </c>
      <c r="N192" s="63">
        <v>50</v>
      </c>
    </row>
    <row r="193" spans="1:14" x14ac:dyDescent="0.3">
      <c r="A193" s="48" t="s">
        <v>118</v>
      </c>
      <c r="B193" s="21" t="s">
        <v>140</v>
      </c>
      <c r="C193" s="16">
        <f t="shared" ref="C193:N193" si="82">$D$191/C192</f>
        <v>5.4830971428571429</v>
      </c>
      <c r="D193" s="16">
        <f t="shared" si="82"/>
        <v>4.7977100000000004</v>
      </c>
      <c r="E193" s="16">
        <f t="shared" si="82"/>
        <v>4.264631111111111</v>
      </c>
      <c r="F193" s="16">
        <f t="shared" si="82"/>
        <v>3.8381680000000005</v>
      </c>
      <c r="G193" s="16">
        <f t="shared" si="82"/>
        <v>2.558778666666667</v>
      </c>
      <c r="H193" s="16">
        <f t="shared" si="82"/>
        <v>1.9190840000000002</v>
      </c>
      <c r="I193" s="16">
        <f t="shared" si="82"/>
        <v>1.5352672000000001</v>
      </c>
      <c r="J193" s="16">
        <f t="shared" si="82"/>
        <v>1.2793893333333335</v>
      </c>
      <c r="K193" s="16">
        <f t="shared" si="82"/>
        <v>1.0966194285714286</v>
      </c>
      <c r="L193" s="16">
        <f t="shared" si="82"/>
        <v>0.95954200000000012</v>
      </c>
      <c r="M193" s="16">
        <f t="shared" si="82"/>
        <v>0.85292622222222225</v>
      </c>
      <c r="N193" s="16">
        <f t="shared" si="82"/>
        <v>0.76763360000000003</v>
      </c>
    </row>
    <row r="194" spans="1:14" x14ac:dyDescent="0.3">
      <c r="A194" s="48" t="s">
        <v>119</v>
      </c>
      <c r="B194" s="50" t="s">
        <v>120</v>
      </c>
      <c r="C194" s="49">
        <f t="shared" ref="C194:N194" si="83">($D$191^2)/C192</f>
        <v>210.45047994605719</v>
      </c>
      <c r="D194" s="49">
        <f t="shared" si="83"/>
        <v>184.14416995280004</v>
      </c>
      <c r="E194" s="49">
        <f t="shared" si="83"/>
        <v>163.68370662471114</v>
      </c>
      <c r="F194" s="49">
        <f t="shared" si="83"/>
        <v>147.31533596224003</v>
      </c>
      <c r="G194" s="49">
        <f t="shared" si="83"/>
        <v>98.21022397482669</v>
      </c>
      <c r="H194" s="49">
        <f t="shared" si="83"/>
        <v>73.657667981120014</v>
      </c>
      <c r="I194" s="49">
        <f t="shared" si="83"/>
        <v>58.926134384896017</v>
      </c>
      <c r="J194" s="49">
        <f t="shared" si="83"/>
        <v>49.105111987413345</v>
      </c>
      <c r="K194" s="49">
        <f t="shared" si="83"/>
        <v>42.090095989211441</v>
      </c>
      <c r="L194" s="49">
        <f t="shared" si="83"/>
        <v>36.828833990560007</v>
      </c>
      <c r="M194" s="49">
        <f t="shared" si="83"/>
        <v>32.73674132494223</v>
      </c>
      <c r="N194" s="49">
        <f t="shared" si="83"/>
        <v>29.463067192448008</v>
      </c>
    </row>
    <row r="195" spans="1:14" x14ac:dyDescent="0.3">
      <c r="A195" s="378" t="s">
        <v>126</v>
      </c>
      <c r="B195" s="58" t="s">
        <v>122</v>
      </c>
      <c r="C195" s="59">
        <f t="shared" ref="C195:N195" si="84">($C$39*$C$46*($D$191^2))/($C$4*C$192)</f>
        <v>39985.591189750863</v>
      </c>
      <c r="D195" s="59">
        <f t="shared" si="84"/>
        <v>34987.392291032003</v>
      </c>
      <c r="E195" s="59">
        <f t="shared" si="84"/>
        <v>31099.904258695115</v>
      </c>
      <c r="F195" s="59">
        <f t="shared" si="84"/>
        <v>27989.913832825605</v>
      </c>
      <c r="G195" s="59">
        <f t="shared" si="84"/>
        <v>18659.942555217069</v>
      </c>
      <c r="H195" s="59">
        <f t="shared" si="84"/>
        <v>13994.956916412802</v>
      </c>
      <c r="I195" s="59">
        <f t="shared" si="84"/>
        <v>11195.965533130242</v>
      </c>
      <c r="J195" s="59">
        <f t="shared" si="84"/>
        <v>9329.9712776085344</v>
      </c>
      <c r="K195" s="59">
        <f t="shared" si="84"/>
        <v>7997.1182379501724</v>
      </c>
      <c r="L195" s="59">
        <f t="shared" si="84"/>
        <v>6997.4784582064012</v>
      </c>
      <c r="M195" s="59">
        <f t="shared" si="84"/>
        <v>6219.9808517390229</v>
      </c>
      <c r="N195" s="59">
        <f t="shared" si="84"/>
        <v>5597.982766565121</v>
      </c>
    </row>
    <row r="196" spans="1:14" x14ac:dyDescent="0.3">
      <c r="A196" s="379"/>
      <c r="B196" s="58" t="s">
        <v>123</v>
      </c>
      <c r="C196" s="59">
        <f t="shared" ref="C196:N196" si="85">($D$39*$D$46*($D$191^2))/($C$4*C$192)</f>
        <v>46299.105588132581</v>
      </c>
      <c r="D196" s="59">
        <f t="shared" si="85"/>
        <v>40511.717389616009</v>
      </c>
      <c r="E196" s="59">
        <f t="shared" si="85"/>
        <v>36010.415457436444</v>
      </c>
      <c r="F196" s="59">
        <f t="shared" si="85"/>
        <v>32409.373911692805</v>
      </c>
      <c r="G196" s="59">
        <f t="shared" si="85"/>
        <v>21606.249274461872</v>
      </c>
      <c r="H196" s="59">
        <f t="shared" si="85"/>
        <v>16204.686955846402</v>
      </c>
      <c r="I196" s="59">
        <f t="shared" si="85"/>
        <v>12963.749564677122</v>
      </c>
      <c r="J196" s="59">
        <f t="shared" si="85"/>
        <v>10803.124637230936</v>
      </c>
      <c r="K196" s="59">
        <f t="shared" si="85"/>
        <v>9259.8211176265158</v>
      </c>
      <c r="L196" s="59">
        <f t="shared" si="85"/>
        <v>8102.3434779232011</v>
      </c>
      <c r="M196" s="59">
        <f t="shared" si="85"/>
        <v>7202.0830914872904</v>
      </c>
      <c r="N196" s="59">
        <f t="shared" si="85"/>
        <v>6481.8747823385611</v>
      </c>
    </row>
    <row r="197" spans="1:14" x14ac:dyDescent="0.3">
      <c r="A197" s="379"/>
      <c r="B197" s="58" t="s">
        <v>124</v>
      </c>
      <c r="C197" s="59">
        <f t="shared" ref="C197:N197" si="86">($E$39*$E$46*($D$191^2))/($C$4*C$192)</f>
        <v>52612.619986514299</v>
      </c>
      <c r="D197" s="59">
        <f t="shared" si="86"/>
        <v>46036.042488200008</v>
      </c>
      <c r="E197" s="59">
        <f t="shared" si="86"/>
        <v>40920.926656177784</v>
      </c>
      <c r="F197" s="59">
        <f t="shared" si="86"/>
        <v>36828.833990560008</v>
      </c>
      <c r="G197" s="59">
        <f t="shared" si="86"/>
        <v>24552.555993706672</v>
      </c>
      <c r="H197" s="59">
        <f t="shared" si="86"/>
        <v>18414.416995280004</v>
      </c>
      <c r="I197" s="59">
        <f t="shared" si="86"/>
        <v>14731.533596224002</v>
      </c>
      <c r="J197" s="59">
        <f t="shared" si="86"/>
        <v>12276.277996853336</v>
      </c>
      <c r="K197" s="59">
        <f t="shared" si="86"/>
        <v>10522.523997302858</v>
      </c>
      <c r="L197" s="59">
        <f t="shared" si="86"/>
        <v>9207.208497640002</v>
      </c>
      <c r="M197" s="59">
        <f t="shared" si="86"/>
        <v>8184.185331235557</v>
      </c>
      <c r="N197" s="59">
        <f t="shared" si="86"/>
        <v>7365.7667981120012</v>
      </c>
    </row>
    <row r="198" spans="1:14" x14ac:dyDescent="0.3">
      <c r="A198" s="380"/>
      <c r="B198" s="58" t="s">
        <v>125</v>
      </c>
      <c r="C198" s="59">
        <f t="shared" ref="C198:N198" si="87">($F$39*$F$46*($D$191^2))/($C$4*C$192)</f>
        <v>58926.134384896017</v>
      </c>
      <c r="D198" s="59">
        <f t="shared" si="87"/>
        <v>51560.367586784007</v>
      </c>
      <c r="E198" s="59">
        <f t="shared" si="87"/>
        <v>45831.437854919117</v>
      </c>
      <c r="F198" s="59">
        <f t="shared" si="87"/>
        <v>41248.294069427211</v>
      </c>
      <c r="G198" s="59">
        <f t="shared" si="87"/>
        <v>27498.862712951472</v>
      </c>
      <c r="H198" s="59">
        <f t="shared" si="87"/>
        <v>20624.147034713606</v>
      </c>
      <c r="I198" s="59">
        <f t="shared" si="87"/>
        <v>16499.317627770884</v>
      </c>
      <c r="J198" s="59">
        <f t="shared" si="87"/>
        <v>13749.431356475736</v>
      </c>
      <c r="K198" s="59">
        <f t="shared" si="87"/>
        <v>11785.226876979203</v>
      </c>
      <c r="L198" s="59">
        <f t="shared" si="87"/>
        <v>10312.073517356803</v>
      </c>
      <c r="M198" s="59">
        <f t="shared" si="87"/>
        <v>9166.2875709838245</v>
      </c>
      <c r="N198" s="59">
        <f t="shared" si="87"/>
        <v>8249.6588138854422</v>
      </c>
    </row>
    <row r="199" spans="1:14" x14ac:dyDescent="0.3">
      <c r="A199" s="396" t="s">
        <v>127</v>
      </c>
      <c r="B199" s="55" t="s">
        <v>122</v>
      </c>
      <c r="C199" s="57">
        <f t="shared" ref="C199:N199" si="88">($C$39*$C$45*($D$191^2))/($C$4*C$192)</f>
        <v>59978.386784626309</v>
      </c>
      <c r="D199" s="57">
        <f t="shared" si="88"/>
        <v>52481.088436548016</v>
      </c>
      <c r="E199" s="57">
        <f t="shared" si="88"/>
        <v>46649.856388042674</v>
      </c>
      <c r="F199" s="57">
        <f t="shared" si="88"/>
        <v>41984.870749238413</v>
      </c>
      <c r="G199" s="57">
        <f t="shared" si="88"/>
        <v>27989.913832825609</v>
      </c>
      <c r="H199" s="57">
        <f t="shared" si="88"/>
        <v>20992.435374619206</v>
      </c>
      <c r="I199" s="57">
        <f t="shared" si="88"/>
        <v>16793.948299695367</v>
      </c>
      <c r="J199" s="57">
        <f t="shared" si="88"/>
        <v>13994.956916412804</v>
      </c>
      <c r="K199" s="57">
        <f t="shared" si="88"/>
        <v>11995.67735692526</v>
      </c>
      <c r="L199" s="57">
        <f t="shared" si="88"/>
        <v>10496.217687309603</v>
      </c>
      <c r="M199" s="57">
        <f t="shared" si="88"/>
        <v>9329.9712776085362</v>
      </c>
      <c r="N199" s="57">
        <f t="shared" si="88"/>
        <v>8396.9741498476833</v>
      </c>
    </row>
    <row r="200" spans="1:14" x14ac:dyDescent="0.3">
      <c r="A200" s="396"/>
      <c r="B200" s="55" t="s">
        <v>123</v>
      </c>
      <c r="C200" s="57">
        <f t="shared" ref="C200:N200" si="89">($D$39*$D$45*($D$191^2))/($C$4*C$192)</f>
        <v>69448.658382198875</v>
      </c>
      <c r="D200" s="57">
        <f t="shared" si="89"/>
        <v>60767.576084424014</v>
      </c>
      <c r="E200" s="57">
        <f t="shared" si="89"/>
        <v>54015.623186154677</v>
      </c>
      <c r="F200" s="57">
        <f t="shared" si="89"/>
        <v>48614.060867539214</v>
      </c>
      <c r="G200" s="57">
        <f t="shared" si="89"/>
        <v>32409.373911692808</v>
      </c>
      <c r="H200" s="57">
        <f t="shared" si="89"/>
        <v>24307.030433769607</v>
      </c>
      <c r="I200" s="57">
        <f t="shared" si="89"/>
        <v>19445.624347015684</v>
      </c>
      <c r="J200" s="57">
        <f t="shared" si="89"/>
        <v>16204.686955846404</v>
      </c>
      <c r="K200" s="57">
        <f t="shared" si="89"/>
        <v>13889.731676439775</v>
      </c>
      <c r="L200" s="57">
        <f t="shared" si="89"/>
        <v>12153.515216884804</v>
      </c>
      <c r="M200" s="57">
        <f t="shared" si="89"/>
        <v>10803.124637230936</v>
      </c>
      <c r="N200" s="57">
        <f t="shared" si="89"/>
        <v>9722.8121735078421</v>
      </c>
    </row>
    <row r="201" spans="1:14" x14ac:dyDescent="0.3">
      <c r="A201" s="396"/>
      <c r="B201" s="55" t="s">
        <v>124</v>
      </c>
      <c r="C201" s="57">
        <f t="shared" ref="C201:N201" si="90">($E$39*$E$45*($D$191^2))/($C$4*C$192)</f>
        <v>78918.929979771448</v>
      </c>
      <c r="D201" s="57">
        <f t="shared" si="90"/>
        <v>69054.063732300012</v>
      </c>
      <c r="E201" s="57">
        <f t="shared" si="90"/>
        <v>61381.389984266672</v>
      </c>
      <c r="F201" s="57">
        <f t="shared" si="90"/>
        <v>55243.250985840015</v>
      </c>
      <c r="G201" s="57">
        <f t="shared" si="90"/>
        <v>36828.833990560008</v>
      </c>
      <c r="H201" s="57">
        <f t="shared" si="90"/>
        <v>27621.625492920008</v>
      </c>
      <c r="I201" s="57">
        <f t="shared" si="90"/>
        <v>22097.300394336005</v>
      </c>
      <c r="J201" s="57">
        <f t="shared" si="90"/>
        <v>18414.416995280004</v>
      </c>
      <c r="K201" s="57">
        <f t="shared" si="90"/>
        <v>15783.785995954289</v>
      </c>
      <c r="L201" s="57">
        <f t="shared" si="90"/>
        <v>13810.812746460004</v>
      </c>
      <c r="M201" s="57">
        <f t="shared" si="90"/>
        <v>12276.277996853336</v>
      </c>
      <c r="N201" s="57">
        <f t="shared" si="90"/>
        <v>11048.650197168003</v>
      </c>
    </row>
    <row r="202" spans="1:14" x14ac:dyDescent="0.3">
      <c r="A202" s="396"/>
      <c r="B202" s="55" t="s">
        <v>125</v>
      </c>
      <c r="C202" s="57">
        <f t="shared" ref="C202:N202" si="91">($F$39*$F$45*($D$191^2))/($C$4*C$192)</f>
        <v>88389.201577344022</v>
      </c>
      <c r="D202" s="57">
        <f t="shared" si="91"/>
        <v>77340.55138017601</v>
      </c>
      <c r="E202" s="57">
        <f t="shared" si="91"/>
        <v>68747.156782378675</v>
      </c>
      <c r="F202" s="57">
        <f t="shared" si="91"/>
        <v>61872.441104140817</v>
      </c>
      <c r="G202" s="57">
        <f t="shared" si="91"/>
        <v>41248.294069427211</v>
      </c>
      <c r="H202" s="57">
        <f t="shared" si="91"/>
        <v>30936.220552070408</v>
      </c>
      <c r="I202" s="57">
        <f t="shared" si="91"/>
        <v>24748.976441656327</v>
      </c>
      <c r="J202" s="57">
        <f t="shared" si="91"/>
        <v>20624.147034713606</v>
      </c>
      <c r="K202" s="57">
        <f t="shared" si="91"/>
        <v>17677.840315468802</v>
      </c>
      <c r="L202" s="57">
        <f t="shared" si="91"/>
        <v>15468.110276035204</v>
      </c>
      <c r="M202" s="57">
        <f t="shared" si="91"/>
        <v>13749.431356475736</v>
      </c>
      <c r="N202" s="57">
        <f t="shared" si="91"/>
        <v>12374.488220828163</v>
      </c>
    </row>
    <row r="203" spans="1:14" x14ac:dyDescent="0.3">
      <c r="A203" s="51"/>
      <c r="B203" s="37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 spans="1:14" x14ac:dyDescent="0.3">
      <c r="A204" s="397" t="s">
        <v>271</v>
      </c>
      <c r="B204" s="397"/>
      <c r="C204" s="397"/>
      <c r="D204" s="377">
        <f>B113</f>
        <v>27.777777777777779</v>
      </c>
      <c r="E204" s="377"/>
      <c r="F204" s="377"/>
      <c r="G204" s="60"/>
      <c r="H204" s="60"/>
      <c r="I204" s="60"/>
      <c r="J204" s="60"/>
      <c r="K204" s="60"/>
      <c r="L204" s="60"/>
      <c r="M204" s="60"/>
      <c r="N204" s="60"/>
    </row>
    <row r="205" spans="1:14" x14ac:dyDescent="0.3">
      <c r="A205" s="48" t="s">
        <v>121</v>
      </c>
      <c r="B205" s="50" t="s">
        <v>135</v>
      </c>
      <c r="C205" s="63">
        <v>7</v>
      </c>
      <c r="D205" s="63">
        <v>8</v>
      </c>
      <c r="E205" s="63">
        <v>9</v>
      </c>
      <c r="F205" s="63">
        <v>10</v>
      </c>
      <c r="G205" s="63">
        <v>15</v>
      </c>
      <c r="H205" s="63">
        <v>20</v>
      </c>
      <c r="I205" s="63">
        <v>25</v>
      </c>
      <c r="J205" s="63">
        <v>30</v>
      </c>
      <c r="K205" s="63">
        <v>35</v>
      </c>
      <c r="L205" s="63">
        <v>40</v>
      </c>
      <c r="M205" s="63">
        <v>45</v>
      </c>
      <c r="N205" s="63">
        <v>50</v>
      </c>
    </row>
    <row r="206" spans="1:14" x14ac:dyDescent="0.3">
      <c r="A206" s="48" t="s">
        <v>118</v>
      </c>
      <c r="B206" s="21" t="s">
        <v>140</v>
      </c>
      <c r="C206" s="16">
        <f t="shared" ref="C206:N206" si="92">$D$204/C205</f>
        <v>3.9682539682539684</v>
      </c>
      <c r="D206" s="16">
        <f t="shared" si="92"/>
        <v>3.4722222222222223</v>
      </c>
      <c r="E206" s="16">
        <f t="shared" si="92"/>
        <v>3.0864197530864197</v>
      </c>
      <c r="F206" s="16">
        <f t="shared" si="92"/>
        <v>2.7777777777777777</v>
      </c>
      <c r="G206" s="16">
        <f t="shared" si="92"/>
        <v>1.8518518518518519</v>
      </c>
      <c r="H206" s="16">
        <f t="shared" si="92"/>
        <v>1.3888888888888888</v>
      </c>
      <c r="I206" s="16">
        <f t="shared" si="92"/>
        <v>1.1111111111111112</v>
      </c>
      <c r="J206" s="16">
        <f t="shared" si="92"/>
        <v>0.92592592592592593</v>
      </c>
      <c r="K206" s="16">
        <f t="shared" si="92"/>
        <v>0.79365079365079372</v>
      </c>
      <c r="L206" s="16">
        <f t="shared" si="92"/>
        <v>0.69444444444444442</v>
      </c>
      <c r="M206" s="16">
        <f t="shared" si="92"/>
        <v>0.61728395061728392</v>
      </c>
      <c r="N206" s="16">
        <f t="shared" si="92"/>
        <v>0.55555555555555558</v>
      </c>
    </row>
    <row r="207" spans="1:14" x14ac:dyDescent="0.3">
      <c r="A207" s="48" t="s">
        <v>119</v>
      </c>
      <c r="B207" s="50" t="s">
        <v>120</v>
      </c>
      <c r="C207" s="49">
        <f t="shared" ref="C207:N207" si="93">($D$204^2)/C205</f>
        <v>110.22927689594357</v>
      </c>
      <c r="D207" s="49">
        <f t="shared" si="93"/>
        <v>96.450617283950621</v>
      </c>
      <c r="E207" s="49">
        <f t="shared" si="93"/>
        <v>85.733882030178336</v>
      </c>
      <c r="F207" s="49">
        <f t="shared" si="93"/>
        <v>77.160493827160494</v>
      </c>
      <c r="G207" s="49">
        <f t="shared" si="93"/>
        <v>51.440329218106996</v>
      </c>
      <c r="H207" s="49">
        <f t="shared" si="93"/>
        <v>38.580246913580247</v>
      </c>
      <c r="I207" s="49">
        <f t="shared" si="93"/>
        <v>30.8641975308642</v>
      </c>
      <c r="J207" s="49">
        <f t="shared" si="93"/>
        <v>25.720164609053498</v>
      </c>
      <c r="K207" s="49">
        <f t="shared" si="93"/>
        <v>22.045855379188712</v>
      </c>
      <c r="L207" s="49">
        <f t="shared" si="93"/>
        <v>19.290123456790123</v>
      </c>
      <c r="M207" s="49">
        <f t="shared" si="93"/>
        <v>17.146776406035666</v>
      </c>
      <c r="N207" s="49">
        <f t="shared" si="93"/>
        <v>15.4320987654321</v>
      </c>
    </row>
    <row r="208" spans="1:14" x14ac:dyDescent="0.3">
      <c r="A208" s="378" t="s">
        <v>126</v>
      </c>
      <c r="B208" s="58" t="s">
        <v>122</v>
      </c>
      <c r="C208" s="59">
        <f t="shared" ref="C208:N208" si="94">($C$39*$C$46*($D$204^2))/($C$4*C$205)</f>
        <v>20943.562610229281</v>
      </c>
      <c r="D208" s="59">
        <f t="shared" si="94"/>
        <v>18325.617283950618</v>
      </c>
      <c r="E208" s="59">
        <f t="shared" si="94"/>
        <v>16289.437585733882</v>
      </c>
      <c r="F208" s="59">
        <f t="shared" si="94"/>
        <v>14660.493827160495</v>
      </c>
      <c r="G208" s="59">
        <f t="shared" si="94"/>
        <v>9773.6625514403295</v>
      </c>
      <c r="H208" s="59">
        <f t="shared" si="94"/>
        <v>7330.2469135802476</v>
      </c>
      <c r="I208" s="59">
        <f t="shared" si="94"/>
        <v>5864.1975308641977</v>
      </c>
      <c r="J208" s="59">
        <f t="shared" si="94"/>
        <v>4886.8312757201647</v>
      </c>
      <c r="K208" s="59">
        <f t="shared" si="94"/>
        <v>4188.7125220458556</v>
      </c>
      <c r="L208" s="59">
        <f t="shared" si="94"/>
        <v>3665.1234567901238</v>
      </c>
      <c r="M208" s="59">
        <f t="shared" si="94"/>
        <v>3257.8875171467766</v>
      </c>
      <c r="N208" s="59">
        <f t="shared" si="94"/>
        <v>2932.0987654320988</v>
      </c>
    </row>
    <row r="209" spans="1:14" x14ac:dyDescent="0.3">
      <c r="A209" s="379"/>
      <c r="B209" s="58" t="s">
        <v>123</v>
      </c>
      <c r="C209" s="59">
        <f t="shared" ref="C209:N209" si="95">($D$39*$D$46*($D$204^2))/($C$4*C$205)</f>
        <v>24250.440917107586</v>
      </c>
      <c r="D209" s="59">
        <f t="shared" si="95"/>
        <v>21219.135802469136</v>
      </c>
      <c r="E209" s="59">
        <f t="shared" si="95"/>
        <v>18861.454046639232</v>
      </c>
      <c r="F209" s="59">
        <f t="shared" si="95"/>
        <v>16975.308641975309</v>
      </c>
      <c r="G209" s="59">
        <f t="shared" si="95"/>
        <v>11316.872427983539</v>
      </c>
      <c r="H209" s="59">
        <f t="shared" si="95"/>
        <v>8487.6543209876545</v>
      </c>
      <c r="I209" s="59">
        <f t="shared" si="95"/>
        <v>6790.1234567901238</v>
      </c>
      <c r="J209" s="59">
        <f t="shared" si="95"/>
        <v>5658.4362139917694</v>
      </c>
      <c r="K209" s="59">
        <f t="shared" si="95"/>
        <v>4850.088183421517</v>
      </c>
      <c r="L209" s="59">
        <f t="shared" si="95"/>
        <v>4243.8271604938273</v>
      </c>
      <c r="M209" s="59">
        <f t="shared" si="95"/>
        <v>3772.2908093278465</v>
      </c>
      <c r="N209" s="59">
        <f t="shared" si="95"/>
        <v>3395.0617283950619</v>
      </c>
    </row>
    <row r="210" spans="1:14" x14ac:dyDescent="0.3">
      <c r="A210" s="379"/>
      <c r="B210" s="58" t="s">
        <v>124</v>
      </c>
      <c r="C210" s="59">
        <f t="shared" ref="C210:N210" si="96">($E$39*$E$46*($D$204^2))/($C$4*C$205)</f>
        <v>27557.319223985891</v>
      </c>
      <c r="D210" s="59">
        <f t="shared" si="96"/>
        <v>24112.654320987655</v>
      </c>
      <c r="E210" s="59">
        <f t="shared" si="96"/>
        <v>21433.470507544578</v>
      </c>
      <c r="F210" s="59">
        <f t="shared" si="96"/>
        <v>19290.123456790123</v>
      </c>
      <c r="G210" s="59">
        <f t="shared" si="96"/>
        <v>12860.082304526748</v>
      </c>
      <c r="H210" s="59">
        <f t="shared" si="96"/>
        <v>9645.0617283950614</v>
      </c>
      <c r="I210" s="59">
        <f t="shared" si="96"/>
        <v>7716.049382716049</v>
      </c>
      <c r="J210" s="59">
        <f t="shared" si="96"/>
        <v>6430.041152263374</v>
      </c>
      <c r="K210" s="59">
        <f t="shared" si="96"/>
        <v>5511.4638447971784</v>
      </c>
      <c r="L210" s="59">
        <f t="shared" si="96"/>
        <v>4822.5308641975307</v>
      </c>
      <c r="M210" s="59">
        <f t="shared" si="96"/>
        <v>4286.694101508916</v>
      </c>
      <c r="N210" s="59">
        <f t="shared" si="96"/>
        <v>3858.0246913580245</v>
      </c>
    </row>
    <row r="211" spans="1:14" x14ac:dyDescent="0.3">
      <c r="A211" s="380"/>
      <c r="B211" s="58" t="s">
        <v>125</v>
      </c>
      <c r="C211" s="59">
        <f t="shared" ref="C211:N211" si="97">($F$39*$F$46*($D$204^2))/($C$4*C$205)</f>
        <v>30864.1975308642</v>
      </c>
      <c r="D211" s="59">
        <f t="shared" si="97"/>
        <v>27006.172839506173</v>
      </c>
      <c r="E211" s="59">
        <f t="shared" si="97"/>
        <v>24005.486968449932</v>
      </c>
      <c r="F211" s="59">
        <f t="shared" si="97"/>
        <v>21604.93827160494</v>
      </c>
      <c r="G211" s="59">
        <f t="shared" si="97"/>
        <v>14403.292181069959</v>
      </c>
      <c r="H211" s="59">
        <f t="shared" si="97"/>
        <v>10802.46913580247</v>
      </c>
      <c r="I211" s="59">
        <f t="shared" si="97"/>
        <v>8641.9753086419751</v>
      </c>
      <c r="J211" s="59">
        <f t="shared" si="97"/>
        <v>7201.6460905349795</v>
      </c>
      <c r="K211" s="59">
        <f t="shared" si="97"/>
        <v>6172.8395061728397</v>
      </c>
      <c r="L211" s="59">
        <f t="shared" si="97"/>
        <v>5401.2345679012351</v>
      </c>
      <c r="M211" s="59">
        <f t="shared" si="97"/>
        <v>4801.0973936899863</v>
      </c>
      <c r="N211" s="59">
        <f t="shared" si="97"/>
        <v>4320.9876543209875</v>
      </c>
    </row>
    <row r="212" spans="1:14" x14ac:dyDescent="0.3">
      <c r="A212" s="396" t="s">
        <v>127</v>
      </c>
      <c r="B212" s="55" t="s">
        <v>122</v>
      </c>
      <c r="C212" s="57">
        <f t="shared" ref="C212:N212" si="98">($C$39*$C$45*($D$204^2))/($C$4*C$205)</f>
        <v>31415.343915343921</v>
      </c>
      <c r="D212" s="57">
        <f t="shared" si="98"/>
        <v>27488.425925925927</v>
      </c>
      <c r="E212" s="57">
        <f t="shared" si="98"/>
        <v>24434.156378600823</v>
      </c>
      <c r="F212" s="57">
        <f t="shared" si="98"/>
        <v>21990.740740740745</v>
      </c>
      <c r="G212" s="57">
        <f t="shared" si="98"/>
        <v>14660.493827160495</v>
      </c>
      <c r="H212" s="57">
        <f t="shared" si="98"/>
        <v>10995.370370370372</v>
      </c>
      <c r="I212" s="57">
        <f t="shared" si="98"/>
        <v>8796.2962962962974</v>
      </c>
      <c r="J212" s="57">
        <f t="shared" si="98"/>
        <v>7330.2469135802476</v>
      </c>
      <c r="K212" s="57">
        <f t="shared" si="98"/>
        <v>6283.0687830687839</v>
      </c>
      <c r="L212" s="57">
        <f t="shared" si="98"/>
        <v>5497.6851851851861</v>
      </c>
      <c r="M212" s="57">
        <f t="shared" si="98"/>
        <v>4886.8312757201656</v>
      </c>
      <c r="N212" s="57">
        <f t="shared" si="98"/>
        <v>4398.1481481481487</v>
      </c>
    </row>
    <row r="213" spans="1:14" x14ac:dyDescent="0.3">
      <c r="A213" s="396"/>
      <c r="B213" s="55" t="s">
        <v>123</v>
      </c>
      <c r="C213" s="57">
        <f t="shared" ref="C213:N213" si="99">($D$39*$D$45*($D$204^2))/($C$4*C$205)</f>
        <v>36375.661375661381</v>
      </c>
      <c r="D213" s="57">
        <f t="shared" si="99"/>
        <v>31828.703703703704</v>
      </c>
      <c r="E213" s="57">
        <f t="shared" si="99"/>
        <v>28292.181069958846</v>
      </c>
      <c r="F213" s="57">
        <f t="shared" si="99"/>
        <v>25462.962962962964</v>
      </c>
      <c r="G213" s="57">
        <f t="shared" si="99"/>
        <v>16975.308641975309</v>
      </c>
      <c r="H213" s="57">
        <f t="shared" si="99"/>
        <v>12731.481481481482</v>
      </c>
      <c r="I213" s="57">
        <f t="shared" si="99"/>
        <v>10185.185185185186</v>
      </c>
      <c r="J213" s="57">
        <f t="shared" si="99"/>
        <v>8487.6543209876545</v>
      </c>
      <c r="K213" s="57">
        <f t="shared" si="99"/>
        <v>7275.1322751322759</v>
      </c>
      <c r="L213" s="57">
        <f t="shared" si="99"/>
        <v>6365.7407407407409</v>
      </c>
      <c r="M213" s="57">
        <f t="shared" si="99"/>
        <v>5658.4362139917703</v>
      </c>
      <c r="N213" s="57">
        <f t="shared" si="99"/>
        <v>5092.5925925925931</v>
      </c>
    </row>
    <row r="214" spans="1:14" x14ac:dyDescent="0.3">
      <c r="A214" s="396"/>
      <c r="B214" s="55" t="s">
        <v>124</v>
      </c>
      <c r="C214" s="57">
        <f t="shared" ref="C214:N214" si="100">($E$39*$E$45*($D$204^2))/($C$4*C$205)</f>
        <v>41335.978835978836</v>
      </c>
      <c r="D214" s="57">
        <f t="shared" si="100"/>
        <v>36168.981481481482</v>
      </c>
      <c r="E214" s="57">
        <f t="shared" si="100"/>
        <v>32150.205761316869</v>
      </c>
      <c r="F214" s="57">
        <f t="shared" si="100"/>
        <v>28935.185185185186</v>
      </c>
      <c r="G214" s="57">
        <f t="shared" si="100"/>
        <v>19290.123456790123</v>
      </c>
      <c r="H214" s="57">
        <f t="shared" si="100"/>
        <v>14467.592592592593</v>
      </c>
      <c r="I214" s="57">
        <f t="shared" si="100"/>
        <v>11574.074074074075</v>
      </c>
      <c r="J214" s="57">
        <f t="shared" si="100"/>
        <v>9645.0617283950614</v>
      </c>
      <c r="K214" s="57">
        <f t="shared" si="100"/>
        <v>8267.195767195768</v>
      </c>
      <c r="L214" s="57">
        <f t="shared" si="100"/>
        <v>7233.7962962962965</v>
      </c>
      <c r="M214" s="57">
        <f t="shared" si="100"/>
        <v>6430.0411522633749</v>
      </c>
      <c r="N214" s="57">
        <f t="shared" si="100"/>
        <v>5787.0370370370374</v>
      </c>
    </row>
    <row r="215" spans="1:14" x14ac:dyDescent="0.3">
      <c r="A215" s="396"/>
      <c r="B215" s="55" t="s">
        <v>125</v>
      </c>
      <c r="C215" s="57">
        <f t="shared" ref="C215:N215" si="101">($F$39*$F$45*($D$204^2))/($C$4*C$205)</f>
        <v>46296.296296296299</v>
      </c>
      <c r="D215" s="57">
        <f t="shared" si="101"/>
        <v>40509.259259259255</v>
      </c>
      <c r="E215" s="57">
        <f t="shared" si="101"/>
        <v>36008.230452674892</v>
      </c>
      <c r="F215" s="57">
        <f t="shared" si="101"/>
        <v>32407.407407407409</v>
      </c>
      <c r="G215" s="57">
        <f t="shared" si="101"/>
        <v>21604.938271604937</v>
      </c>
      <c r="H215" s="57">
        <f t="shared" si="101"/>
        <v>16203.703703703704</v>
      </c>
      <c r="I215" s="57">
        <f t="shared" si="101"/>
        <v>12962.962962962964</v>
      </c>
      <c r="J215" s="57">
        <f t="shared" si="101"/>
        <v>10802.469135802468</v>
      </c>
      <c r="K215" s="57">
        <f t="shared" si="101"/>
        <v>9259.2592592592591</v>
      </c>
      <c r="L215" s="57">
        <f t="shared" si="101"/>
        <v>8101.8518518518522</v>
      </c>
      <c r="M215" s="57">
        <f t="shared" si="101"/>
        <v>7201.6460905349795</v>
      </c>
      <c r="N215" s="57">
        <f t="shared" si="101"/>
        <v>6481.4814814814818</v>
      </c>
    </row>
    <row r="216" spans="1:14" x14ac:dyDescent="0.3">
      <c r="A216" s="51"/>
      <c r="B216" s="37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 x14ac:dyDescent="0.3">
      <c r="A217" s="381" t="s">
        <v>139</v>
      </c>
      <c r="B217" s="381"/>
      <c r="C217" s="381"/>
      <c r="D217" s="381"/>
      <c r="E217" s="381"/>
      <c r="F217" s="381"/>
      <c r="G217" s="60"/>
      <c r="H217" s="60"/>
      <c r="I217" s="60"/>
      <c r="J217" s="60"/>
      <c r="K217" s="60"/>
      <c r="L217" s="60"/>
      <c r="M217" s="60"/>
      <c r="N217" s="60"/>
    </row>
    <row r="218" spans="1:14" ht="15" thickBot="1" x14ac:dyDescent="0.35">
      <c r="A218" s="51"/>
      <c r="B218" s="37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 ht="15" thickBot="1" x14ac:dyDescent="0.35">
      <c r="A219" s="382" t="s">
        <v>137</v>
      </c>
      <c r="B219" s="383"/>
      <c r="C219" s="383"/>
      <c r="D219" s="384">
        <v>5</v>
      </c>
      <c r="E219" s="384"/>
      <c r="F219" s="385"/>
      <c r="G219" s="60"/>
      <c r="H219" s="60"/>
      <c r="I219" s="60"/>
      <c r="J219" s="60"/>
      <c r="K219" s="60"/>
      <c r="L219" s="60"/>
      <c r="M219" s="60"/>
      <c r="N219" s="60"/>
    </row>
    <row r="220" spans="1:14" ht="15" thickBot="1" x14ac:dyDescent="0.35">
      <c r="A220" s="258" t="s">
        <v>121</v>
      </c>
      <c r="B220" s="259" t="s">
        <v>135</v>
      </c>
      <c r="C220" s="260">
        <v>7</v>
      </c>
      <c r="D220" s="260">
        <v>8</v>
      </c>
      <c r="E220" s="260">
        <v>9</v>
      </c>
      <c r="F220" s="260">
        <v>10</v>
      </c>
      <c r="G220" s="260">
        <v>15</v>
      </c>
      <c r="H220" s="260">
        <v>20</v>
      </c>
      <c r="I220" s="260">
        <v>25</v>
      </c>
      <c r="J220" s="260">
        <v>30</v>
      </c>
      <c r="K220" s="260">
        <v>35</v>
      </c>
      <c r="L220" s="260">
        <v>40</v>
      </c>
      <c r="M220" s="260">
        <v>45</v>
      </c>
      <c r="N220" s="261">
        <v>50</v>
      </c>
    </row>
    <row r="221" spans="1:14" x14ac:dyDescent="0.3">
      <c r="A221" s="386" t="s">
        <v>667</v>
      </c>
      <c r="B221" s="245" t="s">
        <v>665</v>
      </c>
      <c r="C221" s="206">
        <f>$C$4/C$220</f>
        <v>0.37142857142857144</v>
      </c>
      <c r="D221" s="206">
        <f t="shared" ref="D221:N221" si="102">$C$4/D$220</f>
        <v>0.32500000000000001</v>
      </c>
      <c r="E221" s="206">
        <f t="shared" si="102"/>
        <v>0.28888888888888892</v>
      </c>
      <c r="F221" s="206">
        <f t="shared" si="102"/>
        <v>0.26</v>
      </c>
      <c r="G221" s="206">
        <f t="shared" si="102"/>
        <v>0.17333333333333334</v>
      </c>
      <c r="H221" s="206">
        <f t="shared" si="102"/>
        <v>0.13</v>
      </c>
      <c r="I221" s="206">
        <f t="shared" si="102"/>
        <v>0.10400000000000001</v>
      </c>
      <c r="J221" s="206">
        <f t="shared" si="102"/>
        <v>8.666666666666667E-2</v>
      </c>
      <c r="K221" s="206">
        <f t="shared" si="102"/>
        <v>7.4285714285714288E-2</v>
      </c>
      <c r="L221" s="206">
        <f t="shared" si="102"/>
        <v>6.5000000000000002E-2</v>
      </c>
      <c r="M221" s="206">
        <f t="shared" si="102"/>
        <v>5.7777777777777782E-2</v>
      </c>
      <c r="N221" s="223">
        <f t="shared" si="102"/>
        <v>5.2000000000000005E-2</v>
      </c>
    </row>
    <row r="222" spans="1:14" x14ac:dyDescent="0.3">
      <c r="A222" s="387"/>
      <c r="B222" s="21" t="s">
        <v>666</v>
      </c>
      <c r="C222" s="26">
        <f>DEGREES(C221)</f>
        <v>21.281289533430577</v>
      </c>
      <c r="D222" s="26">
        <f t="shared" ref="D222:N222" si="103">DEGREES(D221)</f>
        <v>18.621128341751756</v>
      </c>
      <c r="E222" s="26">
        <f t="shared" si="103"/>
        <v>16.552114081557118</v>
      </c>
      <c r="F222" s="26">
        <f t="shared" si="103"/>
        <v>14.896902673401405</v>
      </c>
      <c r="G222" s="26">
        <f t="shared" si="103"/>
        <v>9.9312684489342704</v>
      </c>
      <c r="H222" s="26">
        <f t="shared" si="103"/>
        <v>7.4484513367007024</v>
      </c>
      <c r="I222" s="26">
        <f t="shared" si="103"/>
        <v>5.9587610693605617</v>
      </c>
      <c r="J222" s="26">
        <f t="shared" si="103"/>
        <v>4.9656342244671352</v>
      </c>
      <c r="K222" s="26">
        <f t="shared" si="103"/>
        <v>4.2562579066861153</v>
      </c>
      <c r="L222" s="26">
        <f t="shared" si="103"/>
        <v>3.7242256683503512</v>
      </c>
      <c r="M222" s="26">
        <f t="shared" si="103"/>
        <v>3.3104228163114233</v>
      </c>
      <c r="N222" s="234">
        <f t="shared" si="103"/>
        <v>2.9793805346802809</v>
      </c>
    </row>
    <row r="223" spans="1:14" x14ac:dyDescent="0.3">
      <c r="A223" s="253" t="s">
        <v>118</v>
      </c>
      <c r="B223" s="21" t="s">
        <v>140</v>
      </c>
      <c r="C223" s="16">
        <f t="shared" ref="C223:N223" si="104">$D$219/C220</f>
        <v>0.7142857142857143</v>
      </c>
      <c r="D223" s="16">
        <f t="shared" si="104"/>
        <v>0.625</v>
      </c>
      <c r="E223" s="16">
        <f t="shared" si="104"/>
        <v>0.55555555555555558</v>
      </c>
      <c r="F223" s="16">
        <f t="shared" si="104"/>
        <v>0.5</v>
      </c>
      <c r="G223" s="16">
        <f t="shared" si="104"/>
        <v>0.33333333333333331</v>
      </c>
      <c r="H223" s="16">
        <f t="shared" si="104"/>
        <v>0.25</v>
      </c>
      <c r="I223" s="16">
        <f t="shared" si="104"/>
        <v>0.2</v>
      </c>
      <c r="J223" s="16">
        <f t="shared" si="104"/>
        <v>0.16666666666666666</v>
      </c>
      <c r="K223" s="16">
        <f t="shared" si="104"/>
        <v>0.14285714285714285</v>
      </c>
      <c r="L223" s="16">
        <f t="shared" si="104"/>
        <v>0.125</v>
      </c>
      <c r="M223" s="16">
        <f t="shared" si="104"/>
        <v>0.1111111111111111</v>
      </c>
      <c r="N223" s="254">
        <f t="shared" si="104"/>
        <v>0.1</v>
      </c>
    </row>
    <row r="224" spans="1:14" ht="15" thickBot="1" x14ac:dyDescent="0.35">
      <c r="A224" s="255" t="s">
        <v>119</v>
      </c>
      <c r="B224" s="246" t="s">
        <v>120</v>
      </c>
      <c r="C224" s="256">
        <f t="shared" ref="C224:N224" si="105">($D$219^2)/C220</f>
        <v>3.5714285714285716</v>
      </c>
      <c r="D224" s="256">
        <f t="shared" si="105"/>
        <v>3.125</v>
      </c>
      <c r="E224" s="256">
        <f t="shared" si="105"/>
        <v>2.7777777777777777</v>
      </c>
      <c r="F224" s="256">
        <f t="shared" si="105"/>
        <v>2.5</v>
      </c>
      <c r="G224" s="256">
        <f t="shared" si="105"/>
        <v>1.6666666666666667</v>
      </c>
      <c r="H224" s="256">
        <f t="shared" si="105"/>
        <v>1.25</v>
      </c>
      <c r="I224" s="256">
        <f t="shared" si="105"/>
        <v>1</v>
      </c>
      <c r="J224" s="256">
        <f t="shared" si="105"/>
        <v>0.83333333333333337</v>
      </c>
      <c r="K224" s="256">
        <f t="shared" si="105"/>
        <v>0.7142857142857143</v>
      </c>
      <c r="L224" s="256">
        <f t="shared" si="105"/>
        <v>0.625</v>
      </c>
      <c r="M224" s="256">
        <f t="shared" si="105"/>
        <v>0.55555555555555558</v>
      </c>
      <c r="N224" s="257">
        <f t="shared" si="105"/>
        <v>0.5</v>
      </c>
    </row>
    <row r="225" spans="1:14" x14ac:dyDescent="0.3">
      <c r="A225" s="388" t="s">
        <v>675</v>
      </c>
      <c r="B225" s="239" t="s">
        <v>122</v>
      </c>
      <c r="C225" s="247">
        <f t="shared" ref="C225:N225" si="106">($C$39*$C$46*($D$219^2))/($C$4*C$220)</f>
        <v>678.57142857142856</v>
      </c>
      <c r="D225" s="247">
        <f t="shared" si="106"/>
        <v>593.75</v>
      </c>
      <c r="E225" s="247">
        <f t="shared" si="106"/>
        <v>527.77777777777771</v>
      </c>
      <c r="F225" s="247">
        <f t="shared" si="106"/>
        <v>475</v>
      </c>
      <c r="G225" s="247">
        <f t="shared" si="106"/>
        <v>316.66666666666669</v>
      </c>
      <c r="H225" s="247">
        <f t="shared" si="106"/>
        <v>237.5</v>
      </c>
      <c r="I225" s="247">
        <f t="shared" si="106"/>
        <v>190</v>
      </c>
      <c r="J225" s="247">
        <f t="shared" si="106"/>
        <v>158.33333333333334</v>
      </c>
      <c r="K225" s="247">
        <f t="shared" si="106"/>
        <v>135.71428571428572</v>
      </c>
      <c r="L225" s="247">
        <f t="shared" si="106"/>
        <v>118.75</v>
      </c>
      <c r="M225" s="247">
        <f t="shared" si="106"/>
        <v>105.55555555555556</v>
      </c>
      <c r="N225" s="248">
        <f t="shared" si="106"/>
        <v>95</v>
      </c>
    </row>
    <row r="226" spans="1:14" x14ac:dyDescent="0.3">
      <c r="A226" s="386"/>
      <c r="B226" s="58" t="s">
        <v>123</v>
      </c>
      <c r="C226" s="249">
        <f t="shared" ref="C226:N226" si="107">($D$39*$D$46*($D$219^2))/($C$4*C$220)</f>
        <v>785.71428571428578</v>
      </c>
      <c r="D226" s="249">
        <f t="shared" si="107"/>
        <v>687.5</v>
      </c>
      <c r="E226" s="249">
        <f t="shared" si="107"/>
        <v>611.11111111111109</v>
      </c>
      <c r="F226" s="249">
        <f t="shared" si="107"/>
        <v>550</v>
      </c>
      <c r="G226" s="249">
        <f t="shared" si="107"/>
        <v>366.66666666666669</v>
      </c>
      <c r="H226" s="249">
        <f t="shared" si="107"/>
        <v>275</v>
      </c>
      <c r="I226" s="249">
        <f t="shared" si="107"/>
        <v>220</v>
      </c>
      <c r="J226" s="249">
        <f t="shared" si="107"/>
        <v>183.33333333333334</v>
      </c>
      <c r="K226" s="249">
        <f t="shared" si="107"/>
        <v>157.14285714285714</v>
      </c>
      <c r="L226" s="249">
        <f t="shared" si="107"/>
        <v>137.5</v>
      </c>
      <c r="M226" s="249">
        <f t="shared" si="107"/>
        <v>122.22222222222223</v>
      </c>
      <c r="N226" s="250">
        <f t="shared" si="107"/>
        <v>110</v>
      </c>
    </row>
    <row r="227" spans="1:14" x14ac:dyDescent="0.3">
      <c r="A227" s="386"/>
      <c r="B227" s="58" t="s">
        <v>124</v>
      </c>
      <c r="C227" s="249">
        <f t="shared" ref="C227:N227" si="108">($E$39*$E$46*($D$219^2))/($C$4*C$220)</f>
        <v>892.85714285714289</v>
      </c>
      <c r="D227" s="249">
        <f t="shared" si="108"/>
        <v>781.25</v>
      </c>
      <c r="E227" s="249">
        <f t="shared" si="108"/>
        <v>694.44444444444434</v>
      </c>
      <c r="F227" s="249">
        <f t="shared" si="108"/>
        <v>625</v>
      </c>
      <c r="G227" s="249">
        <f t="shared" si="108"/>
        <v>416.66666666666669</v>
      </c>
      <c r="H227" s="249">
        <f t="shared" si="108"/>
        <v>312.5</v>
      </c>
      <c r="I227" s="249">
        <f t="shared" si="108"/>
        <v>250</v>
      </c>
      <c r="J227" s="249">
        <f t="shared" si="108"/>
        <v>208.33333333333334</v>
      </c>
      <c r="K227" s="249">
        <f t="shared" si="108"/>
        <v>178.57142857142858</v>
      </c>
      <c r="L227" s="249">
        <f t="shared" si="108"/>
        <v>156.25</v>
      </c>
      <c r="M227" s="249">
        <f t="shared" si="108"/>
        <v>138.88888888888889</v>
      </c>
      <c r="N227" s="250">
        <f t="shared" si="108"/>
        <v>125</v>
      </c>
    </row>
    <row r="228" spans="1:14" ht="15" thickBot="1" x14ac:dyDescent="0.35">
      <c r="A228" s="389"/>
      <c r="B228" s="240" t="s">
        <v>125</v>
      </c>
      <c r="C228" s="251">
        <f t="shared" ref="C228:N228" si="109">($F$39*$F$46*($D$219^2))/($C$4*C$220)</f>
        <v>1000</v>
      </c>
      <c r="D228" s="251">
        <f t="shared" si="109"/>
        <v>875</v>
      </c>
      <c r="E228" s="251">
        <f t="shared" si="109"/>
        <v>777.77777777777771</v>
      </c>
      <c r="F228" s="251">
        <f t="shared" si="109"/>
        <v>700</v>
      </c>
      <c r="G228" s="251">
        <f t="shared" si="109"/>
        <v>466.66666666666669</v>
      </c>
      <c r="H228" s="251">
        <f t="shared" si="109"/>
        <v>350</v>
      </c>
      <c r="I228" s="251">
        <f t="shared" si="109"/>
        <v>280</v>
      </c>
      <c r="J228" s="251">
        <f t="shared" si="109"/>
        <v>233.33333333333334</v>
      </c>
      <c r="K228" s="251">
        <f t="shared" si="109"/>
        <v>200</v>
      </c>
      <c r="L228" s="251">
        <f t="shared" si="109"/>
        <v>175</v>
      </c>
      <c r="M228" s="251">
        <f t="shared" si="109"/>
        <v>155.55555555555554</v>
      </c>
      <c r="N228" s="252">
        <f t="shared" si="109"/>
        <v>140</v>
      </c>
    </row>
    <row r="229" spans="1:14" x14ac:dyDescent="0.3">
      <c r="A229" s="390" t="s">
        <v>676</v>
      </c>
      <c r="B229" s="237" t="s">
        <v>122</v>
      </c>
      <c r="C229" s="247">
        <f t="shared" ref="C229:N229" si="110">($C$39*$C$45*($D$219^2))/($C$4*C$220)</f>
        <v>1017.8571428571429</v>
      </c>
      <c r="D229" s="247">
        <f t="shared" si="110"/>
        <v>890.625</v>
      </c>
      <c r="E229" s="247">
        <f t="shared" si="110"/>
        <v>791.66666666666663</v>
      </c>
      <c r="F229" s="247">
        <f t="shared" si="110"/>
        <v>712.5</v>
      </c>
      <c r="G229" s="247">
        <f t="shared" si="110"/>
        <v>475</v>
      </c>
      <c r="H229" s="247">
        <f t="shared" si="110"/>
        <v>356.25</v>
      </c>
      <c r="I229" s="247">
        <f t="shared" si="110"/>
        <v>285</v>
      </c>
      <c r="J229" s="247">
        <f t="shared" si="110"/>
        <v>237.5</v>
      </c>
      <c r="K229" s="247">
        <f t="shared" si="110"/>
        <v>203.57142857142858</v>
      </c>
      <c r="L229" s="247">
        <f t="shared" si="110"/>
        <v>178.125</v>
      </c>
      <c r="M229" s="247">
        <f t="shared" si="110"/>
        <v>158.33333333333334</v>
      </c>
      <c r="N229" s="248">
        <f t="shared" si="110"/>
        <v>142.5</v>
      </c>
    </row>
    <row r="230" spans="1:14" x14ac:dyDescent="0.3">
      <c r="A230" s="391"/>
      <c r="B230" s="55" t="s">
        <v>123</v>
      </c>
      <c r="C230" s="249">
        <f t="shared" ref="C230:N230" si="111">($D$39*$D$45*($D$219^2))/($C$4*C$220)</f>
        <v>1178.5714285714287</v>
      </c>
      <c r="D230" s="249">
        <f t="shared" si="111"/>
        <v>1031.25</v>
      </c>
      <c r="E230" s="249">
        <f t="shared" si="111"/>
        <v>916.66666666666663</v>
      </c>
      <c r="F230" s="249">
        <f t="shared" si="111"/>
        <v>825</v>
      </c>
      <c r="G230" s="249">
        <f t="shared" si="111"/>
        <v>550</v>
      </c>
      <c r="H230" s="249">
        <f t="shared" si="111"/>
        <v>412.5</v>
      </c>
      <c r="I230" s="249">
        <f t="shared" si="111"/>
        <v>330</v>
      </c>
      <c r="J230" s="249">
        <f t="shared" si="111"/>
        <v>275</v>
      </c>
      <c r="K230" s="249">
        <f t="shared" si="111"/>
        <v>235.71428571428572</v>
      </c>
      <c r="L230" s="249">
        <f t="shared" si="111"/>
        <v>206.25</v>
      </c>
      <c r="M230" s="249">
        <f t="shared" si="111"/>
        <v>183.33333333333334</v>
      </c>
      <c r="N230" s="250">
        <f t="shared" si="111"/>
        <v>165</v>
      </c>
    </row>
    <row r="231" spans="1:14" x14ac:dyDescent="0.3">
      <c r="A231" s="391"/>
      <c r="B231" s="55" t="s">
        <v>124</v>
      </c>
      <c r="C231" s="249">
        <f t="shared" ref="C231:N231" si="112">($E$39*$E$45*($D$219^2))/($C$4*C$220)</f>
        <v>1339.2857142857144</v>
      </c>
      <c r="D231" s="249">
        <f t="shared" si="112"/>
        <v>1171.875</v>
      </c>
      <c r="E231" s="249">
        <f t="shared" si="112"/>
        <v>1041.6666666666665</v>
      </c>
      <c r="F231" s="249">
        <f t="shared" si="112"/>
        <v>937.5</v>
      </c>
      <c r="G231" s="249">
        <f t="shared" si="112"/>
        <v>625</v>
      </c>
      <c r="H231" s="249">
        <f t="shared" si="112"/>
        <v>468.75</v>
      </c>
      <c r="I231" s="249">
        <f t="shared" si="112"/>
        <v>375</v>
      </c>
      <c r="J231" s="249">
        <f t="shared" si="112"/>
        <v>312.5</v>
      </c>
      <c r="K231" s="249">
        <f t="shared" si="112"/>
        <v>267.85714285714283</v>
      </c>
      <c r="L231" s="249">
        <f t="shared" si="112"/>
        <v>234.375</v>
      </c>
      <c r="M231" s="249">
        <f t="shared" si="112"/>
        <v>208.33333333333334</v>
      </c>
      <c r="N231" s="250">
        <f t="shared" si="112"/>
        <v>187.5</v>
      </c>
    </row>
    <row r="232" spans="1:14" ht="15" thickBot="1" x14ac:dyDescent="0.35">
      <c r="A232" s="392"/>
      <c r="B232" s="267" t="s">
        <v>125</v>
      </c>
      <c r="C232" s="268">
        <f t="shared" ref="C232:N232" si="113">($F$39*$F$45*($D$219^2))/($C$4*C$220)</f>
        <v>1500</v>
      </c>
      <c r="D232" s="268">
        <f t="shared" si="113"/>
        <v>1312.5</v>
      </c>
      <c r="E232" s="268">
        <f t="shared" si="113"/>
        <v>1166.6666666666665</v>
      </c>
      <c r="F232" s="268">
        <f t="shared" si="113"/>
        <v>1050</v>
      </c>
      <c r="G232" s="268">
        <f t="shared" si="113"/>
        <v>700</v>
      </c>
      <c r="H232" s="268">
        <f t="shared" si="113"/>
        <v>525</v>
      </c>
      <c r="I232" s="268">
        <f t="shared" si="113"/>
        <v>420</v>
      </c>
      <c r="J232" s="268">
        <f t="shared" si="113"/>
        <v>350</v>
      </c>
      <c r="K232" s="268">
        <f t="shared" si="113"/>
        <v>300</v>
      </c>
      <c r="L232" s="268">
        <f t="shared" si="113"/>
        <v>262.5</v>
      </c>
      <c r="M232" s="268">
        <f t="shared" si="113"/>
        <v>233.33333333333334</v>
      </c>
      <c r="N232" s="269">
        <f t="shared" si="113"/>
        <v>210</v>
      </c>
    </row>
    <row r="233" spans="1:14" x14ac:dyDescent="0.3">
      <c r="A233" s="393" t="s">
        <v>673</v>
      </c>
      <c r="B233" s="239" t="s">
        <v>122</v>
      </c>
      <c r="C233" s="271">
        <v>16000</v>
      </c>
      <c r="D233" s="247">
        <v>16000</v>
      </c>
      <c r="E233" s="247">
        <v>16000</v>
      </c>
      <c r="F233" s="247">
        <v>16000</v>
      </c>
      <c r="G233" s="247">
        <v>16000</v>
      </c>
      <c r="H233" s="247">
        <v>16000</v>
      </c>
      <c r="I233" s="247">
        <v>16000</v>
      </c>
      <c r="J233" s="247">
        <v>16000</v>
      </c>
      <c r="K233" s="247">
        <v>16000</v>
      </c>
      <c r="L233" s="247">
        <v>16000</v>
      </c>
      <c r="M233" s="247">
        <v>16000</v>
      </c>
      <c r="N233" s="248">
        <v>16000</v>
      </c>
    </row>
    <row r="234" spans="1:14" x14ac:dyDescent="0.3">
      <c r="A234" s="394"/>
      <c r="B234" s="58" t="s">
        <v>123</v>
      </c>
      <c r="C234" s="63">
        <v>19000</v>
      </c>
      <c r="D234" s="249">
        <v>19000</v>
      </c>
      <c r="E234" s="249">
        <v>19000</v>
      </c>
      <c r="F234" s="249">
        <v>19000</v>
      </c>
      <c r="G234" s="249">
        <v>19000</v>
      </c>
      <c r="H234" s="249">
        <v>19000</v>
      </c>
      <c r="I234" s="249">
        <v>19000</v>
      </c>
      <c r="J234" s="249">
        <v>19000</v>
      </c>
      <c r="K234" s="249">
        <v>19000</v>
      </c>
      <c r="L234" s="249">
        <v>19000</v>
      </c>
      <c r="M234" s="249">
        <v>19000</v>
      </c>
      <c r="N234" s="250">
        <v>19000</v>
      </c>
    </row>
    <row r="235" spans="1:14" x14ac:dyDescent="0.3">
      <c r="A235" s="394"/>
      <c r="B235" s="58" t="s">
        <v>124</v>
      </c>
      <c r="C235" s="63">
        <v>20500</v>
      </c>
      <c r="D235" s="249">
        <v>20500</v>
      </c>
      <c r="E235" s="249">
        <v>20500</v>
      </c>
      <c r="F235" s="249">
        <v>20500</v>
      </c>
      <c r="G235" s="249">
        <v>20500</v>
      </c>
      <c r="H235" s="249">
        <v>20500</v>
      </c>
      <c r="I235" s="249">
        <v>20500</v>
      </c>
      <c r="J235" s="249">
        <v>20500</v>
      </c>
      <c r="K235" s="249">
        <v>20500</v>
      </c>
      <c r="L235" s="249">
        <v>20500</v>
      </c>
      <c r="M235" s="249">
        <v>20500</v>
      </c>
      <c r="N235" s="250">
        <v>20500</v>
      </c>
    </row>
    <row r="236" spans="1:14" ht="15" thickBot="1" x14ac:dyDescent="0.35">
      <c r="A236" s="395"/>
      <c r="B236" s="240" t="s">
        <v>125</v>
      </c>
      <c r="C236" s="272">
        <v>22000</v>
      </c>
      <c r="D236" s="251">
        <v>22000</v>
      </c>
      <c r="E236" s="251">
        <v>22000</v>
      </c>
      <c r="F236" s="251">
        <v>22000</v>
      </c>
      <c r="G236" s="251">
        <v>22000</v>
      </c>
      <c r="H236" s="251">
        <v>22000</v>
      </c>
      <c r="I236" s="251">
        <v>22000</v>
      </c>
      <c r="J236" s="251">
        <v>22000</v>
      </c>
      <c r="K236" s="251">
        <v>22000</v>
      </c>
      <c r="L236" s="251">
        <v>22000</v>
      </c>
      <c r="M236" s="251">
        <v>22000</v>
      </c>
      <c r="N236" s="252">
        <v>22000</v>
      </c>
    </row>
    <row r="237" spans="1:14" x14ac:dyDescent="0.3">
      <c r="A237" s="393" t="s">
        <v>674</v>
      </c>
      <c r="B237" s="237" t="s">
        <v>122</v>
      </c>
      <c r="C237" s="271">
        <v>20000</v>
      </c>
      <c r="D237" s="247">
        <v>20000</v>
      </c>
      <c r="E237" s="247">
        <v>20000</v>
      </c>
      <c r="F237" s="247">
        <v>20000</v>
      </c>
      <c r="G237" s="247">
        <v>20000</v>
      </c>
      <c r="H237" s="247">
        <v>20000</v>
      </c>
      <c r="I237" s="247">
        <v>20000</v>
      </c>
      <c r="J237" s="247">
        <v>20000</v>
      </c>
      <c r="K237" s="247">
        <v>20000</v>
      </c>
      <c r="L237" s="247">
        <v>20000</v>
      </c>
      <c r="M237" s="247">
        <v>20000</v>
      </c>
      <c r="N237" s="248">
        <v>20000</v>
      </c>
    </row>
    <row r="238" spans="1:14" x14ac:dyDescent="0.3">
      <c r="A238" s="394"/>
      <c r="B238" s="55" t="s">
        <v>123</v>
      </c>
      <c r="C238" s="63">
        <v>21000</v>
      </c>
      <c r="D238" s="249">
        <v>21000</v>
      </c>
      <c r="E238" s="249">
        <v>21000</v>
      </c>
      <c r="F238" s="249">
        <v>21000</v>
      </c>
      <c r="G238" s="249">
        <v>21000</v>
      </c>
      <c r="H238" s="249">
        <v>21000</v>
      </c>
      <c r="I238" s="249">
        <v>21000</v>
      </c>
      <c r="J238" s="249">
        <v>21000</v>
      </c>
      <c r="K238" s="249">
        <v>21000</v>
      </c>
      <c r="L238" s="249">
        <v>21000</v>
      </c>
      <c r="M238" s="249">
        <v>21000</v>
      </c>
      <c r="N238" s="250">
        <v>21000</v>
      </c>
    </row>
    <row r="239" spans="1:14" x14ac:dyDescent="0.3">
      <c r="A239" s="394"/>
      <c r="B239" s="55" t="s">
        <v>124</v>
      </c>
      <c r="C239" s="63">
        <v>23000</v>
      </c>
      <c r="D239" s="249">
        <v>23000</v>
      </c>
      <c r="E239" s="249">
        <v>23000</v>
      </c>
      <c r="F239" s="249">
        <v>23000</v>
      </c>
      <c r="G239" s="249">
        <v>23000</v>
      </c>
      <c r="H239" s="249">
        <v>23000</v>
      </c>
      <c r="I239" s="249">
        <v>23000</v>
      </c>
      <c r="J239" s="249">
        <v>23000</v>
      </c>
      <c r="K239" s="249">
        <v>23000</v>
      </c>
      <c r="L239" s="249">
        <v>23000</v>
      </c>
      <c r="M239" s="249">
        <v>23000</v>
      </c>
      <c r="N239" s="250">
        <v>23000</v>
      </c>
    </row>
    <row r="240" spans="1:14" ht="15" thickBot="1" x14ac:dyDescent="0.35">
      <c r="A240" s="395"/>
      <c r="B240" s="238" t="s">
        <v>125</v>
      </c>
      <c r="C240" s="272">
        <v>26000</v>
      </c>
      <c r="D240" s="251">
        <v>26000</v>
      </c>
      <c r="E240" s="251">
        <v>26000</v>
      </c>
      <c r="F240" s="251">
        <v>26000</v>
      </c>
      <c r="G240" s="251">
        <v>26000</v>
      </c>
      <c r="H240" s="251">
        <v>26000</v>
      </c>
      <c r="I240" s="251">
        <v>26000</v>
      </c>
      <c r="J240" s="251">
        <v>26000</v>
      </c>
      <c r="K240" s="251">
        <v>26000</v>
      </c>
      <c r="L240" s="251">
        <v>26000</v>
      </c>
      <c r="M240" s="251">
        <v>26000</v>
      </c>
      <c r="N240" s="252">
        <v>26000</v>
      </c>
    </row>
    <row r="241" spans="1:16" x14ac:dyDescent="0.3">
      <c r="A241" s="390" t="s">
        <v>131</v>
      </c>
      <c r="B241" s="239" t="s">
        <v>122</v>
      </c>
      <c r="C241" s="262">
        <f>C$225/C$233</f>
        <v>4.2410714285714288E-2</v>
      </c>
      <c r="D241" s="262">
        <f t="shared" ref="D241:N241" si="114">D$225/D$233</f>
        <v>3.7109375E-2</v>
      </c>
      <c r="E241" s="262">
        <f t="shared" si="114"/>
        <v>3.2986111111111105E-2</v>
      </c>
      <c r="F241" s="262">
        <f t="shared" si="114"/>
        <v>2.9687499999999999E-2</v>
      </c>
      <c r="G241" s="262">
        <f t="shared" si="114"/>
        <v>1.9791666666666669E-2</v>
      </c>
      <c r="H241" s="262">
        <f t="shared" si="114"/>
        <v>1.4843749999999999E-2</v>
      </c>
      <c r="I241" s="262">
        <f t="shared" si="114"/>
        <v>1.1875E-2</v>
      </c>
      <c r="J241" s="262">
        <f t="shared" si="114"/>
        <v>9.8958333333333346E-3</v>
      </c>
      <c r="K241" s="262">
        <f t="shared" si="114"/>
        <v>8.4821428571428582E-3</v>
      </c>
      <c r="L241" s="262">
        <f t="shared" si="114"/>
        <v>7.4218749999999997E-3</v>
      </c>
      <c r="M241" s="262">
        <f t="shared" si="114"/>
        <v>6.5972222222222222E-3</v>
      </c>
      <c r="N241" s="263">
        <f t="shared" si="114"/>
        <v>5.9375000000000001E-3</v>
      </c>
    </row>
    <row r="242" spans="1:16" x14ac:dyDescent="0.3">
      <c r="A242" s="391"/>
      <c r="B242" s="58" t="s">
        <v>123</v>
      </c>
      <c r="C242" s="278">
        <f>C$226/C$234</f>
        <v>4.1353383458646621E-2</v>
      </c>
      <c r="D242" s="278">
        <f t="shared" ref="D242:N242" si="115">D$226/D$234</f>
        <v>3.6184210526315791E-2</v>
      </c>
      <c r="E242" s="278">
        <f t="shared" si="115"/>
        <v>3.2163742690058478E-2</v>
      </c>
      <c r="F242" s="278">
        <f t="shared" si="115"/>
        <v>2.8947368421052631E-2</v>
      </c>
      <c r="G242" s="278">
        <f t="shared" si="115"/>
        <v>1.9298245614035089E-2</v>
      </c>
      <c r="H242" s="278">
        <f t="shared" si="115"/>
        <v>1.4473684210526316E-2</v>
      </c>
      <c r="I242" s="278">
        <f t="shared" si="115"/>
        <v>1.1578947368421053E-2</v>
      </c>
      <c r="J242" s="278">
        <f t="shared" si="115"/>
        <v>9.6491228070175444E-3</v>
      </c>
      <c r="K242" s="278">
        <f t="shared" si="115"/>
        <v>8.2706766917293225E-3</v>
      </c>
      <c r="L242" s="278">
        <f t="shared" si="115"/>
        <v>7.2368421052631578E-3</v>
      </c>
      <c r="M242" s="278">
        <f t="shared" si="115"/>
        <v>6.4327485380116962E-3</v>
      </c>
      <c r="N242" s="264">
        <f t="shared" si="115"/>
        <v>5.7894736842105266E-3</v>
      </c>
    </row>
    <row r="243" spans="1:16" x14ac:dyDescent="0.3">
      <c r="A243" s="391"/>
      <c r="B243" s="58" t="s">
        <v>124</v>
      </c>
      <c r="C243" s="278">
        <f>C$227/C$235</f>
        <v>4.3554006968641118E-2</v>
      </c>
      <c r="D243" s="278">
        <f t="shared" ref="D243:N243" si="116">D$227/D$235</f>
        <v>3.8109756097560975E-2</v>
      </c>
      <c r="E243" s="278">
        <f t="shared" si="116"/>
        <v>3.3875338753387531E-2</v>
      </c>
      <c r="F243" s="278">
        <f t="shared" si="116"/>
        <v>3.048780487804878E-2</v>
      </c>
      <c r="G243" s="278">
        <f t="shared" si="116"/>
        <v>2.032520325203252E-2</v>
      </c>
      <c r="H243" s="278">
        <f t="shared" si="116"/>
        <v>1.524390243902439E-2</v>
      </c>
      <c r="I243" s="278">
        <f t="shared" si="116"/>
        <v>1.2195121951219513E-2</v>
      </c>
      <c r="J243" s="278">
        <f t="shared" si="116"/>
        <v>1.016260162601626E-2</v>
      </c>
      <c r="K243" s="278">
        <f t="shared" si="116"/>
        <v>8.7108013937282243E-3</v>
      </c>
      <c r="L243" s="278">
        <f t="shared" si="116"/>
        <v>7.621951219512195E-3</v>
      </c>
      <c r="M243" s="278">
        <f t="shared" si="116"/>
        <v>6.7750677506775063E-3</v>
      </c>
      <c r="N243" s="264">
        <f t="shared" si="116"/>
        <v>6.0975609756097563E-3</v>
      </c>
    </row>
    <row r="244" spans="1:16" ht="15" thickBot="1" x14ac:dyDescent="0.35">
      <c r="A244" s="402"/>
      <c r="B244" s="240" t="s">
        <v>125</v>
      </c>
      <c r="C244" s="265">
        <f>C$228/C$236</f>
        <v>4.5454545454545456E-2</v>
      </c>
      <c r="D244" s="265">
        <f t="shared" ref="D244:N244" si="117">D$228/D$236</f>
        <v>3.9772727272727272E-2</v>
      </c>
      <c r="E244" s="265">
        <f t="shared" si="117"/>
        <v>3.5353535353535352E-2</v>
      </c>
      <c r="F244" s="265">
        <f t="shared" si="117"/>
        <v>3.1818181818181815E-2</v>
      </c>
      <c r="G244" s="265">
        <f t="shared" si="117"/>
        <v>2.1212121212121213E-2</v>
      </c>
      <c r="H244" s="265">
        <f t="shared" si="117"/>
        <v>1.5909090909090907E-2</v>
      </c>
      <c r="I244" s="265">
        <f t="shared" si="117"/>
        <v>1.2727272727272728E-2</v>
      </c>
      <c r="J244" s="265">
        <f t="shared" si="117"/>
        <v>1.0606060606060607E-2</v>
      </c>
      <c r="K244" s="265">
        <f t="shared" si="117"/>
        <v>9.0909090909090905E-3</v>
      </c>
      <c r="L244" s="265">
        <f t="shared" si="117"/>
        <v>7.9545454545454537E-3</v>
      </c>
      <c r="M244" s="265">
        <f t="shared" si="117"/>
        <v>7.0707070707070703E-3</v>
      </c>
      <c r="N244" s="266">
        <f t="shared" si="117"/>
        <v>6.3636363636363638E-3</v>
      </c>
    </row>
    <row r="245" spans="1:16" x14ac:dyDescent="0.3">
      <c r="A245" s="386" t="s">
        <v>133</v>
      </c>
      <c r="B245" s="270" t="s">
        <v>122</v>
      </c>
      <c r="C245" s="206">
        <f>DEGREES(C241)</f>
        <v>2.4299549347066165</v>
      </c>
      <c r="D245" s="206">
        <f t="shared" ref="D245:N246" si="118">DEGREES(D241)</f>
        <v>2.1262105678682892</v>
      </c>
      <c r="E245" s="206">
        <f t="shared" si="118"/>
        <v>1.8899649492162569</v>
      </c>
      <c r="F245" s="206">
        <f t="shared" si="118"/>
        <v>1.7009684542946313</v>
      </c>
      <c r="G245" s="206">
        <f t="shared" si="118"/>
        <v>1.1339789695297544</v>
      </c>
      <c r="H245" s="206">
        <f t="shared" si="118"/>
        <v>0.85048422714731564</v>
      </c>
      <c r="I245" s="206">
        <f t="shared" si="118"/>
        <v>0.68038738171785262</v>
      </c>
      <c r="J245" s="206">
        <f t="shared" si="118"/>
        <v>0.56698948476487721</v>
      </c>
      <c r="K245" s="206">
        <f t="shared" si="118"/>
        <v>0.48599098694132331</v>
      </c>
      <c r="L245" s="206">
        <f t="shared" si="118"/>
        <v>0.42524211357365782</v>
      </c>
      <c r="M245" s="206">
        <f t="shared" si="118"/>
        <v>0.37799298984325141</v>
      </c>
      <c r="N245" s="223">
        <f t="shared" si="118"/>
        <v>0.34019369085892631</v>
      </c>
    </row>
    <row r="246" spans="1:16" x14ac:dyDescent="0.3">
      <c r="A246" s="386"/>
      <c r="B246" s="58" t="s">
        <v>123</v>
      </c>
      <c r="C246" s="26">
        <f>DEGREES(C242)</f>
        <v>2.3693743407665626</v>
      </c>
      <c r="D246" s="26">
        <f t="shared" si="118"/>
        <v>2.0732025481707419</v>
      </c>
      <c r="E246" s="26">
        <f t="shared" si="118"/>
        <v>1.8428467094851038</v>
      </c>
      <c r="F246" s="26">
        <f t="shared" si="118"/>
        <v>1.6585620385365936</v>
      </c>
      <c r="G246" s="26">
        <f t="shared" si="118"/>
        <v>1.1057080256910625</v>
      </c>
      <c r="H246" s="26">
        <f t="shared" si="118"/>
        <v>0.82928101926829678</v>
      </c>
      <c r="I246" s="26">
        <f t="shared" si="118"/>
        <v>0.66342481541463749</v>
      </c>
      <c r="J246" s="26">
        <f t="shared" si="118"/>
        <v>0.55285401284553126</v>
      </c>
      <c r="K246" s="26">
        <f t="shared" si="118"/>
        <v>0.47387486815331242</v>
      </c>
      <c r="L246" s="26">
        <f t="shared" si="118"/>
        <v>0.41464050963414839</v>
      </c>
      <c r="M246" s="26">
        <f t="shared" si="118"/>
        <v>0.36856934189702079</v>
      </c>
      <c r="N246" s="234">
        <f t="shared" si="118"/>
        <v>0.33171240770731875</v>
      </c>
    </row>
    <row r="247" spans="1:16" x14ac:dyDescent="0.3">
      <c r="A247" s="386"/>
      <c r="B247" s="58" t="s">
        <v>124</v>
      </c>
      <c r="C247" s="26">
        <f t="shared" ref="C247:N248" si="119">DEGREES(C243)</f>
        <v>2.4954607801865123</v>
      </c>
      <c r="D247" s="26">
        <f t="shared" si="119"/>
        <v>2.1835281826631983</v>
      </c>
      <c r="E247" s="26">
        <f t="shared" si="119"/>
        <v>1.940913940145065</v>
      </c>
      <c r="F247" s="26">
        <f t="shared" si="119"/>
        <v>1.7468225461305587</v>
      </c>
      <c r="G247" s="26">
        <f t="shared" si="119"/>
        <v>1.1645483640870391</v>
      </c>
      <c r="H247" s="26">
        <f t="shared" si="119"/>
        <v>0.87341127306527933</v>
      </c>
      <c r="I247" s="26">
        <f t="shared" si="119"/>
        <v>0.69872901845222346</v>
      </c>
      <c r="J247" s="26">
        <f t="shared" si="119"/>
        <v>0.58227418204351955</v>
      </c>
      <c r="K247" s="26">
        <f t="shared" si="119"/>
        <v>0.49909215603730256</v>
      </c>
      <c r="L247" s="26">
        <f t="shared" si="119"/>
        <v>0.43670563653263966</v>
      </c>
      <c r="M247" s="26">
        <f t="shared" si="119"/>
        <v>0.38818278802901302</v>
      </c>
      <c r="N247" s="234">
        <f t="shared" si="119"/>
        <v>0.34936450922611173</v>
      </c>
    </row>
    <row r="248" spans="1:16" ht="15" thickBot="1" x14ac:dyDescent="0.35">
      <c r="A248" s="389"/>
      <c r="B248" s="240" t="s">
        <v>125</v>
      </c>
      <c r="C248" s="217">
        <f t="shared" si="119"/>
        <v>2.6043536142310146</v>
      </c>
      <c r="D248" s="217">
        <f t="shared" si="119"/>
        <v>2.2788094124521376</v>
      </c>
      <c r="E248" s="217">
        <f t="shared" si="119"/>
        <v>2.0256083666241222</v>
      </c>
      <c r="F248" s="217">
        <f t="shared" si="119"/>
        <v>1.8230475299617102</v>
      </c>
      <c r="G248" s="217">
        <f t="shared" si="119"/>
        <v>1.2153650199744737</v>
      </c>
      <c r="H248" s="217">
        <f t="shared" si="119"/>
        <v>0.91152376498085508</v>
      </c>
      <c r="I248" s="217">
        <f t="shared" si="119"/>
        <v>0.72921901198468408</v>
      </c>
      <c r="J248" s="217">
        <f t="shared" si="119"/>
        <v>0.60768250998723683</v>
      </c>
      <c r="K248" s="217">
        <f t="shared" si="119"/>
        <v>0.52087072284620295</v>
      </c>
      <c r="L248" s="217">
        <f t="shared" si="119"/>
        <v>0.45576188249042754</v>
      </c>
      <c r="M248" s="217">
        <f t="shared" si="119"/>
        <v>0.40512167332482446</v>
      </c>
      <c r="N248" s="218">
        <f t="shared" si="119"/>
        <v>0.36460950599234204</v>
      </c>
    </row>
    <row r="249" spans="1:16" x14ac:dyDescent="0.3">
      <c r="A249" s="388" t="s">
        <v>132</v>
      </c>
      <c r="B249" s="237" t="s">
        <v>122</v>
      </c>
      <c r="C249" s="262">
        <f>C$229/C$237</f>
        <v>5.0892857142857142E-2</v>
      </c>
      <c r="D249" s="262">
        <f t="shared" ref="D249:N249" si="120">D$229/D$237</f>
        <v>4.4531250000000001E-2</v>
      </c>
      <c r="E249" s="262">
        <f t="shared" si="120"/>
        <v>3.9583333333333331E-2</v>
      </c>
      <c r="F249" s="262">
        <f t="shared" si="120"/>
        <v>3.5624999999999997E-2</v>
      </c>
      <c r="G249" s="262">
        <f t="shared" si="120"/>
        <v>2.375E-2</v>
      </c>
      <c r="H249" s="262">
        <f t="shared" si="120"/>
        <v>1.7812499999999998E-2</v>
      </c>
      <c r="I249" s="262">
        <f t="shared" si="120"/>
        <v>1.4250000000000001E-2</v>
      </c>
      <c r="J249" s="262">
        <f t="shared" si="120"/>
        <v>1.1875E-2</v>
      </c>
      <c r="K249" s="262">
        <f t="shared" si="120"/>
        <v>1.0178571428571429E-2</v>
      </c>
      <c r="L249" s="262">
        <f t="shared" si="120"/>
        <v>8.9062499999999992E-3</v>
      </c>
      <c r="M249" s="262">
        <f t="shared" si="120"/>
        <v>7.9166666666666673E-3</v>
      </c>
      <c r="N249" s="263">
        <f t="shared" si="120"/>
        <v>7.1250000000000003E-3</v>
      </c>
    </row>
    <row r="250" spans="1:16" x14ac:dyDescent="0.3">
      <c r="A250" s="386"/>
      <c r="B250" s="55" t="s">
        <v>123</v>
      </c>
      <c r="C250" s="278">
        <f>C$230/C$238</f>
        <v>5.6122448979591844E-2</v>
      </c>
      <c r="D250" s="278">
        <f t="shared" ref="D250:N250" si="121">D$230/D$238</f>
        <v>4.9107142857142856E-2</v>
      </c>
      <c r="E250" s="278">
        <f t="shared" si="121"/>
        <v>4.3650793650793648E-2</v>
      </c>
      <c r="F250" s="278">
        <f t="shared" si="121"/>
        <v>3.9285714285714285E-2</v>
      </c>
      <c r="G250" s="278">
        <f t="shared" si="121"/>
        <v>2.6190476190476191E-2</v>
      </c>
      <c r="H250" s="278">
        <f t="shared" si="121"/>
        <v>1.9642857142857142E-2</v>
      </c>
      <c r="I250" s="278">
        <f t="shared" si="121"/>
        <v>1.5714285714285715E-2</v>
      </c>
      <c r="J250" s="278">
        <f t="shared" si="121"/>
        <v>1.3095238095238096E-2</v>
      </c>
      <c r="K250" s="278">
        <f t="shared" si="121"/>
        <v>1.1224489795918368E-2</v>
      </c>
      <c r="L250" s="278">
        <f t="shared" si="121"/>
        <v>9.8214285714285712E-3</v>
      </c>
      <c r="M250" s="278">
        <f t="shared" si="121"/>
        <v>8.7301587301587304E-3</v>
      </c>
      <c r="N250" s="264">
        <f t="shared" si="121"/>
        <v>7.8571428571428577E-3</v>
      </c>
    </row>
    <row r="251" spans="1:16" x14ac:dyDescent="0.3">
      <c r="A251" s="386"/>
      <c r="B251" s="55" t="s">
        <v>124</v>
      </c>
      <c r="C251" s="278">
        <f>C$231/C$239</f>
        <v>5.8229813664596279E-2</v>
      </c>
      <c r="D251" s="278">
        <f t="shared" ref="D251:N251" si="122">D$231/D$239</f>
        <v>5.0951086956521736E-2</v>
      </c>
      <c r="E251" s="278">
        <f t="shared" si="122"/>
        <v>4.5289855072463761E-2</v>
      </c>
      <c r="F251" s="278">
        <f t="shared" si="122"/>
        <v>4.0760869565217392E-2</v>
      </c>
      <c r="G251" s="278">
        <f t="shared" si="122"/>
        <v>2.717391304347826E-2</v>
      </c>
      <c r="H251" s="278">
        <f t="shared" si="122"/>
        <v>2.0380434782608696E-2</v>
      </c>
      <c r="I251" s="278">
        <f t="shared" si="122"/>
        <v>1.6304347826086956E-2</v>
      </c>
      <c r="J251" s="278">
        <f t="shared" si="122"/>
        <v>1.358695652173913E-2</v>
      </c>
      <c r="K251" s="278">
        <f t="shared" si="122"/>
        <v>1.1645962732919254E-2</v>
      </c>
      <c r="L251" s="278">
        <f t="shared" si="122"/>
        <v>1.0190217391304348E-2</v>
      </c>
      <c r="M251" s="278">
        <f t="shared" si="122"/>
        <v>9.057971014492754E-3</v>
      </c>
      <c r="N251" s="264">
        <f t="shared" si="122"/>
        <v>8.152173913043478E-3</v>
      </c>
      <c r="P251" s="35"/>
    </row>
    <row r="252" spans="1:16" ht="15" thickBot="1" x14ac:dyDescent="0.35">
      <c r="A252" s="389"/>
      <c r="B252" s="238" t="s">
        <v>125</v>
      </c>
      <c r="C252" s="265">
        <f>C$232/C$240</f>
        <v>5.7692307692307696E-2</v>
      </c>
      <c r="D252" s="265">
        <f t="shared" ref="D252:N252" si="123">D$232/D$240</f>
        <v>5.0480769230769232E-2</v>
      </c>
      <c r="E252" s="265">
        <f t="shared" si="123"/>
        <v>4.4871794871794865E-2</v>
      </c>
      <c r="F252" s="265">
        <f t="shared" si="123"/>
        <v>4.0384615384615387E-2</v>
      </c>
      <c r="G252" s="265">
        <f t="shared" si="123"/>
        <v>2.6923076923076925E-2</v>
      </c>
      <c r="H252" s="265">
        <f t="shared" si="123"/>
        <v>2.0192307692307693E-2</v>
      </c>
      <c r="I252" s="265">
        <f t="shared" si="123"/>
        <v>1.6153846153846154E-2</v>
      </c>
      <c r="J252" s="265">
        <f t="shared" si="123"/>
        <v>1.3461538461538462E-2</v>
      </c>
      <c r="K252" s="265">
        <f t="shared" si="123"/>
        <v>1.1538461538461539E-2</v>
      </c>
      <c r="L252" s="265">
        <f t="shared" si="123"/>
        <v>1.0096153846153847E-2</v>
      </c>
      <c r="M252" s="265">
        <f t="shared" si="123"/>
        <v>8.9743589743589754E-3</v>
      </c>
      <c r="N252" s="266">
        <f t="shared" si="123"/>
        <v>8.076923076923077E-3</v>
      </c>
    </row>
    <row r="253" spans="1:16" x14ac:dyDescent="0.3">
      <c r="A253" s="390" t="s">
        <v>134</v>
      </c>
      <c r="B253" s="237" t="s">
        <v>122</v>
      </c>
      <c r="C253" s="214">
        <f>DEGREES(C249)</f>
        <v>2.9159459216479395</v>
      </c>
      <c r="D253" s="214">
        <f t="shared" ref="D253:N254" si="124">DEGREES(D249)</f>
        <v>2.5514526814419471</v>
      </c>
      <c r="E253" s="214">
        <f t="shared" si="124"/>
        <v>2.2679579390595084</v>
      </c>
      <c r="F253" s="214">
        <f t="shared" si="124"/>
        <v>2.0411621451535575</v>
      </c>
      <c r="G253" s="214">
        <f t="shared" si="124"/>
        <v>1.3607747634357052</v>
      </c>
      <c r="H253" s="214">
        <f t="shared" si="124"/>
        <v>1.0205810725767788</v>
      </c>
      <c r="I253" s="214">
        <f t="shared" si="124"/>
        <v>0.8164648580614231</v>
      </c>
      <c r="J253" s="214">
        <f t="shared" si="124"/>
        <v>0.68038738171785262</v>
      </c>
      <c r="K253" s="214">
        <f t="shared" si="124"/>
        <v>0.583189184329588</v>
      </c>
      <c r="L253" s="214">
        <f t="shared" si="124"/>
        <v>0.51029053628838938</v>
      </c>
      <c r="M253" s="214">
        <f t="shared" si="124"/>
        <v>0.45359158781190179</v>
      </c>
      <c r="N253" s="215">
        <f t="shared" si="124"/>
        <v>0.40823242903071155</v>
      </c>
    </row>
    <row r="254" spans="1:16" x14ac:dyDescent="0.3">
      <c r="A254" s="391"/>
      <c r="B254" s="55" t="s">
        <v>123</v>
      </c>
      <c r="C254" s="26">
        <f>DEGREES(C250)</f>
        <v>3.2155794624689062</v>
      </c>
      <c r="D254" s="26">
        <f t="shared" si="124"/>
        <v>2.8136320296602926</v>
      </c>
      <c r="E254" s="26">
        <f t="shared" si="124"/>
        <v>2.5010062485869264</v>
      </c>
      <c r="F254" s="26">
        <f t="shared" si="124"/>
        <v>2.2509056237282339</v>
      </c>
      <c r="G254" s="26">
        <f t="shared" si="124"/>
        <v>1.5006037491521562</v>
      </c>
      <c r="H254" s="26">
        <f t="shared" si="124"/>
        <v>1.1254528118641169</v>
      </c>
      <c r="I254" s="26">
        <f t="shared" si="124"/>
        <v>0.90036224949129373</v>
      </c>
      <c r="J254" s="26">
        <f t="shared" si="124"/>
        <v>0.75030187457607811</v>
      </c>
      <c r="K254" s="26">
        <f t="shared" si="124"/>
        <v>0.6431158924937812</v>
      </c>
      <c r="L254" s="26">
        <f t="shared" si="124"/>
        <v>0.56272640593205847</v>
      </c>
      <c r="M254" s="26">
        <f t="shared" si="124"/>
        <v>0.50020124971738533</v>
      </c>
      <c r="N254" s="234">
        <f t="shared" si="124"/>
        <v>0.45018112474564687</v>
      </c>
    </row>
    <row r="255" spans="1:16" x14ac:dyDescent="0.3">
      <c r="A255" s="391"/>
      <c r="B255" s="55" t="s">
        <v>124</v>
      </c>
      <c r="C255" s="26">
        <f t="shared" ref="C255:N256" si="125">DEGREES(C251)</f>
        <v>3.3363225648145765</v>
      </c>
      <c r="D255" s="26">
        <f t="shared" si="125"/>
        <v>2.919282244212754</v>
      </c>
      <c r="E255" s="26">
        <f t="shared" si="125"/>
        <v>2.5949175504113366</v>
      </c>
      <c r="F255" s="26">
        <f t="shared" si="125"/>
        <v>2.3354257953702033</v>
      </c>
      <c r="G255" s="26">
        <f t="shared" si="125"/>
        <v>1.5569505302468023</v>
      </c>
      <c r="H255" s="26">
        <f t="shared" si="125"/>
        <v>1.1677128976851017</v>
      </c>
      <c r="I255" s="26">
        <f t="shared" si="125"/>
        <v>0.93417031814808138</v>
      </c>
      <c r="J255" s="26">
        <f t="shared" si="125"/>
        <v>0.77847526512340115</v>
      </c>
      <c r="K255" s="26">
        <f t="shared" si="125"/>
        <v>0.66726451296291522</v>
      </c>
      <c r="L255" s="26">
        <f t="shared" si="125"/>
        <v>0.58385644884255083</v>
      </c>
      <c r="M255" s="26">
        <f t="shared" si="125"/>
        <v>0.5189835100822674</v>
      </c>
      <c r="N255" s="234">
        <f t="shared" si="125"/>
        <v>0.46708515907404069</v>
      </c>
    </row>
    <row r="256" spans="1:16" ht="15" thickBot="1" x14ac:dyDescent="0.35">
      <c r="A256" s="402"/>
      <c r="B256" s="238" t="s">
        <v>125</v>
      </c>
      <c r="C256" s="217">
        <f t="shared" si="125"/>
        <v>3.3055257411393648</v>
      </c>
      <c r="D256" s="217">
        <f t="shared" si="125"/>
        <v>2.892335023496944</v>
      </c>
      <c r="E256" s="217">
        <f t="shared" si="125"/>
        <v>2.5709644653306167</v>
      </c>
      <c r="F256" s="217">
        <f t="shared" si="125"/>
        <v>2.3138680187975553</v>
      </c>
      <c r="G256" s="217">
        <f t="shared" si="125"/>
        <v>1.5425786791983702</v>
      </c>
      <c r="H256" s="217">
        <f t="shared" si="125"/>
        <v>1.1569340093987777</v>
      </c>
      <c r="I256" s="217">
        <f t="shared" si="125"/>
        <v>0.9255472075190222</v>
      </c>
      <c r="J256" s="217">
        <f t="shared" si="125"/>
        <v>0.77128933959918511</v>
      </c>
      <c r="K256" s="217">
        <f t="shared" si="125"/>
        <v>0.66110514822787303</v>
      </c>
      <c r="L256" s="217">
        <f t="shared" si="125"/>
        <v>0.57846700469938883</v>
      </c>
      <c r="M256" s="217">
        <f t="shared" si="125"/>
        <v>0.51419289306612348</v>
      </c>
      <c r="N256" s="218">
        <f t="shared" si="125"/>
        <v>0.4627736037595111</v>
      </c>
    </row>
    <row r="257" spans="1:14" x14ac:dyDescent="0.3">
      <c r="A257" s="398" t="s">
        <v>679</v>
      </c>
      <c r="B257" s="227" t="s">
        <v>122</v>
      </c>
      <c r="C257" s="228">
        <f>($C39/$C$4)*((($C46*C237)-($C45*C233))/(C233*C237))</f>
        <v>-2.3749999999999995E-3</v>
      </c>
      <c r="D257" s="228">
        <f t="shared" ref="D257:N257" si="126">($C39/$C$4)*((($C46*D237)-($C45*D233))/(D233*D237))</f>
        <v>-2.3749999999999995E-3</v>
      </c>
      <c r="E257" s="228">
        <f t="shared" si="126"/>
        <v>-2.3749999999999995E-3</v>
      </c>
      <c r="F257" s="228">
        <f t="shared" si="126"/>
        <v>-2.3749999999999995E-3</v>
      </c>
      <c r="G257" s="228">
        <f t="shared" si="126"/>
        <v>-2.3749999999999995E-3</v>
      </c>
      <c r="H257" s="228">
        <f t="shared" si="126"/>
        <v>-2.3749999999999995E-3</v>
      </c>
      <c r="I257" s="228">
        <f t="shared" si="126"/>
        <v>-2.3749999999999995E-3</v>
      </c>
      <c r="J257" s="228">
        <f t="shared" si="126"/>
        <v>-2.3749999999999995E-3</v>
      </c>
      <c r="K257" s="228">
        <f t="shared" si="126"/>
        <v>-2.3749999999999995E-3</v>
      </c>
      <c r="L257" s="228">
        <f t="shared" si="126"/>
        <v>-2.3749999999999995E-3</v>
      </c>
      <c r="M257" s="228">
        <f t="shared" si="126"/>
        <v>-2.3749999999999995E-3</v>
      </c>
      <c r="N257" s="229">
        <f t="shared" si="126"/>
        <v>-2.3749999999999995E-3</v>
      </c>
    </row>
    <row r="258" spans="1:14" x14ac:dyDescent="0.3">
      <c r="A258" s="399"/>
      <c r="B258" s="97" t="s">
        <v>123</v>
      </c>
      <c r="C258" s="225">
        <f>($D39/$C$4)*((($D46*C238)-($D45*C234))/(C234*C238))</f>
        <v>-4.1353383458646613E-3</v>
      </c>
      <c r="D258" s="225">
        <f t="shared" ref="D258:N258" si="127">($D39/$C$4)*((($D46*D238)-($D45*D234))/(D234*D238))</f>
        <v>-4.1353383458646613E-3</v>
      </c>
      <c r="E258" s="225">
        <f t="shared" si="127"/>
        <v>-4.1353383458646613E-3</v>
      </c>
      <c r="F258" s="225">
        <f t="shared" si="127"/>
        <v>-4.1353383458646613E-3</v>
      </c>
      <c r="G258" s="225">
        <f t="shared" si="127"/>
        <v>-4.1353383458646613E-3</v>
      </c>
      <c r="H258" s="225">
        <f t="shared" si="127"/>
        <v>-4.1353383458646613E-3</v>
      </c>
      <c r="I258" s="225">
        <f t="shared" si="127"/>
        <v>-4.1353383458646613E-3</v>
      </c>
      <c r="J258" s="225">
        <f t="shared" si="127"/>
        <v>-4.1353383458646613E-3</v>
      </c>
      <c r="K258" s="225">
        <f t="shared" si="127"/>
        <v>-4.1353383458646613E-3</v>
      </c>
      <c r="L258" s="225">
        <f t="shared" si="127"/>
        <v>-4.1353383458646613E-3</v>
      </c>
      <c r="M258" s="225">
        <f t="shared" si="127"/>
        <v>-4.1353383458646613E-3</v>
      </c>
      <c r="N258" s="230">
        <f t="shared" si="127"/>
        <v>-4.1353383458646613E-3</v>
      </c>
    </row>
    <row r="259" spans="1:14" x14ac:dyDescent="0.3">
      <c r="A259" s="399"/>
      <c r="B259" s="97" t="s">
        <v>124</v>
      </c>
      <c r="C259" s="225">
        <f>($E39/$C$4)*((($E46*C239)-($E45*C235))/(C235*C239))</f>
        <v>-4.1092258748674443E-3</v>
      </c>
      <c r="D259" s="225">
        <f t="shared" ref="D259:N259" si="128">($E39/$C$4)*((($E46*D239)-($E45*D235))/(D235*D239))</f>
        <v>-4.1092258748674443E-3</v>
      </c>
      <c r="E259" s="225">
        <f t="shared" si="128"/>
        <v>-4.1092258748674443E-3</v>
      </c>
      <c r="F259" s="225">
        <f t="shared" si="128"/>
        <v>-4.1092258748674443E-3</v>
      </c>
      <c r="G259" s="225">
        <f t="shared" si="128"/>
        <v>-4.1092258748674443E-3</v>
      </c>
      <c r="H259" s="225">
        <f t="shared" si="128"/>
        <v>-4.1092258748674443E-3</v>
      </c>
      <c r="I259" s="225">
        <f t="shared" si="128"/>
        <v>-4.1092258748674443E-3</v>
      </c>
      <c r="J259" s="225">
        <f t="shared" si="128"/>
        <v>-4.1092258748674443E-3</v>
      </c>
      <c r="K259" s="225">
        <f t="shared" si="128"/>
        <v>-4.1092258748674443E-3</v>
      </c>
      <c r="L259" s="225">
        <f t="shared" si="128"/>
        <v>-4.1092258748674443E-3</v>
      </c>
      <c r="M259" s="225">
        <f t="shared" si="128"/>
        <v>-4.1092258748674443E-3</v>
      </c>
      <c r="N259" s="230">
        <f t="shared" si="128"/>
        <v>-4.1092258748674443E-3</v>
      </c>
    </row>
    <row r="260" spans="1:14" ht="15" thickBot="1" x14ac:dyDescent="0.35">
      <c r="A260" s="401"/>
      <c r="B260" s="231" t="s">
        <v>125</v>
      </c>
      <c r="C260" s="232">
        <f>($F39/$C$4)*((($F46*C240)-($F45*C236))/(C236*C240))</f>
        <v>-3.4265734265734264E-3</v>
      </c>
      <c r="D260" s="232">
        <f t="shared" ref="D260:N260" si="129">($F39/$C$4)*((($F46*D240)-($F45*D236))/(D236*D240))</f>
        <v>-3.4265734265734264E-3</v>
      </c>
      <c r="E260" s="232">
        <f t="shared" si="129"/>
        <v>-3.4265734265734264E-3</v>
      </c>
      <c r="F260" s="232">
        <f t="shared" si="129"/>
        <v>-3.4265734265734264E-3</v>
      </c>
      <c r="G260" s="232">
        <f t="shared" si="129"/>
        <v>-3.4265734265734264E-3</v>
      </c>
      <c r="H260" s="232">
        <f t="shared" si="129"/>
        <v>-3.4265734265734264E-3</v>
      </c>
      <c r="I260" s="232">
        <f t="shared" si="129"/>
        <v>-3.4265734265734264E-3</v>
      </c>
      <c r="J260" s="232">
        <f t="shared" si="129"/>
        <v>-3.4265734265734264E-3</v>
      </c>
      <c r="K260" s="232">
        <f t="shared" si="129"/>
        <v>-3.4265734265734264E-3</v>
      </c>
      <c r="L260" s="232">
        <f t="shared" si="129"/>
        <v>-3.4265734265734264E-3</v>
      </c>
      <c r="M260" s="232">
        <f t="shared" si="129"/>
        <v>-3.4265734265734264E-3</v>
      </c>
      <c r="N260" s="233">
        <f t="shared" si="129"/>
        <v>-3.4265734265734264E-3</v>
      </c>
    </row>
    <row r="261" spans="1:14" x14ac:dyDescent="0.3">
      <c r="A261" s="393" t="s">
        <v>671</v>
      </c>
      <c r="B261" s="227" t="s">
        <v>122</v>
      </c>
      <c r="C261" s="228">
        <f t="shared" ref="C261:N261" si="130">($C46/C220)-(($C39*$C45*($D$219^2))/(C234*$C$4*C220))</f>
        <v>9.5000000000000001E-2</v>
      </c>
      <c r="D261" s="228">
        <f t="shared" si="130"/>
        <v>8.3125000000000004E-2</v>
      </c>
      <c r="E261" s="228">
        <f t="shared" si="130"/>
        <v>7.3888888888888893E-2</v>
      </c>
      <c r="F261" s="228">
        <f t="shared" si="130"/>
        <v>6.6500000000000004E-2</v>
      </c>
      <c r="G261" s="228">
        <f t="shared" si="130"/>
        <v>4.4333333333333329E-2</v>
      </c>
      <c r="H261" s="228">
        <f t="shared" si="130"/>
        <v>3.3250000000000002E-2</v>
      </c>
      <c r="I261" s="228">
        <f t="shared" si="130"/>
        <v>2.6599999999999999E-2</v>
      </c>
      <c r="J261" s="228">
        <f t="shared" si="130"/>
        <v>2.2166666666666664E-2</v>
      </c>
      <c r="K261" s="228">
        <f t="shared" si="130"/>
        <v>1.9E-2</v>
      </c>
      <c r="L261" s="228">
        <f t="shared" si="130"/>
        <v>1.6625000000000001E-2</v>
      </c>
      <c r="M261" s="228">
        <f t="shared" si="130"/>
        <v>1.477777777777778E-2</v>
      </c>
      <c r="N261" s="229">
        <f t="shared" si="130"/>
        <v>1.3299999999999999E-2</v>
      </c>
    </row>
    <row r="262" spans="1:14" x14ac:dyDescent="0.3">
      <c r="A262" s="394"/>
      <c r="B262" s="97" t="s">
        <v>123</v>
      </c>
      <c r="C262" s="225">
        <f t="shared" ref="C262:N262" si="131">($D46/C220)-(($D39*$D45*($D$219^2))/(C234*$C$4*C220))</f>
        <v>8.6541353383458655E-2</v>
      </c>
      <c r="D262" s="225">
        <f t="shared" si="131"/>
        <v>7.5723684210526318E-2</v>
      </c>
      <c r="E262" s="225">
        <f t="shared" si="131"/>
        <v>6.7309941520467848E-2</v>
      </c>
      <c r="F262" s="225">
        <f t="shared" si="131"/>
        <v>6.0578947368421059E-2</v>
      </c>
      <c r="G262" s="225">
        <f t="shared" si="131"/>
        <v>4.0385964912280699E-2</v>
      </c>
      <c r="H262" s="225">
        <f t="shared" si="131"/>
        <v>3.0289473684210529E-2</v>
      </c>
      <c r="I262" s="225">
        <f t="shared" si="131"/>
        <v>2.423157894736842E-2</v>
      </c>
      <c r="J262" s="225">
        <f t="shared" si="131"/>
        <v>2.0192982456140349E-2</v>
      </c>
      <c r="K262" s="225">
        <f t="shared" si="131"/>
        <v>1.7308270676691731E-2</v>
      </c>
      <c r="L262" s="225">
        <f t="shared" si="131"/>
        <v>1.5144736842105265E-2</v>
      </c>
      <c r="M262" s="225">
        <f t="shared" si="131"/>
        <v>1.3461988304093569E-2</v>
      </c>
      <c r="N262" s="230">
        <f t="shared" si="131"/>
        <v>1.211578947368421E-2</v>
      </c>
    </row>
    <row r="263" spans="1:14" x14ac:dyDescent="0.3">
      <c r="A263" s="394"/>
      <c r="B263" s="97" t="s">
        <v>124</v>
      </c>
      <c r="C263" s="225">
        <f t="shared" ref="C263:N263" si="132">($E46/C220)-(($E39*$E45*($D$219^2))/(C234*$C$4*C220))</f>
        <v>7.8082706766917295E-2</v>
      </c>
      <c r="D263" s="225">
        <f t="shared" si="132"/>
        <v>6.8322368421052632E-2</v>
      </c>
      <c r="E263" s="225">
        <f t="shared" si="132"/>
        <v>6.0730994152046795E-2</v>
      </c>
      <c r="F263" s="225">
        <f t="shared" si="132"/>
        <v>5.4657894736842114E-2</v>
      </c>
      <c r="G263" s="225">
        <f t="shared" si="132"/>
        <v>3.6438596491228069E-2</v>
      </c>
      <c r="H263" s="225">
        <f t="shared" si="132"/>
        <v>2.7328947368421057E-2</v>
      </c>
      <c r="I263" s="225">
        <f t="shared" si="132"/>
        <v>2.1863157894736841E-2</v>
      </c>
      <c r="J263" s="225">
        <f t="shared" si="132"/>
        <v>1.8219298245614034E-2</v>
      </c>
      <c r="K263" s="225">
        <f t="shared" si="132"/>
        <v>1.5616541353383459E-2</v>
      </c>
      <c r="L263" s="225">
        <f t="shared" si="132"/>
        <v>1.3664473684210528E-2</v>
      </c>
      <c r="M263" s="225">
        <f t="shared" si="132"/>
        <v>1.214619883040936E-2</v>
      </c>
      <c r="N263" s="230">
        <f t="shared" si="132"/>
        <v>1.0931578947368421E-2</v>
      </c>
    </row>
    <row r="264" spans="1:14" ht="15" thickBot="1" x14ac:dyDescent="0.35">
      <c r="A264" s="395"/>
      <c r="B264" s="231" t="s">
        <v>125</v>
      </c>
      <c r="C264" s="232">
        <f t="shared" ref="C264:N264" si="133">($F46/C220)-(($F39*$F45*($D$219^2))/(C234*$C$4*C220))</f>
        <v>6.9624060150375949E-2</v>
      </c>
      <c r="D264" s="232">
        <f t="shared" si="133"/>
        <v>6.0921052631578945E-2</v>
      </c>
      <c r="E264" s="232">
        <f t="shared" si="133"/>
        <v>5.4152046783625743E-2</v>
      </c>
      <c r="F264" s="232">
        <f t="shared" si="133"/>
        <v>4.8736842105263169E-2</v>
      </c>
      <c r="G264" s="232">
        <f t="shared" si="133"/>
        <v>3.2491228070175439E-2</v>
      </c>
      <c r="H264" s="232">
        <f t="shared" si="133"/>
        <v>2.4368421052631584E-2</v>
      </c>
      <c r="I264" s="232">
        <f t="shared" si="133"/>
        <v>1.9494736842105263E-2</v>
      </c>
      <c r="J264" s="232">
        <f t="shared" si="133"/>
        <v>1.6245614035087719E-2</v>
      </c>
      <c r="K264" s="232">
        <f t="shared" si="133"/>
        <v>1.3924812030075187E-2</v>
      </c>
      <c r="L264" s="232">
        <f t="shared" si="133"/>
        <v>1.2184210526315792E-2</v>
      </c>
      <c r="M264" s="232">
        <f t="shared" si="133"/>
        <v>1.0830409356725149E-2</v>
      </c>
      <c r="N264" s="233">
        <f t="shared" si="133"/>
        <v>9.7473684210526313E-3</v>
      </c>
    </row>
    <row r="265" spans="1:14" x14ac:dyDescent="0.3">
      <c r="A265" s="393" t="s">
        <v>672</v>
      </c>
      <c r="B265" s="227" t="s">
        <v>122</v>
      </c>
      <c r="C265" s="228">
        <f>DEGREES(C261)</f>
        <v>5.443099053742821</v>
      </c>
      <c r="D265" s="228">
        <f t="shared" ref="D265:N265" si="134">DEGREES(D261)</f>
        <v>4.7627116720249685</v>
      </c>
      <c r="E265" s="228">
        <f t="shared" si="134"/>
        <v>4.2335214862444159</v>
      </c>
      <c r="F265" s="228">
        <f t="shared" si="134"/>
        <v>3.8101693376199748</v>
      </c>
      <c r="G265" s="228">
        <f t="shared" si="134"/>
        <v>2.5401128917466496</v>
      </c>
      <c r="H265" s="228">
        <f t="shared" si="134"/>
        <v>1.9050846688099874</v>
      </c>
      <c r="I265" s="228">
        <f t="shared" si="134"/>
        <v>1.5240677350479896</v>
      </c>
      <c r="J265" s="228">
        <f t="shared" si="134"/>
        <v>1.2700564458733248</v>
      </c>
      <c r="K265" s="228">
        <f t="shared" si="134"/>
        <v>1.0886198107485641</v>
      </c>
      <c r="L265" s="228">
        <f t="shared" si="134"/>
        <v>0.9525423344049937</v>
      </c>
      <c r="M265" s="228">
        <f t="shared" si="134"/>
        <v>0.84670429724888341</v>
      </c>
      <c r="N265" s="229">
        <f t="shared" si="134"/>
        <v>0.76203386752399482</v>
      </c>
    </row>
    <row r="266" spans="1:14" x14ac:dyDescent="0.3">
      <c r="A266" s="394"/>
      <c r="B266" s="97" t="s">
        <v>123</v>
      </c>
      <c r="C266" s="241">
        <f t="shared" ref="C266:N268" si="135">DEGREES(C262)</f>
        <v>4.9584543022223881</v>
      </c>
      <c r="D266" s="241">
        <f t="shared" si="135"/>
        <v>4.3386475144445891</v>
      </c>
      <c r="E266" s="241">
        <f t="shared" si="135"/>
        <v>3.8565755683951908</v>
      </c>
      <c r="F266" s="241">
        <f t="shared" si="135"/>
        <v>3.4709180115556717</v>
      </c>
      <c r="G266" s="241">
        <f t="shared" si="135"/>
        <v>2.313945341037114</v>
      </c>
      <c r="H266" s="241">
        <f t="shared" si="135"/>
        <v>1.7354590057778359</v>
      </c>
      <c r="I266" s="241">
        <f t="shared" si="135"/>
        <v>1.3883672046222684</v>
      </c>
      <c r="J266" s="241">
        <f t="shared" si="135"/>
        <v>1.156972670518557</v>
      </c>
      <c r="K266" s="241">
        <f t="shared" si="135"/>
        <v>0.99169086044447763</v>
      </c>
      <c r="L266" s="241">
        <f t="shared" si="135"/>
        <v>0.86772950288891793</v>
      </c>
      <c r="M266" s="241">
        <f t="shared" si="135"/>
        <v>0.77131511367903816</v>
      </c>
      <c r="N266" s="242">
        <f t="shared" si="135"/>
        <v>0.69418360231113418</v>
      </c>
    </row>
    <row r="267" spans="1:14" x14ac:dyDescent="0.3">
      <c r="A267" s="394"/>
      <c r="B267" s="97" t="s">
        <v>124</v>
      </c>
      <c r="C267" s="241">
        <f t="shared" si="135"/>
        <v>4.4738095507019544</v>
      </c>
      <c r="D267" s="241">
        <f t="shared" si="135"/>
        <v>3.9145833568642101</v>
      </c>
      <c r="E267" s="241">
        <f t="shared" si="135"/>
        <v>3.4796296505459652</v>
      </c>
      <c r="F267" s="241">
        <f t="shared" si="135"/>
        <v>3.1316666854913686</v>
      </c>
      <c r="G267" s="241">
        <f t="shared" si="135"/>
        <v>2.0877777903275785</v>
      </c>
      <c r="H267" s="241">
        <f t="shared" si="135"/>
        <v>1.5658333427456843</v>
      </c>
      <c r="I267" s="241">
        <f t="shared" si="135"/>
        <v>1.2526666741965471</v>
      </c>
      <c r="J267" s="241">
        <f t="shared" si="135"/>
        <v>1.0438888951637892</v>
      </c>
      <c r="K267" s="241">
        <f t="shared" si="135"/>
        <v>0.89476191014039086</v>
      </c>
      <c r="L267" s="241">
        <f t="shared" si="135"/>
        <v>0.78291667137284215</v>
      </c>
      <c r="M267" s="241">
        <f t="shared" si="135"/>
        <v>0.69592593010919301</v>
      </c>
      <c r="N267" s="242">
        <f t="shared" si="135"/>
        <v>0.62633333709827355</v>
      </c>
    </row>
    <row r="268" spans="1:14" ht="15" thickBot="1" x14ac:dyDescent="0.35">
      <c r="A268" s="395"/>
      <c r="B268" s="231" t="s">
        <v>125</v>
      </c>
      <c r="C268" s="243">
        <f t="shared" si="135"/>
        <v>3.9891647991815216</v>
      </c>
      <c r="D268" s="243">
        <f t="shared" si="135"/>
        <v>3.4905191992838307</v>
      </c>
      <c r="E268" s="243">
        <f t="shared" si="135"/>
        <v>3.1026837326967391</v>
      </c>
      <c r="F268" s="243">
        <f t="shared" si="135"/>
        <v>2.7924153594270655</v>
      </c>
      <c r="G268" s="243">
        <f t="shared" si="135"/>
        <v>1.8616102396180432</v>
      </c>
      <c r="H268" s="243">
        <f t="shared" si="135"/>
        <v>1.3962076797135328</v>
      </c>
      <c r="I268" s="243">
        <f t="shared" si="135"/>
        <v>1.1169661437708258</v>
      </c>
      <c r="J268" s="243">
        <f t="shared" si="135"/>
        <v>0.93080511980902159</v>
      </c>
      <c r="K268" s="243">
        <f t="shared" si="135"/>
        <v>0.7978329598363042</v>
      </c>
      <c r="L268" s="243">
        <f t="shared" si="135"/>
        <v>0.69810383985676638</v>
      </c>
      <c r="M268" s="243">
        <f t="shared" si="135"/>
        <v>0.62053674653934787</v>
      </c>
      <c r="N268" s="244">
        <f t="shared" si="135"/>
        <v>0.55848307188541291</v>
      </c>
    </row>
    <row r="269" spans="1:14" x14ac:dyDescent="0.3">
      <c r="A269" s="394" t="s">
        <v>669</v>
      </c>
      <c r="B269" s="226" t="s">
        <v>122</v>
      </c>
      <c r="C269" s="206">
        <f t="shared" ref="C269:N269" si="136">C221+(C257*C224)</f>
        <v>0.36294642857142856</v>
      </c>
      <c r="D269" s="206">
        <f t="shared" si="136"/>
        <v>0.31757812499999999</v>
      </c>
      <c r="E269" s="206">
        <f t="shared" si="136"/>
        <v>0.28229166666666672</v>
      </c>
      <c r="F269" s="206">
        <f t="shared" si="136"/>
        <v>0.25406250000000002</v>
      </c>
      <c r="G269" s="206">
        <f t="shared" si="136"/>
        <v>0.169375</v>
      </c>
      <c r="H269" s="206">
        <f t="shared" si="136"/>
        <v>0.12703125000000001</v>
      </c>
      <c r="I269" s="206">
        <f t="shared" si="136"/>
        <v>0.10162500000000001</v>
      </c>
      <c r="J269" s="206">
        <f t="shared" si="136"/>
        <v>8.4687499999999999E-2</v>
      </c>
      <c r="K269" s="206">
        <f t="shared" si="136"/>
        <v>7.2589285714285717E-2</v>
      </c>
      <c r="L269" s="206">
        <f t="shared" si="136"/>
        <v>6.3515625000000006E-2</v>
      </c>
      <c r="M269" s="206">
        <f t="shared" si="136"/>
        <v>5.645833333333334E-2</v>
      </c>
      <c r="N269" s="223">
        <f t="shared" si="136"/>
        <v>5.0812500000000003E-2</v>
      </c>
    </row>
    <row r="270" spans="1:14" x14ac:dyDescent="0.3">
      <c r="A270" s="394"/>
      <c r="B270" s="97" t="s">
        <v>123</v>
      </c>
      <c r="C270" s="206">
        <f t="shared" ref="C270:N270" si="137">C221+(C258*C224)</f>
        <v>0.35665950590762624</v>
      </c>
      <c r="D270" s="206">
        <f t="shared" si="137"/>
        <v>0.31207706766917293</v>
      </c>
      <c r="E270" s="206">
        <f t="shared" si="137"/>
        <v>0.27740183792815376</v>
      </c>
      <c r="F270" s="206">
        <f t="shared" si="137"/>
        <v>0.24966165413533836</v>
      </c>
      <c r="G270" s="206">
        <f t="shared" si="137"/>
        <v>0.16644110275689222</v>
      </c>
      <c r="H270" s="206">
        <f t="shared" si="137"/>
        <v>0.12483082706766918</v>
      </c>
      <c r="I270" s="206">
        <f t="shared" si="137"/>
        <v>9.986466165413535E-2</v>
      </c>
      <c r="J270" s="206">
        <f t="shared" si="137"/>
        <v>8.3220551378446112E-2</v>
      </c>
      <c r="K270" s="206">
        <f t="shared" si="137"/>
        <v>7.1331901181525242E-2</v>
      </c>
      <c r="L270" s="206">
        <f t="shared" si="137"/>
        <v>6.2415413533834591E-2</v>
      </c>
      <c r="M270" s="206">
        <f t="shared" si="137"/>
        <v>5.5480367585630748E-2</v>
      </c>
      <c r="N270" s="223">
        <f t="shared" si="137"/>
        <v>4.9932330827067675E-2</v>
      </c>
    </row>
    <row r="271" spans="1:14" x14ac:dyDescent="0.3">
      <c r="A271" s="394"/>
      <c r="B271" s="97" t="s">
        <v>124</v>
      </c>
      <c r="C271" s="206">
        <f t="shared" ref="C271:N271" si="138">C221+(C259*C224)</f>
        <v>0.3567527647326163</v>
      </c>
      <c r="D271" s="206">
        <f t="shared" si="138"/>
        <v>0.31215866914103924</v>
      </c>
      <c r="E271" s="206">
        <f t="shared" si="138"/>
        <v>0.27747437256981267</v>
      </c>
      <c r="F271" s="206">
        <f t="shared" si="138"/>
        <v>0.24972693531283141</v>
      </c>
      <c r="G271" s="206">
        <f t="shared" si="138"/>
        <v>0.16648462354188759</v>
      </c>
      <c r="H271" s="206">
        <f t="shared" si="138"/>
        <v>0.12486346765641571</v>
      </c>
      <c r="I271" s="206">
        <f t="shared" si="138"/>
        <v>9.9890774125132559E-2</v>
      </c>
      <c r="J271" s="206">
        <f t="shared" si="138"/>
        <v>8.3242311770943794E-2</v>
      </c>
      <c r="K271" s="206">
        <f t="shared" si="138"/>
        <v>7.135055294652326E-2</v>
      </c>
      <c r="L271" s="206">
        <f t="shared" si="138"/>
        <v>6.2431733828207853E-2</v>
      </c>
      <c r="M271" s="206">
        <f t="shared" si="138"/>
        <v>5.5494874513962539E-2</v>
      </c>
      <c r="N271" s="223">
        <f t="shared" si="138"/>
        <v>4.9945387062566279E-2</v>
      </c>
    </row>
    <row r="272" spans="1:14" ht="15" thickBot="1" x14ac:dyDescent="0.35">
      <c r="A272" s="395"/>
      <c r="B272" s="231" t="s">
        <v>125</v>
      </c>
      <c r="C272" s="235">
        <f t="shared" ref="C272:N272" si="139">C221+(C260*C224)</f>
        <v>0.3591908091908092</v>
      </c>
      <c r="D272" s="235">
        <f t="shared" si="139"/>
        <v>0.31429195804195803</v>
      </c>
      <c r="E272" s="235">
        <f t="shared" si="139"/>
        <v>0.2793706293706294</v>
      </c>
      <c r="F272" s="235">
        <f t="shared" si="139"/>
        <v>0.25143356643356646</v>
      </c>
      <c r="G272" s="235">
        <f t="shared" si="139"/>
        <v>0.16762237762237764</v>
      </c>
      <c r="H272" s="235">
        <f t="shared" si="139"/>
        <v>0.12571678321678323</v>
      </c>
      <c r="I272" s="235">
        <f t="shared" si="139"/>
        <v>0.10057342657342658</v>
      </c>
      <c r="J272" s="235">
        <f t="shared" si="139"/>
        <v>8.3811188811188819E-2</v>
      </c>
      <c r="K272" s="235">
        <f t="shared" si="139"/>
        <v>7.1838161838161843E-2</v>
      </c>
      <c r="L272" s="235">
        <f t="shared" si="139"/>
        <v>6.2858391608391614E-2</v>
      </c>
      <c r="M272" s="235">
        <f t="shared" si="139"/>
        <v>5.5874125874125879E-2</v>
      </c>
      <c r="N272" s="236">
        <f t="shared" si="139"/>
        <v>5.0286713286713289E-2</v>
      </c>
    </row>
    <row r="273" spans="1:14" x14ac:dyDescent="0.3">
      <c r="A273" s="398" t="s">
        <v>670</v>
      </c>
      <c r="B273" s="227" t="s">
        <v>122</v>
      </c>
      <c r="C273" s="214">
        <f>DEGREES(C269)</f>
        <v>20.795298546489253</v>
      </c>
      <c r="D273" s="214">
        <f t="shared" ref="D273:N273" si="140">DEGREES(D269)</f>
        <v>18.195886228178097</v>
      </c>
      <c r="E273" s="214">
        <f t="shared" si="140"/>
        <v>16.174121091713868</v>
      </c>
      <c r="F273" s="214">
        <f t="shared" si="140"/>
        <v>14.55670898254248</v>
      </c>
      <c r="G273" s="214">
        <f t="shared" si="140"/>
        <v>9.7044726550283187</v>
      </c>
      <c r="H273" s="214">
        <f t="shared" si="140"/>
        <v>7.2783544912712399</v>
      </c>
      <c r="I273" s="214">
        <f t="shared" si="140"/>
        <v>5.8226835930169916</v>
      </c>
      <c r="J273" s="214">
        <f t="shared" si="140"/>
        <v>4.8522363275141593</v>
      </c>
      <c r="K273" s="214">
        <f t="shared" si="140"/>
        <v>4.1590597092978507</v>
      </c>
      <c r="L273" s="214">
        <f t="shared" si="140"/>
        <v>3.63917724563562</v>
      </c>
      <c r="M273" s="214">
        <f t="shared" si="140"/>
        <v>3.2348242183427733</v>
      </c>
      <c r="N273" s="215">
        <f t="shared" si="140"/>
        <v>2.9113417965084958</v>
      </c>
    </row>
    <row r="274" spans="1:14" x14ac:dyDescent="0.3">
      <c r="A274" s="399"/>
      <c r="B274" s="97" t="s">
        <v>123</v>
      </c>
      <c r="C274" s="26">
        <f t="shared" ref="C274:N276" si="141">DEGREES(C270)</f>
        <v>20.435084411728234</v>
      </c>
      <c r="D274" s="26">
        <f t="shared" si="141"/>
        <v>17.880698860262203</v>
      </c>
      <c r="E274" s="26">
        <f t="shared" si="141"/>
        <v>15.893954542455296</v>
      </c>
      <c r="F274" s="26">
        <f t="shared" si="141"/>
        <v>14.304559088209764</v>
      </c>
      <c r="G274" s="26">
        <f t="shared" si="141"/>
        <v>9.5363727254731749</v>
      </c>
      <c r="H274" s="26">
        <f t="shared" si="141"/>
        <v>7.1522795441048821</v>
      </c>
      <c r="I274" s="26">
        <f t="shared" si="141"/>
        <v>5.721823635283906</v>
      </c>
      <c r="J274" s="26">
        <f t="shared" si="141"/>
        <v>4.7681863627365875</v>
      </c>
      <c r="K274" s="26">
        <f t="shared" si="141"/>
        <v>4.0870168823456465</v>
      </c>
      <c r="L274" s="26">
        <f t="shared" si="141"/>
        <v>3.576139772052441</v>
      </c>
      <c r="M274" s="26">
        <f t="shared" si="141"/>
        <v>3.1787909084910586</v>
      </c>
      <c r="N274" s="234">
        <f t="shared" si="141"/>
        <v>2.860911817641953</v>
      </c>
    </row>
    <row r="275" spans="1:14" x14ac:dyDescent="0.3">
      <c r="A275" s="399"/>
      <c r="B275" s="97" t="s">
        <v>124</v>
      </c>
      <c r="C275" s="26">
        <f t="shared" si="141"/>
        <v>20.440427748802517</v>
      </c>
      <c r="D275" s="26">
        <f t="shared" si="141"/>
        <v>17.8853742802022</v>
      </c>
      <c r="E275" s="26">
        <f t="shared" si="141"/>
        <v>15.898110471290844</v>
      </c>
      <c r="F275" s="26">
        <f t="shared" si="141"/>
        <v>14.30829942416176</v>
      </c>
      <c r="G275" s="26">
        <f t="shared" si="141"/>
        <v>9.5388662827745065</v>
      </c>
      <c r="H275" s="26">
        <f t="shared" si="141"/>
        <v>7.1541497120808799</v>
      </c>
      <c r="I275" s="26">
        <f t="shared" si="141"/>
        <v>5.7233197696647036</v>
      </c>
      <c r="J275" s="26">
        <f t="shared" si="141"/>
        <v>4.7694331413872533</v>
      </c>
      <c r="K275" s="26">
        <f t="shared" si="141"/>
        <v>4.0880855497605033</v>
      </c>
      <c r="L275" s="26">
        <f t="shared" si="141"/>
        <v>3.57707485604044</v>
      </c>
      <c r="M275" s="26">
        <f t="shared" si="141"/>
        <v>3.179622094258169</v>
      </c>
      <c r="N275" s="234">
        <f t="shared" si="141"/>
        <v>2.8616598848323518</v>
      </c>
    </row>
    <row r="276" spans="1:14" ht="15" thickBot="1" x14ac:dyDescent="0.35">
      <c r="A276" s="400"/>
      <c r="B276" s="276" t="s">
        <v>125</v>
      </c>
      <c r="C276" s="274">
        <f t="shared" si="141"/>
        <v>20.580117406522227</v>
      </c>
      <c r="D276" s="274">
        <f t="shared" si="141"/>
        <v>18.00760273070695</v>
      </c>
      <c r="E276" s="274">
        <f t="shared" si="141"/>
        <v>16.006757982850623</v>
      </c>
      <c r="F276" s="274">
        <f t="shared" si="141"/>
        <v>14.406082184565561</v>
      </c>
      <c r="G276" s="274">
        <f t="shared" si="141"/>
        <v>9.6040547897103732</v>
      </c>
      <c r="H276" s="274">
        <f t="shared" si="141"/>
        <v>7.2030410922827803</v>
      </c>
      <c r="I276" s="274">
        <f t="shared" si="141"/>
        <v>5.7624328738262234</v>
      </c>
      <c r="J276" s="274">
        <f t="shared" si="141"/>
        <v>4.8020273948551866</v>
      </c>
      <c r="K276" s="274">
        <f t="shared" si="141"/>
        <v>4.1160234813044454</v>
      </c>
      <c r="L276" s="274">
        <f t="shared" si="141"/>
        <v>3.6015205461413902</v>
      </c>
      <c r="M276" s="274">
        <f t="shared" si="141"/>
        <v>3.2013515965701247</v>
      </c>
      <c r="N276" s="275">
        <f t="shared" si="141"/>
        <v>2.8812164369131117</v>
      </c>
    </row>
    <row r="277" spans="1:14" x14ac:dyDescent="0.3">
      <c r="A277" s="398" t="s">
        <v>677</v>
      </c>
      <c r="B277" s="227" t="s">
        <v>122</v>
      </c>
      <c r="C277" s="214">
        <f>($D$219*C269)/($C$4+(C257*($D$219^2)))</f>
        <v>0.7142857142857143</v>
      </c>
      <c r="D277" s="214">
        <f t="shared" ref="D277:N277" si="142">($D$219*D269)/($C$4+(D257*($D$219^2)))</f>
        <v>0.625</v>
      </c>
      <c r="E277" s="214">
        <f t="shared" si="142"/>
        <v>0.55555555555555558</v>
      </c>
      <c r="F277" s="214">
        <f t="shared" si="142"/>
        <v>0.50000000000000011</v>
      </c>
      <c r="G277" s="214">
        <f t="shared" si="142"/>
        <v>0.33333333333333337</v>
      </c>
      <c r="H277" s="214">
        <f t="shared" si="142"/>
        <v>0.25000000000000006</v>
      </c>
      <c r="I277" s="214">
        <f t="shared" si="142"/>
        <v>0.20000000000000004</v>
      </c>
      <c r="J277" s="214">
        <f t="shared" si="142"/>
        <v>0.16666666666666669</v>
      </c>
      <c r="K277" s="214">
        <f t="shared" si="142"/>
        <v>0.14285714285714285</v>
      </c>
      <c r="L277" s="214">
        <f t="shared" si="142"/>
        <v>0.12500000000000003</v>
      </c>
      <c r="M277" s="214">
        <f t="shared" si="142"/>
        <v>0.11111111111111113</v>
      </c>
      <c r="N277" s="215">
        <f t="shared" si="142"/>
        <v>0.10000000000000002</v>
      </c>
    </row>
    <row r="278" spans="1:14" x14ac:dyDescent="0.3">
      <c r="A278" s="399"/>
      <c r="B278" s="97" t="s">
        <v>123</v>
      </c>
      <c r="C278" s="26">
        <f t="shared" ref="C278:N280" si="143">($D$219*C270)/($C$4+(C258*($D$219^2)))</f>
        <v>0.71428571428571441</v>
      </c>
      <c r="D278" s="26">
        <f t="shared" si="143"/>
        <v>0.625</v>
      </c>
      <c r="E278" s="26">
        <f t="shared" si="143"/>
        <v>0.55555555555555569</v>
      </c>
      <c r="F278" s="26">
        <f t="shared" si="143"/>
        <v>0.50000000000000011</v>
      </c>
      <c r="G278" s="26">
        <f t="shared" si="143"/>
        <v>0.33333333333333331</v>
      </c>
      <c r="H278" s="26">
        <f t="shared" si="143"/>
        <v>0.25000000000000006</v>
      </c>
      <c r="I278" s="26">
        <f t="shared" si="143"/>
        <v>0.2</v>
      </c>
      <c r="J278" s="26">
        <f t="shared" si="143"/>
        <v>0.16666666666666666</v>
      </c>
      <c r="K278" s="26">
        <f t="shared" si="143"/>
        <v>0.14285714285714285</v>
      </c>
      <c r="L278" s="26">
        <f t="shared" si="143"/>
        <v>0.12500000000000003</v>
      </c>
      <c r="M278" s="26">
        <f t="shared" si="143"/>
        <v>0.11111111111111113</v>
      </c>
      <c r="N278" s="234">
        <f t="shared" si="143"/>
        <v>0.1</v>
      </c>
    </row>
    <row r="279" spans="1:14" x14ac:dyDescent="0.3">
      <c r="A279" s="399"/>
      <c r="B279" s="97" t="s">
        <v>124</v>
      </c>
      <c r="C279" s="26">
        <f t="shared" si="143"/>
        <v>0.7142857142857143</v>
      </c>
      <c r="D279" s="26">
        <f t="shared" si="143"/>
        <v>0.625</v>
      </c>
      <c r="E279" s="26">
        <f t="shared" si="143"/>
        <v>0.55555555555555558</v>
      </c>
      <c r="F279" s="26">
        <f t="shared" si="143"/>
        <v>0.50000000000000011</v>
      </c>
      <c r="G279" s="26">
        <f t="shared" si="143"/>
        <v>0.33333333333333331</v>
      </c>
      <c r="H279" s="26">
        <f t="shared" si="143"/>
        <v>0.25000000000000006</v>
      </c>
      <c r="I279" s="26">
        <f t="shared" si="143"/>
        <v>0.2</v>
      </c>
      <c r="J279" s="26">
        <f t="shared" si="143"/>
        <v>0.16666666666666666</v>
      </c>
      <c r="K279" s="26">
        <f t="shared" si="143"/>
        <v>0.14285714285714288</v>
      </c>
      <c r="L279" s="26">
        <f t="shared" si="143"/>
        <v>0.12500000000000003</v>
      </c>
      <c r="M279" s="26">
        <f t="shared" si="143"/>
        <v>0.11111111111111112</v>
      </c>
      <c r="N279" s="234">
        <f t="shared" si="143"/>
        <v>0.1</v>
      </c>
    </row>
    <row r="280" spans="1:14" ht="15" thickBot="1" x14ac:dyDescent="0.35">
      <c r="A280" s="401"/>
      <c r="B280" s="231" t="s">
        <v>125</v>
      </c>
      <c r="C280" s="217">
        <f t="shared" si="143"/>
        <v>0.7142857142857143</v>
      </c>
      <c r="D280" s="217">
        <f t="shared" si="143"/>
        <v>0.625</v>
      </c>
      <c r="E280" s="217">
        <f t="shared" si="143"/>
        <v>0.55555555555555569</v>
      </c>
      <c r="F280" s="217">
        <f t="shared" si="143"/>
        <v>0.50000000000000011</v>
      </c>
      <c r="G280" s="217">
        <f t="shared" si="143"/>
        <v>0.33333333333333337</v>
      </c>
      <c r="H280" s="217">
        <f t="shared" si="143"/>
        <v>0.25000000000000006</v>
      </c>
      <c r="I280" s="217">
        <f t="shared" si="143"/>
        <v>0.20000000000000004</v>
      </c>
      <c r="J280" s="217">
        <f t="shared" si="143"/>
        <v>0.16666666666666669</v>
      </c>
      <c r="K280" s="217">
        <f t="shared" si="143"/>
        <v>0.14285714285714288</v>
      </c>
      <c r="L280" s="217">
        <f t="shared" si="143"/>
        <v>0.12500000000000003</v>
      </c>
      <c r="M280" s="217">
        <f t="shared" si="143"/>
        <v>0.11111111111111113</v>
      </c>
      <c r="N280" s="218">
        <f t="shared" si="143"/>
        <v>0.10000000000000002</v>
      </c>
    </row>
    <row r="281" spans="1:14" x14ac:dyDescent="0.3">
      <c r="A281" s="398" t="s">
        <v>678</v>
      </c>
      <c r="B281" s="227" t="s">
        <v>122</v>
      </c>
      <c r="C281" s="214">
        <f>SQRT(-$C$4/C257)</f>
        <v>33.086807674740449</v>
      </c>
      <c r="D281" s="214">
        <f t="shared" ref="D281:N281" si="144">SQRT(-$C$4/D257)</f>
        <v>33.086807674740449</v>
      </c>
      <c r="E281" s="214">
        <f t="shared" si="144"/>
        <v>33.086807674740449</v>
      </c>
      <c r="F281" s="214">
        <f t="shared" si="144"/>
        <v>33.086807674740449</v>
      </c>
      <c r="G281" s="214">
        <f t="shared" si="144"/>
        <v>33.086807674740449</v>
      </c>
      <c r="H281" s="214">
        <f t="shared" si="144"/>
        <v>33.086807674740449</v>
      </c>
      <c r="I281" s="214">
        <f t="shared" si="144"/>
        <v>33.086807674740449</v>
      </c>
      <c r="J281" s="214">
        <f t="shared" si="144"/>
        <v>33.086807674740449</v>
      </c>
      <c r="K281" s="214">
        <f t="shared" si="144"/>
        <v>33.086807674740449</v>
      </c>
      <c r="L281" s="214">
        <f t="shared" si="144"/>
        <v>33.086807674740449</v>
      </c>
      <c r="M281" s="214">
        <f t="shared" si="144"/>
        <v>33.086807674740449</v>
      </c>
      <c r="N281" s="214">
        <f t="shared" si="144"/>
        <v>33.086807674740449</v>
      </c>
    </row>
    <row r="282" spans="1:14" x14ac:dyDescent="0.3">
      <c r="A282" s="399"/>
      <c r="B282" s="97" t="s">
        <v>123</v>
      </c>
      <c r="C282" s="26">
        <f t="shared" ref="C282:N284" si="145">SQRT(-$C$4/C258)</f>
        <v>25.074434644220254</v>
      </c>
      <c r="D282" s="26">
        <f t="shared" si="145"/>
        <v>25.074434644220254</v>
      </c>
      <c r="E282" s="26">
        <f t="shared" si="145"/>
        <v>25.074434644220254</v>
      </c>
      <c r="F282" s="26">
        <f t="shared" si="145"/>
        <v>25.074434644220254</v>
      </c>
      <c r="G282" s="26">
        <f t="shared" si="145"/>
        <v>25.074434644220254</v>
      </c>
      <c r="H282" s="26">
        <f t="shared" si="145"/>
        <v>25.074434644220254</v>
      </c>
      <c r="I282" s="26">
        <f t="shared" si="145"/>
        <v>25.074434644220254</v>
      </c>
      <c r="J282" s="26">
        <f t="shared" si="145"/>
        <v>25.074434644220254</v>
      </c>
      <c r="K282" s="26">
        <f t="shared" si="145"/>
        <v>25.074434644220254</v>
      </c>
      <c r="L282" s="26">
        <f t="shared" si="145"/>
        <v>25.074434644220254</v>
      </c>
      <c r="M282" s="26">
        <f t="shared" si="145"/>
        <v>25.074434644220254</v>
      </c>
      <c r="N282" s="234">
        <f t="shared" si="145"/>
        <v>25.074434644220254</v>
      </c>
    </row>
    <row r="283" spans="1:14" x14ac:dyDescent="0.3">
      <c r="A283" s="399"/>
      <c r="B283" s="97" t="s">
        <v>124</v>
      </c>
      <c r="C283" s="26">
        <f t="shared" si="145"/>
        <v>25.153977431912459</v>
      </c>
      <c r="D283" s="26">
        <f t="shared" si="145"/>
        <v>25.153977431912459</v>
      </c>
      <c r="E283" s="26">
        <f t="shared" si="145"/>
        <v>25.153977431912459</v>
      </c>
      <c r="F283" s="26">
        <f t="shared" si="145"/>
        <v>25.153977431912459</v>
      </c>
      <c r="G283" s="26">
        <f t="shared" si="145"/>
        <v>25.153977431912459</v>
      </c>
      <c r="H283" s="26">
        <f t="shared" si="145"/>
        <v>25.153977431912459</v>
      </c>
      <c r="I283" s="26">
        <f t="shared" si="145"/>
        <v>25.153977431912459</v>
      </c>
      <c r="J283" s="26">
        <f t="shared" si="145"/>
        <v>25.153977431912459</v>
      </c>
      <c r="K283" s="26">
        <f t="shared" si="145"/>
        <v>25.153977431912459</v>
      </c>
      <c r="L283" s="26">
        <f t="shared" si="145"/>
        <v>25.153977431912459</v>
      </c>
      <c r="M283" s="26">
        <f t="shared" si="145"/>
        <v>25.153977431912459</v>
      </c>
      <c r="N283" s="234">
        <f t="shared" si="145"/>
        <v>25.153977431912459</v>
      </c>
    </row>
    <row r="284" spans="1:14" ht="15" thickBot="1" x14ac:dyDescent="0.35">
      <c r="A284" s="401"/>
      <c r="B284" s="231" t="s">
        <v>125</v>
      </c>
      <c r="C284" s="217">
        <f t="shared" si="145"/>
        <v>27.545880094926748</v>
      </c>
      <c r="D284" s="217">
        <f t="shared" si="145"/>
        <v>27.545880094926748</v>
      </c>
      <c r="E284" s="217">
        <f t="shared" si="145"/>
        <v>27.545880094926748</v>
      </c>
      <c r="F284" s="217">
        <f t="shared" si="145"/>
        <v>27.545880094926748</v>
      </c>
      <c r="G284" s="217">
        <f t="shared" si="145"/>
        <v>27.545880094926748</v>
      </c>
      <c r="H284" s="217">
        <f t="shared" si="145"/>
        <v>27.545880094926748</v>
      </c>
      <c r="I284" s="217">
        <f t="shared" si="145"/>
        <v>27.545880094926748</v>
      </c>
      <c r="J284" s="217">
        <f t="shared" si="145"/>
        <v>27.545880094926748</v>
      </c>
      <c r="K284" s="217">
        <f t="shared" si="145"/>
        <v>27.545880094926748</v>
      </c>
      <c r="L284" s="217">
        <f t="shared" si="145"/>
        <v>27.545880094926748</v>
      </c>
      <c r="M284" s="217">
        <f t="shared" si="145"/>
        <v>27.545880094926748</v>
      </c>
      <c r="N284" s="218">
        <f t="shared" si="145"/>
        <v>27.545880094926748</v>
      </c>
    </row>
    <row r="285" spans="1:14" x14ac:dyDescent="0.3">
      <c r="A285" s="273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</row>
    <row r="286" spans="1:14" x14ac:dyDescent="0.3">
      <c r="A286" s="273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</row>
    <row r="287" spans="1:14" x14ac:dyDescent="0.3">
      <c r="A287" s="273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</row>
    <row r="288" spans="1:14" x14ac:dyDescent="0.3">
      <c r="A288" s="273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</row>
    <row r="289" spans="1:14" x14ac:dyDescent="0.3">
      <c r="A289" s="273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</row>
    <row r="290" spans="1:14" x14ac:dyDescent="0.3">
      <c r="A290" s="273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</row>
    <row r="291" spans="1:14" x14ac:dyDescent="0.3">
      <c r="A291" s="273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pans="1:14" x14ac:dyDescent="0.3">
      <c r="A292" s="273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pans="1:14" x14ac:dyDescent="0.3">
      <c r="A293" s="273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pans="1:14" x14ac:dyDescent="0.3">
      <c r="A294" s="273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pans="1:14" x14ac:dyDescent="0.3">
      <c r="A295" s="273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pans="1:14" x14ac:dyDescent="0.3">
      <c r="A296" s="273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pans="1:14" x14ac:dyDescent="0.3">
      <c r="A297" s="273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pans="1:14" x14ac:dyDescent="0.3">
      <c r="A298" s="273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pans="1:14" x14ac:dyDescent="0.3">
      <c r="A299" s="273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pans="1:14" x14ac:dyDescent="0.3">
      <c r="A300" s="273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pans="1:14" x14ac:dyDescent="0.3">
      <c r="A301" s="273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pans="1:14" x14ac:dyDescent="0.3">
      <c r="A302" s="273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</row>
    <row r="303" spans="1:14" x14ac:dyDescent="0.3">
      <c r="A303" s="273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</row>
    <row r="304" spans="1:14" x14ac:dyDescent="0.3">
      <c r="A304" s="273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</row>
    <row r="305" spans="1:14" x14ac:dyDescent="0.3">
      <c r="A305" s="273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</row>
    <row r="306" spans="1:14" x14ac:dyDescent="0.3">
      <c r="A306" s="273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</row>
    <row r="307" spans="1:14" x14ac:dyDescent="0.3">
      <c r="A307" s="273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</row>
    <row r="308" spans="1:14" x14ac:dyDescent="0.3">
      <c r="A308" s="51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</row>
    <row r="309" spans="1:14" x14ac:dyDescent="0.3">
      <c r="A309" s="7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</row>
    <row r="310" spans="1:14" x14ac:dyDescent="0.3">
      <c r="A310" s="7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</row>
    <row r="311" spans="1:14" x14ac:dyDescent="0.3">
      <c r="A311" s="7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</row>
    <row r="312" spans="1:14" x14ac:dyDescent="0.3">
      <c r="A312" s="7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</row>
    <row r="313" spans="1:14" x14ac:dyDescent="0.3">
      <c r="A313" s="370" t="s">
        <v>269</v>
      </c>
      <c r="B313" s="370"/>
      <c r="C313" s="370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</row>
    <row r="314" spans="1:14" x14ac:dyDescent="0.3">
      <c r="A314" s="7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</row>
    <row r="315" spans="1:14" x14ac:dyDescent="0.3">
      <c r="A315" s="7" t="s">
        <v>168</v>
      </c>
      <c r="B315" s="21" t="s">
        <v>166</v>
      </c>
      <c r="C315" s="26">
        <f>C55/C40</f>
        <v>95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</row>
    <row r="316" spans="1:14" x14ac:dyDescent="0.3">
      <c r="A316" s="7" t="s">
        <v>169</v>
      </c>
      <c r="B316" s="21" t="s">
        <v>167</v>
      </c>
      <c r="C316" s="26">
        <f>C53/C40</f>
        <v>142.5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</row>
    <row r="317" spans="1:14" x14ac:dyDescent="0.3">
      <c r="A317" s="7" t="s">
        <v>170</v>
      </c>
      <c r="B317" s="21" t="s">
        <v>162</v>
      </c>
      <c r="C317" s="70">
        <v>0.12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</row>
    <row r="318" spans="1:14" x14ac:dyDescent="0.3">
      <c r="A318" s="7" t="s">
        <v>171</v>
      </c>
      <c r="B318" s="21" t="s">
        <v>163</v>
      </c>
      <c r="C318" s="70">
        <v>0.13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</row>
    <row r="319" spans="1:14" x14ac:dyDescent="0.3">
      <c r="A319" s="7" t="s">
        <v>172</v>
      </c>
      <c r="B319" s="21" t="s">
        <v>164</v>
      </c>
      <c r="C319" s="26">
        <f>((C317*C315)/(1+C317))*0.5</f>
        <v>5.0892857142857135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</row>
    <row r="320" spans="1:14" x14ac:dyDescent="0.3">
      <c r="A320" s="7" t="s">
        <v>173</v>
      </c>
      <c r="B320" s="21" t="s">
        <v>165</v>
      </c>
      <c r="C320" s="26">
        <f>((C318*C316)/(1+C318))*0.5</f>
        <v>8.1969026548672588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</row>
    <row r="321" spans="1:14" x14ac:dyDescent="0.3">
      <c r="A321" s="7" t="s">
        <v>174</v>
      </c>
      <c r="B321" s="21" t="s">
        <v>177</v>
      </c>
      <c r="C321" s="26">
        <f>2*C319</f>
        <v>10.178571428571427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</row>
    <row r="322" spans="1:14" x14ac:dyDescent="0.3">
      <c r="A322" s="7" t="s">
        <v>175</v>
      </c>
      <c r="B322" s="21" t="s">
        <v>178</v>
      </c>
      <c r="C322" s="26">
        <f>2*C320</f>
        <v>16.393805309734518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</row>
    <row r="323" spans="1:14" x14ac:dyDescent="0.3">
      <c r="A323" s="7" t="s">
        <v>176</v>
      </c>
      <c r="B323" s="21" t="s">
        <v>179</v>
      </c>
      <c r="C323" s="26">
        <f>C321+C322</f>
        <v>26.572376738305945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</row>
    <row r="324" spans="1:14" x14ac:dyDescent="0.3">
      <c r="A324" s="7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</row>
    <row r="325" spans="1:14" x14ac:dyDescent="0.3">
      <c r="A325" s="370" t="s">
        <v>268</v>
      </c>
      <c r="B325" s="370"/>
      <c r="C325" s="370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</row>
    <row r="326" spans="1:14" x14ac:dyDescent="0.3">
      <c r="A326" s="7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</row>
    <row r="327" spans="1:14" x14ac:dyDescent="0.3">
      <c r="A327" s="7" t="s">
        <v>180</v>
      </c>
      <c r="B327" s="21" t="s">
        <v>164</v>
      </c>
      <c r="C327" s="26">
        <f>(C55/C40)-C319</f>
        <v>89.910714285714292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</row>
    <row r="328" spans="1:14" x14ac:dyDescent="0.3">
      <c r="A328" s="7" t="s">
        <v>181</v>
      </c>
      <c r="B328" s="21" t="s">
        <v>165</v>
      </c>
      <c r="C328" s="26">
        <f>(C53/C40)-C320</f>
        <v>134.30309734513276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</row>
    <row r="329" spans="1:14" x14ac:dyDescent="0.3">
      <c r="A329" s="7" t="s">
        <v>182</v>
      </c>
      <c r="B329" s="21" t="s">
        <v>177</v>
      </c>
      <c r="C329" s="26">
        <f>(C52/C40)-C321</f>
        <v>179.82142857142858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</row>
    <row r="330" spans="1:14" x14ac:dyDescent="0.3">
      <c r="A330" s="7" t="s">
        <v>183</v>
      </c>
      <c r="B330" s="21" t="s">
        <v>178</v>
      </c>
      <c r="C330" s="26">
        <f>(C51/C40)-C322</f>
        <v>268.60619469026551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</row>
    <row r="331" spans="1:14" x14ac:dyDescent="0.3">
      <c r="A331" s="7" t="s">
        <v>184</v>
      </c>
      <c r="B331" s="21" t="s">
        <v>179</v>
      </c>
      <c r="C331" s="26">
        <f>(C41/C40)-C323</f>
        <v>448.42762326169407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</row>
    <row r="332" spans="1:14" x14ac:dyDescent="0.3">
      <c r="A332" s="7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</row>
    <row r="333" spans="1:14" x14ac:dyDescent="0.3">
      <c r="A333" s="404" t="s">
        <v>221</v>
      </c>
      <c r="B333" s="40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</row>
    <row r="334" spans="1:14" x14ac:dyDescent="0.3">
      <c r="A334" s="7" t="s">
        <v>222</v>
      </c>
      <c r="B334" s="21" t="s">
        <v>185</v>
      </c>
      <c r="C334" s="70">
        <v>0.3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</row>
    <row r="335" spans="1:14" x14ac:dyDescent="0.3">
      <c r="A335" s="7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</row>
    <row r="336" spans="1:14" x14ac:dyDescent="0.3">
      <c r="A336" s="406" t="s">
        <v>186</v>
      </c>
      <c r="B336" s="407"/>
      <c r="C336" s="407"/>
      <c r="D336" s="407"/>
      <c r="E336" s="407"/>
      <c r="F336" s="407"/>
      <c r="G336" s="408"/>
      <c r="H336" s="35"/>
      <c r="I336" s="35"/>
      <c r="J336" s="35"/>
      <c r="K336" s="35"/>
      <c r="L336" s="35"/>
      <c r="M336" s="35"/>
      <c r="N336" s="35"/>
    </row>
    <row r="337" spans="1:14" x14ac:dyDescent="0.3">
      <c r="A337" s="7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</row>
    <row r="338" spans="1:14" x14ac:dyDescent="0.3">
      <c r="A338" s="367" t="s">
        <v>226</v>
      </c>
      <c r="B338" s="367"/>
      <c r="C338" s="35"/>
      <c r="D338" s="35"/>
      <c r="E338" s="35"/>
      <c r="F338" s="357" t="s">
        <v>227</v>
      </c>
      <c r="G338" s="359"/>
      <c r="H338" s="35"/>
      <c r="I338" s="35"/>
      <c r="J338" s="35"/>
      <c r="K338" s="35"/>
      <c r="L338" s="35"/>
      <c r="M338" s="35"/>
      <c r="N338" s="35"/>
    </row>
    <row r="339" spans="1:14" x14ac:dyDescent="0.3">
      <c r="A339" s="2" t="s">
        <v>196</v>
      </c>
      <c r="B339" s="71">
        <f>E4</f>
        <v>1.5</v>
      </c>
      <c r="C339" s="35"/>
      <c r="D339" s="35"/>
      <c r="E339" s="35"/>
      <c r="F339" s="2" t="s">
        <v>196</v>
      </c>
      <c r="G339" s="71">
        <f>E4</f>
        <v>1.5</v>
      </c>
      <c r="H339" s="35"/>
      <c r="I339" s="35"/>
      <c r="J339" s="35"/>
      <c r="K339" s="35"/>
      <c r="L339" s="35"/>
      <c r="M339" s="35"/>
      <c r="N339" s="35"/>
    </row>
    <row r="340" spans="1:14" x14ac:dyDescent="0.3">
      <c r="A340" s="2" t="s">
        <v>187</v>
      </c>
      <c r="B340" s="283">
        <v>5</v>
      </c>
      <c r="C340" s="35"/>
      <c r="D340" s="35"/>
      <c r="E340" s="35"/>
      <c r="F340" s="2" t="s">
        <v>187</v>
      </c>
      <c r="G340" s="283">
        <v>5</v>
      </c>
      <c r="H340" s="35"/>
      <c r="I340" s="35"/>
      <c r="J340" s="35"/>
      <c r="K340" s="35"/>
      <c r="L340" s="35"/>
      <c r="M340" s="35"/>
      <c r="N340" s="35"/>
    </row>
    <row r="341" spans="1:14" x14ac:dyDescent="0.3">
      <c r="A341" s="280" t="s">
        <v>189</v>
      </c>
      <c r="B341" s="75">
        <f>RADIANS(B340)</f>
        <v>8.7266462599716474E-2</v>
      </c>
      <c r="C341" s="35"/>
      <c r="D341" s="35"/>
      <c r="E341" s="35"/>
      <c r="F341" s="280" t="s">
        <v>189</v>
      </c>
      <c r="G341" s="75">
        <f>RADIANS(G340)</f>
        <v>8.7266462599716474E-2</v>
      </c>
      <c r="H341" s="35"/>
      <c r="I341" s="35"/>
      <c r="J341" s="35"/>
      <c r="K341" s="35"/>
      <c r="L341" s="35"/>
      <c r="M341" s="35"/>
      <c r="N341" s="35"/>
    </row>
    <row r="342" spans="1:14" x14ac:dyDescent="0.3">
      <c r="A342" s="2" t="s">
        <v>188</v>
      </c>
      <c r="B342" s="283">
        <v>5</v>
      </c>
      <c r="C342" s="35"/>
      <c r="D342" s="35"/>
      <c r="E342" s="35"/>
      <c r="F342" s="2" t="s">
        <v>188</v>
      </c>
      <c r="G342" s="283">
        <v>5</v>
      </c>
      <c r="H342" s="35"/>
      <c r="I342" s="35"/>
      <c r="J342" s="35"/>
      <c r="K342" s="35"/>
      <c r="L342" s="35"/>
      <c r="M342" s="35"/>
      <c r="N342" s="35"/>
    </row>
    <row r="343" spans="1:14" x14ac:dyDescent="0.3">
      <c r="A343" s="280" t="s">
        <v>189</v>
      </c>
      <c r="B343" s="75">
        <f>RADIANS(B342)</f>
        <v>8.7266462599716474E-2</v>
      </c>
      <c r="C343" s="35"/>
      <c r="D343" s="35"/>
      <c r="E343" s="35"/>
      <c r="F343" s="280" t="s">
        <v>189</v>
      </c>
      <c r="G343" s="75">
        <f>RADIANS(G342)</f>
        <v>8.7266462599716474E-2</v>
      </c>
      <c r="H343" s="35"/>
      <c r="I343" s="35"/>
      <c r="J343" s="35"/>
      <c r="K343" s="35"/>
      <c r="L343" s="35"/>
      <c r="M343" s="35"/>
      <c r="N343" s="35"/>
    </row>
    <row r="344" spans="1:14" x14ac:dyDescent="0.3">
      <c r="A344" s="376" t="s">
        <v>192</v>
      </c>
      <c r="B344" s="376"/>
      <c r="C344" s="35"/>
      <c r="D344" s="35"/>
      <c r="E344" s="35"/>
      <c r="F344" s="413" t="s">
        <v>192</v>
      </c>
      <c r="G344" s="414"/>
      <c r="H344" s="35"/>
      <c r="I344" s="35"/>
      <c r="J344" s="35"/>
      <c r="K344" s="35"/>
      <c r="L344" s="35"/>
      <c r="M344" s="35"/>
      <c r="N344" s="35"/>
    </row>
    <row r="345" spans="1:14" x14ac:dyDescent="0.3">
      <c r="A345" s="403" t="s">
        <v>190</v>
      </c>
      <c r="B345" s="403"/>
      <c r="C345" s="35"/>
      <c r="D345" s="35"/>
      <c r="E345" s="35"/>
      <c r="F345" s="411" t="s">
        <v>190</v>
      </c>
      <c r="G345" s="412"/>
      <c r="H345" s="35"/>
      <c r="I345" s="35"/>
      <c r="J345" s="35"/>
      <c r="K345" s="35"/>
      <c r="L345" s="35"/>
      <c r="M345" s="35"/>
      <c r="N345" s="35"/>
    </row>
    <row r="346" spans="1:14" x14ac:dyDescent="0.3">
      <c r="A346" s="376" t="s">
        <v>191</v>
      </c>
      <c r="B346" s="376"/>
      <c r="C346" s="35"/>
      <c r="D346" s="35"/>
      <c r="E346" s="35"/>
      <c r="F346" s="413" t="s">
        <v>191</v>
      </c>
      <c r="G346" s="414"/>
      <c r="H346" s="35"/>
      <c r="I346" s="35"/>
      <c r="J346" s="35"/>
      <c r="K346" s="35"/>
      <c r="L346" s="35"/>
      <c r="M346" s="35"/>
      <c r="N346" s="35"/>
    </row>
    <row r="347" spans="1:14" x14ac:dyDescent="0.3">
      <c r="A347" s="403" t="s">
        <v>193</v>
      </c>
      <c r="B347" s="403"/>
      <c r="C347" s="35"/>
      <c r="D347" s="35"/>
      <c r="E347" s="35"/>
      <c r="F347" s="411" t="s">
        <v>193</v>
      </c>
      <c r="G347" s="412"/>
      <c r="H347" s="35"/>
      <c r="I347" s="35"/>
      <c r="J347" s="35"/>
      <c r="K347" s="35"/>
      <c r="L347" s="35"/>
      <c r="M347" s="35"/>
      <c r="N347" s="35"/>
    </row>
    <row r="348" spans="1:14" x14ac:dyDescent="0.3">
      <c r="A348" s="277" t="s">
        <v>194</v>
      </c>
      <c r="B348" s="280">
        <f>(-TAN(B341))</f>
        <v>-8.7488663525924007E-2</v>
      </c>
      <c r="C348" s="73" t="s">
        <v>206</v>
      </c>
      <c r="D348" s="35"/>
      <c r="E348" s="35"/>
      <c r="F348" s="277" t="s">
        <v>194</v>
      </c>
      <c r="G348" s="280">
        <f>TAN(G341)</f>
        <v>8.7488663525924007E-2</v>
      </c>
      <c r="H348" s="35"/>
      <c r="I348" s="35"/>
      <c r="J348" s="35"/>
      <c r="K348" s="35"/>
      <c r="L348" s="35"/>
      <c r="M348" s="35"/>
      <c r="N348" s="35"/>
    </row>
    <row r="349" spans="1:14" x14ac:dyDescent="0.3">
      <c r="A349" s="277" t="s">
        <v>195</v>
      </c>
      <c r="B349" s="278">
        <f>TAN(B343)</f>
        <v>8.7488663525924007E-2</v>
      </c>
      <c r="C349" s="35"/>
      <c r="D349" s="35"/>
      <c r="E349" s="35"/>
      <c r="F349" s="277" t="s">
        <v>195</v>
      </c>
      <c r="G349" s="278">
        <f>(-TAN(G343))</f>
        <v>-8.7488663525924007E-2</v>
      </c>
      <c r="H349" s="73" t="s">
        <v>223</v>
      </c>
      <c r="I349" s="35"/>
      <c r="J349" s="35"/>
      <c r="K349" s="35"/>
      <c r="L349" s="35"/>
      <c r="M349" s="35"/>
      <c r="N349" s="35"/>
    </row>
    <row r="350" spans="1:14" x14ac:dyDescent="0.3">
      <c r="A350" s="77" t="s">
        <v>197</v>
      </c>
      <c r="B350" s="282">
        <v>13</v>
      </c>
      <c r="C350" s="35"/>
      <c r="D350" s="35"/>
      <c r="E350" s="35"/>
      <c r="F350" s="77" t="s">
        <v>197</v>
      </c>
      <c r="G350" s="282">
        <v>13</v>
      </c>
      <c r="H350" s="35"/>
      <c r="I350" s="35"/>
      <c r="J350" s="35"/>
      <c r="K350" s="35"/>
      <c r="L350" s="35"/>
      <c r="M350" s="35"/>
      <c r="N350" s="35"/>
    </row>
    <row r="351" spans="1:14" x14ac:dyDescent="0.3">
      <c r="A351" s="280" t="s">
        <v>189</v>
      </c>
      <c r="B351" s="278">
        <f>RADIANS(B350)</f>
        <v>0.22689280275926285</v>
      </c>
      <c r="C351" s="35"/>
      <c r="D351" s="35"/>
      <c r="E351" s="35"/>
      <c r="F351" s="280" t="s">
        <v>189</v>
      </c>
      <c r="G351" s="278">
        <f>RADIANS(G350)</f>
        <v>0.22689280275926285</v>
      </c>
      <c r="H351" s="35"/>
      <c r="I351" s="35"/>
      <c r="J351" s="35"/>
      <c r="K351" s="35"/>
      <c r="L351" s="35"/>
      <c r="M351" s="35"/>
      <c r="N351" s="35"/>
    </row>
    <row r="352" spans="1:14" x14ac:dyDescent="0.3">
      <c r="A352" s="277" t="s">
        <v>209</v>
      </c>
      <c r="B352" s="282">
        <v>0.104</v>
      </c>
      <c r="C352" s="73" t="s">
        <v>208</v>
      </c>
      <c r="D352" s="35"/>
      <c r="E352" s="35"/>
      <c r="F352" s="277" t="s">
        <v>209</v>
      </c>
      <c r="G352" s="282">
        <v>0.104</v>
      </c>
      <c r="H352" s="73" t="s">
        <v>208</v>
      </c>
      <c r="I352" s="35"/>
      <c r="J352" s="35"/>
      <c r="K352" s="35"/>
      <c r="L352" s="35"/>
      <c r="M352" s="35"/>
      <c r="N352" s="35"/>
    </row>
    <row r="353" spans="1:14" x14ac:dyDescent="0.3">
      <c r="A353" s="277" t="s">
        <v>210</v>
      </c>
      <c r="B353" s="282">
        <v>0.1</v>
      </c>
      <c r="C353" s="73" t="s">
        <v>208</v>
      </c>
      <c r="D353" s="35"/>
      <c r="E353" s="35"/>
      <c r="F353" s="277" t="s">
        <v>210</v>
      </c>
      <c r="G353" s="282">
        <v>0.1</v>
      </c>
      <c r="H353" s="73" t="s">
        <v>208</v>
      </c>
      <c r="I353" s="35"/>
      <c r="J353" s="35"/>
      <c r="K353" s="35"/>
      <c r="L353" s="35"/>
      <c r="M353" s="35"/>
      <c r="N353" s="35"/>
    </row>
    <row r="354" spans="1:14" x14ac:dyDescent="0.3">
      <c r="A354" s="277" t="s">
        <v>200</v>
      </c>
      <c r="B354" s="278">
        <f>(B352+B353)*TAN(B351)</f>
        <v>4.7097110989614881E-2</v>
      </c>
      <c r="C354" s="35"/>
      <c r="D354" s="35"/>
      <c r="E354" s="35"/>
      <c r="F354" s="277" t="s">
        <v>200</v>
      </c>
      <c r="G354" s="278">
        <f>(G352+G353)*TAN(G351)</f>
        <v>4.7097110989614881E-2</v>
      </c>
      <c r="H354" s="35"/>
      <c r="I354" s="35"/>
      <c r="J354" s="35"/>
      <c r="K354" s="35"/>
      <c r="L354" s="35"/>
      <c r="M354" s="35"/>
      <c r="N354" s="35"/>
    </row>
    <row r="355" spans="1:14" x14ac:dyDescent="0.3">
      <c r="A355" s="277" t="s">
        <v>201</v>
      </c>
      <c r="B355" s="282">
        <v>2.8500000000000001E-2</v>
      </c>
      <c r="C355" s="35"/>
      <c r="D355" s="35"/>
      <c r="E355" s="35"/>
      <c r="F355" s="277" t="s">
        <v>201</v>
      </c>
      <c r="G355" s="282">
        <v>2.8500000000000001E-2</v>
      </c>
      <c r="H355" s="35"/>
      <c r="I355" s="35"/>
      <c r="J355" s="35"/>
      <c r="K355" s="35"/>
      <c r="L355" s="35"/>
      <c r="M355" s="35"/>
      <c r="N355" s="35"/>
    </row>
    <row r="356" spans="1:14" x14ac:dyDescent="0.3">
      <c r="A356" s="277" t="s">
        <v>203</v>
      </c>
      <c r="B356" s="280">
        <f>((0.5*B339)-B355)*TAN(B341)</f>
        <v>6.3123070733954179E-2</v>
      </c>
      <c r="C356" s="35"/>
      <c r="D356" s="35"/>
      <c r="E356" s="35"/>
      <c r="F356" s="277" t="s">
        <v>203</v>
      </c>
      <c r="G356" s="280">
        <f>((0.5*G339)-G355)*TAN(G341)</f>
        <v>6.3123070733954179E-2</v>
      </c>
      <c r="H356" s="35"/>
      <c r="I356" s="35"/>
      <c r="J356" s="35"/>
      <c r="K356" s="35"/>
      <c r="L356" s="35"/>
      <c r="M356" s="35"/>
      <c r="N356" s="35"/>
    </row>
    <row r="357" spans="1:14" x14ac:dyDescent="0.3">
      <c r="A357" s="277" t="s">
        <v>204</v>
      </c>
      <c r="B357" s="280">
        <f>B356</f>
        <v>6.3123070733954179E-2</v>
      </c>
      <c r="C357" s="35"/>
      <c r="D357" s="35"/>
      <c r="E357" s="35"/>
      <c r="F357" s="277" t="s">
        <v>204</v>
      </c>
      <c r="G357" s="280">
        <f>G356</f>
        <v>6.3123070733954179E-2</v>
      </c>
      <c r="H357" s="35"/>
      <c r="I357" s="35"/>
      <c r="J357" s="35"/>
      <c r="K357" s="35"/>
      <c r="L357" s="35"/>
      <c r="M357" s="35"/>
      <c r="N357" s="35"/>
    </row>
    <row r="358" spans="1:14" x14ac:dyDescent="0.3">
      <c r="A358" s="277" t="s">
        <v>202</v>
      </c>
      <c r="B358" s="278">
        <f>((0.5*B339)-B354-B355)*TAN(B343)</f>
        <v>5.9002607437540662E-2</v>
      </c>
      <c r="C358" s="73" t="s">
        <v>198</v>
      </c>
      <c r="D358" s="35"/>
      <c r="E358" s="35"/>
      <c r="F358" s="277" t="s">
        <v>202</v>
      </c>
      <c r="G358" s="278">
        <f>((0.5*G339)-G354-G355)*TAN(G343)</f>
        <v>5.9002607437540662E-2</v>
      </c>
      <c r="H358" s="73" t="s">
        <v>198</v>
      </c>
      <c r="I358" s="35"/>
      <c r="J358" s="35"/>
      <c r="K358" s="35"/>
      <c r="L358" s="35"/>
      <c r="M358" s="35"/>
      <c r="N358" s="35"/>
    </row>
    <row r="359" spans="1:14" x14ac:dyDescent="0.3">
      <c r="A359" s="277" t="s">
        <v>199</v>
      </c>
      <c r="B359" s="278">
        <f>(B352+B353)-B358</f>
        <v>0.14499739256245936</v>
      </c>
      <c r="C359" s="35"/>
      <c r="D359" s="35"/>
      <c r="E359" s="35"/>
      <c r="F359" s="277" t="s">
        <v>199</v>
      </c>
      <c r="G359" s="278">
        <f>(G352+G353)-G358</f>
        <v>0.14499739256245936</v>
      </c>
      <c r="H359" s="35"/>
      <c r="I359" s="35"/>
      <c r="J359" s="35"/>
      <c r="K359" s="35"/>
      <c r="L359" s="35"/>
      <c r="M359" s="35"/>
      <c r="N359" s="35"/>
    </row>
    <row r="360" spans="1:14" x14ac:dyDescent="0.3">
      <c r="A360" s="277" t="s">
        <v>205</v>
      </c>
      <c r="B360" s="278">
        <f>(B359-B357)/(B348-B349)</f>
        <v>-0.46791389037646447</v>
      </c>
      <c r="C360" s="78" t="s">
        <v>225</v>
      </c>
      <c r="D360" s="35"/>
      <c r="E360" s="35"/>
      <c r="F360" s="277" t="s">
        <v>205</v>
      </c>
      <c r="G360" s="278">
        <f>(G359-G357)/(G348-G349)</f>
        <v>0.46791389037646447</v>
      </c>
      <c r="H360" s="73" t="s">
        <v>224</v>
      </c>
      <c r="I360" s="35"/>
      <c r="J360" s="35"/>
      <c r="K360" s="35"/>
      <c r="L360" s="35"/>
      <c r="M360" s="35"/>
      <c r="N360" s="35"/>
    </row>
    <row r="361" spans="1:14" x14ac:dyDescent="0.3">
      <c r="A361" s="284"/>
      <c r="B361" s="284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</row>
    <row r="362" spans="1:14" x14ac:dyDescent="0.3">
      <c r="A362" s="357" t="s">
        <v>283</v>
      </c>
      <c r="B362" s="358"/>
      <c r="C362" s="358"/>
      <c r="D362" s="358"/>
      <c r="E362" s="358"/>
      <c r="F362" s="358"/>
      <c r="G362" s="359"/>
      <c r="H362" s="35"/>
      <c r="I362" s="35"/>
      <c r="J362" s="35"/>
      <c r="K362" s="35"/>
      <c r="L362" s="35"/>
      <c r="M362" s="35"/>
      <c r="N362" s="35"/>
    </row>
    <row r="363" spans="1:14" x14ac:dyDescent="0.3">
      <c r="A363" s="284"/>
      <c r="B363" s="284"/>
      <c r="C363" s="284"/>
      <c r="D363" s="284"/>
      <c r="E363" s="284"/>
      <c r="F363" s="284"/>
      <c r="G363" s="284"/>
      <c r="H363" s="35"/>
      <c r="I363" s="35"/>
      <c r="J363" s="35"/>
      <c r="K363" s="35"/>
      <c r="L363" s="35"/>
      <c r="M363" s="35"/>
      <c r="N363" s="35"/>
    </row>
    <row r="364" spans="1:14" x14ac:dyDescent="0.3">
      <c r="A364" s="277" t="s">
        <v>252</v>
      </c>
      <c r="B364" s="278">
        <f>(0.5*B339)+ABS(B360)-B355</f>
        <v>1.1894138903764644</v>
      </c>
      <c r="C364" s="73" t="s">
        <v>274</v>
      </c>
      <c r="D364" s="35"/>
      <c r="E364" s="35"/>
      <c r="F364" s="285" t="s">
        <v>252</v>
      </c>
      <c r="G364" s="278">
        <f>(0.5*G339)+(ABS(G360))-B355</f>
        <v>1.1894138903764644</v>
      </c>
      <c r="H364" s="73" t="s">
        <v>274</v>
      </c>
      <c r="I364" s="35"/>
      <c r="J364" s="35"/>
      <c r="K364" s="35"/>
      <c r="L364" s="35"/>
      <c r="M364" s="35"/>
      <c r="N364" s="35"/>
    </row>
    <row r="365" spans="1:14" x14ac:dyDescent="0.3">
      <c r="A365" s="284"/>
      <c r="B365" s="284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</row>
    <row r="366" spans="1:14" x14ac:dyDescent="0.3">
      <c r="A366" s="357" t="s">
        <v>254</v>
      </c>
      <c r="B366" s="358"/>
      <c r="C366" s="358"/>
      <c r="D366" s="358"/>
      <c r="E366" s="358"/>
      <c r="F366" s="358"/>
      <c r="G366" s="359"/>
      <c r="H366" s="35"/>
      <c r="I366" s="35"/>
      <c r="J366" s="35"/>
      <c r="K366" s="35"/>
      <c r="L366" s="35"/>
      <c r="M366" s="35"/>
      <c r="N366" s="35"/>
    </row>
    <row r="367" spans="1:14" x14ac:dyDescent="0.3">
      <c r="A367" s="72"/>
      <c r="B367" s="284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</row>
    <row r="368" spans="1:14" x14ac:dyDescent="0.3">
      <c r="A368" s="277" t="s">
        <v>212</v>
      </c>
      <c r="B368" s="278">
        <f>C127</f>
        <v>0.51639999999999997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</row>
    <row r="369" spans="1:14" x14ac:dyDescent="0.3">
      <c r="A369" s="284"/>
      <c r="B369" s="62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</row>
    <row r="370" spans="1:14" x14ac:dyDescent="0.3">
      <c r="A370" s="404" t="s">
        <v>211</v>
      </c>
      <c r="B370" s="404"/>
      <c r="C370" s="35"/>
      <c r="D370" s="35"/>
      <c r="E370" s="35"/>
      <c r="F370" s="409" t="s">
        <v>207</v>
      </c>
      <c r="G370" s="410"/>
      <c r="H370" s="35"/>
      <c r="I370" s="35"/>
      <c r="J370" s="35"/>
      <c r="K370" s="35"/>
      <c r="L370" s="35"/>
      <c r="M370" s="35"/>
      <c r="N370" s="35"/>
    </row>
    <row r="371" spans="1:14" x14ac:dyDescent="0.3">
      <c r="A371" s="277" t="s">
        <v>229</v>
      </c>
      <c r="B371" s="280">
        <f>B364*TAN(B341)</f>
        <v>0.10406023164820676</v>
      </c>
      <c r="C371" s="35"/>
      <c r="D371" s="35"/>
      <c r="E371" s="35"/>
      <c r="F371" s="277" t="s">
        <v>229</v>
      </c>
      <c r="G371" s="280">
        <f>G364*TAN(G341)</f>
        <v>0.10406023164820676</v>
      </c>
      <c r="H371" s="35"/>
      <c r="I371" s="35"/>
      <c r="J371" s="35"/>
      <c r="K371" s="35"/>
      <c r="L371" s="35"/>
      <c r="M371" s="35"/>
      <c r="N371" s="35"/>
    </row>
    <row r="372" spans="1:14" x14ac:dyDescent="0.3">
      <c r="A372" s="277" t="s">
        <v>213</v>
      </c>
      <c r="B372" s="278">
        <f>(0.5*B368)-B352+B371</f>
        <v>0.25826023164820677</v>
      </c>
      <c r="C372" s="35"/>
      <c r="D372" s="35"/>
      <c r="E372" s="35"/>
      <c r="F372" s="277" t="s">
        <v>213</v>
      </c>
      <c r="G372" s="278">
        <f>(0.5*B368)-G352+G371</f>
        <v>0.25826023164820677</v>
      </c>
      <c r="H372" s="35"/>
      <c r="I372" s="35"/>
      <c r="J372" s="35"/>
      <c r="K372" s="35"/>
      <c r="L372" s="35"/>
      <c r="M372" s="35"/>
      <c r="N372" s="35"/>
    </row>
    <row r="373" spans="1:14" x14ac:dyDescent="0.3">
      <c r="A373" s="277" t="s">
        <v>214</v>
      </c>
      <c r="B373" s="278">
        <f>ABS(B360)</f>
        <v>0.46791389037646447</v>
      </c>
      <c r="C373" s="73" t="s">
        <v>215</v>
      </c>
      <c r="D373" s="35"/>
      <c r="E373" s="35"/>
      <c r="F373" s="277" t="s">
        <v>214</v>
      </c>
      <c r="G373" s="278">
        <f>ABS(G360)</f>
        <v>0.46791389037646447</v>
      </c>
      <c r="H373" s="73" t="s">
        <v>216</v>
      </c>
      <c r="I373" s="35"/>
      <c r="J373" s="35"/>
      <c r="K373" s="35"/>
      <c r="L373" s="35"/>
      <c r="M373" s="35"/>
      <c r="N373" s="35"/>
    </row>
    <row r="374" spans="1:14" x14ac:dyDescent="0.3">
      <c r="A374" s="284"/>
      <c r="B374" s="284"/>
      <c r="C374" s="73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</row>
    <row r="375" spans="1:14" x14ac:dyDescent="0.3">
      <c r="A375" s="367" t="s">
        <v>217</v>
      </c>
      <c r="B375" s="36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</row>
    <row r="376" spans="1:14" x14ac:dyDescent="0.3">
      <c r="A376" s="7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</row>
    <row r="377" spans="1:14" x14ac:dyDescent="0.3">
      <c r="A377" s="80" t="s">
        <v>218</v>
      </c>
      <c r="B377" s="75">
        <f>ATAN((B372/((0.5*B339)+B373)))</f>
        <v>0.2089560462235388</v>
      </c>
      <c r="C377" s="35"/>
      <c r="D377" s="300" t="s">
        <v>681</v>
      </c>
      <c r="E377" s="34">
        <f>(B379/C47)*100</f>
        <v>31.807695973691995</v>
      </c>
      <c r="F377" s="35"/>
      <c r="G377" s="35"/>
      <c r="H377" s="35"/>
      <c r="I377" s="35"/>
      <c r="J377" s="35"/>
      <c r="K377" s="35"/>
      <c r="L377" s="35"/>
      <c r="M377" s="35"/>
      <c r="N377" s="35"/>
    </row>
    <row r="378" spans="1:14" x14ac:dyDescent="0.3">
      <c r="A378" s="280" t="s">
        <v>219</v>
      </c>
      <c r="B378" s="75">
        <f>DEGREES(B377)</f>
        <v>11.972299552349318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</row>
    <row r="379" spans="1:14" x14ac:dyDescent="0.3">
      <c r="A379" s="277" t="s">
        <v>220</v>
      </c>
      <c r="B379" s="76">
        <f>(0.5*B339)*TAN(B377)</f>
        <v>0.15903847986845998</v>
      </c>
      <c r="C379" s="35"/>
      <c r="D379" s="34" t="s">
        <v>680</v>
      </c>
      <c r="E379" s="299">
        <f>0.3*C47</f>
        <v>0.15</v>
      </c>
      <c r="F379" s="35"/>
      <c r="G379" s="35"/>
      <c r="H379" s="35"/>
      <c r="I379" s="35"/>
      <c r="J379" s="35"/>
      <c r="K379" s="35"/>
      <c r="L379" s="35"/>
      <c r="M379" s="35"/>
      <c r="N379" s="35"/>
    </row>
    <row r="380" spans="1:14" x14ac:dyDescent="0.3">
      <c r="A380" s="284"/>
      <c r="B380" s="7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</row>
    <row r="381" spans="1:14" x14ac:dyDescent="0.3">
      <c r="A381" s="406" t="s">
        <v>228</v>
      </c>
      <c r="B381" s="407"/>
      <c r="C381" s="407"/>
      <c r="D381" s="407"/>
      <c r="E381" s="407"/>
      <c r="F381" s="407"/>
      <c r="G381" s="408"/>
      <c r="H381" s="35"/>
      <c r="I381" s="35"/>
      <c r="J381" s="35"/>
      <c r="K381" s="35"/>
      <c r="L381" s="35"/>
      <c r="M381" s="35"/>
      <c r="N381" s="35"/>
    </row>
    <row r="382" spans="1:14" x14ac:dyDescent="0.3">
      <c r="A382" s="7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</row>
    <row r="383" spans="1:14" x14ac:dyDescent="0.3">
      <c r="A383" s="367" t="s">
        <v>226</v>
      </c>
      <c r="B383" s="367"/>
      <c r="C383" s="35"/>
      <c r="D383" s="35"/>
      <c r="E383" s="35"/>
      <c r="F383" s="279" t="s">
        <v>227</v>
      </c>
      <c r="G383" s="279"/>
      <c r="H383" s="35"/>
      <c r="I383" s="35"/>
      <c r="J383" s="35"/>
      <c r="K383" s="35"/>
      <c r="L383" s="35"/>
      <c r="M383" s="35"/>
      <c r="N383" s="35"/>
    </row>
    <row r="384" spans="1:14" x14ac:dyDescent="0.3">
      <c r="A384" s="2" t="s">
        <v>196</v>
      </c>
      <c r="B384" s="71">
        <f>E4</f>
        <v>1.5</v>
      </c>
      <c r="C384" s="35"/>
      <c r="D384" s="35"/>
      <c r="E384" s="35"/>
      <c r="F384" s="2" t="s">
        <v>196</v>
      </c>
      <c r="G384" s="71">
        <f>E4</f>
        <v>1.5</v>
      </c>
      <c r="H384" s="35"/>
      <c r="I384" s="35"/>
      <c r="J384" s="35"/>
      <c r="K384" s="35"/>
      <c r="L384" s="35"/>
      <c r="M384" s="35"/>
      <c r="N384" s="35"/>
    </row>
    <row r="385" spans="1:14" x14ac:dyDescent="0.3">
      <c r="A385" s="2" t="s">
        <v>187</v>
      </c>
      <c r="B385" s="283">
        <v>2</v>
      </c>
      <c r="C385" s="35"/>
      <c r="D385" s="35"/>
      <c r="E385" s="35"/>
      <c r="F385" s="2" t="s">
        <v>187</v>
      </c>
      <c r="G385" s="283">
        <v>2</v>
      </c>
      <c r="H385" s="35"/>
      <c r="I385" s="35"/>
      <c r="J385" s="35"/>
      <c r="K385" s="35"/>
      <c r="L385" s="35"/>
      <c r="M385" s="35"/>
      <c r="N385" s="35"/>
    </row>
    <row r="386" spans="1:14" x14ac:dyDescent="0.3">
      <c r="A386" s="280" t="s">
        <v>189</v>
      </c>
      <c r="B386" s="75">
        <f>RADIANS(B385)</f>
        <v>3.4906585039886591E-2</v>
      </c>
      <c r="C386" s="35"/>
      <c r="D386" s="35"/>
      <c r="E386" s="35"/>
      <c r="F386" s="280" t="s">
        <v>189</v>
      </c>
      <c r="G386" s="75">
        <f>RADIANS(G385)</f>
        <v>3.4906585039886591E-2</v>
      </c>
      <c r="H386" s="35"/>
      <c r="I386" s="35"/>
      <c r="J386" s="35"/>
      <c r="K386" s="35"/>
      <c r="L386" s="35"/>
      <c r="M386" s="35"/>
      <c r="N386" s="35"/>
    </row>
    <row r="387" spans="1:14" x14ac:dyDescent="0.3">
      <c r="A387" s="2" t="s">
        <v>188</v>
      </c>
      <c r="B387" s="283">
        <v>4</v>
      </c>
      <c r="C387" s="35"/>
      <c r="D387" s="35"/>
      <c r="E387" s="35"/>
      <c r="F387" s="2" t="s">
        <v>188</v>
      </c>
      <c r="G387" s="283">
        <v>4</v>
      </c>
      <c r="H387" s="35"/>
      <c r="I387" s="35"/>
      <c r="J387" s="35"/>
      <c r="K387" s="35"/>
      <c r="L387" s="35"/>
      <c r="M387" s="35"/>
      <c r="N387" s="35"/>
    </row>
    <row r="388" spans="1:14" x14ac:dyDescent="0.3">
      <c r="A388" s="280" t="s">
        <v>189</v>
      </c>
      <c r="B388" s="75">
        <f>RADIANS(B387)</f>
        <v>6.9813170079773182E-2</v>
      </c>
      <c r="C388" s="35"/>
      <c r="D388" s="35"/>
      <c r="E388" s="35"/>
      <c r="F388" s="280" t="s">
        <v>189</v>
      </c>
      <c r="G388" s="75">
        <f>RADIANS(G387)</f>
        <v>6.9813170079773182E-2</v>
      </c>
      <c r="H388" s="35"/>
      <c r="I388" s="35"/>
      <c r="J388" s="35"/>
      <c r="K388" s="35"/>
      <c r="L388" s="35"/>
      <c r="M388" s="35"/>
      <c r="N388" s="35"/>
    </row>
    <row r="389" spans="1:14" x14ac:dyDescent="0.3">
      <c r="A389" s="376" t="s">
        <v>192</v>
      </c>
      <c r="B389" s="376"/>
      <c r="C389" s="35"/>
      <c r="D389" s="35"/>
      <c r="E389" s="35"/>
      <c r="F389" s="413" t="s">
        <v>192</v>
      </c>
      <c r="G389" s="414"/>
      <c r="H389" s="35"/>
      <c r="I389" s="35"/>
      <c r="J389" s="35"/>
      <c r="K389" s="35"/>
      <c r="L389" s="35"/>
      <c r="M389" s="35"/>
      <c r="N389" s="35"/>
    </row>
    <row r="390" spans="1:14" x14ac:dyDescent="0.3">
      <c r="A390" s="403" t="s">
        <v>190</v>
      </c>
      <c r="B390" s="403"/>
      <c r="C390" s="35"/>
      <c r="D390" s="35"/>
      <c r="E390" s="35"/>
      <c r="F390" s="411" t="s">
        <v>190</v>
      </c>
      <c r="G390" s="412"/>
      <c r="H390" s="35"/>
      <c r="I390" s="35"/>
      <c r="J390" s="35"/>
      <c r="K390" s="35"/>
      <c r="L390" s="35"/>
      <c r="M390" s="35"/>
      <c r="N390" s="35"/>
    </row>
    <row r="391" spans="1:14" x14ac:dyDescent="0.3">
      <c r="A391" s="376" t="s">
        <v>191</v>
      </c>
      <c r="B391" s="376"/>
      <c r="C391" s="35"/>
      <c r="D391" s="35"/>
      <c r="E391" s="35"/>
      <c r="F391" s="413" t="s">
        <v>191</v>
      </c>
      <c r="G391" s="414"/>
      <c r="H391" s="35"/>
      <c r="I391" s="35"/>
      <c r="J391" s="35"/>
      <c r="K391" s="35"/>
      <c r="L391" s="35"/>
      <c r="M391" s="35"/>
      <c r="N391" s="35"/>
    </row>
    <row r="392" spans="1:14" x14ac:dyDescent="0.3">
      <c r="A392" s="403" t="s">
        <v>193</v>
      </c>
      <c r="B392" s="403"/>
      <c r="C392" s="35"/>
      <c r="D392" s="35"/>
      <c r="E392" s="35"/>
      <c r="F392" s="411" t="s">
        <v>193</v>
      </c>
      <c r="G392" s="412"/>
      <c r="H392" s="35"/>
      <c r="I392" s="35"/>
      <c r="J392" s="35"/>
      <c r="K392" s="35"/>
      <c r="L392" s="35"/>
      <c r="M392" s="35"/>
      <c r="N392" s="35"/>
    </row>
    <row r="393" spans="1:14" x14ac:dyDescent="0.3">
      <c r="A393" s="277" t="s">
        <v>194</v>
      </c>
      <c r="B393" s="280">
        <f>(-TAN(B386))</f>
        <v>-3.492076949174773E-2</v>
      </c>
      <c r="C393" s="73" t="s">
        <v>206</v>
      </c>
      <c r="D393" s="35"/>
      <c r="E393" s="35"/>
      <c r="F393" s="277" t="s">
        <v>194</v>
      </c>
      <c r="G393" s="280">
        <f>TAN(G386)</f>
        <v>3.492076949174773E-2</v>
      </c>
      <c r="H393" s="35"/>
      <c r="I393" s="35"/>
      <c r="J393" s="35"/>
      <c r="K393" s="35"/>
      <c r="L393" s="35"/>
      <c r="M393" s="35"/>
      <c r="N393" s="35"/>
    </row>
    <row r="394" spans="1:14" x14ac:dyDescent="0.3">
      <c r="A394" s="277" t="s">
        <v>195</v>
      </c>
      <c r="B394" s="278">
        <f>TAN(B388)</f>
        <v>6.9926811943510414E-2</v>
      </c>
      <c r="C394" s="35"/>
      <c r="D394" s="35"/>
      <c r="E394" s="35"/>
      <c r="F394" s="277" t="s">
        <v>195</v>
      </c>
      <c r="G394" s="278">
        <f>(-TAN(G388))</f>
        <v>-6.9926811943510414E-2</v>
      </c>
      <c r="H394" s="35"/>
      <c r="I394" s="35"/>
      <c r="J394" s="35"/>
      <c r="K394" s="35"/>
      <c r="L394" s="35"/>
      <c r="M394" s="35"/>
      <c r="N394" s="35"/>
    </row>
    <row r="395" spans="1:14" x14ac:dyDescent="0.3">
      <c r="A395" s="77" t="s">
        <v>197</v>
      </c>
      <c r="B395" s="282">
        <v>13</v>
      </c>
      <c r="C395" s="35"/>
      <c r="D395" s="35"/>
      <c r="E395" s="35"/>
      <c r="F395" s="77" t="s">
        <v>197</v>
      </c>
      <c r="G395" s="282">
        <v>13</v>
      </c>
      <c r="H395" s="35"/>
      <c r="I395" s="35"/>
      <c r="J395" s="35"/>
      <c r="K395" s="35"/>
      <c r="L395" s="35"/>
      <c r="M395" s="35"/>
      <c r="N395" s="35"/>
    </row>
    <row r="396" spans="1:14" x14ac:dyDescent="0.3">
      <c r="A396" s="280" t="s">
        <v>189</v>
      </c>
      <c r="B396" s="278">
        <f>RADIANS(B395)</f>
        <v>0.22689280275926285</v>
      </c>
      <c r="C396" s="35"/>
      <c r="D396" s="35"/>
      <c r="E396" s="35"/>
      <c r="F396" s="280" t="s">
        <v>189</v>
      </c>
      <c r="G396" s="278">
        <f>RADIANS(G395)</f>
        <v>0.22689280275926285</v>
      </c>
      <c r="H396" s="35"/>
      <c r="I396" s="35"/>
      <c r="J396" s="35"/>
      <c r="K396" s="35"/>
      <c r="L396" s="35"/>
      <c r="M396" s="35"/>
      <c r="N396" s="35"/>
    </row>
    <row r="397" spans="1:14" x14ac:dyDescent="0.3">
      <c r="A397" s="277" t="s">
        <v>209</v>
      </c>
      <c r="B397" s="282">
        <v>0.104</v>
      </c>
      <c r="C397" s="73" t="s">
        <v>208</v>
      </c>
      <c r="D397" s="35"/>
      <c r="E397" s="35"/>
      <c r="F397" s="277" t="s">
        <v>209</v>
      </c>
      <c r="G397" s="282">
        <v>0.104</v>
      </c>
      <c r="H397" s="35"/>
      <c r="I397" s="35"/>
      <c r="J397" s="35"/>
      <c r="K397" s="35"/>
      <c r="L397" s="35"/>
      <c r="M397" s="35"/>
      <c r="N397" s="35"/>
    </row>
    <row r="398" spans="1:14" x14ac:dyDescent="0.3">
      <c r="A398" s="277" t="s">
        <v>210</v>
      </c>
      <c r="B398" s="282">
        <v>0.1</v>
      </c>
      <c r="C398" s="73" t="s">
        <v>208</v>
      </c>
      <c r="D398" s="35"/>
      <c r="E398" s="35"/>
      <c r="F398" s="277" t="s">
        <v>210</v>
      </c>
      <c r="G398" s="282">
        <v>0.1</v>
      </c>
      <c r="H398" s="35"/>
      <c r="I398" s="35"/>
      <c r="J398" s="35"/>
      <c r="K398" s="35"/>
      <c r="L398" s="35"/>
      <c r="M398" s="35"/>
      <c r="N398" s="35"/>
    </row>
    <row r="399" spans="1:14" x14ac:dyDescent="0.3">
      <c r="A399" s="277" t="s">
        <v>200</v>
      </c>
      <c r="B399" s="278">
        <f>(B397+B398)*TAN(B396)</f>
        <v>4.7097110989614881E-2</v>
      </c>
      <c r="C399" s="35"/>
      <c r="D399" s="35"/>
      <c r="E399" s="35"/>
      <c r="F399" s="277" t="s">
        <v>200</v>
      </c>
      <c r="G399" s="278">
        <f>(G397+G398)*TAN(G396)</f>
        <v>4.7097110989614881E-2</v>
      </c>
      <c r="H399" s="35"/>
      <c r="I399" s="35"/>
      <c r="J399" s="35"/>
      <c r="K399" s="35"/>
      <c r="L399" s="35"/>
      <c r="M399" s="35"/>
      <c r="N399" s="35"/>
    </row>
    <row r="400" spans="1:14" x14ac:dyDescent="0.3">
      <c r="A400" s="277" t="s">
        <v>201</v>
      </c>
      <c r="B400" s="282">
        <v>2.8500000000000001E-2</v>
      </c>
      <c r="C400" s="35"/>
      <c r="D400" s="35"/>
      <c r="E400" s="35"/>
      <c r="F400" s="277" t="s">
        <v>201</v>
      </c>
      <c r="G400" s="282">
        <v>2.8500000000000001E-2</v>
      </c>
      <c r="H400" s="35"/>
      <c r="I400" s="35"/>
      <c r="J400" s="35"/>
      <c r="K400" s="35"/>
      <c r="L400" s="35"/>
      <c r="M400" s="35"/>
      <c r="N400" s="35"/>
    </row>
    <row r="401" spans="1:14" x14ac:dyDescent="0.3">
      <c r="A401" s="277" t="s">
        <v>203</v>
      </c>
      <c r="B401" s="280">
        <f>((0.5*B384)-B400)*TAN(B386)</f>
        <v>2.5195335188295989E-2</v>
      </c>
      <c r="C401" s="35"/>
      <c r="D401" s="35"/>
      <c r="E401" s="35"/>
      <c r="F401" s="277" t="s">
        <v>203</v>
      </c>
      <c r="G401" s="280">
        <f>((0.5*G384)-G400)*TAN(G386)</f>
        <v>2.5195335188295989E-2</v>
      </c>
      <c r="H401" s="35"/>
      <c r="I401" s="35"/>
      <c r="J401" s="35"/>
      <c r="K401" s="35"/>
      <c r="L401" s="35"/>
      <c r="M401" s="35"/>
      <c r="N401" s="35"/>
    </row>
    <row r="402" spans="1:14" x14ac:dyDescent="0.3">
      <c r="A402" s="277" t="s">
        <v>204</v>
      </c>
      <c r="B402" s="280">
        <f>B401</f>
        <v>2.5195335188295989E-2</v>
      </c>
      <c r="C402" s="35"/>
      <c r="D402" s="35"/>
      <c r="E402" s="35"/>
      <c r="F402" s="277" t="s">
        <v>204</v>
      </c>
      <c r="G402" s="280">
        <f>G401</f>
        <v>2.5195335188295989E-2</v>
      </c>
      <c r="H402" s="35"/>
      <c r="I402" s="35"/>
      <c r="J402" s="35"/>
      <c r="K402" s="35"/>
      <c r="L402" s="35"/>
      <c r="M402" s="35"/>
      <c r="N402" s="35"/>
    </row>
    <row r="403" spans="1:14" x14ac:dyDescent="0.3">
      <c r="A403" s="277" t="s">
        <v>202</v>
      </c>
      <c r="B403" s="89">
        <f>((0.5*B384)-B399-B400)*TAN(B388)</f>
        <v>4.7158843993989327E-2</v>
      </c>
      <c r="C403" s="73" t="s">
        <v>198</v>
      </c>
      <c r="D403" s="35"/>
      <c r="E403" s="35"/>
      <c r="F403" s="277" t="s">
        <v>202</v>
      </c>
      <c r="G403" s="278">
        <f>((0.5*G384)-G399-G400)*TAN(G388)</f>
        <v>4.7158843993989327E-2</v>
      </c>
      <c r="H403" s="35"/>
      <c r="I403" s="35"/>
      <c r="J403" s="35"/>
      <c r="K403" s="35"/>
      <c r="L403" s="35"/>
      <c r="M403" s="35"/>
      <c r="N403" s="35"/>
    </row>
    <row r="404" spans="1:14" x14ac:dyDescent="0.3">
      <c r="A404" s="277" t="s">
        <v>199</v>
      </c>
      <c r="B404" s="278">
        <f>(B397+B398)-B403</f>
        <v>0.15684115600601067</v>
      </c>
      <c r="C404" s="35"/>
      <c r="D404" s="35"/>
      <c r="E404" s="35"/>
      <c r="F404" s="277" t="s">
        <v>199</v>
      </c>
      <c r="G404" s="278">
        <f>(G397+G398)-G403</f>
        <v>0.15684115600601067</v>
      </c>
      <c r="H404" s="35"/>
      <c r="I404" s="35"/>
      <c r="J404" s="35"/>
      <c r="K404" s="35"/>
      <c r="L404" s="35"/>
      <c r="M404" s="35"/>
      <c r="N404" s="35"/>
    </row>
    <row r="405" spans="1:14" x14ac:dyDescent="0.3">
      <c r="A405" s="277" t="s">
        <v>205</v>
      </c>
      <c r="B405" s="278">
        <f>(B404-B402)/(B393-B394)</f>
        <v>-1.2555923466771055</v>
      </c>
      <c r="C405" s="78" t="s">
        <v>225</v>
      </c>
      <c r="D405" s="35"/>
      <c r="E405" s="35"/>
      <c r="F405" s="277" t="s">
        <v>205</v>
      </c>
      <c r="G405" s="278">
        <f>(G404-G402)/(G393-G394)</f>
        <v>1.2555923466771055</v>
      </c>
      <c r="H405" s="35"/>
      <c r="I405" s="35"/>
      <c r="J405" s="35"/>
      <c r="K405" s="35"/>
      <c r="L405" s="35"/>
      <c r="M405" s="35"/>
      <c r="N405" s="35"/>
    </row>
    <row r="406" spans="1:14" x14ac:dyDescent="0.3">
      <c r="A406" s="284"/>
      <c r="B406" s="28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</row>
    <row r="407" spans="1:14" x14ac:dyDescent="0.3">
      <c r="A407" s="357" t="s">
        <v>283</v>
      </c>
      <c r="B407" s="358"/>
      <c r="C407" s="358"/>
      <c r="D407" s="358"/>
      <c r="E407" s="358"/>
      <c r="F407" s="358"/>
      <c r="G407" s="359"/>
      <c r="H407" s="35"/>
      <c r="I407" s="35"/>
      <c r="J407" s="35"/>
      <c r="K407" s="35"/>
      <c r="L407" s="35"/>
      <c r="M407" s="35"/>
      <c r="N407" s="35"/>
    </row>
    <row r="408" spans="1:14" x14ac:dyDescent="0.3">
      <c r="A408" s="284"/>
      <c r="B408" s="284"/>
      <c r="C408" s="284"/>
      <c r="D408" s="284"/>
      <c r="E408" s="284"/>
      <c r="F408" s="284"/>
      <c r="G408" s="284"/>
      <c r="H408" s="35"/>
      <c r="I408" s="35"/>
      <c r="J408" s="35"/>
      <c r="K408" s="35"/>
      <c r="L408" s="35"/>
      <c r="M408" s="35"/>
      <c r="N408" s="35"/>
    </row>
    <row r="409" spans="1:14" x14ac:dyDescent="0.3">
      <c r="A409" s="277" t="s">
        <v>252</v>
      </c>
      <c r="B409" s="278">
        <f>(0.5*B384)+ABS(B405)-B400</f>
        <v>1.9770923466771058</v>
      </c>
      <c r="C409" s="35"/>
      <c r="D409" s="35"/>
      <c r="E409" s="35"/>
      <c r="F409" s="285" t="s">
        <v>252</v>
      </c>
      <c r="G409" s="278">
        <f>(0.5*G384)+(ABS(G405))-G400</f>
        <v>1.9770923466771058</v>
      </c>
      <c r="H409" s="35"/>
      <c r="I409" s="35"/>
      <c r="J409" s="35"/>
      <c r="K409" s="35"/>
      <c r="L409" s="35"/>
      <c r="M409" s="35"/>
      <c r="N409" s="35"/>
    </row>
    <row r="410" spans="1:14" x14ac:dyDescent="0.3">
      <c r="A410" s="284"/>
      <c r="B410" s="28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</row>
    <row r="411" spans="1:14" x14ac:dyDescent="0.3">
      <c r="A411" s="357" t="s">
        <v>254</v>
      </c>
      <c r="B411" s="358"/>
      <c r="C411" s="358"/>
      <c r="D411" s="358"/>
      <c r="E411" s="358"/>
      <c r="F411" s="358"/>
      <c r="G411" s="359"/>
      <c r="H411" s="35"/>
      <c r="I411" s="35"/>
      <c r="J411" s="35"/>
      <c r="K411" s="35"/>
      <c r="L411" s="35"/>
      <c r="M411" s="35"/>
      <c r="N411" s="35"/>
    </row>
    <row r="412" spans="1:14" x14ac:dyDescent="0.3">
      <c r="A412" s="72"/>
      <c r="B412" s="28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</row>
    <row r="413" spans="1:14" x14ac:dyDescent="0.3">
      <c r="A413" s="277" t="s">
        <v>212</v>
      </c>
      <c r="B413" s="278">
        <f>C127</f>
        <v>0.51639999999999997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</row>
    <row r="414" spans="1:14" x14ac:dyDescent="0.3">
      <c r="A414" s="284"/>
      <c r="B414" s="62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</row>
    <row r="415" spans="1:14" x14ac:dyDescent="0.3">
      <c r="A415" s="404" t="s">
        <v>211</v>
      </c>
      <c r="B415" s="404"/>
      <c r="C415" s="35"/>
      <c r="D415" s="35"/>
      <c r="E415" s="35"/>
      <c r="F415" s="281" t="s">
        <v>207</v>
      </c>
      <c r="G415" s="281"/>
      <c r="H415" s="35"/>
      <c r="I415" s="35"/>
      <c r="J415" s="35"/>
      <c r="K415" s="35"/>
      <c r="L415" s="35"/>
      <c r="M415" s="35"/>
      <c r="N415" s="35"/>
    </row>
    <row r="416" spans="1:14" x14ac:dyDescent="0.3">
      <c r="A416" s="277" t="s">
        <v>229</v>
      </c>
      <c r="B416" s="280">
        <f>B409*TAN(B386)</f>
        <v>6.9041586102209798E-2</v>
      </c>
      <c r="C416" s="35"/>
      <c r="D416" s="35"/>
      <c r="E416" s="35"/>
      <c r="F416" s="277" t="s">
        <v>229</v>
      </c>
      <c r="G416" s="280">
        <f>G409*TAN(G386)</f>
        <v>6.9041586102209798E-2</v>
      </c>
      <c r="H416" s="35"/>
      <c r="I416" s="35"/>
      <c r="J416" s="35"/>
      <c r="K416" s="35"/>
      <c r="L416" s="35"/>
      <c r="M416" s="35"/>
      <c r="N416" s="35"/>
    </row>
    <row r="417" spans="1:14" x14ac:dyDescent="0.3">
      <c r="A417" s="277" t="s">
        <v>213</v>
      </c>
      <c r="B417" s="278">
        <f>(0.5*B413)-B397+B416</f>
        <v>0.22324158610220979</v>
      </c>
      <c r="C417" s="35"/>
      <c r="D417" s="35"/>
      <c r="E417" s="35"/>
      <c r="F417" s="277" t="s">
        <v>213</v>
      </c>
      <c r="G417" s="278">
        <f>(0.5*B413)-G397+G416</f>
        <v>0.22324158610220979</v>
      </c>
      <c r="H417" s="35"/>
      <c r="I417" s="35"/>
      <c r="J417" s="35"/>
      <c r="K417" s="35"/>
      <c r="L417" s="35"/>
      <c r="M417" s="35"/>
      <c r="N417" s="35"/>
    </row>
    <row r="418" spans="1:14" x14ac:dyDescent="0.3">
      <c r="A418" s="277" t="s">
        <v>214</v>
      </c>
      <c r="B418" s="278">
        <f>ABS(B405)</f>
        <v>1.2555923466771055</v>
      </c>
      <c r="C418" s="73" t="s">
        <v>215</v>
      </c>
      <c r="D418" s="35"/>
      <c r="E418" s="35"/>
      <c r="F418" s="277" t="s">
        <v>214</v>
      </c>
      <c r="G418" s="278">
        <f>ABS(G405)</f>
        <v>1.2555923466771055</v>
      </c>
      <c r="H418" s="35"/>
      <c r="I418" s="35"/>
      <c r="J418" s="35"/>
      <c r="K418" s="35"/>
      <c r="L418" s="35"/>
      <c r="M418" s="35"/>
      <c r="N418" s="35"/>
    </row>
    <row r="419" spans="1:14" x14ac:dyDescent="0.3">
      <c r="A419" s="284"/>
      <c r="B419" s="284"/>
      <c r="C419" s="7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</row>
    <row r="420" spans="1:14" x14ac:dyDescent="0.3">
      <c r="A420" s="367" t="s">
        <v>217</v>
      </c>
      <c r="B420" s="36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</row>
    <row r="421" spans="1:14" x14ac:dyDescent="0.3">
      <c r="A421" s="7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</row>
    <row r="422" spans="1:14" x14ac:dyDescent="0.3">
      <c r="A422" s="80" t="s">
        <v>218</v>
      </c>
      <c r="B422" s="75">
        <f>ATAN((B417/((0.5*B384)+B418)))</f>
        <v>0.11085323802590906</v>
      </c>
      <c r="C422" s="35"/>
      <c r="D422" s="300" t="s">
        <v>681</v>
      </c>
      <c r="E422" s="34">
        <f>(B424/C47)*100</f>
        <v>16.69643283731709</v>
      </c>
      <c r="F422" s="35"/>
      <c r="G422" s="35"/>
      <c r="H422" s="35"/>
      <c r="I422" s="35"/>
      <c r="J422" s="35"/>
      <c r="K422" s="35"/>
      <c r="L422" s="35"/>
      <c r="M422" s="35"/>
      <c r="N422" s="35"/>
    </row>
    <row r="423" spans="1:14" x14ac:dyDescent="0.3">
      <c r="A423" s="280" t="s">
        <v>219</v>
      </c>
      <c r="B423" s="75">
        <f>DEGREES(B422)</f>
        <v>6.3514226842437189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</row>
    <row r="424" spans="1:14" x14ac:dyDescent="0.3">
      <c r="A424" s="277" t="s">
        <v>220</v>
      </c>
      <c r="B424" s="76">
        <f>(0.5*B384)*TAN(B422)</f>
        <v>8.3482164186585453E-2</v>
      </c>
      <c r="C424" s="35"/>
      <c r="D424" s="34" t="s">
        <v>680</v>
      </c>
      <c r="E424" s="299">
        <f>0.15*C47</f>
        <v>7.4999999999999997E-2</v>
      </c>
      <c r="F424" s="35"/>
      <c r="G424" s="35"/>
      <c r="H424" s="35"/>
      <c r="I424" s="35"/>
      <c r="J424" s="35"/>
      <c r="K424" s="35"/>
      <c r="L424" s="35"/>
      <c r="M424" s="35"/>
      <c r="N424" s="35"/>
    </row>
    <row r="425" spans="1:14" x14ac:dyDescent="0.3">
      <c r="A425" s="284"/>
      <c r="B425" s="7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</row>
    <row r="426" spans="1:14" x14ac:dyDescent="0.3">
      <c r="A426" s="370" t="s">
        <v>234</v>
      </c>
      <c r="B426" s="370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</row>
    <row r="427" spans="1:14" x14ac:dyDescent="0.3">
      <c r="A427" s="277" t="s">
        <v>232</v>
      </c>
      <c r="B427" s="75">
        <f>C334-B379</f>
        <v>0.14096152013154001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</row>
    <row r="428" spans="1:14" x14ac:dyDescent="0.3">
      <c r="A428" s="277" t="s">
        <v>233</v>
      </c>
      <c r="B428" s="75">
        <f>C334-B424</f>
        <v>0.21651783581341455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</row>
    <row r="429" spans="1:14" x14ac:dyDescent="0.3">
      <c r="A429" s="284"/>
      <c r="B429" s="7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</row>
    <row r="430" spans="1:14" x14ac:dyDescent="0.3">
      <c r="A430" s="415" t="s">
        <v>509</v>
      </c>
      <c r="B430" s="416"/>
      <c r="C430" s="416"/>
      <c r="D430" s="416"/>
      <c r="E430" s="416"/>
      <c r="F430" s="416"/>
      <c r="G430" s="369"/>
      <c r="H430" s="35"/>
      <c r="I430" s="35"/>
      <c r="J430" s="35"/>
      <c r="K430" s="35"/>
      <c r="L430" s="35"/>
      <c r="M430" s="35"/>
      <c r="N430" s="35"/>
    </row>
    <row r="431" spans="1:14" x14ac:dyDescent="0.3"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</row>
    <row r="432" spans="1:14" x14ac:dyDescent="0.3">
      <c r="A432" s="367" t="s">
        <v>280</v>
      </c>
      <c r="B432" s="367"/>
      <c r="C432" s="35"/>
      <c r="D432" s="35"/>
      <c r="E432" s="35"/>
      <c r="F432" s="203" t="s">
        <v>281</v>
      </c>
      <c r="G432" s="203"/>
      <c r="H432" s="35"/>
      <c r="I432" s="35"/>
      <c r="J432" s="35"/>
      <c r="K432" s="35"/>
      <c r="L432" s="35"/>
      <c r="M432" s="35"/>
      <c r="N432" s="35"/>
    </row>
    <row r="433" spans="1:14" x14ac:dyDescent="0.3">
      <c r="A433" s="277" t="s">
        <v>239</v>
      </c>
      <c r="B433" s="75">
        <f>((0.5*B368)-B352)*TAN(B351)</f>
        <v>3.5599875071561836E-2</v>
      </c>
      <c r="C433" s="35"/>
      <c r="D433" s="35"/>
      <c r="E433" s="35"/>
      <c r="F433" s="277" t="s">
        <v>239</v>
      </c>
      <c r="G433" s="75">
        <f>((0.5*B413)-B397)*TAN(B396)</f>
        <v>3.5599875071561836E-2</v>
      </c>
      <c r="H433" s="35"/>
      <c r="I433" s="35"/>
      <c r="J433" s="35"/>
      <c r="K433" s="35"/>
      <c r="L433" s="35"/>
      <c r="M433" s="35"/>
      <c r="N433" s="35"/>
    </row>
    <row r="434" spans="1:14" x14ac:dyDescent="0.3">
      <c r="A434" s="284"/>
      <c r="B434" s="7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</row>
    <row r="435" spans="1:14" x14ac:dyDescent="0.3">
      <c r="A435" s="415" t="s">
        <v>510</v>
      </c>
      <c r="B435" s="416"/>
      <c r="C435" s="416"/>
      <c r="D435" s="416"/>
      <c r="E435" s="416"/>
      <c r="F435" s="416"/>
      <c r="G435" s="369"/>
      <c r="H435" s="35"/>
      <c r="I435" s="35"/>
      <c r="J435" s="35"/>
      <c r="K435" s="35"/>
      <c r="L435" s="35"/>
      <c r="M435" s="35"/>
      <c r="N435" s="35"/>
    </row>
    <row r="436" spans="1:14" x14ac:dyDescent="0.3">
      <c r="C436" s="35"/>
      <c r="D436" s="35"/>
      <c r="E436" s="35"/>
      <c r="H436" s="35"/>
      <c r="I436" s="35"/>
      <c r="J436" s="35"/>
      <c r="K436" s="35"/>
      <c r="L436" s="35"/>
      <c r="M436" s="35"/>
      <c r="N436" s="35"/>
    </row>
    <row r="437" spans="1:14" x14ac:dyDescent="0.3">
      <c r="A437" s="367" t="s">
        <v>280</v>
      </c>
      <c r="B437" s="367"/>
      <c r="C437" s="35"/>
      <c r="D437" s="35"/>
      <c r="E437" s="35"/>
      <c r="F437" s="203" t="s">
        <v>281</v>
      </c>
      <c r="G437" s="203"/>
      <c r="H437" s="35"/>
      <c r="I437" s="35"/>
      <c r="J437" s="35"/>
      <c r="K437" s="35"/>
      <c r="L437" s="35"/>
      <c r="M437" s="35"/>
      <c r="N437" s="35"/>
    </row>
    <row r="438" spans="1:14" x14ac:dyDescent="0.3">
      <c r="A438" s="277" t="s">
        <v>508</v>
      </c>
      <c r="B438" s="75">
        <f>DEGREES(ATAN(1/(B364*1000)))</f>
        <v>4.8171428362000689E-2</v>
      </c>
      <c r="C438" s="35"/>
      <c r="D438" s="35"/>
      <c r="E438" s="35"/>
      <c r="F438" s="285" t="s">
        <v>282</v>
      </c>
      <c r="G438" s="26">
        <f>DEGREES(ATAN(1/(1000*B409)))</f>
        <v>2.8979817115496593E-2</v>
      </c>
      <c r="H438" s="35"/>
      <c r="I438" s="35"/>
      <c r="J438" s="35"/>
      <c r="K438" s="35"/>
      <c r="L438" s="35"/>
      <c r="M438" s="35"/>
      <c r="N438" s="35"/>
    </row>
    <row r="439" spans="1:14" x14ac:dyDescent="0.3">
      <c r="A439" s="284"/>
      <c r="B439" s="7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</row>
    <row r="440" spans="1:14" x14ac:dyDescent="0.3">
      <c r="A440" s="284"/>
      <c r="B440" s="7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</row>
    <row r="441" spans="1:14" x14ac:dyDescent="0.3">
      <c r="A441" s="373" t="s">
        <v>235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5"/>
      <c r="L441" s="35"/>
      <c r="M441" s="35"/>
      <c r="N441" s="35"/>
    </row>
    <row r="442" spans="1:14" x14ac:dyDescent="0.3">
      <c r="A442" s="360"/>
      <c r="B442" s="361"/>
      <c r="C442" s="364" t="s">
        <v>230</v>
      </c>
      <c r="D442" s="365"/>
      <c r="E442" s="365"/>
      <c r="F442" s="365"/>
      <c r="G442" s="365"/>
      <c r="H442" s="365"/>
      <c r="I442" s="365"/>
      <c r="J442" s="365"/>
      <c r="K442" s="366"/>
      <c r="L442" s="35"/>
      <c r="M442" s="35"/>
      <c r="N442" s="35"/>
    </row>
    <row r="443" spans="1:14" x14ac:dyDescent="0.3">
      <c r="A443" s="362"/>
      <c r="B443" s="363"/>
      <c r="C443" s="94">
        <v>5</v>
      </c>
      <c r="D443" s="94">
        <v>10</v>
      </c>
      <c r="E443" s="94">
        <v>15</v>
      </c>
      <c r="F443" s="94">
        <v>20</v>
      </c>
      <c r="G443" s="94">
        <v>25</v>
      </c>
      <c r="H443" s="94">
        <v>30</v>
      </c>
      <c r="I443" s="94">
        <v>35</v>
      </c>
      <c r="J443" s="94">
        <v>40</v>
      </c>
      <c r="K443" s="94">
        <v>45</v>
      </c>
      <c r="L443" s="35"/>
      <c r="M443" s="35"/>
      <c r="N443" s="35"/>
    </row>
    <row r="444" spans="1:14" x14ac:dyDescent="0.3">
      <c r="A444" s="397" t="s">
        <v>231</v>
      </c>
      <c r="B444" s="94">
        <v>5</v>
      </c>
      <c r="C444" s="92">
        <f t="shared" ref="C444:K459" si="146">(C$443^2)/$B444</f>
        <v>5</v>
      </c>
      <c r="D444" s="92">
        <f t="shared" si="146"/>
        <v>20</v>
      </c>
      <c r="E444" s="92">
        <f t="shared" si="146"/>
        <v>45</v>
      </c>
      <c r="F444" s="92">
        <f t="shared" si="146"/>
        <v>80</v>
      </c>
      <c r="G444" s="92">
        <f t="shared" si="146"/>
        <v>125</v>
      </c>
      <c r="H444" s="92">
        <f t="shared" si="146"/>
        <v>180</v>
      </c>
      <c r="I444" s="92">
        <f t="shared" si="146"/>
        <v>245</v>
      </c>
      <c r="J444" s="92">
        <f t="shared" si="146"/>
        <v>320</v>
      </c>
      <c r="K444" s="92">
        <f t="shared" si="146"/>
        <v>405</v>
      </c>
      <c r="L444" s="35"/>
      <c r="M444" s="35"/>
      <c r="N444" s="35"/>
    </row>
    <row r="445" spans="1:14" x14ac:dyDescent="0.3">
      <c r="A445" s="397"/>
      <c r="B445" s="94">
        <v>10</v>
      </c>
      <c r="C445" s="92">
        <f t="shared" ref="C445:C463" si="147">(C$443^2)/B445</f>
        <v>2.5</v>
      </c>
      <c r="D445" s="92">
        <f t="shared" si="146"/>
        <v>10</v>
      </c>
      <c r="E445" s="92">
        <f t="shared" si="146"/>
        <v>22.5</v>
      </c>
      <c r="F445" s="92">
        <f t="shared" si="146"/>
        <v>40</v>
      </c>
      <c r="G445" s="92">
        <f t="shared" si="146"/>
        <v>62.5</v>
      </c>
      <c r="H445" s="92">
        <f t="shared" si="146"/>
        <v>90</v>
      </c>
      <c r="I445" s="92">
        <f t="shared" si="146"/>
        <v>122.5</v>
      </c>
      <c r="J445" s="92">
        <f t="shared" si="146"/>
        <v>160</v>
      </c>
      <c r="K445" s="92">
        <f t="shared" si="146"/>
        <v>202.5</v>
      </c>
      <c r="L445" s="35"/>
      <c r="M445" s="35"/>
      <c r="N445" s="35"/>
    </row>
    <row r="446" spans="1:14" x14ac:dyDescent="0.3">
      <c r="A446" s="397"/>
      <c r="B446" s="94">
        <v>15</v>
      </c>
      <c r="C446" s="92">
        <f t="shared" si="147"/>
        <v>1.6666666666666667</v>
      </c>
      <c r="D446" s="92">
        <f t="shared" si="146"/>
        <v>6.666666666666667</v>
      </c>
      <c r="E446" s="92">
        <f t="shared" si="146"/>
        <v>15</v>
      </c>
      <c r="F446" s="92">
        <f t="shared" si="146"/>
        <v>26.666666666666668</v>
      </c>
      <c r="G446" s="92">
        <f t="shared" si="146"/>
        <v>41.666666666666664</v>
      </c>
      <c r="H446" s="92">
        <f t="shared" si="146"/>
        <v>60</v>
      </c>
      <c r="I446" s="92">
        <f t="shared" si="146"/>
        <v>81.666666666666671</v>
      </c>
      <c r="J446" s="92">
        <f t="shared" si="146"/>
        <v>106.66666666666667</v>
      </c>
      <c r="K446" s="92">
        <f t="shared" si="146"/>
        <v>135</v>
      </c>
      <c r="L446" s="35"/>
      <c r="M446" s="35"/>
      <c r="N446" s="35"/>
    </row>
    <row r="447" spans="1:14" x14ac:dyDescent="0.3">
      <c r="A447" s="397"/>
      <c r="B447" s="94">
        <v>20</v>
      </c>
      <c r="C447" s="92">
        <f t="shared" si="147"/>
        <v>1.25</v>
      </c>
      <c r="D447" s="92">
        <f t="shared" si="146"/>
        <v>5</v>
      </c>
      <c r="E447" s="92">
        <f t="shared" si="146"/>
        <v>11.25</v>
      </c>
      <c r="F447" s="92">
        <f t="shared" si="146"/>
        <v>20</v>
      </c>
      <c r="G447" s="92">
        <f t="shared" si="146"/>
        <v>31.25</v>
      </c>
      <c r="H447" s="92">
        <f t="shared" si="146"/>
        <v>45</v>
      </c>
      <c r="I447" s="92">
        <f t="shared" si="146"/>
        <v>61.25</v>
      </c>
      <c r="J447" s="92">
        <f t="shared" si="146"/>
        <v>80</v>
      </c>
      <c r="K447" s="92">
        <f t="shared" si="146"/>
        <v>101.25</v>
      </c>
      <c r="L447" s="35"/>
      <c r="M447" s="35"/>
      <c r="N447" s="35"/>
    </row>
    <row r="448" spans="1:14" x14ac:dyDescent="0.3">
      <c r="A448" s="397"/>
      <c r="B448" s="94">
        <v>25</v>
      </c>
      <c r="C448" s="92">
        <f t="shared" si="147"/>
        <v>1</v>
      </c>
      <c r="D448" s="92">
        <f t="shared" si="146"/>
        <v>4</v>
      </c>
      <c r="E448" s="92">
        <f t="shared" si="146"/>
        <v>9</v>
      </c>
      <c r="F448" s="92">
        <f t="shared" si="146"/>
        <v>16</v>
      </c>
      <c r="G448" s="92">
        <f t="shared" si="146"/>
        <v>25</v>
      </c>
      <c r="H448" s="92">
        <f t="shared" si="146"/>
        <v>36</v>
      </c>
      <c r="I448" s="92">
        <f t="shared" si="146"/>
        <v>49</v>
      </c>
      <c r="J448" s="92">
        <f t="shared" si="146"/>
        <v>64</v>
      </c>
      <c r="K448" s="92">
        <f t="shared" si="146"/>
        <v>81</v>
      </c>
      <c r="L448" s="35"/>
      <c r="M448" s="35"/>
      <c r="N448" s="35"/>
    </row>
    <row r="449" spans="1:14" x14ac:dyDescent="0.3">
      <c r="A449" s="397"/>
      <c r="B449" s="94">
        <v>30</v>
      </c>
      <c r="C449" s="92">
        <f t="shared" si="147"/>
        <v>0.83333333333333337</v>
      </c>
      <c r="D449" s="92">
        <f t="shared" si="146"/>
        <v>3.3333333333333335</v>
      </c>
      <c r="E449" s="92">
        <f t="shared" si="146"/>
        <v>7.5</v>
      </c>
      <c r="F449" s="92">
        <f t="shared" si="146"/>
        <v>13.333333333333334</v>
      </c>
      <c r="G449" s="92">
        <f t="shared" si="146"/>
        <v>20.833333333333332</v>
      </c>
      <c r="H449" s="92">
        <f t="shared" si="146"/>
        <v>30</v>
      </c>
      <c r="I449" s="92">
        <f t="shared" si="146"/>
        <v>40.833333333333336</v>
      </c>
      <c r="J449" s="92">
        <f t="shared" si="146"/>
        <v>53.333333333333336</v>
      </c>
      <c r="K449" s="92">
        <f t="shared" si="146"/>
        <v>67.5</v>
      </c>
      <c r="L449" s="35"/>
      <c r="M449" s="35"/>
      <c r="N449" s="35"/>
    </row>
    <row r="450" spans="1:14" x14ac:dyDescent="0.3">
      <c r="A450" s="397"/>
      <c r="B450" s="94">
        <v>35</v>
      </c>
      <c r="C450" s="92">
        <f t="shared" si="147"/>
        <v>0.7142857142857143</v>
      </c>
      <c r="D450" s="92">
        <f t="shared" si="146"/>
        <v>2.8571428571428572</v>
      </c>
      <c r="E450" s="92">
        <f t="shared" si="146"/>
        <v>6.4285714285714288</v>
      </c>
      <c r="F450" s="92">
        <f t="shared" si="146"/>
        <v>11.428571428571429</v>
      </c>
      <c r="G450" s="92">
        <f t="shared" si="146"/>
        <v>17.857142857142858</v>
      </c>
      <c r="H450" s="92">
        <f t="shared" si="146"/>
        <v>25.714285714285715</v>
      </c>
      <c r="I450" s="92">
        <f t="shared" si="146"/>
        <v>35</v>
      </c>
      <c r="J450" s="92">
        <f t="shared" si="146"/>
        <v>45.714285714285715</v>
      </c>
      <c r="K450" s="92">
        <f t="shared" si="146"/>
        <v>57.857142857142854</v>
      </c>
      <c r="L450" s="35"/>
      <c r="M450" s="35"/>
      <c r="N450" s="35"/>
    </row>
    <row r="451" spans="1:14" x14ac:dyDescent="0.3">
      <c r="A451" s="397"/>
      <c r="B451" s="94">
        <v>40</v>
      </c>
      <c r="C451" s="92">
        <f t="shared" si="147"/>
        <v>0.625</v>
      </c>
      <c r="D451" s="92">
        <f t="shared" si="146"/>
        <v>2.5</v>
      </c>
      <c r="E451" s="92">
        <f t="shared" si="146"/>
        <v>5.625</v>
      </c>
      <c r="F451" s="92">
        <f t="shared" si="146"/>
        <v>10</v>
      </c>
      <c r="G451" s="92">
        <f t="shared" si="146"/>
        <v>15.625</v>
      </c>
      <c r="H451" s="92">
        <f t="shared" si="146"/>
        <v>22.5</v>
      </c>
      <c r="I451" s="92">
        <f t="shared" si="146"/>
        <v>30.625</v>
      </c>
      <c r="J451" s="92">
        <f t="shared" si="146"/>
        <v>40</v>
      </c>
      <c r="K451" s="92">
        <f t="shared" si="146"/>
        <v>50.625</v>
      </c>
      <c r="L451" s="35"/>
      <c r="M451" s="35"/>
      <c r="N451" s="35"/>
    </row>
    <row r="452" spans="1:14" x14ac:dyDescent="0.3">
      <c r="A452" s="397"/>
      <c r="B452" s="94">
        <v>45</v>
      </c>
      <c r="C452" s="92">
        <f t="shared" si="147"/>
        <v>0.55555555555555558</v>
      </c>
      <c r="D452" s="92">
        <f t="shared" si="146"/>
        <v>2.2222222222222223</v>
      </c>
      <c r="E452" s="92">
        <f t="shared" si="146"/>
        <v>5</v>
      </c>
      <c r="F452" s="92">
        <f t="shared" si="146"/>
        <v>8.8888888888888893</v>
      </c>
      <c r="G452" s="92">
        <f t="shared" si="146"/>
        <v>13.888888888888889</v>
      </c>
      <c r="H452" s="92">
        <f t="shared" si="146"/>
        <v>20</v>
      </c>
      <c r="I452" s="92">
        <f t="shared" si="146"/>
        <v>27.222222222222221</v>
      </c>
      <c r="J452" s="92">
        <f t="shared" si="146"/>
        <v>35.555555555555557</v>
      </c>
      <c r="K452" s="92">
        <f t="shared" si="146"/>
        <v>45</v>
      </c>
      <c r="L452" s="35"/>
      <c r="M452" s="35"/>
      <c r="N452" s="35"/>
    </row>
    <row r="453" spans="1:14" x14ac:dyDescent="0.3">
      <c r="A453" s="397"/>
      <c r="B453" s="94">
        <v>50</v>
      </c>
      <c r="C453" s="92">
        <f t="shared" si="147"/>
        <v>0.5</v>
      </c>
      <c r="D453" s="92">
        <f t="shared" si="146"/>
        <v>2</v>
      </c>
      <c r="E453" s="92">
        <f t="shared" si="146"/>
        <v>4.5</v>
      </c>
      <c r="F453" s="92">
        <f t="shared" si="146"/>
        <v>8</v>
      </c>
      <c r="G453" s="92">
        <f t="shared" si="146"/>
        <v>12.5</v>
      </c>
      <c r="H453" s="92">
        <f t="shared" si="146"/>
        <v>18</v>
      </c>
      <c r="I453" s="92">
        <f t="shared" si="146"/>
        <v>24.5</v>
      </c>
      <c r="J453" s="92">
        <f t="shared" si="146"/>
        <v>32</v>
      </c>
      <c r="K453" s="92">
        <f t="shared" si="146"/>
        <v>40.5</v>
      </c>
      <c r="L453" s="35"/>
      <c r="M453" s="35"/>
      <c r="N453" s="35"/>
    </row>
    <row r="454" spans="1:14" x14ac:dyDescent="0.3">
      <c r="A454" s="397"/>
      <c r="B454" s="94">
        <v>55</v>
      </c>
      <c r="C454" s="92">
        <f t="shared" si="147"/>
        <v>0.45454545454545453</v>
      </c>
      <c r="D454" s="92">
        <f t="shared" si="146"/>
        <v>1.8181818181818181</v>
      </c>
      <c r="E454" s="92">
        <f t="shared" si="146"/>
        <v>4.0909090909090908</v>
      </c>
      <c r="F454" s="92">
        <f t="shared" si="146"/>
        <v>7.2727272727272725</v>
      </c>
      <c r="G454" s="92">
        <f t="shared" si="146"/>
        <v>11.363636363636363</v>
      </c>
      <c r="H454" s="92">
        <f t="shared" si="146"/>
        <v>16.363636363636363</v>
      </c>
      <c r="I454" s="92">
        <f t="shared" si="146"/>
        <v>22.272727272727273</v>
      </c>
      <c r="J454" s="92">
        <f t="shared" si="146"/>
        <v>29.09090909090909</v>
      </c>
      <c r="K454" s="92">
        <f t="shared" si="146"/>
        <v>36.81818181818182</v>
      </c>
      <c r="L454" s="35"/>
      <c r="M454" s="35"/>
      <c r="N454" s="35"/>
    </row>
    <row r="455" spans="1:14" x14ac:dyDescent="0.3">
      <c r="A455" s="397"/>
      <c r="B455" s="94">
        <v>60</v>
      </c>
      <c r="C455" s="92">
        <f t="shared" si="147"/>
        <v>0.41666666666666669</v>
      </c>
      <c r="D455" s="92">
        <f t="shared" si="146"/>
        <v>1.6666666666666667</v>
      </c>
      <c r="E455" s="92">
        <f t="shared" si="146"/>
        <v>3.75</v>
      </c>
      <c r="F455" s="92">
        <f t="shared" si="146"/>
        <v>6.666666666666667</v>
      </c>
      <c r="G455" s="92">
        <f t="shared" si="146"/>
        <v>10.416666666666666</v>
      </c>
      <c r="H455" s="92">
        <f t="shared" si="146"/>
        <v>15</v>
      </c>
      <c r="I455" s="92">
        <f t="shared" si="146"/>
        <v>20.416666666666668</v>
      </c>
      <c r="J455" s="92">
        <f t="shared" si="146"/>
        <v>26.666666666666668</v>
      </c>
      <c r="K455" s="92">
        <f t="shared" si="146"/>
        <v>33.75</v>
      </c>
      <c r="L455" s="35"/>
      <c r="M455" s="35"/>
      <c r="N455" s="35"/>
    </row>
    <row r="456" spans="1:14" x14ac:dyDescent="0.3">
      <c r="A456" s="397"/>
      <c r="B456" s="94">
        <v>65</v>
      </c>
      <c r="C456" s="92">
        <f t="shared" si="147"/>
        <v>0.38461538461538464</v>
      </c>
      <c r="D456" s="92">
        <f t="shared" si="146"/>
        <v>1.5384615384615385</v>
      </c>
      <c r="E456" s="92">
        <f t="shared" si="146"/>
        <v>3.4615384615384617</v>
      </c>
      <c r="F456" s="92">
        <f t="shared" si="146"/>
        <v>6.1538461538461542</v>
      </c>
      <c r="G456" s="92">
        <f t="shared" si="146"/>
        <v>9.615384615384615</v>
      </c>
      <c r="H456" s="92">
        <f t="shared" si="146"/>
        <v>13.846153846153847</v>
      </c>
      <c r="I456" s="92">
        <f t="shared" si="146"/>
        <v>18.846153846153847</v>
      </c>
      <c r="J456" s="92">
        <f t="shared" si="146"/>
        <v>24.615384615384617</v>
      </c>
      <c r="K456" s="92">
        <f t="shared" si="146"/>
        <v>31.153846153846153</v>
      </c>
      <c r="L456" s="35"/>
      <c r="M456" s="35"/>
      <c r="N456" s="35"/>
    </row>
    <row r="457" spans="1:14" x14ac:dyDescent="0.3">
      <c r="A457" s="397"/>
      <c r="B457" s="94">
        <v>70</v>
      </c>
      <c r="C457" s="92">
        <f t="shared" si="147"/>
        <v>0.35714285714285715</v>
      </c>
      <c r="D457" s="92">
        <f t="shared" si="146"/>
        <v>1.4285714285714286</v>
      </c>
      <c r="E457" s="92">
        <f t="shared" si="146"/>
        <v>3.2142857142857144</v>
      </c>
      <c r="F457" s="92">
        <f t="shared" si="146"/>
        <v>5.7142857142857144</v>
      </c>
      <c r="G457" s="92">
        <f t="shared" si="146"/>
        <v>8.9285714285714288</v>
      </c>
      <c r="H457" s="92">
        <f t="shared" si="146"/>
        <v>12.857142857142858</v>
      </c>
      <c r="I457" s="92">
        <f t="shared" si="146"/>
        <v>17.5</v>
      </c>
      <c r="J457" s="92">
        <f t="shared" si="146"/>
        <v>22.857142857142858</v>
      </c>
      <c r="K457" s="92">
        <f t="shared" si="146"/>
        <v>28.928571428571427</v>
      </c>
      <c r="L457" s="35"/>
      <c r="M457" s="35"/>
      <c r="N457" s="35"/>
    </row>
    <row r="458" spans="1:14" x14ac:dyDescent="0.3">
      <c r="A458" s="397"/>
      <c r="B458" s="94">
        <v>75</v>
      </c>
      <c r="C458" s="92">
        <f t="shared" si="147"/>
        <v>0.33333333333333331</v>
      </c>
      <c r="D458" s="92">
        <f t="shared" si="146"/>
        <v>1.3333333333333333</v>
      </c>
      <c r="E458" s="92">
        <f t="shared" si="146"/>
        <v>3</v>
      </c>
      <c r="F458" s="92">
        <f t="shared" si="146"/>
        <v>5.333333333333333</v>
      </c>
      <c r="G458" s="92">
        <f t="shared" si="146"/>
        <v>8.3333333333333339</v>
      </c>
      <c r="H458" s="92">
        <f t="shared" si="146"/>
        <v>12</v>
      </c>
      <c r="I458" s="92">
        <f t="shared" si="146"/>
        <v>16.333333333333332</v>
      </c>
      <c r="J458" s="92">
        <f t="shared" si="146"/>
        <v>21.333333333333332</v>
      </c>
      <c r="K458" s="92">
        <f t="shared" si="146"/>
        <v>27</v>
      </c>
      <c r="L458" s="35"/>
      <c r="M458" s="35"/>
      <c r="N458" s="35"/>
    </row>
    <row r="459" spans="1:14" x14ac:dyDescent="0.3">
      <c r="A459" s="397"/>
      <c r="B459" s="94">
        <v>80</v>
      </c>
      <c r="C459" s="92">
        <f t="shared" si="147"/>
        <v>0.3125</v>
      </c>
      <c r="D459" s="92">
        <f t="shared" si="146"/>
        <v>1.25</v>
      </c>
      <c r="E459" s="92">
        <f t="shared" si="146"/>
        <v>2.8125</v>
      </c>
      <c r="F459" s="92">
        <f t="shared" si="146"/>
        <v>5</v>
      </c>
      <c r="G459" s="92">
        <f t="shared" si="146"/>
        <v>7.8125</v>
      </c>
      <c r="H459" s="92">
        <f t="shared" si="146"/>
        <v>11.25</v>
      </c>
      <c r="I459" s="92">
        <f t="shared" si="146"/>
        <v>15.3125</v>
      </c>
      <c r="J459" s="92">
        <f t="shared" si="146"/>
        <v>20</v>
      </c>
      <c r="K459" s="92">
        <f t="shared" si="146"/>
        <v>25.3125</v>
      </c>
      <c r="L459" s="35"/>
      <c r="M459" s="35"/>
      <c r="N459" s="35"/>
    </row>
    <row r="460" spans="1:14" x14ac:dyDescent="0.3">
      <c r="A460" s="397"/>
      <c r="B460" s="94">
        <v>85</v>
      </c>
      <c r="C460" s="92">
        <f t="shared" si="147"/>
        <v>0.29411764705882354</v>
      </c>
      <c r="D460" s="92">
        <f t="shared" ref="D460:K463" si="148">(D$443^2)/$B460</f>
        <v>1.1764705882352942</v>
      </c>
      <c r="E460" s="92">
        <f t="shared" si="148"/>
        <v>2.6470588235294117</v>
      </c>
      <c r="F460" s="92">
        <f t="shared" si="148"/>
        <v>4.7058823529411766</v>
      </c>
      <c r="G460" s="92">
        <f t="shared" si="148"/>
        <v>7.3529411764705879</v>
      </c>
      <c r="H460" s="92">
        <f t="shared" si="148"/>
        <v>10.588235294117647</v>
      </c>
      <c r="I460" s="92">
        <f t="shared" si="148"/>
        <v>14.411764705882353</v>
      </c>
      <c r="J460" s="92">
        <f t="shared" si="148"/>
        <v>18.823529411764707</v>
      </c>
      <c r="K460" s="92">
        <f t="shared" si="148"/>
        <v>23.823529411764707</v>
      </c>
      <c r="L460" s="35"/>
      <c r="M460" s="35"/>
      <c r="N460" s="35"/>
    </row>
    <row r="461" spans="1:14" x14ac:dyDescent="0.3">
      <c r="A461" s="397"/>
      <c r="B461" s="94">
        <v>90</v>
      </c>
      <c r="C461" s="92">
        <f t="shared" si="147"/>
        <v>0.27777777777777779</v>
      </c>
      <c r="D461" s="92">
        <f t="shared" si="148"/>
        <v>1.1111111111111112</v>
      </c>
      <c r="E461" s="92">
        <f t="shared" si="148"/>
        <v>2.5</v>
      </c>
      <c r="F461" s="92">
        <f t="shared" si="148"/>
        <v>4.4444444444444446</v>
      </c>
      <c r="G461" s="92">
        <f t="shared" si="148"/>
        <v>6.9444444444444446</v>
      </c>
      <c r="H461" s="92">
        <f t="shared" si="148"/>
        <v>10</v>
      </c>
      <c r="I461" s="92">
        <f t="shared" si="148"/>
        <v>13.611111111111111</v>
      </c>
      <c r="J461" s="92">
        <f t="shared" si="148"/>
        <v>17.777777777777779</v>
      </c>
      <c r="K461" s="92">
        <f t="shared" si="148"/>
        <v>22.5</v>
      </c>
      <c r="L461" s="35"/>
      <c r="M461" s="35"/>
      <c r="N461" s="35"/>
    </row>
    <row r="462" spans="1:14" x14ac:dyDescent="0.3">
      <c r="A462" s="397"/>
      <c r="B462" s="94">
        <v>95</v>
      </c>
      <c r="C462" s="92">
        <f t="shared" si="147"/>
        <v>0.26315789473684209</v>
      </c>
      <c r="D462" s="92">
        <f t="shared" si="148"/>
        <v>1.0526315789473684</v>
      </c>
      <c r="E462" s="92">
        <f t="shared" si="148"/>
        <v>2.3684210526315788</v>
      </c>
      <c r="F462" s="92">
        <f t="shared" si="148"/>
        <v>4.2105263157894735</v>
      </c>
      <c r="G462" s="92">
        <f t="shared" si="148"/>
        <v>6.5789473684210522</v>
      </c>
      <c r="H462" s="92">
        <f t="shared" si="148"/>
        <v>9.473684210526315</v>
      </c>
      <c r="I462" s="92">
        <f t="shared" si="148"/>
        <v>12.894736842105264</v>
      </c>
      <c r="J462" s="92">
        <f t="shared" si="148"/>
        <v>16.842105263157894</v>
      </c>
      <c r="K462" s="92">
        <f t="shared" si="148"/>
        <v>21.315789473684209</v>
      </c>
      <c r="L462" s="35"/>
      <c r="M462" s="35"/>
      <c r="N462" s="35"/>
    </row>
    <row r="463" spans="1:14" x14ac:dyDescent="0.3">
      <c r="A463" s="397"/>
      <c r="B463" s="94">
        <v>100</v>
      </c>
      <c r="C463" s="92">
        <f t="shared" si="147"/>
        <v>0.25</v>
      </c>
      <c r="D463" s="92">
        <f t="shared" si="148"/>
        <v>1</v>
      </c>
      <c r="E463" s="92">
        <f t="shared" si="148"/>
        <v>2.25</v>
      </c>
      <c r="F463" s="92">
        <f t="shared" si="148"/>
        <v>4</v>
      </c>
      <c r="G463" s="92">
        <f t="shared" si="148"/>
        <v>6.25</v>
      </c>
      <c r="H463" s="92">
        <f t="shared" si="148"/>
        <v>9</v>
      </c>
      <c r="I463" s="92">
        <f t="shared" si="148"/>
        <v>12.25</v>
      </c>
      <c r="J463" s="92">
        <f t="shared" si="148"/>
        <v>16</v>
      </c>
      <c r="K463" s="92">
        <f t="shared" si="148"/>
        <v>20.25</v>
      </c>
      <c r="L463" s="35"/>
      <c r="M463" s="35"/>
      <c r="N463" s="35"/>
    </row>
    <row r="464" spans="1:14" x14ac:dyDescent="0.3">
      <c r="A464" s="284"/>
      <c r="B464" s="7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</row>
    <row r="465" spans="1:14" x14ac:dyDescent="0.3">
      <c r="A465" s="373" t="s">
        <v>236</v>
      </c>
      <c r="B465" s="374"/>
      <c r="C465" s="374"/>
      <c r="D465" s="374"/>
      <c r="E465" s="374"/>
      <c r="F465" s="374"/>
      <c r="G465" s="374"/>
      <c r="H465" s="374"/>
      <c r="I465" s="374"/>
      <c r="J465" s="374"/>
      <c r="K465" s="375"/>
      <c r="L465" s="35"/>
      <c r="M465" s="35"/>
      <c r="N465" s="35"/>
    </row>
    <row r="466" spans="1:14" x14ac:dyDescent="0.3">
      <c r="A466" s="360"/>
      <c r="B466" s="361"/>
      <c r="C466" s="364" t="s">
        <v>230</v>
      </c>
      <c r="D466" s="365"/>
      <c r="E466" s="365"/>
      <c r="F466" s="365"/>
      <c r="G466" s="365"/>
      <c r="H466" s="365"/>
      <c r="I466" s="365"/>
      <c r="J466" s="365"/>
      <c r="K466" s="366"/>
      <c r="L466" s="35"/>
      <c r="M466" s="35"/>
      <c r="N466" s="35"/>
    </row>
    <row r="467" spans="1:14" x14ac:dyDescent="0.3">
      <c r="A467" s="362"/>
      <c r="B467" s="363"/>
      <c r="C467" s="94">
        <v>5</v>
      </c>
      <c r="D467" s="94">
        <v>10</v>
      </c>
      <c r="E467" s="94">
        <v>15</v>
      </c>
      <c r="F467" s="94">
        <v>20</v>
      </c>
      <c r="G467" s="94">
        <v>25</v>
      </c>
      <c r="H467" s="94">
        <v>30</v>
      </c>
      <c r="I467" s="94">
        <v>35</v>
      </c>
      <c r="J467" s="94">
        <v>40</v>
      </c>
      <c r="K467" s="94">
        <v>45</v>
      </c>
      <c r="L467" s="35"/>
      <c r="M467" s="35"/>
      <c r="N467" s="35"/>
    </row>
    <row r="468" spans="1:14" x14ac:dyDescent="0.3">
      <c r="A468" s="397" t="s">
        <v>231</v>
      </c>
      <c r="B468" s="94">
        <v>5</v>
      </c>
      <c r="C468" s="93">
        <f>$F$39*C444</f>
        <v>3500</v>
      </c>
      <c r="D468" s="93">
        <f t="shared" ref="D468:K468" si="149">$F$39*D444</f>
        <v>14000</v>
      </c>
      <c r="E468" s="93">
        <f t="shared" si="149"/>
        <v>31500</v>
      </c>
      <c r="F468" s="93">
        <f t="shared" si="149"/>
        <v>56000</v>
      </c>
      <c r="G468" s="93">
        <f t="shared" si="149"/>
        <v>87500</v>
      </c>
      <c r="H468" s="93">
        <f t="shared" si="149"/>
        <v>126000</v>
      </c>
      <c r="I468" s="93">
        <f t="shared" si="149"/>
        <v>171500</v>
      </c>
      <c r="J468" s="93">
        <f t="shared" si="149"/>
        <v>224000</v>
      </c>
      <c r="K468" s="93">
        <f t="shared" si="149"/>
        <v>283500</v>
      </c>
      <c r="L468" s="35"/>
      <c r="M468" s="35"/>
      <c r="N468" s="35"/>
    </row>
    <row r="469" spans="1:14" x14ac:dyDescent="0.3">
      <c r="A469" s="397"/>
      <c r="B469" s="94">
        <v>10</v>
      </c>
      <c r="C469" s="93">
        <f t="shared" ref="C469:K484" si="150">$F$39*C445</f>
        <v>1750</v>
      </c>
      <c r="D469" s="93">
        <f t="shared" si="150"/>
        <v>7000</v>
      </c>
      <c r="E469" s="93">
        <f t="shared" si="150"/>
        <v>15750</v>
      </c>
      <c r="F469" s="93">
        <f t="shared" si="150"/>
        <v>28000</v>
      </c>
      <c r="G469" s="93">
        <f t="shared" si="150"/>
        <v>43750</v>
      </c>
      <c r="H469" s="93">
        <f t="shared" si="150"/>
        <v>63000</v>
      </c>
      <c r="I469" s="93">
        <f t="shared" si="150"/>
        <v>85750</v>
      </c>
      <c r="J469" s="93">
        <f t="shared" si="150"/>
        <v>112000</v>
      </c>
      <c r="K469" s="93">
        <f t="shared" si="150"/>
        <v>141750</v>
      </c>
      <c r="L469" s="35"/>
      <c r="M469" s="35"/>
      <c r="N469" s="35"/>
    </row>
    <row r="470" spans="1:14" x14ac:dyDescent="0.3">
      <c r="A470" s="397"/>
      <c r="B470" s="94">
        <v>15</v>
      </c>
      <c r="C470" s="93">
        <f t="shared" si="150"/>
        <v>1166.6666666666667</v>
      </c>
      <c r="D470" s="93">
        <f t="shared" si="150"/>
        <v>4666.666666666667</v>
      </c>
      <c r="E470" s="93">
        <f t="shared" si="150"/>
        <v>10500</v>
      </c>
      <c r="F470" s="93">
        <f t="shared" si="150"/>
        <v>18666.666666666668</v>
      </c>
      <c r="G470" s="93">
        <f t="shared" si="150"/>
        <v>29166.666666666664</v>
      </c>
      <c r="H470" s="93">
        <f t="shared" si="150"/>
        <v>42000</v>
      </c>
      <c r="I470" s="93">
        <f t="shared" si="150"/>
        <v>57166.666666666672</v>
      </c>
      <c r="J470" s="93">
        <f t="shared" si="150"/>
        <v>74666.666666666672</v>
      </c>
      <c r="K470" s="93">
        <f t="shared" si="150"/>
        <v>94500</v>
      </c>
      <c r="L470" s="35"/>
      <c r="M470" s="35"/>
      <c r="N470" s="35"/>
    </row>
    <row r="471" spans="1:14" x14ac:dyDescent="0.3">
      <c r="A471" s="397"/>
      <c r="B471" s="94">
        <v>20</v>
      </c>
      <c r="C471" s="93">
        <f t="shared" si="150"/>
        <v>875</v>
      </c>
      <c r="D471" s="93">
        <f t="shared" si="150"/>
        <v>3500</v>
      </c>
      <c r="E471" s="93">
        <f t="shared" si="150"/>
        <v>7875</v>
      </c>
      <c r="F471" s="93">
        <f t="shared" si="150"/>
        <v>14000</v>
      </c>
      <c r="G471" s="93">
        <f t="shared" si="150"/>
        <v>21875</v>
      </c>
      <c r="H471" s="93">
        <f t="shared" si="150"/>
        <v>31500</v>
      </c>
      <c r="I471" s="93">
        <f t="shared" si="150"/>
        <v>42875</v>
      </c>
      <c r="J471" s="93">
        <f t="shared" si="150"/>
        <v>56000</v>
      </c>
      <c r="K471" s="93">
        <f t="shared" si="150"/>
        <v>70875</v>
      </c>
      <c r="L471" s="35"/>
      <c r="M471" s="35"/>
      <c r="N471" s="35"/>
    </row>
    <row r="472" spans="1:14" x14ac:dyDescent="0.3">
      <c r="A472" s="397"/>
      <c r="B472" s="94">
        <v>25</v>
      </c>
      <c r="C472" s="93">
        <f t="shared" si="150"/>
        <v>700</v>
      </c>
      <c r="D472" s="93">
        <f t="shared" si="150"/>
        <v>2800</v>
      </c>
      <c r="E472" s="93">
        <f t="shared" si="150"/>
        <v>6300</v>
      </c>
      <c r="F472" s="93">
        <f t="shared" si="150"/>
        <v>11200</v>
      </c>
      <c r="G472" s="93">
        <f t="shared" si="150"/>
        <v>17500</v>
      </c>
      <c r="H472" s="93">
        <f t="shared" si="150"/>
        <v>25200</v>
      </c>
      <c r="I472" s="93">
        <f t="shared" si="150"/>
        <v>34300</v>
      </c>
      <c r="J472" s="93">
        <f t="shared" si="150"/>
        <v>44800</v>
      </c>
      <c r="K472" s="93">
        <f t="shared" si="150"/>
        <v>56700</v>
      </c>
      <c r="L472" s="35"/>
      <c r="M472" s="35"/>
      <c r="N472" s="35"/>
    </row>
    <row r="473" spans="1:14" x14ac:dyDescent="0.3">
      <c r="A473" s="397"/>
      <c r="B473" s="94">
        <v>30</v>
      </c>
      <c r="C473" s="93">
        <f t="shared" si="150"/>
        <v>583.33333333333337</v>
      </c>
      <c r="D473" s="93">
        <f t="shared" si="150"/>
        <v>2333.3333333333335</v>
      </c>
      <c r="E473" s="93">
        <f t="shared" si="150"/>
        <v>5250</v>
      </c>
      <c r="F473" s="93">
        <f t="shared" si="150"/>
        <v>9333.3333333333339</v>
      </c>
      <c r="G473" s="93">
        <f t="shared" si="150"/>
        <v>14583.333333333332</v>
      </c>
      <c r="H473" s="93">
        <f t="shared" si="150"/>
        <v>21000</v>
      </c>
      <c r="I473" s="93">
        <f t="shared" si="150"/>
        <v>28583.333333333336</v>
      </c>
      <c r="J473" s="93">
        <f t="shared" si="150"/>
        <v>37333.333333333336</v>
      </c>
      <c r="K473" s="93">
        <f t="shared" si="150"/>
        <v>47250</v>
      </c>
      <c r="L473" s="35"/>
      <c r="M473" s="35"/>
      <c r="N473" s="35"/>
    </row>
    <row r="474" spans="1:14" x14ac:dyDescent="0.3">
      <c r="A474" s="397"/>
      <c r="B474" s="94">
        <v>35</v>
      </c>
      <c r="C474" s="93">
        <f t="shared" si="150"/>
        <v>500</v>
      </c>
      <c r="D474" s="93">
        <f t="shared" si="150"/>
        <v>2000</v>
      </c>
      <c r="E474" s="93">
        <f t="shared" si="150"/>
        <v>4500</v>
      </c>
      <c r="F474" s="93">
        <f t="shared" si="150"/>
        <v>8000</v>
      </c>
      <c r="G474" s="93">
        <f t="shared" si="150"/>
        <v>12500</v>
      </c>
      <c r="H474" s="93">
        <f t="shared" si="150"/>
        <v>18000</v>
      </c>
      <c r="I474" s="93">
        <f t="shared" si="150"/>
        <v>24500</v>
      </c>
      <c r="J474" s="93">
        <f t="shared" si="150"/>
        <v>32000</v>
      </c>
      <c r="K474" s="93">
        <f t="shared" si="150"/>
        <v>40500</v>
      </c>
      <c r="L474" s="35"/>
      <c r="M474" s="35"/>
      <c r="N474" s="35"/>
    </row>
    <row r="475" spans="1:14" x14ac:dyDescent="0.3">
      <c r="A475" s="397"/>
      <c r="B475" s="94">
        <v>40</v>
      </c>
      <c r="C475" s="93">
        <f t="shared" si="150"/>
        <v>437.5</v>
      </c>
      <c r="D475" s="93">
        <f t="shared" si="150"/>
        <v>1750</v>
      </c>
      <c r="E475" s="93">
        <f t="shared" si="150"/>
        <v>3937.5</v>
      </c>
      <c r="F475" s="93">
        <f t="shared" si="150"/>
        <v>7000</v>
      </c>
      <c r="G475" s="93">
        <f t="shared" si="150"/>
        <v>10937.5</v>
      </c>
      <c r="H475" s="93">
        <f t="shared" si="150"/>
        <v>15750</v>
      </c>
      <c r="I475" s="93">
        <f t="shared" si="150"/>
        <v>21437.5</v>
      </c>
      <c r="J475" s="93">
        <f t="shared" si="150"/>
        <v>28000</v>
      </c>
      <c r="K475" s="93">
        <f t="shared" si="150"/>
        <v>35437.5</v>
      </c>
      <c r="L475" s="35"/>
      <c r="M475" s="35"/>
      <c r="N475" s="35"/>
    </row>
    <row r="476" spans="1:14" x14ac:dyDescent="0.3">
      <c r="A476" s="397"/>
      <c r="B476" s="94">
        <v>45</v>
      </c>
      <c r="C476" s="93">
        <f t="shared" si="150"/>
        <v>388.88888888888891</v>
      </c>
      <c r="D476" s="93">
        <f t="shared" si="150"/>
        <v>1555.5555555555557</v>
      </c>
      <c r="E476" s="93">
        <f t="shared" si="150"/>
        <v>3500</v>
      </c>
      <c r="F476" s="93">
        <f t="shared" si="150"/>
        <v>6222.2222222222226</v>
      </c>
      <c r="G476" s="93">
        <f t="shared" si="150"/>
        <v>9722.2222222222226</v>
      </c>
      <c r="H476" s="93">
        <f t="shared" si="150"/>
        <v>14000</v>
      </c>
      <c r="I476" s="93">
        <f t="shared" si="150"/>
        <v>19055.555555555555</v>
      </c>
      <c r="J476" s="93">
        <f t="shared" si="150"/>
        <v>24888.888888888891</v>
      </c>
      <c r="K476" s="93">
        <f t="shared" si="150"/>
        <v>31500</v>
      </c>
      <c r="L476" s="35"/>
      <c r="M476" s="35"/>
      <c r="N476" s="35"/>
    </row>
    <row r="477" spans="1:14" x14ac:dyDescent="0.3">
      <c r="A477" s="397"/>
      <c r="B477" s="94">
        <v>50</v>
      </c>
      <c r="C477" s="93">
        <f t="shared" si="150"/>
        <v>350</v>
      </c>
      <c r="D477" s="93">
        <f t="shared" si="150"/>
        <v>1400</v>
      </c>
      <c r="E477" s="93">
        <f t="shared" si="150"/>
        <v>3150</v>
      </c>
      <c r="F477" s="93">
        <f t="shared" si="150"/>
        <v>5600</v>
      </c>
      <c r="G477" s="93">
        <f t="shared" si="150"/>
        <v>8750</v>
      </c>
      <c r="H477" s="93">
        <f t="shared" si="150"/>
        <v>12600</v>
      </c>
      <c r="I477" s="93">
        <f t="shared" si="150"/>
        <v>17150</v>
      </c>
      <c r="J477" s="93">
        <f t="shared" si="150"/>
        <v>22400</v>
      </c>
      <c r="K477" s="93">
        <f t="shared" si="150"/>
        <v>28350</v>
      </c>
      <c r="L477" s="35"/>
      <c r="M477" s="35"/>
      <c r="N477" s="35"/>
    </row>
    <row r="478" spans="1:14" x14ac:dyDescent="0.3">
      <c r="A478" s="397"/>
      <c r="B478" s="94">
        <v>55</v>
      </c>
      <c r="C478" s="93">
        <f t="shared" si="150"/>
        <v>318.18181818181819</v>
      </c>
      <c r="D478" s="93">
        <f t="shared" si="150"/>
        <v>1272.7272727272727</v>
      </c>
      <c r="E478" s="93">
        <f t="shared" si="150"/>
        <v>2863.6363636363635</v>
      </c>
      <c r="F478" s="93">
        <f t="shared" si="150"/>
        <v>5090.909090909091</v>
      </c>
      <c r="G478" s="93">
        <f t="shared" si="150"/>
        <v>7954.545454545454</v>
      </c>
      <c r="H478" s="93">
        <f t="shared" si="150"/>
        <v>11454.545454545454</v>
      </c>
      <c r="I478" s="93">
        <f t="shared" si="150"/>
        <v>15590.909090909092</v>
      </c>
      <c r="J478" s="93">
        <f t="shared" si="150"/>
        <v>20363.636363636364</v>
      </c>
      <c r="K478" s="93">
        <f t="shared" si="150"/>
        <v>25772.727272727276</v>
      </c>
      <c r="L478" s="35"/>
      <c r="M478" s="35"/>
      <c r="N478" s="35"/>
    </row>
    <row r="479" spans="1:14" x14ac:dyDescent="0.3">
      <c r="A479" s="397"/>
      <c r="B479" s="94">
        <v>60</v>
      </c>
      <c r="C479" s="93">
        <f t="shared" si="150"/>
        <v>291.66666666666669</v>
      </c>
      <c r="D479" s="93">
        <f t="shared" si="150"/>
        <v>1166.6666666666667</v>
      </c>
      <c r="E479" s="93">
        <f t="shared" si="150"/>
        <v>2625</v>
      </c>
      <c r="F479" s="93">
        <f t="shared" si="150"/>
        <v>4666.666666666667</v>
      </c>
      <c r="G479" s="93">
        <f t="shared" si="150"/>
        <v>7291.6666666666661</v>
      </c>
      <c r="H479" s="93">
        <f t="shared" si="150"/>
        <v>10500</v>
      </c>
      <c r="I479" s="93">
        <f t="shared" si="150"/>
        <v>14291.666666666668</v>
      </c>
      <c r="J479" s="93">
        <f t="shared" si="150"/>
        <v>18666.666666666668</v>
      </c>
      <c r="K479" s="93">
        <f t="shared" si="150"/>
        <v>23625</v>
      </c>
      <c r="L479" s="35"/>
      <c r="M479" s="35"/>
      <c r="N479" s="35"/>
    </row>
    <row r="480" spans="1:14" x14ac:dyDescent="0.3">
      <c r="A480" s="397"/>
      <c r="B480" s="94">
        <v>65</v>
      </c>
      <c r="C480" s="93">
        <f t="shared" si="150"/>
        <v>269.23076923076923</v>
      </c>
      <c r="D480" s="93">
        <f t="shared" si="150"/>
        <v>1076.9230769230769</v>
      </c>
      <c r="E480" s="93">
        <f t="shared" si="150"/>
        <v>2423.0769230769233</v>
      </c>
      <c r="F480" s="93">
        <f t="shared" si="150"/>
        <v>4307.6923076923076</v>
      </c>
      <c r="G480" s="93">
        <f t="shared" si="150"/>
        <v>6730.7692307692305</v>
      </c>
      <c r="H480" s="93">
        <f t="shared" si="150"/>
        <v>9692.3076923076933</v>
      </c>
      <c r="I480" s="93">
        <f t="shared" si="150"/>
        <v>13192.307692307693</v>
      </c>
      <c r="J480" s="93">
        <f t="shared" si="150"/>
        <v>17230.76923076923</v>
      </c>
      <c r="K480" s="93">
        <f t="shared" si="150"/>
        <v>21807.692307692309</v>
      </c>
      <c r="L480" s="35"/>
      <c r="M480" s="35"/>
      <c r="N480" s="35"/>
    </row>
    <row r="481" spans="1:14" x14ac:dyDescent="0.3">
      <c r="A481" s="397"/>
      <c r="B481" s="94">
        <v>70</v>
      </c>
      <c r="C481" s="93">
        <f t="shared" si="150"/>
        <v>250</v>
      </c>
      <c r="D481" s="93">
        <f t="shared" si="150"/>
        <v>1000</v>
      </c>
      <c r="E481" s="93">
        <f t="shared" si="150"/>
        <v>2250</v>
      </c>
      <c r="F481" s="93">
        <f t="shared" si="150"/>
        <v>4000</v>
      </c>
      <c r="G481" s="93">
        <f t="shared" si="150"/>
        <v>6250</v>
      </c>
      <c r="H481" s="93">
        <f t="shared" si="150"/>
        <v>9000</v>
      </c>
      <c r="I481" s="93">
        <f t="shared" si="150"/>
        <v>12250</v>
      </c>
      <c r="J481" s="93">
        <f t="shared" si="150"/>
        <v>16000</v>
      </c>
      <c r="K481" s="93">
        <f t="shared" si="150"/>
        <v>20250</v>
      </c>
      <c r="L481" s="35"/>
      <c r="M481" s="35"/>
      <c r="N481" s="35"/>
    </row>
    <row r="482" spans="1:14" x14ac:dyDescent="0.3">
      <c r="A482" s="397"/>
      <c r="B482" s="94">
        <v>75</v>
      </c>
      <c r="C482" s="93">
        <f t="shared" si="150"/>
        <v>233.33333333333331</v>
      </c>
      <c r="D482" s="93">
        <f t="shared" si="150"/>
        <v>933.33333333333326</v>
      </c>
      <c r="E482" s="93">
        <f t="shared" si="150"/>
        <v>2100</v>
      </c>
      <c r="F482" s="93">
        <f t="shared" si="150"/>
        <v>3733.333333333333</v>
      </c>
      <c r="G482" s="93">
        <f t="shared" si="150"/>
        <v>5833.3333333333339</v>
      </c>
      <c r="H482" s="93">
        <f t="shared" si="150"/>
        <v>8400</v>
      </c>
      <c r="I482" s="93">
        <f t="shared" si="150"/>
        <v>11433.333333333332</v>
      </c>
      <c r="J482" s="93">
        <f t="shared" si="150"/>
        <v>14933.333333333332</v>
      </c>
      <c r="K482" s="93">
        <f t="shared" si="150"/>
        <v>18900</v>
      </c>
      <c r="L482" s="35"/>
      <c r="M482" s="35"/>
      <c r="N482" s="35"/>
    </row>
    <row r="483" spans="1:14" x14ac:dyDescent="0.3">
      <c r="A483" s="397"/>
      <c r="B483" s="94">
        <v>80</v>
      </c>
      <c r="C483" s="93">
        <f t="shared" si="150"/>
        <v>218.75</v>
      </c>
      <c r="D483" s="93">
        <f t="shared" si="150"/>
        <v>875</v>
      </c>
      <c r="E483" s="93">
        <f t="shared" si="150"/>
        <v>1968.75</v>
      </c>
      <c r="F483" s="93">
        <f t="shared" si="150"/>
        <v>3500</v>
      </c>
      <c r="G483" s="93">
        <f t="shared" si="150"/>
        <v>5468.75</v>
      </c>
      <c r="H483" s="93">
        <f t="shared" si="150"/>
        <v>7875</v>
      </c>
      <c r="I483" s="93">
        <f t="shared" si="150"/>
        <v>10718.75</v>
      </c>
      <c r="J483" s="93">
        <f t="shared" si="150"/>
        <v>14000</v>
      </c>
      <c r="K483" s="93">
        <f t="shared" si="150"/>
        <v>17718.75</v>
      </c>
      <c r="L483" s="35"/>
      <c r="M483" s="35"/>
      <c r="N483" s="35"/>
    </row>
    <row r="484" spans="1:14" x14ac:dyDescent="0.3">
      <c r="A484" s="397"/>
      <c r="B484" s="94">
        <v>85</v>
      </c>
      <c r="C484" s="93">
        <f t="shared" si="150"/>
        <v>205.88235294117646</v>
      </c>
      <c r="D484" s="93">
        <f t="shared" si="150"/>
        <v>823.52941176470586</v>
      </c>
      <c r="E484" s="93">
        <f t="shared" si="150"/>
        <v>1852.9411764705883</v>
      </c>
      <c r="F484" s="93">
        <f t="shared" si="150"/>
        <v>3294.1176470588234</v>
      </c>
      <c r="G484" s="93">
        <f t="shared" si="150"/>
        <v>5147.0588235294117</v>
      </c>
      <c r="H484" s="93">
        <f t="shared" si="150"/>
        <v>7411.7647058823532</v>
      </c>
      <c r="I484" s="93">
        <f t="shared" si="150"/>
        <v>10088.235294117647</v>
      </c>
      <c r="J484" s="93">
        <f t="shared" si="150"/>
        <v>13176.470588235294</v>
      </c>
      <c r="K484" s="93">
        <f t="shared" si="150"/>
        <v>16676.470588235294</v>
      </c>
      <c r="L484" s="35"/>
      <c r="M484" s="35"/>
      <c r="N484" s="35"/>
    </row>
    <row r="485" spans="1:14" x14ac:dyDescent="0.3">
      <c r="A485" s="397"/>
      <c r="B485" s="94">
        <v>90</v>
      </c>
      <c r="C485" s="93">
        <f t="shared" ref="C485:K487" si="151">$F$39*C461</f>
        <v>194.44444444444446</v>
      </c>
      <c r="D485" s="93">
        <f t="shared" si="151"/>
        <v>777.77777777777783</v>
      </c>
      <c r="E485" s="93">
        <f t="shared" si="151"/>
        <v>1750</v>
      </c>
      <c r="F485" s="93">
        <f t="shared" si="151"/>
        <v>3111.1111111111113</v>
      </c>
      <c r="G485" s="93">
        <f t="shared" si="151"/>
        <v>4861.1111111111113</v>
      </c>
      <c r="H485" s="93">
        <f t="shared" si="151"/>
        <v>7000</v>
      </c>
      <c r="I485" s="93">
        <f t="shared" si="151"/>
        <v>9527.7777777777774</v>
      </c>
      <c r="J485" s="93">
        <f t="shared" si="151"/>
        <v>12444.444444444445</v>
      </c>
      <c r="K485" s="93">
        <f t="shared" si="151"/>
        <v>15750</v>
      </c>
      <c r="L485" s="35"/>
      <c r="M485" s="35"/>
      <c r="N485" s="35"/>
    </row>
    <row r="486" spans="1:14" x14ac:dyDescent="0.3">
      <c r="A486" s="397"/>
      <c r="B486" s="94">
        <v>95</v>
      </c>
      <c r="C486" s="93">
        <f t="shared" si="151"/>
        <v>184.21052631578945</v>
      </c>
      <c r="D486" s="93">
        <f t="shared" si="151"/>
        <v>736.8421052631578</v>
      </c>
      <c r="E486" s="93">
        <f t="shared" si="151"/>
        <v>1657.8947368421052</v>
      </c>
      <c r="F486" s="93">
        <f t="shared" si="151"/>
        <v>2947.3684210526312</v>
      </c>
      <c r="G486" s="93">
        <f t="shared" si="151"/>
        <v>4605.2631578947367</v>
      </c>
      <c r="H486" s="93">
        <f t="shared" si="151"/>
        <v>6631.5789473684208</v>
      </c>
      <c r="I486" s="93">
        <f t="shared" si="151"/>
        <v>9026.3157894736851</v>
      </c>
      <c r="J486" s="93">
        <f t="shared" si="151"/>
        <v>11789.473684210525</v>
      </c>
      <c r="K486" s="93">
        <f t="shared" si="151"/>
        <v>14921.052631578947</v>
      </c>
      <c r="L486" s="35"/>
      <c r="M486" s="35"/>
      <c r="N486" s="35"/>
    </row>
    <row r="487" spans="1:14" x14ac:dyDescent="0.3">
      <c r="A487" s="397"/>
      <c r="B487" s="94">
        <v>100</v>
      </c>
      <c r="C487" s="93">
        <f t="shared" si="151"/>
        <v>175</v>
      </c>
      <c r="D487" s="93">
        <f t="shared" si="151"/>
        <v>700</v>
      </c>
      <c r="E487" s="93">
        <f t="shared" si="151"/>
        <v>1575</v>
      </c>
      <c r="F487" s="93">
        <f t="shared" si="151"/>
        <v>2800</v>
      </c>
      <c r="G487" s="93">
        <f t="shared" si="151"/>
        <v>4375</v>
      </c>
      <c r="H487" s="93">
        <f t="shared" si="151"/>
        <v>6300</v>
      </c>
      <c r="I487" s="93">
        <f t="shared" si="151"/>
        <v>8575</v>
      </c>
      <c r="J487" s="93">
        <f t="shared" si="151"/>
        <v>11200</v>
      </c>
      <c r="K487" s="93">
        <f t="shared" si="151"/>
        <v>14175</v>
      </c>
      <c r="L487" s="35"/>
      <c r="M487" s="35"/>
      <c r="N487" s="35"/>
    </row>
    <row r="488" spans="1:14" x14ac:dyDescent="0.3">
      <c r="A488" s="284"/>
      <c r="B488" s="7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</row>
    <row r="489" spans="1:14" x14ac:dyDescent="0.3">
      <c r="A489" s="373" t="s">
        <v>237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5"/>
      <c r="L489" s="35"/>
      <c r="M489" s="35"/>
      <c r="N489" s="35"/>
    </row>
    <row r="490" spans="1:14" x14ac:dyDescent="0.3">
      <c r="A490" s="360"/>
      <c r="B490" s="361"/>
      <c r="C490" s="364" t="s">
        <v>230</v>
      </c>
      <c r="D490" s="365"/>
      <c r="E490" s="365"/>
      <c r="F490" s="365"/>
      <c r="G490" s="365"/>
      <c r="H490" s="365"/>
      <c r="I490" s="365"/>
      <c r="J490" s="365"/>
      <c r="K490" s="366"/>
      <c r="L490" s="35"/>
      <c r="M490" s="35"/>
      <c r="N490" s="35"/>
    </row>
    <row r="491" spans="1:14" x14ac:dyDescent="0.3">
      <c r="A491" s="362"/>
      <c r="B491" s="363"/>
      <c r="C491" s="94">
        <v>5</v>
      </c>
      <c r="D491" s="94">
        <v>10</v>
      </c>
      <c r="E491" s="94">
        <v>15</v>
      </c>
      <c r="F491" s="94">
        <v>20</v>
      </c>
      <c r="G491" s="94">
        <v>25</v>
      </c>
      <c r="H491" s="94">
        <v>30</v>
      </c>
      <c r="I491" s="94">
        <v>35</v>
      </c>
      <c r="J491" s="94">
        <v>40</v>
      </c>
      <c r="K491" s="94">
        <v>45</v>
      </c>
      <c r="L491" s="35"/>
      <c r="M491" s="35"/>
      <c r="N491" s="35"/>
    </row>
    <row r="492" spans="1:14" x14ac:dyDescent="0.3">
      <c r="A492" s="397" t="s">
        <v>231</v>
      </c>
      <c r="B492" s="94">
        <v>5</v>
      </c>
      <c r="C492" s="93">
        <f t="shared" ref="C492:K507" si="152">C468*$B$427</f>
        <v>493.36532046039002</v>
      </c>
      <c r="D492" s="93">
        <f t="shared" si="152"/>
        <v>1973.4612818415601</v>
      </c>
      <c r="E492" s="93">
        <f t="shared" si="152"/>
        <v>4440.2878841435104</v>
      </c>
      <c r="F492" s="93">
        <f t="shared" si="152"/>
        <v>7893.8451273662404</v>
      </c>
      <c r="G492" s="93">
        <f t="shared" si="152"/>
        <v>12334.13301150975</v>
      </c>
      <c r="H492" s="93">
        <f t="shared" si="152"/>
        <v>17761.151536574042</v>
      </c>
      <c r="I492" s="93">
        <f t="shared" si="152"/>
        <v>24174.900702559113</v>
      </c>
      <c r="J492" s="93">
        <f t="shared" si="152"/>
        <v>31575.380509464962</v>
      </c>
      <c r="K492" s="93">
        <f t="shared" si="152"/>
        <v>39962.590957291592</v>
      </c>
      <c r="L492" s="35"/>
      <c r="M492" s="35"/>
      <c r="N492" s="35"/>
    </row>
    <row r="493" spans="1:14" x14ac:dyDescent="0.3">
      <c r="A493" s="397"/>
      <c r="B493" s="94">
        <v>10</v>
      </c>
      <c r="C493" s="93">
        <f t="shared" si="152"/>
        <v>246.68266023019501</v>
      </c>
      <c r="D493" s="93">
        <f t="shared" si="152"/>
        <v>986.73064092078005</v>
      </c>
      <c r="E493" s="93">
        <f t="shared" si="152"/>
        <v>2220.1439420717552</v>
      </c>
      <c r="F493" s="93">
        <f t="shared" si="152"/>
        <v>3946.9225636831202</v>
      </c>
      <c r="G493" s="93">
        <f t="shared" si="152"/>
        <v>6167.0665057548749</v>
      </c>
      <c r="H493" s="93">
        <f t="shared" si="152"/>
        <v>8880.5757682870208</v>
      </c>
      <c r="I493" s="93">
        <f t="shared" si="152"/>
        <v>12087.450351279556</v>
      </c>
      <c r="J493" s="93">
        <f t="shared" si="152"/>
        <v>15787.690254732481</v>
      </c>
      <c r="K493" s="93">
        <f t="shared" si="152"/>
        <v>19981.295478645796</v>
      </c>
      <c r="L493" s="35"/>
      <c r="M493" s="35"/>
      <c r="N493" s="35"/>
    </row>
    <row r="494" spans="1:14" x14ac:dyDescent="0.3">
      <c r="A494" s="397"/>
      <c r="B494" s="94">
        <v>15</v>
      </c>
      <c r="C494" s="93">
        <f t="shared" si="152"/>
        <v>164.45510682013003</v>
      </c>
      <c r="D494" s="93">
        <f t="shared" si="152"/>
        <v>657.82042728052011</v>
      </c>
      <c r="E494" s="93">
        <f t="shared" si="152"/>
        <v>1480.0959613811701</v>
      </c>
      <c r="F494" s="93">
        <f t="shared" si="152"/>
        <v>2631.2817091220804</v>
      </c>
      <c r="G494" s="93">
        <f t="shared" si="152"/>
        <v>4111.3776705032496</v>
      </c>
      <c r="H494" s="93">
        <f t="shared" si="152"/>
        <v>5920.3838455246805</v>
      </c>
      <c r="I494" s="93">
        <f t="shared" si="152"/>
        <v>8058.3002341863712</v>
      </c>
      <c r="J494" s="93">
        <f t="shared" si="152"/>
        <v>10525.126836488322</v>
      </c>
      <c r="K494" s="93">
        <f t="shared" si="152"/>
        <v>13320.863652430531</v>
      </c>
      <c r="L494" s="35"/>
      <c r="M494" s="35"/>
      <c r="N494" s="35"/>
    </row>
    <row r="495" spans="1:14" x14ac:dyDescent="0.3">
      <c r="A495" s="397"/>
      <c r="B495" s="94">
        <v>20</v>
      </c>
      <c r="C495" s="93">
        <f t="shared" si="152"/>
        <v>123.34133011509751</v>
      </c>
      <c r="D495" s="93">
        <f t="shared" si="152"/>
        <v>493.36532046039002</v>
      </c>
      <c r="E495" s="93">
        <f t="shared" si="152"/>
        <v>1110.0719710358776</v>
      </c>
      <c r="F495" s="93">
        <f t="shared" si="152"/>
        <v>1973.4612818415601</v>
      </c>
      <c r="G495" s="93">
        <f t="shared" si="152"/>
        <v>3083.5332528774375</v>
      </c>
      <c r="H495" s="93">
        <f t="shared" si="152"/>
        <v>4440.2878841435104</v>
      </c>
      <c r="I495" s="93">
        <f t="shared" si="152"/>
        <v>6043.7251756397782</v>
      </c>
      <c r="J495" s="93">
        <f t="shared" si="152"/>
        <v>7893.8451273662404</v>
      </c>
      <c r="K495" s="93">
        <f t="shared" si="152"/>
        <v>9990.6477393228979</v>
      </c>
      <c r="L495" s="35"/>
      <c r="M495" s="35"/>
      <c r="N495" s="35"/>
    </row>
    <row r="496" spans="1:14" x14ac:dyDescent="0.3">
      <c r="A496" s="397"/>
      <c r="B496" s="94">
        <v>25</v>
      </c>
      <c r="C496" s="93">
        <f t="shared" si="152"/>
        <v>98.673064092078008</v>
      </c>
      <c r="D496" s="93">
        <f t="shared" si="152"/>
        <v>394.69225636831203</v>
      </c>
      <c r="E496" s="93">
        <f t="shared" si="152"/>
        <v>888.05757682870205</v>
      </c>
      <c r="F496" s="93">
        <f t="shared" si="152"/>
        <v>1578.7690254732481</v>
      </c>
      <c r="G496" s="93">
        <f t="shared" si="152"/>
        <v>2466.8266023019501</v>
      </c>
      <c r="H496" s="93">
        <f t="shared" si="152"/>
        <v>3552.2303073148082</v>
      </c>
      <c r="I496" s="93">
        <f t="shared" si="152"/>
        <v>4834.9801405118224</v>
      </c>
      <c r="J496" s="93">
        <f t="shared" si="152"/>
        <v>6315.0761018929925</v>
      </c>
      <c r="K496" s="93">
        <f t="shared" si="152"/>
        <v>7992.5181914583181</v>
      </c>
      <c r="L496" s="35"/>
      <c r="M496" s="35"/>
      <c r="N496" s="35"/>
    </row>
    <row r="497" spans="1:14" x14ac:dyDescent="0.3">
      <c r="A497" s="397"/>
      <c r="B497" s="94">
        <v>30</v>
      </c>
      <c r="C497" s="93">
        <f t="shared" si="152"/>
        <v>82.227553410065013</v>
      </c>
      <c r="D497" s="93">
        <f t="shared" si="152"/>
        <v>328.91021364026005</v>
      </c>
      <c r="E497" s="93">
        <f t="shared" si="152"/>
        <v>740.04798069058506</v>
      </c>
      <c r="F497" s="93">
        <f t="shared" si="152"/>
        <v>1315.6408545610402</v>
      </c>
      <c r="G497" s="93">
        <f t="shared" si="152"/>
        <v>2055.6888352516248</v>
      </c>
      <c r="H497" s="93">
        <f t="shared" si="152"/>
        <v>2960.1919227623403</v>
      </c>
      <c r="I497" s="93">
        <f t="shared" si="152"/>
        <v>4029.1501170931856</v>
      </c>
      <c r="J497" s="93">
        <f t="shared" si="152"/>
        <v>5262.5634182441609</v>
      </c>
      <c r="K497" s="93">
        <f t="shared" si="152"/>
        <v>6660.4318262152656</v>
      </c>
      <c r="L497" s="35"/>
      <c r="M497" s="35"/>
      <c r="N497" s="35"/>
    </row>
    <row r="498" spans="1:14" x14ac:dyDescent="0.3">
      <c r="A498" s="397"/>
      <c r="B498" s="94">
        <v>35</v>
      </c>
      <c r="C498" s="93">
        <f t="shared" si="152"/>
        <v>70.480760065769999</v>
      </c>
      <c r="D498" s="93">
        <f t="shared" si="152"/>
        <v>281.92304026308</v>
      </c>
      <c r="E498" s="93">
        <f t="shared" si="152"/>
        <v>634.32684059193002</v>
      </c>
      <c r="F498" s="93">
        <f t="shared" si="152"/>
        <v>1127.69216105232</v>
      </c>
      <c r="G498" s="93">
        <f t="shared" si="152"/>
        <v>1762.01900164425</v>
      </c>
      <c r="H498" s="93">
        <f t="shared" si="152"/>
        <v>2537.3073623677201</v>
      </c>
      <c r="I498" s="93">
        <f t="shared" si="152"/>
        <v>3453.55724322273</v>
      </c>
      <c r="J498" s="93">
        <f t="shared" si="152"/>
        <v>4510.76864420928</v>
      </c>
      <c r="K498" s="93">
        <f t="shared" si="152"/>
        <v>5708.94156532737</v>
      </c>
      <c r="L498" s="35"/>
      <c r="M498" s="35"/>
      <c r="N498" s="35"/>
    </row>
    <row r="499" spans="1:14" x14ac:dyDescent="0.3">
      <c r="A499" s="397"/>
      <c r="B499" s="94">
        <v>40</v>
      </c>
      <c r="C499" s="93">
        <f t="shared" si="152"/>
        <v>61.670665057548753</v>
      </c>
      <c r="D499" s="93">
        <f t="shared" si="152"/>
        <v>246.68266023019501</v>
      </c>
      <c r="E499" s="93">
        <f t="shared" si="152"/>
        <v>555.0359855179388</v>
      </c>
      <c r="F499" s="93">
        <f t="shared" si="152"/>
        <v>986.73064092078005</v>
      </c>
      <c r="G499" s="93">
        <f t="shared" si="152"/>
        <v>1541.7666264387187</v>
      </c>
      <c r="H499" s="93">
        <f t="shared" si="152"/>
        <v>2220.1439420717552</v>
      </c>
      <c r="I499" s="93">
        <f t="shared" si="152"/>
        <v>3021.8625878198891</v>
      </c>
      <c r="J499" s="93">
        <f t="shared" si="152"/>
        <v>3946.9225636831202</v>
      </c>
      <c r="K499" s="93">
        <f t="shared" si="152"/>
        <v>4995.323869661449</v>
      </c>
      <c r="L499" s="35"/>
      <c r="M499" s="35"/>
      <c r="N499" s="35"/>
    </row>
    <row r="500" spans="1:14" x14ac:dyDescent="0.3">
      <c r="A500" s="397"/>
      <c r="B500" s="94">
        <v>45</v>
      </c>
      <c r="C500" s="93">
        <f t="shared" si="152"/>
        <v>54.818368940043342</v>
      </c>
      <c r="D500" s="93">
        <f t="shared" si="152"/>
        <v>219.27347576017337</v>
      </c>
      <c r="E500" s="93">
        <f t="shared" si="152"/>
        <v>493.36532046039002</v>
      </c>
      <c r="F500" s="93">
        <f t="shared" si="152"/>
        <v>877.09390304069348</v>
      </c>
      <c r="G500" s="93">
        <f t="shared" si="152"/>
        <v>1370.4592235010834</v>
      </c>
      <c r="H500" s="93">
        <f t="shared" si="152"/>
        <v>1973.4612818415601</v>
      </c>
      <c r="I500" s="93">
        <f t="shared" si="152"/>
        <v>2686.1000780621234</v>
      </c>
      <c r="J500" s="93">
        <f t="shared" si="152"/>
        <v>3508.3756121627739</v>
      </c>
      <c r="K500" s="93">
        <f t="shared" si="152"/>
        <v>4440.2878841435104</v>
      </c>
      <c r="L500" s="35"/>
      <c r="M500" s="35"/>
      <c r="N500" s="35"/>
    </row>
    <row r="501" spans="1:14" x14ac:dyDescent="0.3">
      <c r="A501" s="397"/>
      <c r="B501" s="94">
        <v>50</v>
      </c>
      <c r="C501" s="93">
        <f t="shared" si="152"/>
        <v>49.336532046039004</v>
      </c>
      <c r="D501" s="93">
        <f t="shared" si="152"/>
        <v>197.34612818415602</v>
      </c>
      <c r="E501" s="93">
        <f t="shared" si="152"/>
        <v>444.02878841435103</v>
      </c>
      <c r="F501" s="93">
        <f t="shared" si="152"/>
        <v>789.38451273662406</v>
      </c>
      <c r="G501" s="93">
        <f t="shared" si="152"/>
        <v>1233.413301150975</v>
      </c>
      <c r="H501" s="93">
        <f t="shared" si="152"/>
        <v>1776.1151536574041</v>
      </c>
      <c r="I501" s="93">
        <f t="shared" si="152"/>
        <v>2417.4900702559112</v>
      </c>
      <c r="J501" s="93">
        <f t="shared" si="152"/>
        <v>3157.5380509464962</v>
      </c>
      <c r="K501" s="93">
        <f t="shared" si="152"/>
        <v>3996.2590957291591</v>
      </c>
      <c r="L501" s="35"/>
      <c r="M501" s="35"/>
      <c r="N501" s="35"/>
    </row>
    <row r="502" spans="1:14" x14ac:dyDescent="0.3">
      <c r="A502" s="397"/>
      <c r="B502" s="94">
        <v>55</v>
      </c>
      <c r="C502" s="93">
        <f t="shared" si="152"/>
        <v>44.85139276912637</v>
      </c>
      <c r="D502" s="93">
        <f t="shared" si="152"/>
        <v>179.40557107650548</v>
      </c>
      <c r="E502" s="93">
        <f t="shared" si="152"/>
        <v>403.6625349221373</v>
      </c>
      <c r="F502" s="93">
        <f t="shared" si="152"/>
        <v>717.62228430602192</v>
      </c>
      <c r="G502" s="93">
        <f t="shared" si="152"/>
        <v>1121.284819228159</v>
      </c>
      <c r="H502" s="93">
        <f t="shared" si="152"/>
        <v>1614.6501396885492</v>
      </c>
      <c r="I502" s="93">
        <f t="shared" si="152"/>
        <v>2197.7182456871919</v>
      </c>
      <c r="J502" s="93">
        <f t="shared" si="152"/>
        <v>2870.4891372240877</v>
      </c>
      <c r="K502" s="93">
        <f t="shared" si="152"/>
        <v>3632.962814299236</v>
      </c>
      <c r="L502" s="35"/>
      <c r="M502" s="35"/>
      <c r="N502" s="35"/>
    </row>
    <row r="503" spans="1:14" x14ac:dyDescent="0.3">
      <c r="A503" s="397"/>
      <c r="B503" s="94">
        <v>60</v>
      </c>
      <c r="C503" s="93">
        <f t="shared" si="152"/>
        <v>41.113776705032507</v>
      </c>
      <c r="D503" s="93">
        <f t="shared" si="152"/>
        <v>164.45510682013003</v>
      </c>
      <c r="E503" s="93">
        <f t="shared" si="152"/>
        <v>370.02399034529253</v>
      </c>
      <c r="F503" s="93">
        <f t="shared" si="152"/>
        <v>657.82042728052011</v>
      </c>
      <c r="G503" s="93">
        <f t="shared" si="152"/>
        <v>1027.8444176258124</v>
      </c>
      <c r="H503" s="93">
        <f t="shared" si="152"/>
        <v>1480.0959613811701</v>
      </c>
      <c r="I503" s="93">
        <f t="shared" si="152"/>
        <v>2014.5750585465928</v>
      </c>
      <c r="J503" s="93">
        <f t="shared" si="152"/>
        <v>2631.2817091220804</v>
      </c>
      <c r="K503" s="93">
        <f t="shared" si="152"/>
        <v>3330.2159131076328</v>
      </c>
      <c r="L503" s="35"/>
      <c r="M503" s="35"/>
      <c r="N503" s="35"/>
    </row>
    <row r="504" spans="1:14" x14ac:dyDescent="0.3">
      <c r="A504" s="397"/>
      <c r="B504" s="94">
        <v>65</v>
      </c>
      <c r="C504" s="93">
        <f t="shared" si="152"/>
        <v>37.951178496953077</v>
      </c>
      <c r="D504" s="93">
        <f t="shared" si="152"/>
        <v>151.80471398781231</v>
      </c>
      <c r="E504" s="93">
        <f t="shared" si="152"/>
        <v>341.56060647257777</v>
      </c>
      <c r="F504" s="93">
        <f t="shared" si="152"/>
        <v>607.21885595124922</v>
      </c>
      <c r="G504" s="93">
        <f t="shared" si="152"/>
        <v>948.77946242382689</v>
      </c>
      <c r="H504" s="93">
        <f t="shared" si="152"/>
        <v>1366.2424258903111</v>
      </c>
      <c r="I504" s="93">
        <f t="shared" si="152"/>
        <v>1859.6077463507011</v>
      </c>
      <c r="J504" s="93">
        <f t="shared" si="152"/>
        <v>2428.8754238049969</v>
      </c>
      <c r="K504" s="93">
        <f t="shared" si="152"/>
        <v>3074.0454582531997</v>
      </c>
      <c r="L504" s="35"/>
      <c r="M504" s="35"/>
      <c r="N504" s="35"/>
    </row>
    <row r="505" spans="1:14" x14ac:dyDescent="0.3">
      <c r="A505" s="397"/>
      <c r="B505" s="94">
        <v>70</v>
      </c>
      <c r="C505" s="93">
        <f t="shared" si="152"/>
        <v>35.240380032885</v>
      </c>
      <c r="D505" s="93">
        <f t="shared" si="152"/>
        <v>140.96152013154</v>
      </c>
      <c r="E505" s="93">
        <f t="shared" si="152"/>
        <v>317.16342029596501</v>
      </c>
      <c r="F505" s="93">
        <f t="shared" si="152"/>
        <v>563.84608052615999</v>
      </c>
      <c r="G505" s="93">
        <f t="shared" si="152"/>
        <v>881.00950082212501</v>
      </c>
      <c r="H505" s="93">
        <f t="shared" si="152"/>
        <v>1268.65368118386</v>
      </c>
      <c r="I505" s="93">
        <f t="shared" si="152"/>
        <v>1726.778621611365</v>
      </c>
      <c r="J505" s="93">
        <f t="shared" si="152"/>
        <v>2255.38432210464</v>
      </c>
      <c r="K505" s="93">
        <f t="shared" si="152"/>
        <v>2854.470782663685</v>
      </c>
      <c r="L505" s="35"/>
      <c r="M505" s="35"/>
      <c r="N505" s="35"/>
    </row>
    <row r="506" spans="1:14" x14ac:dyDescent="0.3">
      <c r="A506" s="397"/>
      <c r="B506" s="94">
        <v>75</v>
      </c>
      <c r="C506" s="93">
        <f t="shared" si="152"/>
        <v>32.891021364026003</v>
      </c>
      <c r="D506" s="93">
        <f t="shared" si="152"/>
        <v>131.56408545610401</v>
      </c>
      <c r="E506" s="93">
        <f t="shared" si="152"/>
        <v>296.01919227623404</v>
      </c>
      <c r="F506" s="93">
        <f t="shared" si="152"/>
        <v>526.25634182441604</v>
      </c>
      <c r="G506" s="93">
        <f t="shared" si="152"/>
        <v>822.27553410065013</v>
      </c>
      <c r="H506" s="93">
        <f t="shared" si="152"/>
        <v>1184.0767691049361</v>
      </c>
      <c r="I506" s="93">
        <f t="shared" si="152"/>
        <v>1611.660046837274</v>
      </c>
      <c r="J506" s="93">
        <f t="shared" si="152"/>
        <v>2105.0253672976642</v>
      </c>
      <c r="K506" s="93">
        <f t="shared" si="152"/>
        <v>2664.172730486106</v>
      </c>
      <c r="L506" s="35"/>
      <c r="M506" s="35"/>
      <c r="N506" s="35"/>
    </row>
    <row r="507" spans="1:14" x14ac:dyDescent="0.3">
      <c r="A507" s="397"/>
      <c r="B507" s="94">
        <v>80</v>
      </c>
      <c r="C507" s="93">
        <f t="shared" si="152"/>
        <v>30.835332528774376</v>
      </c>
      <c r="D507" s="93">
        <f t="shared" si="152"/>
        <v>123.34133011509751</v>
      </c>
      <c r="E507" s="93">
        <f t="shared" si="152"/>
        <v>277.5179927589694</v>
      </c>
      <c r="F507" s="93">
        <f t="shared" si="152"/>
        <v>493.36532046039002</v>
      </c>
      <c r="G507" s="93">
        <f t="shared" si="152"/>
        <v>770.88331321935937</v>
      </c>
      <c r="H507" s="93">
        <f t="shared" si="152"/>
        <v>1110.0719710358776</v>
      </c>
      <c r="I507" s="93">
        <f t="shared" si="152"/>
        <v>1510.9312939099445</v>
      </c>
      <c r="J507" s="93">
        <f t="shared" si="152"/>
        <v>1973.4612818415601</v>
      </c>
      <c r="K507" s="93">
        <f t="shared" si="152"/>
        <v>2497.6619348307245</v>
      </c>
      <c r="L507" s="35"/>
      <c r="M507" s="35"/>
      <c r="N507" s="35"/>
    </row>
    <row r="508" spans="1:14" x14ac:dyDescent="0.3">
      <c r="A508" s="397"/>
      <c r="B508" s="94">
        <v>85</v>
      </c>
      <c r="C508" s="93">
        <f t="shared" ref="C508:K511" si="153">C484*$B$427</f>
        <v>29.021489438846473</v>
      </c>
      <c r="D508" s="93">
        <f t="shared" si="153"/>
        <v>116.08595775538589</v>
      </c>
      <c r="E508" s="93">
        <f t="shared" si="153"/>
        <v>261.19340494961824</v>
      </c>
      <c r="F508" s="93">
        <f t="shared" si="153"/>
        <v>464.34383102154356</v>
      </c>
      <c r="G508" s="93">
        <f t="shared" si="153"/>
        <v>725.53723597116175</v>
      </c>
      <c r="H508" s="93">
        <f t="shared" si="153"/>
        <v>1044.773619798473</v>
      </c>
      <c r="I508" s="93">
        <f t="shared" si="153"/>
        <v>1422.0529825034771</v>
      </c>
      <c r="J508" s="93">
        <f t="shared" si="153"/>
        <v>1857.3753240861743</v>
      </c>
      <c r="K508" s="93">
        <f t="shared" si="153"/>
        <v>2350.740644546564</v>
      </c>
      <c r="L508" s="35"/>
      <c r="M508" s="35"/>
      <c r="N508" s="35"/>
    </row>
    <row r="509" spans="1:14" x14ac:dyDescent="0.3">
      <c r="A509" s="397"/>
      <c r="B509" s="94">
        <v>90</v>
      </c>
      <c r="C509" s="93">
        <f t="shared" si="153"/>
        <v>27.409184470021671</v>
      </c>
      <c r="D509" s="93">
        <f t="shared" si="153"/>
        <v>109.63673788008668</v>
      </c>
      <c r="E509" s="93">
        <f t="shared" si="153"/>
        <v>246.68266023019501</v>
      </c>
      <c r="F509" s="93">
        <f t="shared" si="153"/>
        <v>438.54695152034674</v>
      </c>
      <c r="G509" s="93">
        <f t="shared" si="153"/>
        <v>685.22961175054172</v>
      </c>
      <c r="H509" s="93">
        <f t="shared" si="153"/>
        <v>986.73064092078005</v>
      </c>
      <c r="I509" s="93">
        <f t="shared" si="153"/>
        <v>1343.0500390310617</v>
      </c>
      <c r="J509" s="93">
        <f t="shared" si="153"/>
        <v>1754.187806081387</v>
      </c>
      <c r="K509" s="93">
        <f t="shared" si="153"/>
        <v>2220.1439420717552</v>
      </c>
      <c r="L509" s="35"/>
      <c r="M509" s="35"/>
      <c r="N509" s="35"/>
    </row>
    <row r="510" spans="1:14" x14ac:dyDescent="0.3">
      <c r="A510" s="397"/>
      <c r="B510" s="94">
        <v>95</v>
      </c>
      <c r="C510" s="93">
        <f t="shared" si="153"/>
        <v>25.966595813704735</v>
      </c>
      <c r="D510" s="93">
        <f t="shared" si="153"/>
        <v>103.86638325481894</v>
      </c>
      <c r="E510" s="93">
        <f t="shared" si="153"/>
        <v>233.69936232334263</v>
      </c>
      <c r="F510" s="93">
        <f t="shared" si="153"/>
        <v>415.46553301927577</v>
      </c>
      <c r="G510" s="93">
        <f t="shared" si="153"/>
        <v>649.16489534261848</v>
      </c>
      <c r="H510" s="93">
        <f t="shared" si="153"/>
        <v>934.79744929337051</v>
      </c>
      <c r="I510" s="93">
        <f t="shared" si="153"/>
        <v>1272.3631948715322</v>
      </c>
      <c r="J510" s="93">
        <f t="shared" si="153"/>
        <v>1661.8621320771031</v>
      </c>
      <c r="K510" s="93">
        <f t="shared" si="153"/>
        <v>2103.2942609100837</v>
      </c>
      <c r="L510" s="35"/>
      <c r="M510" s="35"/>
      <c r="N510" s="35"/>
    </row>
    <row r="511" spans="1:14" x14ac:dyDescent="0.3">
      <c r="A511" s="397"/>
      <c r="B511" s="94">
        <v>100</v>
      </c>
      <c r="C511" s="93">
        <f t="shared" si="153"/>
        <v>24.668266023019502</v>
      </c>
      <c r="D511" s="93">
        <f t="shared" si="153"/>
        <v>98.673064092078008</v>
      </c>
      <c r="E511" s="93">
        <f t="shared" si="153"/>
        <v>222.01439420717551</v>
      </c>
      <c r="F511" s="93">
        <f t="shared" si="153"/>
        <v>394.69225636831203</v>
      </c>
      <c r="G511" s="93">
        <f t="shared" si="153"/>
        <v>616.70665057548752</v>
      </c>
      <c r="H511" s="93">
        <f t="shared" si="153"/>
        <v>888.05757682870205</v>
      </c>
      <c r="I511" s="93">
        <f t="shared" si="153"/>
        <v>1208.7450351279556</v>
      </c>
      <c r="J511" s="93">
        <f t="shared" si="153"/>
        <v>1578.7690254732481</v>
      </c>
      <c r="K511" s="93">
        <f t="shared" si="153"/>
        <v>1998.1295478645795</v>
      </c>
      <c r="L511" s="35"/>
      <c r="M511" s="35"/>
      <c r="N511" s="35"/>
    </row>
    <row r="512" spans="1:14" x14ac:dyDescent="0.3">
      <c r="A512" s="284"/>
      <c r="B512" s="7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</row>
    <row r="513" spans="1:14" x14ac:dyDescent="0.3">
      <c r="A513" s="415" t="s">
        <v>497</v>
      </c>
      <c r="B513" s="416"/>
      <c r="C513" s="416"/>
      <c r="D513" s="416"/>
      <c r="E513" s="416"/>
      <c r="F513" s="416"/>
      <c r="G513" s="369"/>
      <c r="H513" s="35"/>
      <c r="I513" s="35"/>
      <c r="J513" s="35"/>
      <c r="K513" s="35"/>
      <c r="L513" s="35"/>
      <c r="M513" s="35"/>
      <c r="N513" s="35"/>
    </row>
    <row r="514" spans="1:14" x14ac:dyDescent="0.3">
      <c r="A514" s="284"/>
      <c r="B514" s="7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</row>
    <row r="515" spans="1:14" x14ac:dyDescent="0.3">
      <c r="A515" s="367" t="s">
        <v>280</v>
      </c>
      <c r="B515" s="367"/>
      <c r="C515" s="35"/>
      <c r="D515" s="35"/>
      <c r="E515" s="35"/>
      <c r="F515" s="420" t="s">
        <v>281</v>
      </c>
      <c r="G515" s="421"/>
      <c r="H515" s="35"/>
      <c r="I515" s="35"/>
      <c r="J515" s="35"/>
      <c r="K515" s="35"/>
      <c r="L515" s="35"/>
      <c r="M515" s="35"/>
      <c r="N515" s="35"/>
    </row>
    <row r="516" spans="1:14" x14ac:dyDescent="0.3">
      <c r="A516" s="277" t="s">
        <v>317</v>
      </c>
      <c r="B516" s="138">
        <f>'Amortyzatory od Jacka'!X14</f>
        <v>1.35</v>
      </c>
      <c r="C516" s="35" t="s">
        <v>323</v>
      </c>
      <c r="D516" s="35"/>
      <c r="E516" s="35"/>
      <c r="F516" s="285" t="s">
        <v>317</v>
      </c>
      <c r="G516" s="70">
        <f>'Amortyzatory od Jacka'!X56</f>
        <v>2.3125</v>
      </c>
      <c r="H516" s="35" t="s">
        <v>323</v>
      </c>
      <c r="I516" s="35"/>
      <c r="J516" s="35"/>
      <c r="K516" s="35"/>
      <c r="L516" s="35"/>
      <c r="M516" s="35"/>
      <c r="N516" s="35"/>
    </row>
    <row r="517" spans="1:14" x14ac:dyDescent="0.3">
      <c r="A517" s="277" t="s">
        <v>318</v>
      </c>
      <c r="B517" s="351">
        <f>B516*1000</f>
        <v>1350</v>
      </c>
      <c r="C517" s="35"/>
      <c r="D517" s="35"/>
      <c r="E517" s="35"/>
      <c r="F517" s="285" t="s">
        <v>318</v>
      </c>
      <c r="G517" s="26">
        <f>G516*1000</f>
        <v>2312.5</v>
      </c>
      <c r="H517" s="35"/>
      <c r="I517" s="35"/>
      <c r="J517" s="35"/>
      <c r="K517" s="35"/>
      <c r="L517" s="35"/>
      <c r="M517" s="35"/>
      <c r="N517" s="35"/>
    </row>
    <row r="518" spans="1:14" x14ac:dyDescent="0.3">
      <c r="A518" s="277" t="s">
        <v>319</v>
      </c>
      <c r="B518" s="351">
        <f>C40*B517</f>
        <v>13243.5</v>
      </c>
      <c r="C518" s="35"/>
      <c r="D518" s="35"/>
      <c r="E518" s="35"/>
      <c r="F518" s="285" t="s">
        <v>319</v>
      </c>
      <c r="G518" s="26">
        <f>G517*C40</f>
        <v>22685.625</v>
      </c>
      <c r="H518" s="35"/>
      <c r="I518" s="35"/>
      <c r="J518" s="35"/>
      <c r="K518" s="35"/>
      <c r="L518" s="35"/>
      <c r="M518" s="35"/>
      <c r="N518" s="35"/>
    </row>
    <row r="519" spans="1:14" x14ac:dyDescent="0.3">
      <c r="A519" s="277" t="s">
        <v>322</v>
      </c>
      <c r="B519" s="138">
        <f>'Dynamika od Tomka'!V166</f>
        <v>10861.072925965176</v>
      </c>
      <c r="C519" s="35" t="s">
        <v>324</v>
      </c>
      <c r="D519" s="35"/>
      <c r="E519" s="35"/>
      <c r="F519" s="285" t="s">
        <v>322</v>
      </c>
      <c r="G519" s="70">
        <f>'Dynamika od Tomka'!V167</f>
        <v>10859.271957692081</v>
      </c>
      <c r="H519" s="35" t="s">
        <v>324</v>
      </c>
      <c r="I519" s="35"/>
      <c r="J519" s="35"/>
      <c r="K519" s="35"/>
      <c r="L519" s="35"/>
      <c r="M519" s="35"/>
      <c r="N519" s="35"/>
    </row>
    <row r="520" spans="1:14" x14ac:dyDescent="0.3">
      <c r="A520" s="277" t="s">
        <v>321</v>
      </c>
      <c r="B520" s="351">
        <f>B518+B519</f>
        <v>24104.572925965178</v>
      </c>
      <c r="C520" s="35"/>
      <c r="D520" s="35"/>
      <c r="E520" s="35"/>
      <c r="F520" s="285" t="s">
        <v>321</v>
      </c>
      <c r="G520" s="26">
        <f>G518+G519</f>
        <v>33544.896957692079</v>
      </c>
      <c r="H520" s="35"/>
      <c r="I520" s="35"/>
      <c r="J520" s="35"/>
      <c r="K520" s="35"/>
      <c r="L520" s="35"/>
      <c r="M520" s="35"/>
      <c r="N520" s="35"/>
    </row>
    <row r="521" spans="1:14" x14ac:dyDescent="0.3">
      <c r="A521" s="277" t="s">
        <v>320</v>
      </c>
      <c r="B521" s="351">
        <f>E4</f>
        <v>1.5</v>
      </c>
      <c r="C521" s="35"/>
      <c r="D521" s="35"/>
      <c r="E521" s="35"/>
      <c r="F521" s="285" t="s">
        <v>500</v>
      </c>
      <c r="G521" s="26">
        <f>E4</f>
        <v>1.5</v>
      </c>
      <c r="H521" s="35"/>
      <c r="I521" s="35"/>
      <c r="J521" s="35"/>
      <c r="K521" s="35"/>
      <c r="L521" s="35"/>
      <c r="M521" s="35"/>
      <c r="N521" s="35"/>
    </row>
    <row r="522" spans="1:14" x14ac:dyDescent="0.3">
      <c r="A522" s="277" t="s">
        <v>498</v>
      </c>
      <c r="B522" s="352">
        <f>((B521^2)*B520)/(2*(360/(2*PI())))</f>
        <v>473.29218263832269</v>
      </c>
      <c r="C522" s="35"/>
      <c r="D522" s="35"/>
      <c r="E522" s="35"/>
      <c r="F522" s="285" t="s">
        <v>499</v>
      </c>
      <c r="G522" s="34">
        <f>((G521^2)*G520)/(2*(360/(2*PI())))</f>
        <v>658.65251154820032</v>
      </c>
      <c r="H522" s="35"/>
      <c r="I522" s="35"/>
      <c r="J522" s="35"/>
      <c r="K522" s="35"/>
      <c r="L522" s="35"/>
      <c r="M522" s="35"/>
      <c r="N522" s="35"/>
    </row>
    <row r="523" spans="1:14" x14ac:dyDescent="0.3">
      <c r="A523" s="284"/>
      <c r="B523" s="7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</row>
    <row r="524" spans="1:14" x14ac:dyDescent="0.3">
      <c r="A524" s="415" t="s">
        <v>503</v>
      </c>
      <c r="B524" s="416"/>
      <c r="C524" s="416"/>
      <c r="D524" s="416"/>
      <c r="E524" s="416"/>
      <c r="F524" s="416"/>
      <c r="G524" s="369"/>
      <c r="H524" s="35"/>
      <c r="I524" s="35"/>
      <c r="J524" s="35"/>
      <c r="K524" s="35"/>
      <c r="L524" s="35"/>
      <c r="M524" s="35"/>
      <c r="N524" s="35"/>
    </row>
    <row r="525" spans="1:14" x14ac:dyDescent="0.3">
      <c r="A525" s="417">
        <f>B522+G522</f>
        <v>1131.9446941865231</v>
      </c>
      <c r="B525" s="418"/>
      <c r="C525" s="418"/>
      <c r="D525" s="418"/>
      <c r="E525" s="418"/>
      <c r="F525" s="418"/>
      <c r="G525" s="419"/>
      <c r="H525" s="35"/>
      <c r="I525" s="35"/>
      <c r="J525" s="35"/>
      <c r="K525" s="35"/>
      <c r="L525" s="35"/>
      <c r="M525" s="35"/>
      <c r="N525" s="35"/>
    </row>
    <row r="526" spans="1:14" x14ac:dyDescent="0.3">
      <c r="A526" s="284"/>
      <c r="B526" s="7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</row>
    <row r="527" spans="1:14" x14ac:dyDescent="0.3">
      <c r="A527" s="415" t="s">
        <v>502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369"/>
      <c r="L527" s="35"/>
      <c r="M527" s="35"/>
      <c r="N527" s="35"/>
    </row>
    <row r="528" spans="1:14" x14ac:dyDescent="0.3">
      <c r="A528" s="360"/>
      <c r="B528" s="361"/>
      <c r="C528" s="364" t="s">
        <v>230</v>
      </c>
      <c r="D528" s="365"/>
      <c r="E528" s="365"/>
      <c r="F528" s="365"/>
      <c r="G528" s="365"/>
      <c r="H528" s="365"/>
      <c r="I528" s="365"/>
      <c r="J528" s="365"/>
      <c r="K528" s="366"/>
      <c r="L528" s="35"/>
      <c r="M528" s="35"/>
      <c r="N528" s="35"/>
    </row>
    <row r="529" spans="1:14" x14ac:dyDescent="0.3">
      <c r="A529" s="362"/>
      <c r="B529" s="363"/>
      <c r="C529" s="94">
        <v>5</v>
      </c>
      <c r="D529" s="94">
        <v>10</v>
      </c>
      <c r="E529" s="94">
        <v>15</v>
      </c>
      <c r="F529" s="94">
        <v>20</v>
      </c>
      <c r="G529" s="94">
        <v>25</v>
      </c>
      <c r="H529" s="94">
        <v>30</v>
      </c>
      <c r="I529" s="94">
        <v>35</v>
      </c>
      <c r="J529" s="94">
        <v>40</v>
      </c>
      <c r="K529" s="94">
        <v>45</v>
      </c>
      <c r="L529" s="35"/>
      <c r="M529" s="35"/>
      <c r="N529" s="35"/>
    </row>
    <row r="530" spans="1:14" x14ac:dyDescent="0.3">
      <c r="A530" s="397" t="s">
        <v>231</v>
      </c>
      <c r="B530" s="94">
        <v>5</v>
      </c>
      <c r="C530" s="92">
        <f>C492/$A$525</f>
        <v>0.43585638326168324</v>
      </c>
      <c r="D530" s="92">
        <f t="shared" ref="D530:K530" si="154">D492/$A$525</f>
        <v>1.743425533046733</v>
      </c>
      <c r="E530" s="92">
        <f t="shared" si="154"/>
        <v>3.9227074493551495</v>
      </c>
      <c r="F530" s="92">
        <f t="shared" si="154"/>
        <v>6.9737021321869319</v>
      </c>
      <c r="G530" s="92">
        <f t="shared" si="154"/>
        <v>10.896409581542081</v>
      </c>
      <c r="H530" s="92">
        <f t="shared" si="154"/>
        <v>15.690829797420598</v>
      </c>
      <c r="I530" s="92">
        <f t="shared" si="154"/>
        <v>21.356962779822481</v>
      </c>
      <c r="J530" s="92">
        <f t="shared" si="154"/>
        <v>27.894808528747728</v>
      </c>
      <c r="K530" s="92">
        <f t="shared" si="154"/>
        <v>35.30436704419634</v>
      </c>
      <c r="L530" s="35"/>
      <c r="M530" s="35"/>
      <c r="N530" s="35"/>
    </row>
    <row r="531" spans="1:14" x14ac:dyDescent="0.3">
      <c r="A531" s="397"/>
      <c r="B531" s="94">
        <v>10</v>
      </c>
      <c r="C531" s="92">
        <f t="shared" ref="C531:K549" si="155">C493/$A$525</f>
        <v>0.21792819163084162</v>
      </c>
      <c r="D531" s="92">
        <f t="shared" si="155"/>
        <v>0.87171276652336649</v>
      </c>
      <c r="E531" s="92">
        <f t="shared" si="155"/>
        <v>1.9613537246775747</v>
      </c>
      <c r="F531" s="92">
        <f t="shared" si="155"/>
        <v>3.486851066093466</v>
      </c>
      <c r="G531" s="92">
        <f t="shared" si="155"/>
        <v>5.4482047907710403</v>
      </c>
      <c r="H531" s="92">
        <f t="shared" si="155"/>
        <v>7.845414898710299</v>
      </c>
      <c r="I531" s="92">
        <f t="shared" si="155"/>
        <v>10.678481389911241</v>
      </c>
      <c r="J531" s="92">
        <f t="shared" si="155"/>
        <v>13.947404264373864</v>
      </c>
      <c r="K531" s="92">
        <f t="shared" si="155"/>
        <v>17.65218352209817</v>
      </c>
      <c r="L531" s="35"/>
      <c r="M531" s="35"/>
      <c r="N531" s="35"/>
    </row>
    <row r="532" spans="1:14" x14ac:dyDescent="0.3">
      <c r="A532" s="397"/>
      <c r="B532" s="94">
        <v>15</v>
      </c>
      <c r="C532" s="92">
        <f t="shared" si="155"/>
        <v>0.14528546108722776</v>
      </c>
      <c r="D532" s="92">
        <f t="shared" si="155"/>
        <v>0.58114184434891103</v>
      </c>
      <c r="E532" s="92">
        <f t="shared" si="155"/>
        <v>1.3075691497850497</v>
      </c>
      <c r="F532" s="92">
        <f t="shared" si="155"/>
        <v>2.3245673773956441</v>
      </c>
      <c r="G532" s="92">
        <f t="shared" si="155"/>
        <v>3.6321365271806934</v>
      </c>
      <c r="H532" s="92">
        <f t="shared" si="155"/>
        <v>5.2302765991401987</v>
      </c>
      <c r="I532" s="92">
        <f t="shared" si="155"/>
        <v>7.1189875932741602</v>
      </c>
      <c r="J532" s="92">
        <f t="shared" si="155"/>
        <v>9.2982695095825765</v>
      </c>
      <c r="K532" s="92">
        <f t="shared" si="155"/>
        <v>11.768122348065448</v>
      </c>
      <c r="L532" s="35"/>
      <c r="M532" s="35"/>
      <c r="N532" s="35"/>
    </row>
    <row r="533" spans="1:14" x14ac:dyDescent="0.3">
      <c r="A533" s="397"/>
      <c r="B533" s="94">
        <v>20</v>
      </c>
      <c r="C533" s="92">
        <f t="shared" si="155"/>
        <v>0.10896409581542081</v>
      </c>
      <c r="D533" s="92">
        <f t="shared" si="155"/>
        <v>0.43585638326168324</v>
      </c>
      <c r="E533" s="92">
        <f t="shared" si="155"/>
        <v>0.98067686233878737</v>
      </c>
      <c r="F533" s="92">
        <f t="shared" si="155"/>
        <v>1.743425533046733</v>
      </c>
      <c r="G533" s="92">
        <f t="shared" si="155"/>
        <v>2.7241023953855201</v>
      </c>
      <c r="H533" s="92">
        <f t="shared" si="155"/>
        <v>3.9227074493551495</v>
      </c>
      <c r="I533" s="92">
        <f t="shared" si="155"/>
        <v>5.3392406949556204</v>
      </c>
      <c r="J533" s="92">
        <f t="shared" si="155"/>
        <v>6.9737021321869319</v>
      </c>
      <c r="K533" s="92">
        <f t="shared" si="155"/>
        <v>8.826091761049085</v>
      </c>
      <c r="L533" s="35"/>
      <c r="M533" s="35"/>
      <c r="N533" s="35"/>
    </row>
    <row r="534" spans="1:14" x14ac:dyDescent="0.3">
      <c r="A534" s="397"/>
      <c r="B534" s="94">
        <v>25</v>
      </c>
      <c r="C534" s="92">
        <f t="shared" si="155"/>
        <v>8.7171276652336649E-2</v>
      </c>
      <c r="D534" s="92">
        <f t="shared" si="155"/>
        <v>0.3486851066093466</v>
      </c>
      <c r="E534" s="92">
        <f t="shared" si="155"/>
        <v>0.78454148987102978</v>
      </c>
      <c r="F534" s="92">
        <f t="shared" si="155"/>
        <v>1.3947404264373864</v>
      </c>
      <c r="G534" s="92">
        <f t="shared" si="155"/>
        <v>2.1792819163084163</v>
      </c>
      <c r="H534" s="92">
        <f t="shared" si="155"/>
        <v>3.1381659594841191</v>
      </c>
      <c r="I534" s="92">
        <f t="shared" si="155"/>
        <v>4.2713925559644954</v>
      </c>
      <c r="J534" s="92">
        <f t="shared" si="155"/>
        <v>5.5789617057495455</v>
      </c>
      <c r="K534" s="92">
        <f t="shared" si="155"/>
        <v>7.0608734088392682</v>
      </c>
      <c r="L534" s="35"/>
      <c r="M534" s="35"/>
      <c r="N534" s="35"/>
    </row>
    <row r="535" spans="1:14" x14ac:dyDescent="0.3">
      <c r="A535" s="397"/>
      <c r="B535" s="94">
        <v>30</v>
      </c>
      <c r="C535" s="92">
        <f t="shared" si="155"/>
        <v>7.2642730543613879E-2</v>
      </c>
      <c r="D535" s="92">
        <f t="shared" si="155"/>
        <v>0.29057092217445551</v>
      </c>
      <c r="E535" s="92">
        <f t="shared" si="155"/>
        <v>0.65378457489252484</v>
      </c>
      <c r="F535" s="92">
        <f t="shared" si="155"/>
        <v>1.1622836886978221</v>
      </c>
      <c r="G535" s="92">
        <f t="shared" si="155"/>
        <v>1.8160682635903467</v>
      </c>
      <c r="H535" s="92">
        <f t="shared" si="155"/>
        <v>2.6151382995700994</v>
      </c>
      <c r="I535" s="92">
        <f t="shared" si="155"/>
        <v>3.5594937966370801</v>
      </c>
      <c r="J535" s="92">
        <f t="shared" si="155"/>
        <v>4.6491347547912882</v>
      </c>
      <c r="K535" s="92">
        <f t="shared" si="155"/>
        <v>5.8840611740327242</v>
      </c>
      <c r="L535" s="35"/>
      <c r="M535" s="35"/>
      <c r="N535" s="35"/>
    </row>
    <row r="536" spans="1:14" x14ac:dyDescent="0.3">
      <c r="A536" s="397"/>
      <c r="B536" s="94">
        <v>35</v>
      </c>
      <c r="C536" s="92">
        <f t="shared" si="155"/>
        <v>6.2265197608811884E-2</v>
      </c>
      <c r="D536" s="92">
        <f t="shared" si="155"/>
        <v>0.24906079043524754</v>
      </c>
      <c r="E536" s="92">
        <f t="shared" si="155"/>
        <v>0.56038677847930707</v>
      </c>
      <c r="F536" s="92">
        <f t="shared" si="155"/>
        <v>0.99624316174099015</v>
      </c>
      <c r="G536" s="92">
        <f t="shared" si="155"/>
        <v>1.5566299402202972</v>
      </c>
      <c r="H536" s="92">
        <f t="shared" si="155"/>
        <v>2.2415471139172283</v>
      </c>
      <c r="I536" s="92">
        <f t="shared" si="155"/>
        <v>3.0509946828317824</v>
      </c>
      <c r="J536" s="92">
        <f t="shared" si="155"/>
        <v>3.9849726469639606</v>
      </c>
      <c r="K536" s="92">
        <f t="shared" si="155"/>
        <v>5.0434810063137627</v>
      </c>
      <c r="L536" s="35"/>
      <c r="M536" s="35"/>
      <c r="N536" s="35"/>
    </row>
    <row r="537" spans="1:14" x14ac:dyDescent="0.3">
      <c r="A537" s="397"/>
      <c r="B537" s="94">
        <v>40</v>
      </c>
      <c r="C537" s="92">
        <f t="shared" si="155"/>
        <v>5.4482047907710406E-2</v>
      </c>
      <c r="D537" s="92">
        <f t="shared" si="155"/>
        <v>0.21792819163084162</v>
      </c>
      <c r="E537" s="92">
        <f t="shared" si="155"/>
        <v>0.49033843116939368</v>
      </c>
      <c r="F537" s="92">
        <f t="shared" si="155"/>
        <v>0.87171276652336649</v>
      </c>
      <c r="G537" s="92">
        <f t="shared" si="155"/>
        <v>1.3620511976927601</v>
      </c>
      <c r="H537" s="92">
        <f t="shared" si="155"/>
        <v>1.9613537246775747</v>
      </c>
      <c r="I537" s="92">
        <f t="shared" si="155"/>
        <v>2.6696203474778102</v>
      </c>
      <c r="J537" s="92">
        <f t="shared" si="155"/>
        <v>3.486851066093466</v>
      </c>
      <c r="K537" s="92">
        <f t="shared" si="155"/>
        <v>4.4130458805245425</v>
      </c>
      <c r="L537" s="35"/>
      <c r="M537" s="35"/>
      <c r="N537" s="35"/>
    </row>
    <row r="538" spans="1:14" x14ac:dyDescent="0.3">
      <c r="A538" s="397"/>
      <c r="B538" s="94">
        <v>45</v>
      </c>
      <c r="C538" s="92">
        <f t="shared" si="155"/>
        <v>4.8428487029075921E-2</v>
      </c>
      <c r="D538" s="92">
        <f t="shared" si="155"/>
        <v>0.19371394811630369</v>
      </c>
      <c r="E538" s="92">
        <f t="shared" si="155"/>
        <v>0.43585638326168324</v>
      </c>
      <c r="F538" s="92">
        <f t="shared" si="155"/>
        <v>0.77485579246521474</v>
      </c>
      <c r="G538" s="92">
        <f t="shared" si="155"/>
        <v>1.2107121757268979</v>
      </c>
      <c r="H538" s="92">
        <f t="shared" si="155"/>
        <v>1.743425533046733</v>
      </c>
      <c r="I538" s="92">
        <f t="shared" si="155"/>
        <v>2.3729958644247198</v>
      </c>
      <c r="J538" s="92">
        <f t="shared" si="155"/>
        <v>3.099423169860859</v>
      </c>
      <c r="K538" s="92">
        <f t="shared" si="155"/>
        <v>3.9227074493551495</v>
      </c>
      <c r="L538" s="35"/>
      <c r="M538" s="35"/>
      <c r="N538" s="35"/>
    </row>
    <row r="539" spans="1:14" x14ac:dyDescent="0.3">
      <c r="A539" s="397"/>
      <c r="B539" s="94">
        <v>50</v>
      </c>
      <c r="C539" s="92">
        <f t="shared" si="155"/>
        <v>4.3585638326168324E-2</v>
      </c>
      <c r="D539" s="92">
        <f t="shared" si="155"/>
        <v>0.1743425533046733</v>
      </c>
      <c r="E539" s="92">
        <f t="shared" si="155"/>
        <v>0.39227074493551489</v>
      </c>
      <c r="F539" s="92">
        <f t="shared" si="155"/>
        <v>0.69737021321869319</v>
      </c>
      <c r="G539" s="92">
        <f t="shared" si="155"/>
        <v>1.0896409581542081</v>
      </c>
      <c r="H539" s="92">
        <f t="shared" si="155"/>
        <v>1.5690829797420596</v>
      </c>
      <c r="I539" s="92">
        <f t="shared" si="155"/>
        <v>2.1356962779822477</v>
      </c>
      <c r="J539" s="92">
        <f t="shared" si="155"/>
        <v>2.7894808528747728</v>
      </c>
      <c r="K539" s="92">
        <f t="shared" si="155"/>
        <v>3.5304367044196341</v>
      </c>
      <c r="L539" s="35"/>
      <c r="M539" s="35"/>
      <c r="N539" s="35"/>
    </row>
    <row r="540" spans="1:14" x14ac:dyDescent="0.3">
      <c r="A540" s="397"/>
      <c r="B540" s="94">
        <v>55</v>
      </c>
      <c r="C540" s="92">
        <f t="shared" si="155"/>
        <v>3.9623307569243933E-2</v>
      </c>
      <c r="D540" s="92">
        <f t="shared" si="155"/>
        <v>0.15849323027697573</v>
      </c>
      <c r="E540" s="92">
        <f t="shared" si="155"/>
        <v>0.35660976812319539</v>
      </c>
      <c r="F540" s="92">
        <f t="shared" si="155"/>
        <v>0.63397292110790293</v>
      </c>
      <c r="G540" s="92">
        <f t="shared" si="155"/>
        <v>0.99058268923109816</v>
      </c>
      <c r="H540" s="92">
        <f t="shared" si="155"/>
        <v>1.4264390724927816</v>
      </c>
      <c r="I540" s="92">
        <f t="shared" si="155"/>
        <v>1.9415420708929527</v>
      </c>
      <c r="J540" s="92">
        <f t="shared" si="155"/>
        <v>2.5358916844316117</v>
      </c>
      <c r="K540" s="92">
        <f t="shared" si="155"/>
        <v>3.2094879131087586</v>
      </c>
      <c r="L540" s="35"/>
      <c r="M540" s="35"/>
      <c r="N540" s="35"/>
    </row>
    <row r="541" spans="1:14" x14ac:dyDescent="0.3">
      <c r="A541" s="397"/>
      <c r="B541" s="94">
        <v>60</v>
      </c>
      <c r="C541" s="92">
        <f t="shared" si="155"/>
        <v>3.6321365271806939E-2</v>
      </c>
      <c r="D541" s="92">
        <f t="shared" si="155"/>
        <v>0.14528546108722776</v>
      </c>
      <c r="E541" s="92">
        <f t="shared" si="155"/>
        <v>0.32689228744626242</v>
      </c>
      <c r="F541" s="92">
        <f t="shared" si="155"/>
        <v>0.58114184434891103</v>
      </c>
      <c r="G541" s="92">
        <f t="shared" si="155"/>
        <v>0.90803413179517334</v>
      </c>
      <c r="H541" s="92">
        <f t="shared" si="155"/>
        <v>1.3075691497850497</v>
      </c>
      <c r="I541" s="92">
        <f t="shared" si="155"/>
        <v>1.77974689831854</v>
      </c>
      <c r="J541" s="92">
        <f t="shared" si="155"/>
        <v>2.3245673773956441</v>
      </c>
      <c r="K541" s="92">
        <f t="shared" si="155"/>
        <v>2.9420305870163621</v>
      </c>
      <c r="L541" s="35"/>
      <c r="M541" s="35"/>
      <c r="N541" s="35"/>
    </row>
    <row r="542" spans="1:14" x14ac:dyDescent="0.3">
      <c r="A542" s="397"/>
      <c r="B542" s="94">
        <v>65</v>
      </c>
      <c r="C542" s="92">
        <f t="shared" si="155"/>
        <v>3.3527414097052552E-2</v>
      </c>
      <c r="D542" s="92">
        <f t="shared" si="155"/>
        <v>0.13410965638821021</v>
      </c>
      <c r="E542" s="92">
        <f t="shared" si="155"/>
        <v>0.30174672687347309</v>
      </c>
      <c r="F542" s="92">
        <f t="shared" si="155"/>
        <v>0.53643862555284083</v>
      </c>
      <c r="G542" s="92">
        <f t="shared" si="155"/>
        <v>0.83818535242631387</v>
      </c>
      <c r="H542" s="92">
        <f t="shared" si="155"/>
        <v>1.2069869074938924</v>
      </c>
      <c r="I542" s="92">
        <f t="shared" si="155"/>
        <v>1.6428432907555754</v>
      </c>
      <c r="J542" s="92">
        <f t="shared" si="155"/>
        <v>2.1457545022113633</v>
      </c>
      <c r="K542" s="92">
        <f t="shared" si="155"/>
        <v>2.7157205418612573</v>
      </c>
      <c r="L542" s="35"/>
      <c r="M542" s="35"/>
      <c r="N542" s="35"/>
    </row>
    <row r="543" spans="1:14" x14ac:dyDescent="0.3">
      <c r="A543" s="397"/>
      <c r="B543" s="94">
        <v>70</v>
      </c>
      <c r="C543" s="92">
        <f t="shared" si="155"/>
        <v>3.1132598804405942E-2</v>
      </c>
      <c r="D543" s="92">
        <f t="shared" si="155"/>
        <v>0.12453039521762377</v>
      </c>
      <c r="E543" s="92">
        <f t="shared" si="155"/>
        <v>0.28019338923965353</v>
      </c>
      <c r="F543" s="92">
        <f t="shared" si="155"/>
        <v>0.49812158087049507</v>
      </c>
      <c r="G543" s="92">
        <f t="shared" si="155"/>
        <v>0.77831497011014861</v>
      </c>
      <c r="H543" s="92">
        <f t="shared" si="155"/>
        <v>1.1207735569586141</v>
      </c>
      <c r="I543" s="92">
        <f t="shared" si="155"/>
        <v>1.5254973414158912</v>
      </c>
      <c r="J543" s="92">
        <f t="shared" si="155"/>
        <v>1.9924863234819803</v>
      </c>
      <c r="K543" s="92">
        <f t="shared" si="155"/>
        <v>2.5217405031568814</v>
      </c>
      <c r="L543" s="35"/>
      <c r="M543" s="35"/>
      <c r="N543" s="35"/>
    </row>
    <row r="544" spans="1:14" x14ac:dyDescent="0.3">
      <c r="A544" s="397"/>
      <c r="B544" s="94">
        <v>75</v>
      </c>
      <c r="C544" s="92">
        <f t="shared" si="155"/>
        <v>2.9057092217445551E-2</v>
      </c>
      <c r="D544" s="92">
        <f t="shared" si="155"/>
        <v>0.1162283688697822</v>
      </c>
      <c r="E544" s="92">
        <f t="shared" si="155"/>
        <v>0.26151382995700995</v>
      </c>
      <c r="F544" s="92">
        <f t="shared" si="155"/>
        <v>0.46491347547912881</v>
      </c>
      <c r="G544" s="92">
        <f t="shared" si="155"/>
        <v>0.72642730543613876</v>
      </c>
      <c r="H544" s="92">
        <f t="shared" si="155"/>
        <v>1.0460553198280398</v>
      </c>
      <c r="I544" s="92">
        <f t="shared" si="155"/>
        <v>1.4237975186548317</v>
      </c>
      <c r="J544" s="92">
        <f t="shared" si="155"/>
        <v>1.8596539019165153</v>
      </c>
      <c r="K544" s="92">
        <f t="shared" si="155"/>
        <v>2.3536244696130892</v>
      </c>
      <c r="L544" s="35"/>
      <c r="M544" s="35"/>
      <c r="N544" s="35"/>
    </row>
    <row r="545" spans="1:14" x14ac:dyDescent="0.3">
      <c r="A545" s="397"/>
      <c r="B545" s="94">
        <v>80</v>
      </c>
      <c r="C545" s="92">
        <f t="shared" si="155"/>
        <v>2.7241023953855203E-2</v>
      </c>
      <c r="D545" s="92">
        <f t="shared" si="155"/>
        <v>0.10896409581542081</v>
      </c>
      <c r="E545" s="92">
        <f t="shared" si="155"/>
        <v>0.24516921558469684</v>
      </c>
      <c r="F545" s="92">
        <f t="shared" si="155"/>
        <v>0.43585638326168324</v>
      </c>
      <c r="G545" s="92">
        <f t="shared" si="155"/>
        <v>0.68102559884638003</v>
      </c>
      <c r="H545" s="92">
        <f t="shared" si="155"/>
        <v>0.98067686233878737</v>
      </c>
      <c r="I545" s="92">
        <f t="shared" si="155"/>
        <v>1.3348101737389051</v>
      </c>
      <c r="J545" s="92">
        <f t="shared" si="155"/>
        <v>1.743425533046733</v>
      </c>
      <c r="K545" s="92">
        <f t="shared" si="155"/>
        <v>2.2065229402622712</v>
      </c>
      <c r="L545" s="35"/>
      <c r="M545" s="35"/>
      <c r="N545" s="35"/>
    </row>
    <row r="546" spans="1:14" x14ac:dyDescent="0.3">
      <c r="A546" s="397"/>
      <c r="B546" s="94">
        <v>85</v>
      </c>
      <c r="C546" s="92">
        <f t="shared" si="155"/>
        <v>2.5638610780099016E-2</v>
      </c>
      <c r="D546" s="92">
        <f t="shared" si="155"/>
        <v>0.10255444312039606</v>
      </c>
      <c r="E546" s="92">
        <f t="shared" si="155"/>
        <v>0.23074749702089112</v>
      </c>
      <c r="F546" s="92">
        <f t="shared" si="155"/>
        <v>0.41021777248158425</v>
      </c>
      <c r="G546" s="92">
        <f t="shared" si="155"/>
        <v>0.64096526950247534</v>
      </c>
      <c r="H546" s="92">
        <f t="shared" si="155"/>
        <v>0.92298998808356447</v>
      </c>
      <c r="I546" s="92">
        <f t="shared" si="155"/>
        <v>1.2562919282248517</v>
      </c>
      <c r="J546" s="92">
        <f t="shared" si="155"/>
        <v>1.640871089926337</v>
      </c>
      <c r="K546" s="92">
        <f t="shared" si="155"/>
        <v>2.0767274731880199</v>
      </c>
      <c r="L546" s="35"/>
      <c r="M546" s="35"/>
      <c r="N546" s="35"/>
    </row>
    <row r="547" spans="1:14" x14ac:dyDescent="0.3">
      <c r="A547" s="397"/>
      <c r="B547" s="94">
        <v>90</v>
      </c>
      <c r="C547" s="92">
        <f t="shared" si="155"/>
        <v>2.4214243514537961E-2</v>
      </c>
      <c r="D547" s="92">
        <f t="shared" si="155"/>
        <v>9.6856974058151843E-2</v>
      </c>
      <c r="E547" s="92">
        <f t="shared" si="155"/>
        <v>0.21792819163084162</v>
      </c>
      <c r="F547" s="92">
        <f t="shared" si="155"/>
        <v>0.38742789623260737</v>
      </c>
      <c r="G547" s="92">
        <f t="shared" si="155"/>
        <v>0.60535608786344897</v>
      </c>
      <c r="H547" s="92">
        <f t="shared" si="155"/>
        <v>0.87171276652336649</v>
      </c>
      <c r="I547" s="92">
        <f t="shared" si="155"/>
        <v>1.1864979322123599</v>
      </c>
      <c r="J547" s="92">
        <f t="shared" si="155"/>
        <v>1.5497115849304295</v>
      </c>
      <c r="K547" s="92">
        <f t="shared" si="155"/>
        <v>1.9613537246775747</v>
      </c>
      <c r="L547" s="35"/>
      <c r="M547" s="35"/>
      <c r="N547" s="35"/>
    </row>
    <row r="548" spans="1:14" x14ac:dyDescent="0.3">
      <c r="A548" s="397"/>
      <c r="B548" s="94">
        <v>95</v>
      </c>
      <c r="C548" s="92">
        <f t="shared" si="155"/>
        <v>2.2939809645351746E-2</v>
      </c>
      <c r="D548" s="92">
        <f t="shared" si="155"/>
        <v>9.1759238581406985E-2</v>
      </c>
      <c r="E548" s="92">
        <f t="shared" si="155"/>
        <v>0.20645828680816572</v>
      </c>
      <c r="F548" s="92">
        <f t="shared" si="155"/>
        <v>0.36703695432562794</v>
      </c>
      <c r="G548" s="92">
        <f t="shared" si="155"/>
        <v>0.5734952411337938</v>
      </c>
      <c r="H548" s="92">
        <f t="shared" si="155"/>
        <v>0.82583314723266288</v>
      </c>
      <c r="I548" s="92">
        <f t="shared" si="155"/>
        <v>1.1240506726222357</v>
      </c>
      <c r="J548" s="92">
        <f t="shared" si="155"/>
        <v>1.4681478173025118</v>
      </c>
      <c r="K548" s="92">
        <f t="shared" si="155"/>
        <v>1.8581245812734917</v>
      </c>
      <c r="L548" s="35"/>
      <c r="M548" s="35"/>
      <c r="N548" s="35"/>
    </row>
    <row r="549" spans="1:14" x14ac:dyDescent="0.3">
      <c r="A549" s="397"/>
      <c r="B549" s="94">
        <v>100</v>
      </c>
      <c r="C549" s="92">
        <f t="shared" si="155"/>
        <v>2.1792819163084162E-2</v>
      </c>
      <c r="D549" s="92">
        <f t="shared" si="155"/>
        <v>8.7171276652336649E-2</v>
      </c>
      <c r="E549" s="92">
        <f t="shared" si="155"/>
        <v>0.19613537246775745</v>
      </c>
      <c r="F549" s="92">
        <f t="shared" si="155"/>
        <v>0.3486851066093466</v>
      </c>
      <c r="G549" s="92">
        <f t="shared" si="155"/>
        <v>0.54482047907710407</v>
      </c>
      <c r="H549" s="92">
        <f t="shared" si="155"/>
        <v>0.78454148987102978</v>
      </c>
      <c r="I549" s="92">
        <f t="shared" si="155"/>
        <v>1.0678481389911239</v>
      </c>
      <c r="J549" s="92">
        <f t="shared" si="155"/>
        <v>1.3947404264373864</v>
      </c>
      <c r="K549" s="92">
        <f t="shared" si="155"/>
        <v>1.765218352209817</v>
      </c>
      <c r="L549" s="35"/>
      <c r="M549" s="35"/>
      <c r="N549" s="35"/>
    </row>
    <row r="550" spans="1:14" x14ac:dyDescent="0.3">
      <c r="A550" s="284"/>
      <c r="B550" s="7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</row>
    <row r="551" spans="1:14" x14ac:dyDescent="0.3">
      <c r="A551" s="415" t="s">
        <v>505</v>
      </c>
      <c r="B551" s="416"/>
      <c r="C551" s="416"/>
      <c r="D551" s="416"/>
      <c r="E551" s="416"/>
      <c r="F551" s="416"/>
      <c r="G551" s="416"/>
      <c r="H551" s="416"/>
      <c r="I551" s="416"/>
      <c r="J551" s="416"/>
      <c r="K551" s="369"/>
      <c r="L551" s="35"/>
      <c r="M551" s="35"/>
      <c r="N551" s="35"/>
    </row>
    <row r="552" spans="1:14" x14ac:dyDescent="0.3">
      <c r="A552" s="360"/>
      <c r="B552" s="361"/>
      <c r="C552" s="364" t="s">
        <v>230</v>
      </c>
      <c r="D552" s="365"/>
      <c r="E552" s="365"/>
      <c r="F552" s="365"/>
      <c r="G552" s="365"/>
      <c r="H552" s="365"/>
      <c r="I552" s="365"/>
      <c r="J552" s="365"/>
      <c r="K552" s="366"/>
      <c r="L552" s="35"/>
      <c r="M552" s="35"/>
      <c r="N552" s="35"/>
    </row>
    <row r="553" spans="1:14" x14ac:dyDescent="0.3">
      <c r="A553" s="362"/>
      <c r="B553" s="363"/>
      <c r="C553" s="94">
        <v>5</v>
      </c>
      <c r="D553" s="94">
        <v>10</v>
      </c>
      <c r="E553" s="94">
        <v>15</v>
      </c>
      <c r="F553" s="94">
        <v>20</v>
      </c>
      <c r="G553" s="94">
        <v>25</v>
      </c>
      <c r="H553" s="94">
        <v>30</v>
      </c>
      <c r="I553" s="94">
        <v>35</v>
      </c>
      <c r="J553" s="94">
        <v>40</v>
      </c>
      <c r="K553" s="94">
        <v>45</v>
      </c>
      <c r="L553" s="35"/>
      <c r="M553" s="35"/>
      <c r="N553" s="35"/>
    </row>
    <row r="554" spans="1:14" x14ac:dyDescent="0.3">
      <c r="A554" s="397" t="s">
        <v>231</v>
      </c>
      <c r="B554" s="94">
        <v>5</v>
      </c>
      <c r="C554" s="144">
        <f>RADIANS(C530)</f>
        <v>7.6071289537506743E-3</v>
      </c>
      <c r="D554" s="144">
        <f t="shared" ref="D554:K554" si="156">RADIANS(D530)</f>
        <v>3.0428515815002697E-2</v>
      </c>
      <c r="E554" s="144">
        <f t="shared" si="156"/>
        <v>6.8464160583756067E-2</v>
      </c>
      <c r="F554" s="144">
        <f t="shared" si="156"/>
        <v>0.12171406326001079</v>
      </c>
      <c r="G554" s="144">
        <f t="shared" si="156"/>
        <v>0.19017822384376684</v>
      </c>
      <c r="H554" s="144">
        <f t="shared" si="156"/>
        <v>0.27385664233502427</v>
      </c>
      <c r="I554" s="144">
        <f t="shared" si="156"/>
        <v>0.37274931873378309</v>
      </c>
      <c r="J554" s="144">
        <f t="shared" si="156"/>
        <v>0.48685625304004315</v>
      </c>
      <c r="K554" s="144">
        <f t="shared" si="156"/>
        <v>0.61617744525380458</v>
      </c>
      <c r="L554" s="35"/>
      <c r="M554" s="35"/>
      <c r="N554" s="35"/>
    </row>
    <row r="555" spans="1:14" x14ac:dyDescent="0.3">
      <c r="A555" s="397"/>
      <c r="B555" s="94">
        <v>10</v>
      </c>
      <c r="C555" s="144">
        <f t="shared" ref="C555:K570" si="157">RADIANS(C531)</f>
        <v>3.8035644768753371E-3</v>
      </c>
      <c r="D555" s="144">
        <f t="shared" si="157"/>
        <v>1.5214257907501349E-2</v>
      </c>
      <c r="E555" s="144">
        <f t="shared" si="157"/>
        <v>3.4232080291878034E-2</v>
      </c>
      <c r="F555" s="144">
        <f t="shared" si="157"/>
        <v>6.0857031630005394E-2</v>
      </c>
      <c r="G555" s="144">
        <f t="shared" si="157"/>
        <v>9.5089111921883421E-2</v>
      </c>
      <c r="H555" s="144">
        <f t="shared" si="157"/>
        <v>0.13692832116751213</v>
      </c>
      <c r="I555" s="144">
        <f t="shared" si="157"/>
        <v>0.18637465936689154</v>
      </c>
      <c r="J555" s="144">
        <f t="shared" si="157"/>
        <v>0.24342812652002158</v>
      </c>
      <c r="K555" s="144">
        <f t="shared" si="157"/>
        <v>0.30808872262690229</v>
      </c>
      <c r="L555" s="35"/>
      <c r="M555" s="35"/>
      <c r="N555" s="35"/>
    </row>
    <row r="556" spans="1:14" x14ac:dyDescent="0.3">
      <c r="A556" s="397"/>
      <c r="B556" s="94">
        <v>15</v>
      </c>
      <c r="C556" s="144">
        <f t="shared" si="157"/>
        <v>2.5357096512502249E-3</v>
      </c>
      <c r="D556" s="144">
        <f t="shared" si="157"/>
        <v>1.01428386050009E-2</v>
      </c>
      <c r="E556" s="144">
        <f t="shared" si="157"/>
        <v>2.2821386861252024E-2</v>
      </c>
      <c r="F556" s="144">
        <f t="shared" si="157"/>
        <v>4.0571354420003598E-2</v>
      </c>
      <c r="G556" s="144">
        <f t="shared" si="157"/>
        <v>6.3392741281255618E-2</v>
      </c>
      <c r="H556" s="144">
        <f t="shared" si="157"/>
        <v>9.1285547445008094E-2</v>
      </c>
      <c r="I556" s="144">
        <f t="shared" si="157"/>
        <v>0.12424977291126102</v>
      </c>
      <c r="J556" s="144">
        <f t="shared" si="157"/>
        <v>0.16228541768001439</v>
      </c>
      <c r="K556" s="144">
        <f t="shared" si="157"/>
        <v>0.20539248175126823</v>
      </c>
      <c r="L556" s="35"/>
      <c r="M556" s="35"/>
      <c r="N556" s="35"/>
    </row>
    <row r="557" spans="1:14" x14ac:dyDescent="0.3">
      <c r="A557" s="397"/>
      <c r="B557" s="94">
        <v>20</v>
      </c>
      <c r="C557" s="144">
        <f t="shared" si="157"/>
        <v>1.9017822384376686E-3</v>
      </c>
      <c r="D557" s="144">
        <f t="shared" si="157"/>
        <v>7.6071289537506743E-3</v>
      </c>
      <c r="E557" s="144">
        <f t="shared" si="157"/>
        <v>1.7116040145939017E-2</v>
      </c>
      <c r="F557" s="144">
        <f t="shared" si="157"/>
        <v>3.0428515815002697E-2</v>
      </c>
      <c r="G557" s="144">
        <f t="shared" si="157"/>
        <v>4.754455596094171E-2</v>
      </c>
      <c r="H557" s="144">
        <f t="shared" si="157"/>
        <v>6.8464160583756067E-2</v>
      </c>
      <c r="I557" s="144">
        <f t="shared" si="157"/>
        <v>9.3187329683445771E-2</v>
      </c>
      <c r="J557" s="144">
        <f t="shared" si="157"/>
        <v>0.12171406326001079</v>
      </c>
      <c r="K557" s="144">
        <f t="shared" si="157"/>
        <v>0.15404436131345114</v>
      </c>
      <c r="L557" s="35"/>
      <c r="M557" s="35"/>
      <c r="N557" s="35"/>
    </row>
    <row r="558" spans="1:14" x14ac:dyDescent="0.3">
      <c r="A558" s="397"/>
      <c r="B558" s="94">
        <v>25</v>
      </c>
      <c r="C558" s="144">
        <f t="shared" si="157"/>
        <v>1.5214257907501349E-3</v>
      </c>
      <c r="D558" s="144">
        <f t="shared" si="157"/>
        <v>6.0857031630005397E-3</v>
      </c>
      <c r="E558" s="144">
        <f t="shared" si="157"/>
        <v>1.3692832116751213E-2</v>
      </c>
      <c r="F558" s="144">
        <f t="shared" si="157"/>
        <v>2.4342812652002159E-2</v>
      </c>
      <c r="G558" s="144">
        <f t="shared" si="157"/>
        <v>3.8035644768753374E-2</v>
      </c>
      <c r="H558" s="144">
        <f t="shared" si="157"/>
        <v>5.4771328467004853E-2</v>
      </c>
      <c r="I558" s="144">
        <f t="shared" si="157"/>
        <v>7.4549863746756595E-2</v>
      </c>
      <c r="J558" s="144">
        <f t="shared" si="157"/>
        <v>9.7371250608008636E-2</v>
      </c>
      <c r="K558" s="144">
        <f t="shared" si="157"/>
        <v>0.12323548905076091</v>
      </c>
      <c r="L558" s="35"/>
      <c r="M558" s="35"/>
      <c r="N558" s="35"/>
    </row>
    <row r="559" spans="1:14" x14ac:dyDescent="0.3">
      <c r="A559" s="397"/>
      <c r="B559" s="94">
        <v>30</v>
      </c>
      <c r="C559" s="144">
        <f t="shared" si="157"/>
        <v>1.2678548256251124E-3</v>
      </c>
      <c r="D559" s="144">
        <f t="shared" si="157"/>
        <v>5.0714193025004498E-3</v>
      </c>
      <c r="E559" s="144">
        <f t="shared" si="157"/>
        <v>1.1410693430626012E-2</v>
      </c>
      <c r="F559" s="144">
        <f t="shared" si="157"/>
        <v>2.0285677210001799E-2</v>
      </c>
      <c r="G559" s="144">
        <f t="shared" si="157"/>
        <v>3.1696370640627809E-2</v>
      </c>
      <c r="H559" s="144">
        <f t="shared" si="157"/>
        <v>4.5642773722504047E-2</v>
      </c>
      <c r="I559" s="144">
        <f t="shared" si="157"/>
        <v>6.212488645563051E-2</v>
      </c>
      <c r="J559" s="144">
        <f t="shared" si="157"/>
        <v>8.1142708840007197E-2</v>
      </c>
      <c r="K559" s="144">
        <f t="shared" si="157"/>
        <v>0.10269624087563411</v>
      </c>
      <c r="L559" s="35"/>
      <c r="M559" s="35"/>
      <c r="N559" s="35"/>
    </row>
    <row r="560" spans="1:14" x14ac:dyDescent="0.3">
      <c r="A560" s="397"/>
      <c r="B560" s="94">
        <v>35</v>
      </c>
      <c r="C560" s="144">
        <f t="shared" si="157"/>
        <v>1.0867327076786676E-3</v>
      </c>
      <c r="D560" s="144">
        <f t="shared" si="157"/>
        <v>4.3469308307146704E-3</v>
      </c>
      <c r="E560" s="144">
        <f t="shared" si="157"/>
        <v>9.7805943691080099E-3</v>
      </c>
      <c r="F560" s="144">
        <f t="shared" si="157"/>
        <v>1.7387723322858682E-2</v>
      </c>
      <c r="G560" s="144">
        <f t="shared" si="157"/>
        <v>2.7168317691966693E-2</v>
      </c>
      <c r="H560" s="144">
        <f t="shared" si="157"/>
        <v>3.912237747643204E-2</v>
      </c>
      <c r="I560" s="144">
        <f t="shared" si="157"/>
        <v>5.3249902676254714E-2</v>
      </c>
      <c r="J560" s="144">
        <f t="shared" si="157"/>
        <v>6.9550893291434726E-2</v>
      </c>
      <c r="K560" s="144">
        <f t="shared" si="157"/>
        <v>8.8025349321972077E-2</v>
      </c>
      <c r="L560" s="35"/>
      <c r="M560" s="35"/>
      <c r="N560" s="35"/>
    </row>
    <row r="561" spans="1:14" x14ac:dyDescent="0.3">
      <c r="A561" s="397"/>
      <c r="B561" s="94">
        <v>40</v>
      </c>
      <c r="C561" s="144">
        <f t="shared" si="157"/>
        <v>9.5089111921883428E-4</v>
      </c>
      <c r="D561" s="144">
        <f t="shared" si="157"/>
        <v>3.8035644768753371E-3</v>
      </c>
      <c r="E561" s="144">
        <f t="shared" si="157"/>
        <v>8.5580200729695084E-3</v>
      </c>
      <c r="F561" s="144">
        <f t="shared" si="157"/>
        <v>1.5214257907501349E-2</v>
      </c>
      <c r="G561" s="144">
        <f t="shared" si="157"/>
        <v>2.3772277980470855E-2</v>
      </c>
      <c r="H561" s="144">
        <f t="shared" si="157"/>
        <v>3.4232080291878034E-2</v>
      </c>
      <c r="I561" s="144">
        <f t="shared" si="157"/>
        <v>4.6593664841722886E-2</v>
      </c>
      <c r="J561" s="144">
        <f t="shared" si="157"/>
        <v>6.0857031630005394E-2</v>
      </c>
      <c r="K561" s="144">
        <f t="shared" si="157"/>
        <v>7.7022180656725572E-2</v>
      </c>
      <c r="L561" s="35"/>
      <c r="M561" s="35"/>
      <c r="N561" s="35"/>
    </row>
    <row r="562" spans="1:14" x14ac:dyDescent="0.3">
      <c r="A562" s="397"/>
      <c r="B562" s="94">
        <v>45</v>
      </c>
      <c r="C562" s="144">
        <f t="shared" si="157"/>
        <v>8.4523655041674167E-4</v>
      </c>
      <c r="D562" s="144">
        <f t="shared" si="157"/>
        <v>3.3809462016669667E-3</v>
      </c>
      <c r="E562" s="144">
        <f t="shared" si="157"/>
        <v>7.6071289537506743E-3</v>
      </c>
      <c r="F562" s="144">
        <f t="shared" si="157"/>
        <v>1.3523784806667867E-2</v>
      </c>
      <c r="G562" s="144">
        <f t="shared" si="157"/>
        <v>2.1130913760418542E-2</v>
      </c>
      <c r="H562" s="144">
        <f t="shared" si="157"/>
        <v>3.0428515815002697E-2</v>
      </c>
      <c r="I562" s="144">
        <f t="shared" si="157"/>
        <v>4.1416590970420337E-2</v>
      </c>
      <c r="J562" s="144">
        <f t="shared" si="157"/>
        <v>5.4095139226671467E-2</v>
      </c>
      <c r="K562" s="144">
        <f t="shared" si="157"/>
        <v>6.8464160583756067E-2</v>
      </c>
      <c r="L562" s="35"/>
      <c r="M562" s="35"/>
      <c r="N562" s="35"/>
    </row>
    <row r="563" spans="1:14" x14ac:dyDescent="0.3">
      <c r="A563" s="397"/>
      <c r="B563" s="94">
        <v>50</v>
      </c>
      <c r="C563" s="144">
        <f t="shared" si="157"/>
        <v>7.6071289537506747E-4</v>
      </c>
      <c r="D563" s="144">
        <f t="shared" si="157"/>
        <v>3.0428515815002699E-3</v>
      </c>
      <c r="E563" s="144">
        <f t="shared" si="157"/>
        <v>6.8464160583756066E-3</v>
      </c>
      <c r="F563" s="144">
        <f t="shared" si="157"/>
        <v>1.2171406326001079E-2</v>
      </c>
      <c r="G563" s="144">
        <f t="shared" si="157"/>
        <v>1.9017822384376687E-2</v>
      </c>
      <c r="H563" s="144">
        <f t="shared" si="157"/>
        <v>2.7385664233502426E-2</v>
      </c>
      <c r="I563" s="144">
        <f t="shared" si="157"/>
        <v>3.7274931873378297E-2</v>
      </c>
      <c r="J563" s="144">
        <f t="shared" si="157"/>
        <v>4.8685625304004318E-2</v>
      </c>
      <c r="K563" s="144">
        <f t="shared" si="157"/>
        <v>6.1617744525380456E-2</v>
      </c>
      <c r="L563" s="35"/>
      <c r="M563" s="35"/>
      <c r="N563" s="35"/>
    </row>
    <row r="564" spans="1:14" x14ac:dyDescent="0.3">
      <c r="A564" s="397"/>
      <c r="B564" s="94">
        <v>55</v>
      </c>
      <c r="C564" s="144">
        <f t="shared" si="157"/>
        <v>6.9155717761369771E-4</v>
      </c>
      <c r="D564" s="144">
        <f t="shared" si="157"/>
        <v>2.7662287104547908E-3</v>
      </c>
      <c r="E564" s="144">
        <f t="shared" si="157"/>
        <v>6.2240145985232795E-3</v>
      </c>
      <c r="F564" s="144">
        <f t="shared" si="157"/>
        <v>1.1064914841819163E-2</v>
      </c>
      <c r="G564" s="144">
        <f t="shared" si="157"/>
        <v>1.7288929440342441E-2</v>
      </c>
      <c r="H564" s="144">
        <f t="shared" si="157"/>
        <v>2.4896058394093118E-2</v>
      </c>
      <c r="I564" s="144">
        <f t="shared" si="157"/>
        <v>3.3886301703071185E-2</v>
      </c>
      <c r="J564" s="144">
        <f t="shared" si="157"/>
        <v>4.4259659367276653E-2</v>
      </c>
      <c r="K564" s="144">
        <f t="shared" si="157"/>
        <v>5.6016131386709515E-2</v>
      </c>
      <c r="L564" s="35"/>
      <c r="M564" s="35"/>
      <c r="N564" s="35"/>
    </row>
    <row r="565" spans="1:14" x14ac:dyDescent="0.3">
      <c r="A565" s="397"/>
      <c r="B565" s="94">
        <v>60</v>
      </c>
      <c r="C565" s="144">
        <f t="shared" si="157"/>
        <v>6.3392741281255622E-4</v>
      </c>
      <c r="D565" s="144">
        <f t="shared" si="157"/>
        <v>2.5357096512502249E-3</v>
      </c>
      <c r="E565" s="144">
        <f t="shared" si="157"/>
        <v>5.7053467153130059E-3</v>
      </c>
      <c r="F565" s="144">
        <f t="shared" si="157"/>
        <v>1.01428386050009E-2</v>
      </c>
      <c r="G565" s="144">
        <f t="shared" si="157"/>
        <v>1.5848185320313905E-2</v>
      </c>
      <c r="H565" s="144">
        <f t="shared" si="157"/>
        <v>2.2821386861252024E-2</v>
      </c>
      <c r="I565" s="144">
        <f t="shared" si="157"/>
        <v>3.1062443227815255E-2</v>
      </c>
      <c r="J565" s="144">
        <f t="shared" si="157"/>
        <v>4.0571354420003598E-2</v>
      </c>
      <c r="K565" s="144">
        <f t="shared" si="157"/>
        <v>5.1348120437817057E-2</v>
      </c>
      <c r="L565" s="35"/>
      <c r="M565" s="35"/>
      <c r="N565" s="35"/>
    </row>
    <row r="566" spans="1:14" x14ac:dyDescent="0.3">
      <c r="A566" s="397"/>
      <c r="B566" s="94">
        <v>65</v>
      </c>
      <c r="C566" s="144">
        <f t="shared" si="157"/>
        <v>5.8516376567312872E-4</v>
      </c>
      <c r="D566" s="144">
        <f t="shared" si="157"/>
        <v>2.3406550626925149E-3</v>
      </c>
      <c r="E566" s="144">
        <f t="shared" si="157"/>
        <v>5.2664738910581602E-3</v>
      </c>
      <c r="F566" s="144">
        <f t="shared" si="157"/>
        <v>9.3626202507700595E-3</v>
      </c>
      <c r="G566" s="144">
        <f t="shared" si="157"/>
        <v>1.4629094141828218E-2</v>
      </c>
      <c r="H566" s="144">
        <f t="shared" si="157"/>
        <v>2.1065895564232641E-2</v>
      </c>
      <c r="I566" s="144">
        <f t="shared" si="157"/>
        <v>2.8673024517983314E-2</v>
      </c>
      <c r="J566" s="144">
        <f t="shared" si="157"/>
        <v>3.7450481003080238E-2</v>
      </c>
      <c r="K566" s="144">
        <f t="shared" si="157"/>
        <v>4.7398265019523433E-2</v>
      </c>
      <c r="L566" s="35"/>
      <c r="M566" s="35"/>
      <c r="N566" s="35"/>
    </row>
    <row r="567" spans="1:14" x14ac:dyDescent="0.3">
      <c r="A567" s="397"/>
      <c r="B567" s="94">
        <v>70</v>
      </c>
      <c r="C567" s="144">
        <f t="shared" si="157"/>
        <v>5.433663538393338E-4</v>
      </c>
      <c r="D567" s="144">
        <f t="shared" si="157"/>
        <v>2.1734654153573352E-3</v>
      </c>
      <c r="E567" s="144">
        <f t="shared" si="157"/>
        <v>4.8902971845540049E-3</v>
      </c>
      <c r="F567" s="144">
        <f t="shared" si="157"/>
        <v>8.6938616614293408E-3</v>
      </c>
      <c r="G567" s="144">
        <f t="shared" si="157"/>
        <v>1.3584158845983347E-2</v>
      </c>
      <c r="H567" s="144">
        <f t="shared" si="157"/>
        <v>1.956118873821602E-2</v>
      </c>
      <c r="I567" s="144">
        <f t="shared" si="157"/>
        <v>2.6624951338127357E-2</v>
      </c>
      <c r="J567" s="144">
        <f t="shared" si="157"/>
        <v>3.4775446645717363E-2</v>
      </c>
      <c r="K567" s="144">
        <f t="shared" si="157"/>
        <v>4.4012674660986038E-2</v>
      </c>
      <c r="L567" s="35"/>
      <c r="M567" s="35"/>
      <c r="N567" s="35"/>
    </row>
    <row r="568" spans="1:14" x14ac:dyDescent="0.3">
      <c r="A568" s="397"/>
      <c r="B568" s="94">
        <v>75</v>
      </c>
      <c r="C568" s="144">
        <f t="shared" si="157"/>
        <v>5.0714193025004498E-4</v>
      </c>
      <c r="D568" s="144">
        <f t="shared" si="157"/>
        <v>2.0285677210001799E-3</v>
      </c>
      <c r="E568" s="144">
        <f t="shared" si="157"/>
        <v>4.5642773722504044E-3</v>
      </c>
      <c r="F568" s="144">
        <f t="shared" si="157"/>
        <v>8.1142708840007197E-3</v>
      </c>
      <c r="G568" s="144">
        <f t="shared" si="157"/>
        <v>1.2678548256251124E-2</v>
      </c>
      <c r="H568" s="144">
        <f t="shared" si="157"/>
        <v>1.8257109489001618E-2</v>
      </c>
      <c r="I568" s="144">
        <f t="shared" si="157"/>
        <v>2.4849954582252198E-2</v>
      </c>
      <c r="J568" s="144">
        <f t="shared" si="157"/>
        <v>3.2457083536002879E-2</v>
      </c>
      <c r="K568" s="144">
        <f t="shared" si="157"/>
        <v>4.1078496350253638E-2</v>
      </c>
      <c r="L568" s="35"/>
      <c r="M568" s="35"/>
      <c r="N568" s="35"/>
    </row>
    <row r="569" spans="1:14" x14ac:dyDescent="0.3">
      <c r="A569" s="397"/>
      <c r="B569" s="94">
        <v>80</v>
      </c>
      <c r="C569" s="144">
        <f t="shared" si="157"/>
        <v>4.7544555960941714E-4</v>
      </c>
      <c r="D569" s="144">
        <f t="shared" si="157"/>
        <v>1.9017822384376686E-3</v>
      </c>
      <c r="E569" s="144">
        <f t="shared" si="157"/>
        <v>4.2790100364847542E-3</v>
      </c>
      <c r="F569" s="144">
        <f t="shared" si="157"/>
        <v>7.6071289537506743E-3</v>
      </c>
      <c r="G569" s="144">
        <f t="shared" si="157"/>
        <v>1.1886138990235428E-2</v>
      </c>
      <c r="H569" s="144">
        <f t="shared" si="157"/>
        <v>1.7116040145939017E-2</v>
      </c>
      <c r="I569" s="144">
        <f t="shared" si="157"/>
        <v>2.3296832420861443E-2</v>
      </c>
      <c r="J569" s="144">
        <f t="shared" si="157"/>
        <v>3.0428515815002697E-2</v>
      </c>
      <c r="K569" s="144">
        <f t="shared" si="157"/>
        <v>3.8511090328362786E-2</v>
      </c>
      <c r="L569" s="35"/>
      <c r="M569" s="35"/>
      <c r="N569" s="35"/>
    </row>
    <row r="570" spans="1:14" x14ac:dyDescent="0.3">
      <c r="A570" s="397"/>
      <c r="B570" s="94">
        <v>85</v>
      </c>
      <c r="C570" s="144">
        <f t="shared" si="157"/>
        <v>4.4747817375003971E-4</v>
      </c>
      <c r="D570" s="144">
        <f t="shared" si="157"/>
        <v>1.7899126950001588E-3</v>
      </c>
      <c r="E570" s="144">
        <f t="shared" si="157"/>
        <v>4.0273035637503566E-3</v>
      </c>
      <c r="F570" s="144">
        <f t="shared" si="157"/>
        <v>7.1596507800006353E-3</v>
      </c>
      <c r="G570" s="144">
        <f t="shared" si="157"/>
        <v>1.1186954343750992E-2</v>
      </c>
      <c r="H570" s="144">
        <f t="shared" si="157"/>
        <v>1.6109214255001426E-2</v>
      </c>
      <c r="I570" s="144">
        <f t="shared" si="157"/>
        <v>2.1926430513751944E-2</v>
      </c>
      <c r="J570" s="144">
        <f t="shared" si="157"/>
        <v>2.8638603120002541E-2</v>
      </c>
      <c r="K570" s="144">
        <f t="shared" si="157"/>
        <v>3.6245732073753208E-2</v>
      </c>
      <c r="L570" s="35"/>
      <c r="M570" s="35"/>
      <c r="N570" s="35"/>
    </row>
    <row r="571" spans="1:14" x14ac:dyDescent="0.3">
      <c r="A571" s="397"/>
      <c r="B571" s="94">
        <v>90</v>
      </c>
      <c r="C571" s="144">
        <f t="shared" ref="C571:K573" si="158">RADIANS(C547)</f>
        <v>4.2261827520837083E-4</v>
      </c>
      <c r="D571" s="144">
        <f t="shared" si="158"/>
        <v>1.6904731008334833E-3</v>
      </c>
      <c r="E571" s="144">
        <f t="shared" si="158"/>
        <v>3.8035644768753371E-3</v>
      </c>
      <c r="F571" s="144">
        <f t="shared" si="158"/>
        <v>6.7618924033339333E-3</v>
      </c>
      <c r="G571" s="144">
        <f t="shared" si="158"/>
        <v>1.0565456880209271E-2</v>
      </c>
      <c r="H571" s="144">
        <f t="shared" si="158"/>
        <v>1.5214257907501349E-2</v>
      </c>
      <c r="I571" s="144">
        <f t="shared" si="158"/>
        <v>2.0708295485210169E-2</v>
      </c>
      <c r="J571" s="144">
        <f t="shared" si="158"/>
        <v>2.7047569613335733E-2</v>
      </c>
      <c r="K571" s="144">
        <f t="shared" si="158"/>
        <v>3.4232080291878034E-2</v>
      </c>
      <c r="L571" s="35"/>
      <c r="M571" s="35"/>
      <c r="N571" s="35"/>
    </row>
    <row r="572" spans="1:14" x14ac:dyDescent="0.3">
      <c r="A572" s="397"/>
      <c r="B572" s="94">
        <v>95</v>
      </c>
      <c r="C572" s="144">
        <f t="shared" si="158"/>
        <v>4.003752080921407E-4</v>
      </c>
      <c r="D572" s="144">
        <f t="shared" si="158"/>
        <v>1.6015008323685628E-3</v>
      </c>
      <c r="E572" s="144">
        <f t="shared" si="158"/>
        <v>3.6033768728292665E-3</v>
      </c>
      <c r="F572" s="144">
        <f t="shared" si="158"/>
        <v>6.4060033294742512E-3</v>
      </c>
      <c r="G572" s="144">
        <f t="shared" si="158"/>
        <v>1.0009380202303519E-2</v>
      </c>
      <c r="H572" s="144">
        <f t="shared" si="158"/>
        <v>1.4413507491317066E-2</v>
      </c>
      <c r="I572" s="144">
        <f t="shared" si="158"/>
        <v>1.9618385196514897E-2</v>
      </c>
      <c r="J572" s="144">
        <f t="shared" si="158"/>
        <v>2.5624013317897005E-2</v>
      </c>
      <c r="K572" s="144">
        <f t="shared" si="158"/>
        <v>3.2430391855463397E-2</v>
      </c>
      <c r="L572" s="35"/>
      <c r="M572" s="35"/>
      <c r="N572" s="35"/>
    </row>
    <row r="573" spans="1:14" x14ac:dyDescent="0.3">
      <c r="A573" s="397"/>
      <c r="B573" s="94">
        <v>100</v>
      </c>
      <c r="C573" s="144">
        <f t="shared" si="158"/>
        <v>3.8035644768753373E-4</v>
      </c>
      <c r="D573" s="144">
        <f t="shared" si="158"/>
        <v>1.5214257907501349E-3</v>
      </c>
      <c r="E573" s="144">
        <f t="shared" si="158"/>
        <v>3.4232080291878033E-3</v>
      </c>
      <c r="F573" s="144">
        <f t="shared" si="158"/>
        <v>6.0857031630005397E-3</v>
      </c>
      <c r="G573" s="144">
        <f t="shared" si="158"/>
        <v>9.5089111921883435E-3</v>
      </c>
      <c r="H573" s="144">
        <f t="shared" si="158"/>
        <v>1.3692832116751213E-2</v>
      </c>
      <c r="I573" s="144">
        <f t="shared" si="158"/>
        <v>1.8637465936689149E-2</v>
      </c>
      <c r="J573" s="144">
        <f t="shared" si="158"/>
        <v>2.4342812652002159E-2</v>
      </c>
      <c r="K573" s="144">
        <f t="shared" si="158"/>
        <v>3.0808872262690228E-2</v>
      </c>
      <c r="L573" s="35"/>
      <c r="M573" s="35"/>
      <c r="N573" s="35"/>
    </row>
    <row r="574" spans="1:14" x14ac:dyDescent="0.3">
      <c r="A574" s="284"/>
      <c r="B574" s="7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</row>
    <row r="575" spans="1:14" x14ac:dyDescent="0.3">
      <c r="A575" s="381" t="s">
        <v>536</v>
      </c>
      <c r="B575" s="381"/>
      <c r="C575" s="153"/>
      <c r="D575" s="153"/>
      <c r="E575" s="153"/>
      <c r="F575" s="153"/>
      <c r="G575" s="153"/>
      <c r="H575" s="153"/>
      <c r="I575" s="153"/>
      <c r="J575" s="153"/>
      <c r="K575" s="153"/>
      <c r="L575" s="35"/>
      <c r="M575" s="35"/>
      <c r="N575" s="35"/>
    </row>
    <row r="576" spans="1:14" x14ac:dyDescent="0.3">
      <c r="A576" s="141"/>
      <c r="B576" s="141"/>
      <c r="C576" s="153"/>
      <c r="D576" s="153"/>
      <c r="E576" s="153"/>
      <c r="F576" s="153"/>
      <c r="G576" s="153"/>
      <c r="H576" s="153"/>
      <c r="I576" s="153"/>
      <c r="J576" s="153"/>
      <c r="K576" s="153"/>
      <c r="L576" s="35"/>
      <c r="M576" s="35"/>
      <c r="N576" s="35"/>
    </row>
    <row r="577" spans="1:14" x14ac:dyDescent="0.3">
      <c r="A577" s="277" t="s">
        <v>532</v>
      </c>
      <c r="B577" s="96">
        <v>-0.8</v>
      </c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</row>
    <row r="578" spans="1:14" x14ac:dyDescent="0.3">
      <c r="A578" s="277" t="s">
        <v>189</v>
      </c>
      <c r="B578" s="97">
        <f>RADIANS(B577)</f>
        <v>-1.3962634015954637E-2</v>
      </c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</row>
    <row r="579" spans="1:14" x14ac:dyDescent="0.3">
      <c r="A579" s="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</row>
    <row r="580" spans="1:14" x14ac:dyDescent="0.3">
      <c r="A580" s="415" t="s">
        <v>537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369"/>
      <c r="L580" s="35"/>
      <c r="M580" s="35"/>
      <c r="N580" s="35"/>
    </row>
    <row r="581" spans="1:14" x14ac:dyDescent="0.3">
      <c r="A581" s="360"/>
      <c r="B581" s="361"/>
      <c r="C581" s="364" t="s">
        <v>230</v>
      </c>
      <c r="D581" s="365"/>
      <c r="E581" s="365"/>
      <c r="F581" s="365"/>
      <c r="G581" s="365"/>
      <c r="H581" s="365"/>
      <c r="I581" s="365"/>
      <c r="J581" s="365"/>
      <c r="K581" s="366"/>
      <c r="L581" s="35"/>
      <c r="M581" s="35"/>
      <c r="N581" s="35"/>
    </row>
    <row r="582" spans="1:14" x14ac:dyDescent="0.3">
      <c r="A582" s="362"/>
      <c r="B582" s="363"/>
      <c r="C582" s="94">
        <v>5</v>
      </c>
      <c r="D582" s="94">
        <v>10</v>
      </c>
      <c r="E582" s="94">
        <v>15</v>
      </c>
      <c r="F582" s="94">
        <v>20</v>
      </c>
      <c r="G582" s="94">
        <v>25</v>
      </c>
      <c r="H582" s="94">
        <v>30</v>
      </c>
      <c r="I582" s="94">
        <v>35</v>
      </c>
      <c r="J582" s="94">
        <v>40</v>
      </c>
      <c r="K582" s="94">
        <v>45</v>
      </c>
      <c r="L582" s="35"/>
      <c r="M582" s="35"/>
      <c r="N582" s="35"/>
    </row>
    <row r="583" spans="1:14" x14ac:dyDescent="0.3">
      <c r="A583" s="397" t="s">
        <v>231</v>
      </c>
      <c r="B583" s="94">
        <v>5</v>
      </c>
      <c r="C583" s="144">
        <f t="shared" ref="C583:K598" si="159">$B$578/C554</f>
        <v>-1.8354669811493596</v>
      </c>
      <c r="D583" s="144">
        <f t="shared" si="159"/>
        <v>-0.45886674528733989</v>
      </c>
      <c r="E583" s="144">
        <f t="shared" si="159"/>
        <v>-0.20394077568326219</v>
      </c>
      <c r="F583" s="144">
        <f t="shared" si="159"/>
        <v>-0.11471668632183497</v>
      </c>
      <c r="G583" s="144">
        <f t="shared" si="159"/>
        <v>-7.3418679245974394E-2</v>
      </c>
      <c r="H583" s="144">
        <f t="shared" si="159"/>
        <v>-5.0985193920815547E-2</v>
      </c>
      <c r="I583" s="144">
        <f t="shared" si="159"/>
        <v>-3.745850981937468E-2</v>
      </c>
      <c r="J583" s="144">
        <f t="shared" si="159"/>
        <v>-2.8679171580458743E-2</v>
      </c>
      <c r="K583" s="144">
        <f t="shared" si="159"/>
        <v>-2.2660086187029131E-2</v>
      </c>
      <c r="L583" s="35"/>
      <c r="M583" s="35"/>
      <c r="N583" s="35"/>
    </row>
    <row r="584" spans="1:14" x14ac:dyDescent="0.3">
      <c r="A584" s="397"/>
      <c r="B584" s="94">
        <v>10</v>
      </c>
      <c r="C584" s="144">
        <f t="shared" si="159"/>
        <v>-3.6709339622987192</v>
      </c>
      <c r="D584" s="144">
        <f t="shared" si="159"/>
        <v>-0.91773349057467979</v>
      </c>
      <c r="E584" s="144">
        <f t="shared" si="159"/>
        <v>-0.40788155136652438</v>
      </c>
      <c r="F584" s="144">
        <f t="shared" si="159"/>
        <v>-0.22943337264366995</v>
      </c>
      <c r="G584" s="144">
        <f t="shared" si="159"/>
        <v>-0.14683735849194879</v>
      </c>
      <c r="H584" s="144">
        <f t="shared" si="159"/>
        <v>-0.10197038784163109</v>
      </c>
      <c r="I584" s="144">
        <f t="shared" si="159"/>
        <v>-7.491701963874936E-2</v>
      </c>
      <c r="J584" s="144">
        <f t="shared" si="159"/>
        <v>-5.7358343160917487E-2</v>
      </c>
      <c r="K584" s="144">
        <f t="shared" si="159"/>
        <v>-4.5320172374058262E-2</v>
      </c>
      <c r="L584" s="35"/>
      <c r="M584" s="35"/>
      <c r="N584" s="35"/>
    </row>
    <row r="585" spans="1:14" x14ac:dyDescent="0.3">
      <c r="A585" s="397"/>
      <c r="B585" s="94">
        <v>15</v>
      </c>
      <c r="C585" s="144">
        <f t="shared" si="159"/>
        <v>-5.506400943448079</v>
      </c>
      <c r="D585" s="144">
        <f t="shared" si="159"/>
        <v>-1.3766002358620197</v>
      </c>
      <c r="E585" s="144">
        <f t="shared" si="159"/>
        <v>-0.61182232704978656</v>
      </c>
      <c r="F585" s="144">
        <f t="shared" si="159"/>
        <v>-0.34415005896550493</v>
      </c>
      <c r="G585" s="144">
        <f t="shared" si="159"/>
        <v>-0.22025603773792315</v>
      </c>
      <c r="H585" s="144">
        <f t="shared" si="159"/>
        <v>-0.15295558176244664</v>
      </c>
      <c r="I585" s="144">
        <f t="shared" si="159"/>
        <v>-0.11237552945812405</v>
      </c>
      <c r="J585" s="144">
        <f t="shared" si="159"/>
        <v>-8.6037514741376234E-2</v>
      </c>
      <c r="K585" s="144">
        <f t="shared" si="159"/>
        <v>-6.7980258561087387E-2</v>
      </c>
      <c r="L585" s="35"/>
      <c r="M585" s="35"/>
      <c r="N585" s="35"/>
    </row>
    <row r="586" spans="1:14" x14ac:dyDescent="0.3">
      <c r="A586" s="397"/>
      <c r="B586" s="94">
        <v>20</v>
      </c>
      <c r="C586" s="144">
        <f t="shared" si="159"/>
        <v>-7.3418679245974383</v>
      </c>
      <c r="D586" s="144">
        <f t="shared" si="159"/>
        <v>-1.8354669811493596</v>
      </c>
      <c r="E586" s="144">
        <f t="shared" si="159"/>
        <v>-0.81576310273304875</v>
      </c>
      <c r="F586" s="144">
        <f t="shared" si="159"/>
        <v>-0.45886674528733989</v>
      </c>
      <c r="G586" s="144">
        <f t="shared" si="159"/>
        <v>-0.29367471698389758</v>
      </c>
      <c r="H586" s="144">
        <f t="shared" si="159"/>
        <v>-0.20394077568326219</v>
      </c>
      <c r="I586" s="144">
        <f t="shared" si="159"/>
        <v>-0.14983403927749872</v>
      </c>
      <c r="J586" s="144">
        <f t="shared" si="159"/>
        <v>-0.11471668632183497</v>
      </c>
      <c r="K586" s="144">
        <f t="shared" si="159"/>
        <v>-9.0640344748116525E-2</v>
      </c>
      <c r="L586" s="35"/>
      <c r="M586" s="35"/>
      <c r="N586" s="35"/>
    </row>
    <row r="587" spans="1:14" x14ac:dyDescent="0.3">
      <c r="A587" s="397"/>
      <c r="B587" s="94">
        <v>25</v>
      </c>
      <c r="C587" s="144">
        <f t="shared" si="159"/>
        <v>-9.1773349057467986</v>
      </c>
      <c r="D587" s="144">
        <f t="shared" si="159"/>
        <v>-2.2943337264366996</v>
      </c>
      <c r="E587" s="144">
        <f t="shared" si="159"/>
        <v>-1.019703878416311</v>
      </c>
      <c r="F587" s="144">
        <f t="shared" si="159"/>
        <v>-0.57358343160917491</v>
      </c>
      <c r="G587" s="144">
        <f t="shared" si="159"/>
        <v>-0.36709339622987192</v>
      </c>
      <c r="H587" s="144">
        <f t="shared" si="159"/>
        <v>-0.25492596960407776</v>
      </c>
      <c r="I587" s="144">
        <f t="shared" si="159"/>
        <v>-0.18729254909687346</v>
      </c>
      <c r="J587" s="144">
        <f t="shared" si="159"/>
        <v>-0.14339585790229373</v>
      </c>
      <c r="K587" s="144">
        <f t="shared" si="159"/>
        <v>-0.11330043093514566</v>
      </c>
      <c r="L587" s="35"/>
      <c r="M587" s="35"/>
      <c r="N587" s="35"/>
    </row>
    <row r="588" spans="1:14" x14ac:dyDescent="0.3">
      <c r="A588" s="397"/>
      <c r="B588" s="94">
        <v>30</v>
      </c>
      <c r="C588" s="144">
        <f t="shared" si="159"/>
        <v>-11.012801886896158</v>
      </c>
      <c r="D588" s="144">
        <f t="shared" si="159"/>
        <v>-2.7532004717240395</v>
      </c>
      <c r="E588" s="144">
        <f t="shared" si="159"/>
        <v>-1.2236446540995731</v>
      </c>
      <c r="F588" s="144">
        <f t="shared" si="159"/>
        <v>-0.68830011793100987</v>
      </c>
      <c r="G588" s="144">
        <f t="shared" si="159"/>
        <v>-0.44051207547584631</v>
      </c>
      <c r="H588" s="144">
        <f t="shared" si="159"/>
        <v>-0.30591116352489328</v>
      </c>
      <c r="I588" s="144">
        <f t="shared" si="159"/>
        <v>-0.22475105891624811</v>
      </c>
      <c r="J588" s="144">
        <f t="shared" si="159"/>
        <v>-0.17207502948275247</v>
      </c>
      <c r="K588" s="144">
        <f t="shared" si="159"/>
        <v>-0.13596051712217477</v>
      </c>
      <c r="L588" s="35"/>
      <c r="M588" s="35"/>
      <c r="N588" s="35"/>
    </row>
    <row r="589" spans="1:14" x14ac:dyDescent="0.3">
      <c r="A589" s="397"/>
      <c r="B589" s="94">
        <v>35</v>
      </c>
      <c r="C589" s="144">
        <f t="shared" si="159"/>
        <v>-12.848268868045519</v>
      </c>
      <c r="D589" s="144">
        <f t="shared" si="159"/>
        <v>-3.2120672170113798</v>
      </c>
      <c r="E589" s="144">
        <f t="shared" si="159"/>
        <v>-1.4275854297828352</v>
      </c>
      <c r="F589" s="144">
        <f t="shared" si="159"/>
        <v>-0.80301680425284494</v>
      </c>
      <c r="G589" s="144">
        <f t="shared" si="159"/>
        <v>-0.5139307547218207</v>
      </c>
      <c r="H589" s="144">
        <f t="shared" si="159"/>
        <v>-0.3568963574457088</v>
      </c>
      <c r="I589" s="144">
        <f t="shared" si="159"/>
        <v>-0.26220956873562284</v>
      </c>
      <c r="J589" s="144">
        <f t="shared" si="159"/>
        <v>-0.20075420106321124</v>
      </c>
      <c r="K589" s="144">
        <f t="shared" si="159"/>
        <v>-0.15862060330920394</v>
      </c>
      <c r="L589" s="35"/>
      <c r="M589" s="35"/>
      <c r="N589" s="35"/>
    </row>
    <row r="590" spans="1:14" x14ac:dyDescent="0.3">
      <c r="A590" s="397"/>
      <c r="B590" s="94">
        <v>40</v>
      </c>
      <c r="C590" s="144">
        <f t="shared" si="159"/>
        <v>-14.683735849194877</v>
      </c>
      <c r="D590" s="144">
        <f t="shared" si="159"/>
        <v>-3.6709339622987192</v>
      </c>
      <c r="E590" s="144">
        <f t="shared" si="159"/>
        <v>-1.6315262054660975</v>
      </c>
      <c r="F590" s="144">
        <f t="shared" si="159"/>
        <v>-0.91773349057467979</v>
      </c>
      <c r="G590" s="144">
        <f t="shared" si="159"/>
        <v>-0.58734943396779515</v>
      </c>
      <c r="H590" s="144">
        <f t="shared" si="159"/>
        <v>-0.40788155136652438</v>
      </c>
      <c r="I590" s="144">
        <f t="shared" si="159"/>
        <v>-0.29966807855499744</v>
      </c>
      <c r="J590" s="144">
        <f t="shared" si="159"/>
        <v>-0.22943337264366995</v>
      </c>
      <c r="K590" s="144">
        <f t="shared" si="159"/>
        <v>-0.18128068949623305</v>
      </c>
      <c r="L590" s="35"/>
      <c r="M590" s="35"/>
      <c r="N590" s="35"/>
    </row>
    <row r="591" spans="1:14" x14ac:dyDescent="0.3">
      <c r="A591" s="397"/>
      <c r="B591" s="94">
        <v>45</v>
      </c>
      <c r="C591" s="144">
        <f t="shared" si="159"/>
        <v>-16.519202830344234</v>
      </c>
      <c r="D591" s="144">
        <f t="shared" si="159"/>
        <v>-4.1298007075860586</v>
      </c>
      <c r="E591" s="144">
        <f t="shared" si="159"/>
        <v>-1.8354669811493596</v>
      </c>
      <c r="F591" s="144">
        <f t="shared" si="159"/>
        <v>-1.0324501768965146</v>
      </c>
      <c r="G591" s="144">
        <f t="shared" si="159"/>
        <v>-0.66076811321376938</v>
      </c>
      <c r="H591" s="144">
        <f t="shared" si="159"/>
        <v>-0.45886674528733989</v>
      </c>
      <c r="I591" s="144">
        <f t="shared" si="159"/>
        <v>-0.3371265883743722</v>
      </c>
      <c r="J591" s="144">
        <f t="shared" si="159"/>
        <v>-0.25811254422412866</v>
      </c>
      <c r="K591" s="144">
        <f t="shared" si="159"/>
        <v>-0.20394077568326219</v>
      </c>
      <c r="L591" s="35"/>
      <c r="M591" s="35"/>
      <c r="N591" s="35"/>
    </row>
    <row r="592" spans="1:14" x14ac:dyDescent="0.3">
      <c r="A592" s="397"/>
      <c r="B592" s="94">
        <v>50</v>
      </c>
      <c r="C592" s="144">
        <f t="shared" si="159"/>
        <v>-18.354669811493597</v>
      </c>
      <c r="D592" s="144">
        <f t="shared" si="159"/>
        <v>-4.5886674528733993</v>
      </c>
      <c r="E592" s="144">
        <f t="shared" si="159"/>
        <v>-2.0394077568326221</v>
      </c>
      <c r="F592" s="144">
        <f t="shared" si="159"/>
        <v>-1.1471668632183498</v>
      </c>
      <c r="G592" s="144">
        <f t="shared" si="159"/>
        <v>-0.73418679245974383</v>
      </c>
      <c r="H592" s="144">
        <f t="shared" si="159"/>
        <v>-0.50985193920815552</v>
      </c>
      <c r="I592" s="144">
        <f t="shared" si="159"/>
        <v>-0.37458509819374691</v>
      </c>
      <c r="J592" s="144">
        <f t="shared" si="159"/>
        <v>-0.28679171580458745</v>
      </c>
      <c r="K592" s="144">
        <f t="shared" si="159"/>
        <v>-0.22660086187029133</v>
      </c>
      <c r="L592" s="35"/>
      <c r="M592" s="35"/>
      <c r="N592" s="35"/>
    </row>
    <row r="593" spans="1:14" x14ac:dyDescent="0.3">
      <c r="A593" s="397"/>
      <c r="B593" s="94">
        <v>55</v>
      </c>
      <c r="C593" s="144">
        <f t="shared" si="159"/>
        <v>-20.190136792642953</v>
      </c>
      <c r="D593" s="144">
        <f t="shared" si="159"/>
        <v>-5.0475341981607382</v>
      </c>
      <c r="E593" s="144">
        <f t="shared" si="159"/>
        <v>-2.243348532515884</v>
      </c>
      <c r="F593" s="144">
        <f t="shared" si="159"/>
        <v>-1.2618835495401846</v>
      </c>
      <c r="G593" s="144">
        <f t="shared" si="159"/>
        <v>-0.80760547170571828</v>
      </c>
      <c r="H593" s="144">
        <f t="shared" si="159"/>
        <v>-0.56083713312897099</v>
      </c>
      <c r="I593" s="144">
        <f t="shared" si="159"/>
        <v>-0.41204360801312157</v>
      </c>
      <c r="J593" s="144">
        <f t="shared" si="159"/>
        <v>-0.31547088738504614</v>
      </c>
      <c r="K593" s="144">
        <f t="shared" si="159"/>
        <v>-0.24926094805732044</v>
      </c>
      <c r="L593" s="35"/>
      <c r="M593" s="35"/>
      <c r="N593" s="35"/>
    </row>
    <row r="594" spans="1:14" x14ac:dyDescent="0.3">
      <c r="A594" s="397"/>
      <c r="B594" s="94">
        <v>60</v>
      </c>
      <c r="C594" s="144">
        <f t="shared" si="159"/>
        <v>-22.025603773792316</v>
      </c>
      <c r="D594" s="144">
        <f t="shared" si="159"/>
        <v>-5.506400943448079</v>
      </c>
      <c r="E594" s="144">
        <f t="shared" si="159"/>
        <v>-2.4472893081991463</v>
      </c>
      <c r="F594" s="144">
        <f t="shared" si="159"/>
        <v>-1.3766002358620197</v>
      </c>
      <c r="G594" s="144">
        <f t="shared" si="159"/>
        <v>-0.88102415095169262</v>
      </c>
      <c r="H594" s="144">
        <f t="shared" si="159"/>
        <v>-0.61182232704978656</v>
      </c>
      <c r="I594" s="144">
        <f t="shared" si="159"/>
        <v>-0.44950211783249622</v>
      </c>
      <c r="J594" s="144">
        <f t="shared" si="159"/>
        <v>-0.34415005896550493</v>
      </c>
      <c r="K594" s="144">
        <f t="shared" si="159"/>
        <v>-0.27192103424434955</v>
      </c>
      <c r="L594" s="35"/>
      <c r="M594" s="35"/>
      <c r="N594" s="35"/>
    </row>
    <row r="595" spans="1:14" x14ac:dyDescent="0.3">
      <c r="A595" s="397"/>
      <c r="B595" s="94">
        <v>65</v>
      </c>
      <c r="C595" s="144">
        <f t="shared" si="159"/>
        <v>-23.861070754941679</v>
      </c>
      <c r="D595" s="144">
        <f t="shared" si="159"/>
        <v>-5.9652676887354197</v>
      </c>
      <c r="E595" s="144">
        <f t="shared" si="159"/>
        <v>-2.6512300838824077</v>
      </c>
      <c r="F595" s="144">
        <f t="shared" si="159"/>
        <v>-1.4913169221838549</v>
      </c>
      <c r="G595" s="144">
        <f t="shared" si="159"/>
        <v>-0.95444283019766707</v>
      </c>
      <c r="H595" s="144">
        <f t="shared" si="159"/>
        <v>-0.66280752097060192</v>
      </c>
      <c r="I595" s="144">
        <f t="shared" si="159"/>
        <v>-0.48696062765187087</v>
      </c>
      <c r="J595" s="144">
        <f t="shared" si="159"/>
        <v>-0.37282923054596373</v>
      </c>
      <c r="K595" s="144">
        <f t="shared" si="159"/>
        <v>-0.29458112043137868</v>
      </c>
      <c r="L595" s="35"/>
      <c r="M595" s="35"/>
      <c r="N595" s="35"/>
    </row>
    <row r="596" spans="1:14" x14ac:dyDescent="0.3">
      <c r="A596" s="397"/>
      <c r="B596" s="94">
        <v>70</v>
      </c>
      <c r="C596" s="144">
        <f t="shared" si="159"/>
        <v>-25.696537736091038</v>
      </c>
      <c r="D596" s="144">
        <f t="shared" si="159"/>
        <v>-6.4241344340227595</v>
      </c>
      <c r="E596" s="144">
        <f t="shared" si="159"/>
        <v>-2.8551708595656704</v>
      </c>
      <c r="F596" s="144">
        <f t="shared" si="159"/>
        <v>-1.6060336085056899</v>
      </c>
      <c r="G596" s="144">
        <f t="shared" si="159"/>
        <v>-1.0278615094436414</v>
      </c>
      <c r="H596" s="144">
        <f t="shared" si="159"/>
        <v>-0.7137927148914176</v>
      </c>
      <c r="I596" s="144">
        <f t="shared" si="159"/>
        <v>-0.52441913747124569</v>
      </c>
      <c r="J596" s="144">
        <f t="shared" si="159"/>
        <v>-0.40150840212642247</v>
      </c>
      <c r="K596" s="144">
        <f t="shared" si="159"/>
        <v>-0.31724120661840788</v>
      </c>
      <c r="L596" s="35"/>
      <c r="M596" s="35"/>
      <c r="N596" s="35"/>
    </row>
    <row r="597" spans="1:14" x14ac:dyDescent="0.3">
      <c r="A597" s="397"/>
      <c r="B597" s="94">
        <v>75</v>
      </c>
      <c r="C597" s="144">
        <f t="shared" si="159"/>
        <v>-27.532004717240394</v>
      </c>
      <c r="D597" s="144">
        <f t="shared" si="159"/>
        <v>-6.8830011793100985</v>
      </c>
      <c r="E597" s="144">
        <f t="shared" si="159"/>
        <v>-3.0591116352489327</v>
      </c>
      <c r="F597" s="144">
        <f t="shared" si="159"/>
        <v>-1.7207502948275246</v>
      </c>
      <c r="G597" s="144">
        <f t="shared" si="159"/>
        <v>-1.1012801886896157</v>
      </c>
      <c r="H597" s="144">
        <f t="shared" si="159"/>
        <v>-0.76477790881223318</v>
      </c>
      <c r="I597" s="144">
        <f t="shared" si="159"/>
        <v>-0.5618776472906204</v>
      </c>
      <c r="J597" s="144">
        <f t="shared" si="159"/>
        <v>-0.43018757370688115</v>
      </c>
      <c r="K597" s="144">
        <f t="shared" si="159"/>
        <v>-0.33990129280543702</v>
      </c>
      <c r="L597" s="35"/>
      <c r="M597" s="35"/>
      <c r="N597" s="35"/>
    </row>
    <row r="598" spans="1:14" x14ac:dyDescent="0.3">
      <c r="A598" s="397"/>
      <c r="B598" s="94">
        <v>80</v>
      </c>
      <c r="C598" s="144">
        <f t="shared" si="159"/>
        <v>-29.367471698389753</v>
      </c>
      <c r="D598" s="144">
        <f t="shared" si="159"/>
        <v>-7.3418679245974383</v>
      </c>
      <c r="E598" s="144">
        <f t="shared" si="159"/>
        <v>-3.263052410932195</v>
      </c>
      <c r="F598" s="144">
        <f t="shared" si="159"/>
        <v>-1.8354669811493596</v>
      </c>
      <c r="G598" s="144">
        <f t="shared" si="159"/>
        <v>-1.1746988679355903</v>
      </c>
      <c r="H598" s="144">
        <f t="shared" si="159"/>
        <v>-0.81576310273304875</v>
      </c>
      <c r="I598" s="144">
        <f t="shared" si="159"/>
        <v>-0.59933615710999488</v>
      </c>
      <c r="J598" s="144">
        <f t="shared" si="159"/>
        <v>-0.45886674528733989</v>
      </c>
      <c r="K598" s="144">
        <f t="shared" si="159"/>
        <v>-0.3625613789924661</v>
      </c>
      <c r="L598" s="35"/>
      <c r="M598" s="35"/>
      <c r="N598" s="35"/>
    </row>
    <row r="599" spans="1:14" x14ac:dyDescent="0.3">
      <c r="A599" s="397"/>
      <c r="B599" s="94">
        <v>85</v>
      </c>
      <c r="C599" s="144">
        <f t="shared" ref="C599:K602" si="160">$B$578/C570</f>
        <v>-31.202938679539109</v>
      </c>
      <c r="D599" s="144">
        <f t="shared" si="160"/>
        <v>-7.8007346698847773</v>
      </c>
      <c r="E599" s="144">
        <f t="shared" si="160"/>
        <v>-3.4669931866154573</v>
      </c>
      <c r="F599" s="144">
        <f t="shared" si="160"/>
        <v>-1.9501836674711943</v>
      </c>
      <c r="G599" s="144">
        <f t="shared" si="160"/>
        <v>-1.2481175471815644</v>
      </c>
      <c r="H599" s="144">
        <f t="shared" si="160"/>
        <v>-0.86674829665386433</v>
      </c>
      <c r="I599" s="144">
        <f t="shared" si="160"/>
        <v>-0.6367946669293697</v>
      </c>
      <c r="J599" s="144">
        <f t="shared" si="160"/>
        <v>-0.48754591686779858</v>
      </c>
      <c r="K599" s="144">
        <f t="shared" si="160"/>
        <v>-0.38522146517949529</v>
      </c>
      <c r="L599" s="35"/>
      <c r="M599" s="35"/>
      <c r="N599" s="35"/>
    </row>
    <row r="600" spans="1:14" x14ac:dyDescent="0.3">
      <c r="A600" s="397"/>
      <c r="B600" s="94">
        <v>90</v>
      </c>
      <c r="C600" s="144">
        <f t="shared" si="160"/>
        <v>-33.038405660688468</v>
      </c>
      <c r="D600" s="144">
        <f t="shared" si="160"/>
        <v>-8.2596014151721171</v>
      </c>
      <c r="E600" s="144">
        <f t="shared" si="160"/>
        <v>-3.6709339622987192</v>
      </c>
      <c r="F600" s="144">
        <f t="shared" si="160"/>
        <v>-2.0649003537930293</v>
      </c>
      <c r="G600" s="144">
        <f t="shared" si="160"/>
        <v>-1.3215362264275388</v>
      </c>
      <c r="H600" s="144">
        <f t="shared" si="160"/>
        <v>-0.91773349057467979</v>
      </c>
      <c r="I600" s="144">
        <f t="shared" si="160"/>
        <v>-0.67425317674874441</v>
      </c>
      <c r="J600" s="144">
        <f t="shared" si="160"/>
        <v>-0.51622508844825732</v>
      </c>
      <c r="K600" s="144">
        <f t="shared" si="160"/>
        <v>-0.40788155136652438</v>
      </c>
      <c r="L600" s="35"/>
      <c r="M600" s="35"/>
      <c r="N600" s="35"/>
    </row>
    <row r="601" spans="1:14" x14ac:dyDescent="0.3">
      <c r="A601" s="397"/>
      <c r="B601" s="94">
        <v>95</v>
      </c>
      <c r="C601" s="144">
        <f t="shared" si="160"/>
        <v>-34.873872641837835</v>
      </c>
      <c r="D601" s="144">
        <f t="shared" si="160"/>
        <v>-8.7184681604594587</v>
      </c>
      <c r="E601" s="144">
        <f t="shared" si="160"/>
        <v>-3.8748747379819819</v>
      </c>
      <c r="F601" s="144">
        <f t="shared" si="160"/>
        <v>-2.1796170401148647</v>
      </c>
      <c r="G601" s="144">
        <f t="shared" si="160"/>
        <v>-1.3949549056735133</v>
      </c>
      <c r="H601" s="144">
        <f t="shared" si="160"/>
        <v>-0.96871868449549547</v>
      </c>
      <c r="I601" s="144">
        <f t="shared" si="160"/>
        <v>-0.71171168656811901</v>
      </c>
      <c r="J601" s="144">
        <f t="shared" si="160"/>
        <v>-0.54490426002871617</v>
      </c>
      <c r="K601" s="144">
        <f t="shared" si="160"/>
        <v>-0.43054163755355351</v>
      </c>
      <c r="L601" s="35"/>
      <c r="M601" s="35"/>
      <c r="N601" s="35"/>
    </row>
    <row r="602" spans="1:14" x14ac:dyDescent="0.3">
      <c r="A602" s="397"/>
      <c r="B602" s="94">
        <v>100</v>
      </c>
      <c r="C602" s="144">
        <f t="shared" si="160"/>
        <v>-36.709339622987194</v>
      </c>
      <c r="D602" s="144">
        <f t="shared" si="160"/>
        <v>-9.1773349057467986</v>
      </c>
      <c r="E602" s="144">
        <f t="shared" si="160"/>
        <v>-4.0788155136652442</v>
      </c>
      <c r="F602" s="144">
        <f t="shared" si="160"/>
        <v>-2.2943337264366996</v>
      </c>
      <c r="G602" s="144">
        <f t="shared" si="160"/>
        <v>-1.4683735849194877</v>
      </c>
      <c r="H602" s="144">
        <f t="shared" si="160"/>
        <v>-1.019703878416311</v>
      </c>
      <c r="I602" s="144">
        <f t="shared" si="160"/>
        <v>-0.74917019638749383</v>
      </c>
      <c r="J602" s="144">
        <f t="shared" si="160"/>
        <v>-0.57358343160917491</v>
      </c>
      <c r="K602" s="144">
        <f t="shared" si="160"/>
        <v>-0.45320172374058265</v>
      </c>
      <c r="L602" s="35"/>
      <c r="M602" s="35"/>
      <c r="N602" s="35"/>
    </row>
    <row r="603" spans="1:14" x14ac:dyDescent="0.3">
      <c r="A603" s="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</row>
    <row r="604" spans="1:14" x14ac:dyDescent="0.3">
      <c r="A604" s="415" t="s">
        <v>538</v>
      </c>
      <c r="B604" s="416"/>
      <c r="C604" s="416"/>
      <c r="D604" s="416"/>
      <c r="E604" s="416"/>
      <c r="F604" s="416"/>
      <c r="G604" s="416"/>
      <c r="H604" s="416"/>
      <c r="I604" s="416"/>
      <c r="J604" s="416"/>
      <c r="K604" s="369"/>
      <c r="L604" s="35"/>
      <c r="M604" s="35"/>
      <c r="N604" s="35"/>
    </row>
    <row r="605" spans="1:14" x14ac:dyDescent="0.3">
      <c r="A605" s="360"/>
      <c r="B605" s="361"/>
      <c r="C605" s="364" t="s">
        <v>230</v>
      </c>
      <c r="D605" s="365"/>
      <c r="E605" s="365"/>
      <c r="F605" s="365"/>
      <c r="G605" s="365"/>
      <c r="H605" s="365"/>
      <c r="I605" s="365"/>
      <c r="J605" s="365"/>
      <c r="K605" s="366"/>
      <c r="L605" s="35"/>
      <c r="M605" s="35"/>
      <c r="N605" s="35"/>
    </row>
    <row r="606" spans="1:14" x14ac:dyDescent="0.3">
      <c r="A606" s="362"/>
      <c r="B606" s="363"/>
      <c r="C606" s="94">
        <v>5</v>
      </c>
      <c r="D606" s="94">
        <v>10</v>
      </c>
      <c r="E606" s="94">
        <v>15</v>
      </c>
      <c r="F606" s="94">
        <v>20</v>
      </c>
      <c r="G606" s="94">
        <v>25</v>
      </c>
      <c r="H606" s="94">
        <v>30</v>
      </c>
      <c r="I606" s="94">
        <v>35</v>
      </c>
      <c r="J606" s="94">
        <v>40</v>
      </c>
      <c r="K606" s="94">
        <v>45</v>
      </c>
      <c r="L606" s="35"/>
      <c r="M606" s="35"/>
      <c r="N606" s="35"/>
    </row>
    <row r="607" spans="1:14" x14ac:dyDescent="0.3">
      <c r="A607" s="397" t="s">
        <v>231</v>
      </c>
      <c r="B607" s="94">
        <v>5</v>
      </c>
      <c r="C607" s="144">
        <f>($E$4/2)/(1-C583)</f>
        <v>0.26450669501218693</v>
      </c>
      <c r="D607" s="144">
        <f t="shared" ref="D607:K607" si="161">($E$4/2)/(1-D583)</f>
        <v>0.51409767370650383</v>
      </c>
      <c r="E607" s="144">
        <f t="shared" si="161"/>
        <v>0.62295423092914093</v>
      </c>
      <c r="F607" s="144">
        <f t="shared" si="161"/>
        <v>0.67281669791337817</v>
      </c>
      <c r="G607" s="144">
        <f t="shared" si="161"/>
        <v>0.69870220679114636</v>
      </c>
      <c r="H607" s="144">
        <f t="shared" si="161"/>
        <v>0.71361614258526596</v>
      </c>
      <c r="I607" s="144">
        <f t="shared" si="161"/>
        <v>0.7229204762420598</v>
      </c>
      <c r="J607" s="144">
        <f t="shared" si="161"/>
        <v>0.72909029435066985</v>
      </c>
      <c r="K607" s="144">
        <f t="shared" si="161"/>
        <v>0.73338151173608657</v>
      </c>
      <c r="L607" s="35"/>
      <c r="M607" s="35"/>
      <c r="N607" s="35"/>
    </row>
    <row r="608" spans="1:14" x14ac:dyDescent="0.3">
      <c r="A608" s="397"/>
      <c r="B608" s="94">
        <v>10</v>
      </c>
      <c r="C608" s="144">
        <f t="shared" ref="C608:K623" si="162">($E$4/2)/(1-C584)</f>
        <v>0.16056745953884147</v>
      </c>
      <c r="D608" s="144">
        <f t="shared" si="162"/>
        <v>0.39108666750938914</v>
      </c>
      <c r="E608" s="144">
        <f t="shared" si="162"/>
        <v>0.5327152694571724</v>
      </c>
      <c r="F608" s="144">
        <f t="shared" si="162"/>
        <v>0.6100371249783656</v>
      </c>
      <c r="G608" s="144">
        <f t="shared" si="162"/>
        <v>0.65397241766367287</v>
      </c>
      <c r="H608" s="144">
        <f t="shared" si="162"/>
        <v>0.68059905082293892</v>
      </c>
      <c r="I608" s="144">
        <f t="shared" si="162"/>
        <v>0.69772827697160733</v>
      </c>
      <c r="J608" s="144">
        <f t="shared" si="162"/>
        <v>0.70931487404536309</v>
      </c>
      <c r="K608" s="144">
        <f t="shared" si="162"/>
        <v>0.71748352305940144</v>
      </c>
      <c r="L608" s="35"/>
      <c r="M608" s="35"/>
      <c r="N608" s="35"/>
    </row>
    <row r="609" spans="1:14" x14ac:dyDescent="0.3">
      <c r="A609" s="397"/>
      <c r="B609" s="94">
        <v>15</v>
      </c>
      <c r="C609" s="144">
        <f t="shared" si="162"/>
        <v>0.11527110095409154</v>
      </c>
      <c r="D609" s="144">
        <f t="shared" si="162"/>
        <v>0.31557684320769519</v>
      </c>
      <c r="E609" s="144">
        <f t="shared" si="162"/>
        <v>0.46531183208807464</v>
      </c>
      <c r="F609" s="144">
        <f t="shared" si="162"/>
        <v>0.55797341598691796</v>
      </c>
      <c r="G609" s="144">
        <f t="shared" si="162"/>
        <v>0.61462510883398636</v>
      </c>
      <c r="H609" s="144">
        <f t="shared" si="162"/>
        <v>0.65050207645772862</v>
      </c>
      <c r="I609" s="144">
        <f t="shared" si="162"/>
        <v>0.6742327389792101</v>
      </c>
      <c r="J609" s="144">
        <f t="shared" si="162"/>
        <v>0.69058387930420739</v>
      </c>
      <c r="K609" s="144">
        <f t="shared" si="162"/>
        <v>0.70226017193472379</v>
      </c>
      <c r="L609" s="35"/>
      <c r="M609" s="35"/>
      <c r="N609" s="35"/>
    </row>
    <row r="610" spans="1:14" x14ac:dyDescent="0.3">
      <c r="A610" s="397"/>
      <c r="B610" s="94">
        <v>20</v>
      </c>
      <c r="C610" s="144">
        <f t="shared" si="162"/>
        <v>8.9907920717432546E-2</v>
      </c>
      <c r="D610" s="144">
        <f t="shared" si="162"/>
        <v>0.26450669501218693</v>
      </c>
      <c r="E610" s="144">
        <f t="shared" si="162"/>
        <v>0.41304947703316341</v>
      </c>
      <c r="F610" s="144">
        <f t="shared" si="162"/>
        <v>0.51409767370650383</v>
      </c>
      <c r="G610" s="144">
        <f t="shared" si="162"/>
        <v>0.57974388009109967</v>
      </c>
      <c r="H610" s="144">
        <f t="shared" si="162"/>
        <v>0.62295423092914093</v>
      </c>
      <c r="I610" s="144">
        <f t="shared" si="162"/>
        <v>0.65226804423990126</v>
      </c>
      <c r="J610" s="144">
        <f t="shared" si="162"/>
        <v>0.67281669791337817</v>
      </c>
      <c r="K610" s="144">
        <f t="shared" si="162"/>
        <v>0.68766940780391961</v>
      </c>
      <c r="L610" s="35"/>
      <c r="M610" s="35"/>
      <c r="N610" s="35"/>
    </row>
    <row r="611" spans="1:14" x14ac:dyDescent="0.3">
      <c r="A611" s="397"/>
      <c r="B611" s="94">
        <v>25</v>
      </c>
      <c r="C611" s="144">
        <f t="shared" si="162"/>
        <v>7.3693162988721167E-2</v>
      </c>
      <c r="D611" s="144">
        <f t="shared" si="162"/>
        <v>0.22766363771263512</v>
      </c>
      <c r="E611" s="144">
        <f t="shared" si="162"/>
        <v>0.37134156547151337</v>
      </c>
      <c r="F611" s="144">
        <f t="shared" si="162"/>
        <v>0.47661915150761119</v>
      </c>
      <c r="G611" s="144">
        <f t="shared" si="162"/>
        <v>0.54860918944406201</v>
      </c>
      <c r="H611" s="144">
        <f t="shared" si="162"/>
        <v>0.59764481584250018</v>
      </c>
      <c r="I611" s="144">
        <f t="shared" si="162"/>
        <v>0.6316893006449803</v>
      </c>
      <c r="J611" s="144">
        <f t="shared" si="162"/>
        <v>0.65594080546694566</v>
      </c>
      <c r="K611" s="144">
        <f t="shared" si="162"/>
        <v>0.67367260369244442</v>
      </c>
      <c r="L611" s="35"/>
      <c r="M611" s="35"/>
      <c r="N611" s="35"/>
    </row>
    <row r="612" spans="1:14" x14ac:dyDescent="0.3">
      <c r="A612" s="397"/>
      <c r="B612" s="94">
        <v>30</v>
      </c>
      <c r="C612" s="144">
        <f t="shared" si="162"/>
        <v>6.2433394562022813E-2</v>
      </c>
      <c r="D612" s="144">
        <f t="shared" si="162"/>
        <v>0.19982945372898936</v>
      </c>
      <c r="E612" s="144">
        <f t="shared" si="162"/>
        <v>0.3372841063509312</v>
      </c>
      <c r="F612" s="144">
        <f t="shared" si="162"/>
        <v>0.4442338136652596</v>
      </c>
      <c r="G612" s="144">
        <f t="shared" si="162"/>
        <v>0.52064818668892554</v>
      </c>
      <c r="H612" s="144">
        <f t="shared" si="162"/>
        <v>0.57431165376947446</v>
      </c>
      <c r="I612" s="144">
        <f t="shared" si="162"/>
        <v>0.61236934194909498</v>
      </c>
      <c r="J612" s="144">
        <f t="shared" si="162"/>
        <v>0.6398907758754846</v>
      </c>
      <c r="K612" s="144">
        <f t="shared" si="162"/>
        <v>0.66023421474193378</v>
      </c>
      <c r="L612" s="35"/>
      <c r="M612" s="35"/>
      <c r="N612" s="35"/>
    </row>
    <row r="613" spans="1:14" x14ac:dyDescent="0.3">
      <c r="A613" s="397"/>
      <c r="B613" s="94">
        <v>35</v>
      </c>
      <c r="C613" s="144">
        <f t="shared" si="162"/>
        <v>5.4158393886372565E-2</v>
      </c>
      <c r="D613" s="144">
        <f t="shared" si="162"/>
        <v>0.17805983650283558</v>
      </c>
      <c r="E613" s="144">
        <f t="shared" si="162"/>
        <v>0.30894896253644627</v>
      </c>
      <c r="F613" s="144">
        <f t="shared" si="162"/>
        <v>0.41596950080051737</v>
      </c>
      <c r="G613" s="144">
        <f t="shared" si="162"/>
        <v>0.49539914402347268</v>
      </c>
      <c r="H613" s="144">
        <f t="shared" si="162"/>
        <v>0.55273197240490668</v>
      </c>
      <c r="I613" s="144">
        <f t="shared" si="162"/>
        <v>0.5941960975238747</v>
      </c>
      <c r="J613" s="144">
        <f t="shared" si="162"/>
        <v>0.62460743367452753</v>
      </c>
      <c r="K613" s="144">
        <f t="shared" si="162"/>
        <v>0.6473214768129284</v>
      </c>
      <c r="L613" s="35"/>
      <c r="M613" s="35"/>
      <c r="N613" s="35"/>
    </row>
    <row r="614" spans="1:14" x14ac:dyDescent="0.3">
      <c r="A614" s="397"/>
      <c r="B614" s="94">
        <v>40</v>
      </c>
      <c r="C614" s="144">
        <f t="shared" si="162"/>
        <v>4.782023920904669E-2</v>
      </c>
      <c r="D614" s="144">
        <f t="shared" si="162"/>
        <v>0.16056745953884147</v>
      </c>
      <c r="E614" s="144">
        <f t="shared" si="162"/>
        <v>0.28500571206250236</v>
      </c>
      <c r="F614" s="144">
        <f t="shared" si="162"/>
        <v>0.39108666750938914</v>
      </c>
      <c r="G614" s="144">
        <f t="shared" si="162"/>
        <v>0.47248575767294876</v>
      </c>
      <c r="H614" s="144">
        <f t="shared" si="162"/>
        <v>0.5327152694571724</v>
      </c>
      <c r="I614" s="144">
        <f t="shared" si="162"/>
        <v>0.57707041695897332</v>
      </c>
      <c r="J614" s="144">
        <f t="shared" si="162"/>
        <v>0.6100371249783656</v>
      </c>
      <c r="K614" s="144">
        <f t="shared" si="162"/>
        <v>0.63490413977718008</v>
      </c>
      <c r="L614" s="35"/>
      <c r="M614" s="35"/>
      <c r="N614" s="35"/>
    </row>
    <row r="615" spans="1:14" x14ac:dyDescent="0.3">
      <c r="A615" s="397"/>
      <c r="B615" s="94">
        <v>45</v>
      </c>
      <c r="C615" s="144">
        <f t="shared" si="162"/>
        <v>4.2810167064277503E-2</v>
      </c>
      <c r="D615" s="144">
        <f t="shared" si="162"/>
        <v>0.14620451022412703</v>
      </c>
      <c r="E615" s="144">
        <f t="shared" si="162"/>
        <v>0.26450669501218693</v>
      </c>
      <c r="F615" s="144">
        <f t="shared" si="162"/>
        <v>0.36901273572433918</v>
      </c>
      <c r="G615" s="144">
        <f t="shared" si="162"/>
        <v>0.45159826590641078</v>
      </c>
      <c r="H615" s="144">
        <f t="shared" si="162"/>
        <v>0.51409767370650383</v>
      </c>
      <c r="I615" s="144">
        <f t="shared" si="162"/>
        <v>0.56090426031526419</v>
      </c>
      <c r="J615" s="144">
        <f t="shared" si="162"/>
        <v>0.59613108814722227</v>
      </c>
      <c r="K615" s="144">
        <f t="shared" si="162"/>
        <v>0.62295423092914093</v>
      </c>
      <c r="L615" s="35"/>
      <c r="M615" s="35"/>
      <c r="N615" s="35"/>
    </row>
    <row r="616" spans="1:14" x14ac:dyDescent="0.3">
      <c r="A616" s="397"/>
      <c r="B616" s="94">
        <v>50</v>
      </c>
      <c r="C616" s="144">
        <f t="shared" si="162"/>
        <v>3.8750338151189709E-2</v>
      </c>
      <c r="D616" s="144">
        <f t="shared" si="162"/>
        <v>0.13420014812554099</v>
      </c>
      <c r="E616" s="144">
        <f t="shared" si="162"/>
        <v>0.24675859904416964</v>
      </c>
      <c r="F616" s="144">
        <f t="shared" si="162"/>
        <v>0.3492974918939642</v>
      </c>
      <c r="G616" s="144">
        <f t="shared" si="162"/>
        <v>0.43247936338865295</v>
      </c>
      <c r="H616" s="144">
        <f t="shared" si="162"/>
        <v>0.49673744856951924</v>
      </c>
      <c r="I616" s="144">
        <f t="shared" si="162"/>
        <v>0.54561918428006118</v>
      </c>
      <c r="J616" s="144">
        <f t="shared" si="162"/>
        <v>0.58284490861137561</v>
      </c>
      <c r="K616" s="144">
        <f t="shared" si="162"/>
        <v>0.61144584462171192</v>
      </c>
      <c r="L616" s="35"/>
      <c r="M616" s="35"/>
      <c r="N616" s="35"/>
    </row>
    <row r="617" spans="1:14" x14ac:dyDescent="0.3">
      <c r="A617" s="397"/>
      <c r="B617" s="94">
        <v>55</v>
      </c>
      <c r="C617" s="144">
        <f t="shared" si="162"/>
        <v>3.5393825313123697E-2</v>
      </c>
      <c r="D617" s="144">
        <f t="shared" si="162"/>
        <v>0.12401748802480532</v>
      </c>
      <c r="E617" s="144">
        <f t="shared" si="162"/>
        <v>0.23124249289922003</v>
      </c>
      <c r="F617" s="144">
        <f t="shared" si="162"/>
        <v>0.3315820569774543</v>
      </c>
      <c r="G617" s="144">
        <f t="shared" si="162"/>
        <v>0.41491354819382925</v>
      </c>
      <c r="H617" s="144">
        <f t="shared" si="162"/>
        <v>0.48051137692790141</v>
      </c>
      <c r="I617" s="144">
        <f t="shared" si="162"/>
        <v>0.5311450692768056</v>
      </c>
      <c r="J617" s="144">
        <f t="shared" si="162"/>
        <v>0.57013804500902687</v>
      </c>
      <c r="K617" s="144">
        <f t="shared" si="162"/>
        <v>0.60035495479651169</v>
      </c>
      <c r="L617" s="35"/>
      <c r="M617" s="35"/>
      <c r="N617" s="35"/>
    </row>
    <row r="618" spans="1:14" x14ac:dyDescent="0.3">
      <c r="A618" s="397"/>
      <c r="B618" s="94">
        <v>60</v>
      </c>
      <c r="C618" s="144">
        <f t="shared" si="162"/>
        <v>3.2572435770550696E-2</v>
      </c>
      <c r="D618" s="144">
        <f t="shared" si="162"/>
        <v>0.11527110095409154</v>
      </c>
      <c r="E618" s="144">
        <f t="shared" si="162"/>
        <v>0.21756224469358443</v>
      </c>
      <c r="F618" s="144">
        <f t="shared" si="162"/>
        <v>0.31557684320769519</v>
      </c>
      <c r="G618" s="144">
        <f t="shared" si="162"/>
        <v>0.39871896361380693</v>
      </c>
      <c r="H618" s="144">
        <f t="shared" si="162"/>
        <v>0.46531183208807464</v>
      </c>
      <c r="I618" s="144">
        <f t="shared" si="162"/>
        <v>0.51741904394145188</v>
      </c>
      <c r="J618" s="144">
        <f t="shared" si="162"/>
        <v>0.55797341598691796</v>
      </c>
      <c r="K618" s="144">
        <f t="shared" si="162"/>
        <v>0.58965924755350585</v>
      </c>
      <c r="L618" s="35"/>
      <c r="M618" s="35"/>
      <c r="N618" s="35"/>
    </row>
    <row r="619" spans="1:14" x14ac:dyDescent="0.3">
      <c r="A619" s="397"/>
      <c r="B619" s="94">
        <v>65</v>
      </c>
      <c r="C619" s="144">
        <f t="shared" si="162"/>
        <v>3.0167646735445666E-2</v>
      </c>
      <c r="D619" s="144">
        <f t="shared" si="162"/>
        <v>0.10767712506052533</v>
      </c>
      <c r="E619" s="144">
        <f t="shared" si="162"/>
        <v>0.2054102269015361</v>
      </c>
      <c r="F619" s="144">
        <f t="shared" si="162"/>
        <v>0.30104560095170874</v>
      </c>
      <c r="G619" s="144">
        <f t="shared" si="162"/>
        <v>0.38374107874219426</v>
      </c>
      <c r="H619" s="144">
        <f t="shared" si="162"/>
        <v>0.45104438760429438</v>
      </c>
      <c r="I619" s="144">
        <f t="shared" si="162"/>
        <v>0.50438457216204857</v>
      </c>
      <c r="J619" s="144">
        <f t="shared" si="162"/>
        <v>0.54631703879274973</v>
      </c>
      <c r="K619" s="144">
        <f t="shared" si="162"/>
        <v>0.57933797130463793</v>
      </c>
      <c r="L619" s="35"/>
      <c r="M619" s="35"/>
      <c r="N619" s="35"/>
    </row>
    <row r="620" spans="1:14" x14ac:dyDescent="0.3">
      <c r="A620" s="397"/>
      <c r="B620" s="94">
        <v>70</v>
      </c>
      <c r="C620" s="144">
        <f t="shared" si="162"/>
        <v>2.8093530607381921E-2</v>
      </c>
      <c r="D620" s="144">
        <f t="shared" si="162"/>
        <v>0.10102187758925228</v>
      </c>
      <c r="E620" s="144">
        <f t="shared" si="162"/>
        <v>0.19454390669587499</v>
      </c>
      <c r="F620" s="144">
        <f t="shared" si="162"/>
        <v>0.2877936790807748</v>
      </c>
      <c r="G620" s="144">
        <f t="shared" si="162"/>
        <v>0.36984774182422736</v>
      </c>
      <c r="H620" s="144">
        <f t="shared" si="162"/>
        <v>0.43762585374714846</v>
      </c>
      <c r="I620" s="144">
        <f t="shared" si="162"/>
        <v>0.49199067471963359</v>
      </c>
      <c r="J620" s="144">
        <f t="shared" si="162"/>
        <v>0.53513771224066231</v>
      </c>
      <c r="K620" s="144">
        <f t="shared" si="162"/>
        <v>0.56937180239402263</v>
      </c>
      <c r="L620" s="35"/>
      <c r="M620" s="35"/>
      <c r="N620" s="35"/>
    </row>
    <row r="621" spans="1:14" x14ac:dyDescent="0.3">
      <c r="A621" s="397"/>
      <c r="B621" s="94">
        <v>75</v>
      </c>
      <c r="C621" s="144">
        <f t="shared" si="162"/>
        <v>2.6286270713631783E-2</v>
      </c>
      <c r="D621" s="144">
        <f t="shared" si="162"/>
        <v>9.5141429379519415E-2</v>
      </c>
      <c r="E621" s="144">
        <f t="shared" si="162"/>
        <v>0.18476949327706896</v>
      </c>
      <c r="F621" s="144">
        <f t="shared" si="162"/>
        <v>0.27565925525243556</v>
      </c>
      <c r="G621" s="144">
        <f t="shared" si="162"/>
        <v>0.3569252706216724</v>
      </c>
      <c r="H621" s="144">
        <f t="shared" si="162"/>
        <v>0.42498265433568372</v>
      </c>
      <c r="I621" s="144">
        <f t="shared" si="162"/>
        <v>0.4801912629334445</v>
      </c>
      <c r="J621" s="144">
        <f t="shared" si="162"/>
        <v>0.5244067378211702</v>
      </c>
      <c r="K621" s="144">
        <f t="shared" si="162"/>
        <v>0.55974272435372985</v>
      </c>
      <c r="L621" s="35"/>
      <c r="M621" s="35"/>
      <c r="N621" s="35"/>
    </row>
    <row r="622" spans="1:14" x14ac:dyDescent="0.3">
      <c r="A622" s="397"/>
      <c r="B622" s="94">
        <v>80</v>
      </c>
      <c r="C622" s="144">
        <f t="shared" si="162"/>
        <v>2.469747917933415E-2</v>
      </c>
      <c r="D622" s="144">
        <f t="shared" si="162"/>
        <v>8.9907920717432546E-2</v>
      </c>
      <c r="E622" s="144">
        <f t="shared" si="162"/>
        <v>0.17593027898899294</v>
      </c>
      <c r="F622" s="144">
        <f t="shared" si="162"/>
        <v>0.26450669501218693</v>
      </c>
      <c r="G622" s="144">
        <f t="shared" si="162"/>
        <v>0.34487533472253284</v>
      </c>
      <c r="H622" s="144">
        <f t="shared" si="162"/>
        <v>0.41304947703316341</v>
      </c>
      <c r="I622" s="144">
        <f t="shared" si="162"/>
        <v>0.46894456594744421</v>
      </c>
      <c r="J622" s="144">
        <f t="shared" si="162"/>
        <v>0.51409767370650383</v>
      </c>
      <c r="K622" s="144">
        <f t="shared" si="162"/>
        <v>0.55043391920779439</v>
      </c>
      <c r="L622" s="35"/>
      <c r="M622" s="35"/>
      <c r="N622" s="35"/>
    </row>
    <row r="623" spans="1:14" x14ac:dyDescent="0.3">
      <c r="A623" s="397"/>
      <c r="B623" s="94">
        <v>85</v>
      </c>
      <c r="C623" s="144">
        <f t="shared" si="162"/>
        <v>2.3289799960912575E-2</v>
      </c>
      <c r="D623" s="144">
        <f t="shared" si="162"/>
        <v>8.5220158104121022E-2</v>
      </c>
      <c r="E623" s="144">
        <f t="shared" si="162"/>
        <v>0.16789817415599384</v>
      </c>
      <c r="F623" s="144">
        <f t="shared" si="162"/>
        <v>0.25422146026687098</v>
      </c>
      <c r="G623" s="144">
        <f t="shared" si="162"/>
        <v>0.33361244875307572</v>
      </c>
      <c r="H623" s="144">
        <f t="shared" si="162"/>
        <v>0.40176814482400797</v>
      </c>
      <c r="I623" s="144">
        <f t="shared" si="162"/>
        <v>0.45821263665710843</v>
      </c>
      <c r="J623" s="144">
        <f t="shared" si="162"/>
        <v>0.50418611721190598</v>
      </c>
      <c r="K623" s="144">
        <f t="shared" si="162"/>
        <v>0.54142966944481752</v>
      </c>
      <c r="L623" s="35"/>
      <c r="M623" s="35"/>
      <c r="N623" s="35"/>
    </row>
    <row r="624" spans="1:14" x14ac:dyDescent="0.3">
      <c r="A624" s="397"/>
      <c r="B624" s="94">
        <v>90</v>
      </c>
      <c r="C624" s="144">
        <f t="shared" ref="C624:K626" si="163">($E$4/2)/(1-C600)</f>
        <v>2.2033934476143449E-2</v>
      </c>
      <c r="D624" s="144">
        <f t="shared" si="163"/>
        <v>8.0997006930676727E-2</v>
      </c>
      <c r="E624" s="144">
        <f t="shared" si="163"/>
        <v>0.16056745953884147</v>
      </c>
      <c r="F624" s="144">
        <f t="shared" si="163"/>
        <v>0.24470616118785798</v>
      </c>
      <c r="G624" s="144">
        <f t="shared" si="163"/>
        <v>0.32306194125349758</v>
      </c>
      <c r="H624" s="144">
        <f t="shared" si="163"/>
        <v>0.39108666750938914</v>
      </c>
      <c r="I624" s="144">
        <f t="shared" si="163"/>
        <v>0.44796092396039855</v>
      </c>
      <c r="J624" s="144">
        <f t="shared" si="163"/>
        <v>0.49464951194520118</v>
      </c>
      <c r="K624" s="144">
        <f t="shared" si="163"/>
        <v>0.5327152694571724</v>
      </c>
      <c r="L624" s="35"/>
      <c r="M624" s="35"/>
      <c r="N624" s="35"/>
    </row>
    <row r="625" spans="1:14" x14ac:dyDescent="0.3">
      <c r="A625" s="397"/>
      <c r="B625" s="94">
        <v>95</v>
      </c>
      <c r="C625" s="144">
        <f t="shared" si="163"/>
        <v>2.0906580326243172E-2</v>
      </c>
      <c r="D625" s="144">
        <f t="shared" si="163"/>
        <v>7.7172655980028676E-2</v>
      </c>
      <c r="E625" s="144">
        <f t="shared" si="163"/>
        <v>0.15385010698971771</v>
      </c>
      <c r="F625" s="144">
        <f t="shared" si="163"/>
        <v>0.23587746276919752</v>
      </c>
      <c r="G625" s="144">
        <f t="shared" si="163"/>
        <v>0.31315829714509125</v>
      </c>
      <c r="H625" s="144">
        <f t="shared" si="163"/>
        <v>0.38095844058705386</v>
      </c>
      <c r="I625" s="144">
        <f t="shared" si="163"/>
        <v>0.4381579011730099</v>
      </c>
      <c r="J625" s="144">
        <f t="shared" si="163"/>
        <v>0.48546697643649406</v>
      </c>
      <c r="K625" s="144">
        <f t="shared" si="163"/>
        <v>0.5242769453971402</v>
      </c>
      <c r="L625" s="35"/>
      <c r="M625" s="35"/>
      <c r="N625" s="35"/>
    </row>
    <row r="626" spans="1:14" x14ac:dyDescent="0.3">
      <c r="A626" s="397"/>
      <c r="B626" s="94">
        <v>100</v>
      </c>
      <c r="C626" s="144">
        <f t="shared" si="163"/>
        <v>1.9888972002649666E-2</v>
      </c>
      <c r="D626" s="144">
        <f t="shared" si="163"/>
        <v>7.3693162988721167E-2</v>
      </c>
      <c r="E626" s="144">
        <f t="shared" si="163"/>
        <v>0.14767222750698916</v>
      </c>
      <c r="F626" s="144">
        <f t="shared" si="163"/>
        <v>0.22766363771263512</v>
      </c>
      <c r="G626" s="144">
        <f t="shared" si="163"/>
        <v>0.30384379600483497</v>
      </c>
      <c r="H626" s="144">
        <f t="shared" si="163"/>
        <v>0.37134156547151337</v>
      </c>
      <c r="I626" s="144">
        <f t="shared" si="163"/>
        <v>0.42877474218858258</v>
      </c>
      <c r="J626" s="144">
        <f t="shared" si="163"/>
        <v>0.47661915150761119</v>
      </c>
      <c r="K626" s="144">
        <f t="shared" si="163"/>
        <v>0.51610178253125016</v>
      </c>
      <c r="L626" s="35"/>
      <c r="M626" s="35"/>
      <c r="N626" s="35"/>
    </row>
    <row r="627" spans="1:14" x14ac:dyDescent="0.3">
      <c r="A627" s="284"/>
      <c r="B627" s="7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</row>
    <row r="628" spans="1:14" x14ac:dyDescent="0.3">
      <c r="A628" s="415" t="s">
        <v>539</v>
      </c>
      <c r="B628" s="416"/>
      <c r="C628" s="416"/>
      <c r="D628" s="416"/>
      <c r="E628" s="416"/>
      <c r="F628" s="416"/>
      <c r="G628" s="416"/>
      <c r="H628" s="416"/>
      <c r="I628" s="416"/>
      <c r="J628" s="416"/>
      <c r="K628" s="369"/>
      <c r="L628" s="35"/>
      <c r="M628" s="35"/>
      <c r="N628" s="35"/>
    </row>
    <row r="629" spans="1:14" x14ac:dyDescent="0.3">
      <c r="A629" s="360"/>
      <c r="B629" s="361"/>
      <c r="C629" s="364" t="s">
        <v>230</v>
      </c>
      <c r="D629" s="365"/>
      <c r="E629" s="365"/>
      <c r="F629" s="365"/>
      <c r="G629" s="365"/>
      <c r="H629" s="365"/>
      <c r="I629" s="365"/>
      <c r="J629" s="365"/>
      <c r="K629" s="366"/>
      <c r="L629" s="35"/>
      <c r="M629" s="35"/>
      <c r="N629" s="35"/>
    </row>
    <row r="630" spans="1:14" x14ac:dyDescent="0.3">
      <c r="A630" s="362"/>
      <c r="B630" s="363"/>
      <c r="C630" s="94">
        <v>5</v>
      </c>
      <c r="D630" s="94">
        <v>10</v>
      </c>
      <c r="E630" s="94">
        <v>15</v>
      </c>
      <c r="F630" s="94">
        <v>20</v>
      </c>
      <c r="G630" s="94">
        <v>25</v>
      </c>
      <c r="H630" s="94">
        <v>30</v>
      </c>
      <c r="I630" s="94">
        <v>35</v>
      </c>
      <c r="J630" s="94">
        <v>40</v>
      </c>
      <c r="K630" s="94">
        <v>45</v>
      </c>
      <c r="L630" s="35"/>
      <c r="M630" s="35"/>
      <c r="N630" s="35"/>
    </row>
    <row r="631" spans="1:14" x14ac:dyDescent="0.3">
      <c r="A631" s="397" t="s">
        <v>231</v>
      </c>
      <c r="B631" s="94">
        <v>5</v>
      </c>
      <c r="C631" s="144">
        <f>-DEGREES(ATAN(1/(C607*1000)))</f>
        <v>-0.21661268927252331</v>
      </c>
      <c r="D631" s="144">
        <f t="shared" ref="D631:K631" si="164">-DEGREES(ATAN(1/(D607*1000)))</f>
        <v>-0.11144906927537623</v>
      </c>
      <c r="E631" s="144">
        <f t="shared" si="164"/>
        <v>-9.1974221306198214E-2</v>
      </c>
      <c r="F631" s="144">
        <f t="shared" si="164"/>
        <v>-8.5158019265861057E-2</v>
      </c>
      <c r="G631" s="144">
        <f t="shared" si="164"/>
        <v>-8.2003090636592821E-2</v>
      </c>
      <c r="H631" s="144">
        <f t="shared" si="164"/>
        <v>-8.0289302035735935E-2</v>
      </c>
      <c r="I631" s="144">
        <f t="shared" si="164"/>
        <v>-7.9255941492494875E-2</v>
      </c>
      <c r="J631" s="144">
        <f t="shared" si="164"/>
        <v>-7.8585250727660497E-2</v>
      </c>
      <c r="K631" s="144">
        <f t="shared" si="164"/>
        <v>-7.8125427334870254E-2</v>
      </c>
      <c r="L631" s="35"/>
      <c r="M631" s="35"/>
      <c r="N631" s="35"/>
    </row>
    <row r="632" spans="1:14" x14ac:dyDescent="0.3">
      <c r="A632" s="397"/>
      <c r="B632" s="94">
        <v>10</v>
      </c>
      <c r="C632" s="144">
        <f t="shared" ref="C632:K650" si="165">-DEGREES(ATAN(1/(C608*1000)))</f>
        <v>-0.35682845652472622</v>
      </c>
      <c r="D632" s="144">
        <f t="shared" si="165"/>
        <v>-0.14650372770119779</v>
      </c>
      <c r="E632" s="144">
        <f t="shared" si="165"/>
        <v>-0.10755410159769639</v>
      </c>
      <c r="F632" s="144">
        <f t="shared" si="165"/>
        <v>-9.3921707133704679E-2</v>
      </c>
      <c r="G632" s="144">
        <f t="shared" si="165"/>
        <v>-8.7611852288140502E-2</v>
      </c>
      <c r="H632" s="144">
        <f t="shared" si="165"/>
        <v>-8.4184275915971246E-2</v>
      </c>
      <c r="I632" s="144">
        <f t="shared" si="165"/>
        <v>-8.2117555176169005E-2</v>
      </c>
      <c r="J632" s="144">
        <f t="shared" si="165"/>
        <v>-8.0776173812086238E-2</v>
      </c>
      <c r="K632" s="144">
        <f t="shared" si="165"/>
        <v>-7.9856527113688278E-2</v>
      </c>
      <c r="L632" s="35"/>
      <c r="M632" s="35"/>
      <c r="N632" s="35"/>
    </row>
    <row r="633" spans="1:14" x14ac:dyDescent="0.3">
      <c r="A633" s="397"/>
      <c r="B633" s="94">
        <v>15</v>
      </c>
      <c r="C633" s="144">
        <f t="shared" si="165"/>
        <v>-0.49703994982702265</v>
      </c>
      <c r="D633" s="144">
        <f t="shared" si="165"/>
        <v>-0.1815582764477828</v>
      </c>
      <c r="E633" s="144">
        <f t="shared" si="165"/>
        <v>-0.12313396598396298</v>
      </c>
      <c r="F633" s="144">
        <f t="shared" si="165"/>
        <v>-0.10268539060689436</v>
      </c>
      <c r="G633" s="144">
        <f t="shared" si="165"/>
        <v>-9.3220612260568048E-2</v>
      </c>
      <c r="H633" s="144">
        <f t="shared" si="165"/>
        <v>-8.8079249018125125E-2</v>
      </c>
      <c r="I633" s="144">
        <f t="shared" si="165"/>
        <v>-8.4979168450164816E-2</v>
      </c>
      <c r="J633" s="144">
        <f t="shared" si="165"/>
        <v>-8.2967096660288814E-2</v>
      </c>
      <c r="K633" s="144">
        <f t="shared" si="165"/>
        <v>-8.1587626746712355E-2</v>
      </c>
      <c r="L633" s="35"/>
      <c r="M633" s="35"/>
      <c r="N633" s="35"/>
    </row>
    <row r="634" spans="1:14" x14ac:dyDescent="0.3">
      <c r="A634" s="397"/>
      <c r="B634" s="94">
        <v>20</v>
      </c>
      <c r="C634" s="144">
        <f t="shared" si="165"/>
        <v>-0.63724549014353571</v>
      </c>
      <c r="D634" s="144">
        <f t="shared" si="165"/>
        <v>-0.21661268927252331</v>
      </c>
      <c r="E634" s="144">
        <f t="shared" si="165"/>
        <v>-0.13871381216106188</v>
      </c>
      <c r="F634" s="144">
        <f t="shared" si="165"/>
        <v>-0.11144906927537623</v>
      </c>
      <c r="G634" s="144">
        <f t="shared" si="165"/>
        <v>-9.8829370446381987E-2</v>
      </c>
      <c r="H634" s="144">
        <f t="shared" si="165"/>
        <v>-9.1974221306198214E-2</v>
      </c>
      <c r="I634" s="144">
        <f t="shared" si="165"/>
        <v>-8.7840781300206061E-2</v>
      </c>
      <c r="J634" s="144">
        <f t="shared" si="165"/>
        <v>-8.5158019265861057E-2</v>
      </c>
      <c r="K634" s="144">
        <f t="shared" si="165"/>
        <v>-8.3318726230781959E-2</v>
      </c>
      <c r="L634" s="35"/>
      <c r="M634" s="35"/>
      <c r="N634" s="35"/>
    </row>
    <row r="635" spans="1:14" x14ac:dyDescent="0.3">
      <c r="A635" s="397"/>
      <c r="B635" s="94">
        <v>25</v>
      </c>
      <c r="C635" s="144">
        <f t="shared" si="165"/>
        <v>-0.77744339886612823</v>
      </c>
      <c r="D635" s="144">
        <f t="shared" si="165"/>
        <v>-0.25166693993342193</v>
      </c>
      <c r="E635" s="144">
        <f t="shared" si="165"/>
        <v>-0.15429363782507319</v>
      </c>
      <c r="F635" s="144">
        <f t="shared" si="165"/>
        <v>-0.12021274272909781</v>
      </c>
      <c r="G635" s="144">
        <f t="shared" si="165"/>
        <v>-0.10443812673808908</v>
      </c>
      <c r="H635" s="144">
        <f t="shared" si="165"/>
        <v>-9.5869192744191159E-2</v>
      </c>
      <c r="I635" s="144">
        <f t="shared" si="165"/>
        <v>-9.070239371201641E-2</v>
      </c>
      <c r="J635" s="144">
        <f t="shared" si="165"/>
        <v>-8.7348941622395912E-2</v>
      </c>
      <c r="K635" s="144">
        <f t="shared" si="165"/>
        <v>-8.5049825562736728E-2</v>
      </c>
      <c r="L635" s="35"/>
      <c r="M635" s="35"/>
      <c r="N635" s="35"/>
    </row>
    <row r="636" spans="1:14" x14ac:dyDescent="0.3">
      <c r="A636" s="397"/>
      <c r="B636" s="94">
        <v>30</v>
      </c>
      <c r="C636" s="144">
        <f t="shared" si="165"/>
        <v>-0.91763199793493289</v>
      </c>
      <c r="D636" s="144">
        <f t="shared" si="165"/>
        <v>-0.28672100218920976</v>
      </c>
      <c r="E636" s="144">
        <f t="shared" si="165"/>
        <v>-0.16987344067209512</v>
      </c>
      <c r="F636" s="144">
        <f t="shared" si="165"/>
        <v>-0.12897641055800796</v>
      </c>
      <c r="G636" s="144">
        <f t="shared" si="165"/>
        <v>-0.11004688102819626</v>
      </c>
      <c r="H636" s="144">
        <f t="shared" si="165"/>
        <v>-9.9764163296104671E-2</v>
      </c>
      <c r="I636" s="144">
        <f t="shared" si="165"/>
        <v>-9.3564005671319672E-2</v>
      </c>
      <c r="J636" s="144">
        <f t="shared" si="165"/>
        <v>-8.9539863723486199E-2</v>
      </c>
      <c r="K636" s="144">
        <f t="shared" si="165"/>
        <v>-8.6780924739416163E-2</v>
      </c>
      <c r="L636" s="35"/>
      <c r="M636" s="35"/>
      <c r="N636" s="35"/>
    </row>
    <row r="637" spans="1:14" x14ac:dyDescent="0.3">
      <c r="A637" s="397"/>
      <c r="B637" s="94">
        <v>35</v>
      </c>
      <c r="C637" s="144">
        <f t="shared" si="165"/>
        <v>-1.0578096099587897</v>
      </c>
      <c r="D637" s="144">
        <f t="shared" si="165"/>
        <v>-0.32177484979946419</v>
      </c>
      <c r="E637" s="144">
        <f t="shared" si="165"/>
        <v>-0.18545321839824622</v>
      </c>
      <c r="F637" s="144">
        <f t="shared" si="165"/>
        <v>-0.13774007235205724</v>
      </c>
      <c r="G637" s="144">
        <f t="shared" si="165"/>
        <v>-0.11565563320921077</v>
      </c>
      <c r="H637" s="144">
        <f t="shared" si="165"/>
        <v>-0.10365913292593949</v>
      </c>
      <c r="I637" s="144">
        <f t="shared" si="165"/>
        <v>-9.6425617163839628E-2</v>
      </c>
      <c r="J637" s="144">
        <f t="shared" si="165"/>
        <v>-9.173078556272482E-2</v>
      </c>
      <c r="K637" s="144">
        <f t="shared" si="165"/>
        <v>-8.8512023757659875E-2</v>
      </c>
      <c r="L637" s="35"/>
      <c r="M637" s="35"/>
      <c r="N637" s="35"/>
    </row>
    <row r="638" spans="1:14" x14ac:dyDescent="0.3">
      <c r="A638" s="397"/>
      <c r="B638" s="94">
        <v>40</v>
      </c>
      <c r="C638" s="144">
        <f t="shared" si="165"/>
        <v>-1.1979745583355572</v>
      </c>
      <c r="D638" s="144">
        <f t="shared" si="165"/>
        <v>-0.35682845652472622</v>
      </c>
      <c r="E638" s="144">
        <f t="shared" si="165"/>
        <v>-0.20103296869966722</v>
      </c>
      <c r="F638" s="144">
        <f t="shared" si="165"/>
        <v>-0.14650372770119779</v>
      </c>
      <c r="G638" s="144">
        <f t="shared" si="165"/>
        <v>-0.12126438317364001</v>
      </c>
      <c r="H638" s="144">
        <f t="shared" si="165"/>
        <v>-0.10755410159769639</v>
      </c>
      <c r="I638" s="144">
        <f t="shared" si="165"/>
        <v>-9.928722817530003E-2</v>
      </c>
      <c r="J638" s="144">
        <f t="shared" si="165"/>
        <v>-9.3921707133704679E-2</v>
      </c>
      <c r="K638" s="144">
        <f t="shared" si="165"/>
        <v>-9.024312261430735E-2</v>
      </c>
      <c r="L638" s="35"/>
      <c r="M638" s="35"/>
      <c r="N638" s="35"/>
    </row>
    <row r="639" spans="1:14" x14ac:dyDescent="0.3">
      <c r="A639" s="397"/>
      <c r="B639" s="94">
        <v>45</v>
      </c>
      <c r="C639" s="144">
        <f t="shared" si="165"/>
        <v>-1.3381251673722887</v>
      </c>
      <c r="D639" s="144">
        <f t="shared" si="165"/>
        <v>-0.3918817961266195</v>
      </c>
      <c r="E639" s="144">
        <f t="shared" si="165"/>
        <v>-0.21661268927252331</v>
      </c>
      <c r="F639" s="144">
        <f t="shared" si="165"/>
        <v>-0.15526737619538369</v>
      </c>
      <c r="G639" s="144">
        <f t="shared" si="165"/>
        <v>-0.12687313081399165</v>
      </c>
      <c r="H639" s="144">
        <f t="shared" si="165"/>
        <v>-0.11144906927537623</v>
      </c>
      <c r="I639" s="144">
        <f t="shared" si="165"/>
        <v>-0.1021488386914247</v>
      </c>
      <c r="J639" s="144">
        <f t="shared" si="165"/>
        <v>-9.6112628430018623E-2</v>
      </c>
      <c r="K639" s="144">
        <f t="shared" si="165"/>
        <v>-9.1974221306198214E-2</v>
      </c>
      <c r="L639" s="35"/>
      <c r="M639" s="35"/>
      <c r="N639" s="35"/>
    </row>
    <row r="640" spans="1:14" x14ac:dyDescent="0.3">
      <c r="A640" s="397"/>
      <c r="B640" s="94">
        <v>50</v>
      </c>
      <c r="C640" s="144">
        <f t="shared" si="165"/>
        <v>-1.4782597624052389</v>
      </c>
      <c r="D640" s="144">
        <f t="shared" si="165"/>
        <v>-0.42693484236796708</v>
      </c>
      <c r="E640" s="144">
        <f t="shared" si="165"/>
        <v>-0.23219237781300592</v>
      </c>
      <c r="F640" s="144">
        <f t="shared" si="165"/>
        <v>-0.16403101742457077</v>
      </c>
      <c r="G640" s="144">
        <f t="shared" si="165"/>
        <v>-0.13248187602277373</v>
      </c>
      <c r="H640" s="144">
        <f t="shared" si="165"/>
        <v>-0.11534403592298</v>
      </c>
      <c r="I640" s="144">
        <f t="shared" si="165"/>
        <v>-0.10501044869793739</v>
      </c>
      <c r="J640" s="144">
        <f t="shared" si="165"/>
        <v>-9.8303549445259666E-2</v>
      </c>
      <c r="K640" s="144">
        <f t="shared" si="165"/>
        <v>-9.370531983017201E-2</v>
      </c>
      <c r="L640" s="35"/>
      <c r="M640" s="35"/>
      <c r="N640" s="35"/>
    </row>
    <row r="641" spans="1:14" x14ac:dyDescent="0.3">
      <c r="A641" s="397"/>
      <c r="B641" s="94">
        <v>55</v>
      </c>
      <c r="C641" s="144">
        <f t="shared" si="165"/>
        <v>-1.6183766699196918</v>
      </c>
      <c r="D641" s="144">
        <f t="shared" si="165"/>
        <v>-0.46198756901290938</v>
      </c>
      <c r="E641" s="144">
        <f t="shared" si="165"/>
        <v>-0.24777203201733505</v>
      </c>
      <c r="F641" s="144">
        <f t="shared" si="165"/>
        <v>-0.17279465097871713</v>
      </c>
      <c r="G641" s="144">
        <f t="shared" si="165"/>
        <v>-0.13809061869249439</v>
      </c>
      <c r="H641" s="144">
        <f t="shared" si="165"/>
        <v>-0.11923900150450854</v>
      </c>
      <c r="I641" s="144">
        <f t="shared" si="165"/>
        <v>-0.10787205818056197</v>
      </c>
      <c r="J641" s="144">
        <f t="shared" si="165"/>
        <v>-0.1004944701730206</v>
      </c>
      <c r="K641" s="144">
        <f t="shared" si="165"/>
        <v>-9.5436418183068319E-2</v>
      </c>
      <c r="L641" s="35"/>
      <c r="M641" s="35"/>
      <c r="N641" s="35"/>
    </row>
    <row r="642" spans="1:14" x14ac:dyDescent="0.3">
      <c r="A642" s="397"/>
      <c r="B642" s="94">
        <v>60</v>
      </c>
      <c r="C642" s="144">
        <f t="shared" si="165"/>
        <v>-1.7584742176695773</v>
      </c>
      <c r="D642" s="144">
        <f t="shared" si="165"/>
        <v>-0.49703994982702265</v>
      </c>
      <c r="E642" s="144">
        <f t="shared" si="165"/>
        <v>-0.26335164958176099</v>
      </c>
      <c r="F642" s="144">
        <f t="shared" si="165"/>
        <v>-0.1815582764477828</v>
      </c>
      <c r="G642" s="144">
        <f t="shared" si="165"/>
        <v>-0.14369935871566225</v>
      </c>
      <c r="H642" s="144">
        <f t="shared" si="165"/>
        <v>-0.12313396598396298</v>
      </c>
      <c r="I642" s="144">
        <f t="shared" si="165"/>
        <v>-0.11073366712502235</v>
      </c>
      <c r="J642" s="144">
        <f t="shared" si="165"/>
        <v>-0.10268539060689436</v>
      </c>
      <c r="K642" s="144">
        <f t="shared" si="165"/>
        <v>-9.7167516361726686E-2</v>
      </c>
      <c r="L642" s="35"/>
      <c r="M642" s="35"/>
      <c r="N642" s="35"/>
    </row>
    <row r="643" spans="1:14" x14ac:dyDescent="0.3">
      <c r="A643" s="397"/>
      <c r="B643" s="94">
        <v>65</v>
      </c>
      <c r="C643" s="144">
        <f t="shared" si="165"/>
        <v>-1.8985507347968649</v>
      </c>
      <c r="D643" s="144">
        <f t="shared" si="165"/>
        <v>-0.53209195857743574</v>
      </c>
      <c r="E643" s="144">
        <f t="shared" si="165"/>
        <v>-0.27893122820256666</v>
      </c>
      <c r="F643" s="144">
        <f t="shared" si="165"/>
        <v>-0.1903218934217302</v>
      </c>
      <c r="G643" s="144">
        <f t="shared" si="165"/>
        <v>-0.14930809598478606</v>
      </c>
      <c r="H643" s="144">
        <f t="shared" si="165"/>
        <v>-0.12702892932534432</v>
      </c>
      <c r="I643" s="144">
        <f t="shared" si="165"/>
        <v>-0.11359527551704222</v>
      </c>
      <c r="J643" s="144">
        <f t="shared" si="165"/>
        <v>-0.10487631074047389</v>
      </c>
      <c r="K643" s="144">
        <f t="shared" si="165"/>
        <v>-9.8898614362986678E-2</v>
      </c>
      <c r="L643" s="35"/>
      <c r="M643" s="35"/>
      <c r="N643" s="35"/>
    </row>
    <row r="644" spans="1:14" x14ac:dyDescent="0.3">
      <c r="A644" s="397"/>
      <c r="B644" s="94">
        <v>70</v>
      </c>
      <c r="C644" s="144">
        <f t="shared" si="165"/>
        <v>-2.0386045519507059</v>
      </c>
      <c r="D644" s="144">
        <f t="shared" si="165"/>
        <v>-0.56714356903294882</v>
      </c>
      <c r="E644" s="144">
        <f t="shared" si="165"/>
        <v>-0.2945107655760697</v>
      </c>
      <c r="F644" s="144">
        <f t="shared" si="165"/>
        <v>-0.19908550149052415</v>
      </c>
      <c r="G644" s="144">
        <f t="shared" si="165"/>
        <v>-0.154916830392375</v>
      </c>
      <c r="H644" s="144">
        <f t="shared" si="165"/>
        <v>-0.13092389149265379</v>
      </c>
      <c r="I644" s="144">
        <f t="shared" si="165"/>
        <v>-0.11645688334234564</v>
      </c>
      <c r="J644" s="144">
        <f t="shared" si="165"/>
        <v>-0.10706723056735211</v>
      </c>
      <c r="K644" s="144">
        <f t="shared" si="165"/>
        <v>-0.10062971218368789</v>
      </c>
      <c r="L644" s="35"/>
      <c r="M644" s="35"/>
      <c r="N644" s="35"/>
    </row>
    <row r="645" spans="1:14" x14ac:dyDescent="0.3">
      <c r="A645" s="397"/>
      <c r="B645" s="94">
        <v>75</v>
      </c>
      <c r="C645" s="144">
        <f t="shared" si="165"/>
        <v>-2.1786340014063077</v>
      </c>
      <c r="D645" s="144">
        <f t="shared" si="165"/>
        <v>-0.60219475496415031</v>
      </c>
      <c r="E645" s="144">
        <f t="shared" si="165"/>
        <v>-0.31009025939862384</v>
      </c>
      <c r="F645" s="144">
        <f t="shared" si="165"/>
        <v>-0.20784910024413186</v>
      </c>
      <c r="G645" s="144">
        <f t="shared" si="165"/>
        <v>-0.16052556183093852</v>
      </c>
      <c r="H645" s="144">
        <f t="shared" si="165"/>
        <v>-0.13481885244989253</v>
      </c>
      <c r="I645" s="144">
        <f t="shared" si="165"/>
        <v>-0.11931849058665639</v>
      </c>
      <c r="J645" s="144">
        <f t="shared" si="165"/>
        <v>-0.10925815008112193</v>
      </c>
      <c r="K645" s="144">
        <f t="shared" si="165"/>
        <v>-0.1023608098206699</v>
      </c>
      <c r="L645" s="35"/>
      <c r="M645" s="35"/>
      <c r="N645" s="35"/>
    </row>
    <row r="646" spans="1:14" x14ac:dyDescent="0.3">
      <c r="A646" s="397"/>
      <c r="B646" s="94">
        <v>80</v>
      </c>
      <c r="C646" s="144">
        <f t="shared" si="165"/>
        <v>-2.3186374171835196</v>
      </c>
      <c r="D646" s="144">
        <f t="shared" si="165"/>
        <v>-0.63724549014353571</v>
      </c>
      <c r="E646" s="144">
        <f t="shared" si="165"/>
        <v>-0.32566970736662204</v>
      </c>
      <c r="F646" s="144">
        <f t="shared" si="165"/>
        <v>-0.21661268927252331</v>
      </c>
      <c r="G646" s="144">
        <f t="shared" si="165"/>
        <v>-0.16613429019298653</v>
      </c>
      <c r="H646" s="144">
        <f t="shared" si="165"/>
        <v>-0.13871381216106188</v>
      </c>
      <c r="I646" s="144">
        <f t="shared" si="165"/>
        <v>-0.12218009723569838</v>
      </c>
      <c r="J646" s="144">
        <f t="shared" si="165"/>
        <v>-0.11144906927537623</v>
      </c>
      <c r="K646" s="144">
        <f t="shared" si="165"/>
        <v>-0.10409190727077228</v>
      </c>
      <c r="L646" s="35"/>
      <c r="M646" s="35"/>
      <c r="N646" s="35"/>
    </row>
    <row r="647" spans="1:14" x14ac:dyDescent="0.3">
      <c r="A647" s="397"/>
      <c r="B647" s="94">
        <v>85</v>
      </c>
      <c r="C647" s="144">
        <f t="shared" si="165"/>
        <v>-2.4586131351650957</v>
      </c>
      <c r="D647" s="144">
        <f t="shared" si="165"/>
        <v>-0.67229574834562389</v>
      </c>
      <c r="E647" s="144">
        <f t="shared" si="165"/>
        <v>-0.34124910717649748</v>
      </c>
      <c r="F647" s="144">
        <f t="shared" si="165"/>
        <v>-0.22537626816567102</v>
      </c>
      <c r="G647" s="144">
        <f t="shared" si="165"/>
        <v>-0.17174301537102915</v>
      </c>
      <c r="H647" s="144">
        <f t="shared" si="165"/>
        <v>-0.14260877059016322</v>
      </c>
      <c r="I647" s="144">
        <f t="shared" si="165"/>
        <v>-0.12504170327519559</v>
      </c>
      <c r="J647" s="144">
        <f t="shared" si="165"/>
        <v>-0.11363998814370807</v>
      </c>
      <c r="K647" s="144">
        <f t="shared" si="165"/>
        <v>-0.1058230045308346</v>
      </c>
      <c r="L647" s="35"/>
      <c r="M647" s="35"/>
      <c r="N647" s="35"/>
    </row>
    <row r="648" spans="1:14" x14ac:dyDescent="0.3">
      <c r="A648" s="397"/>
      <c r="B648" s="94">
        <v>90</v>
      </c>
      <c r="C648" s="144">
        <f t="shared" si="165"/>
        <v>-2.5985594932146445</v>
      </c>
      <c r="D648" s="144">
        <f t="shared" si="165"/>
        <v>-0.70734550334707569</v>
      </c>
      <c r="E648" s="144">
        <f t="shared" si="165"/>
        <v>-0.35682845652472622</v>
      </c>
      <c r="F648" s="144">
        <f t="shared" si="165"/>
        <v>-0.23413983651355058</v>
      </c>
      <c r="G648" s="144">
        <f t="shared" si="165"/>
        <v>-0.17735173725757689</v>
      </c>
      <c r="H648" s="144">
        <f t="shared" si="165"/>
        <v>-0.14650372770119779</v>
      </c>
      <c r="I648" s="144">
        <f t="shared" si="165"/>
        <v>-0.12790330869087194</v>
      </c>
      <c r="J648" s="144">
        <f t="shared" si="165"/>
        <v>-0.11583090667971033</v>
      </c>
      <c r="K648" s="144">
        <f t="shared" si="165"/>
        <v>-0.10755410159769639</v>
      </c>
      <c r="L648" s="35"/>
      <c r="M648" s="35"/>
      <c r="N648" s="35"/>
    </row>
    <row r="649" spans="1:14" x14ac:dyDescent="0.3">
      <c r="A649" s="397"/>
      <c r="B649" s="94">
        <v>95</v>
      </c>
      <c r="C649" s="144">
        <f t="shared" si="165"/>
        <v>-2.7384748312942047</v>
      </c>
      <c r="D649" s="144">
        <f t="shared" si="165"/>
        <v>-0.74239472892681146</v>
      </c>
      <c r="E649" s="144">
        <f t="shared" si="165"/>
        <v>-0.37240775310782936</v>
      </c>
      <c r="F649" s="144">
        <f t="shared" si="165"/>
        <v>-0.24290339390614046</v>
      </c>
      <c r="G649" s="144">
        <f t="shared" si="165"/>
        <v>-0.18296045574514069</v>
      </c>
      <c r="H649" s="144">
        <f t="shared" si="165"/>
        <v>-0.15039868345816729</v>
      </c>
      <c r="I649" s="144">
        <f t="shared" si="165"/>
        <v>-0.13076491346845137</v>
      </c>
      <c r="J649" s="144">
        <f t="shared" si="165"/>
        <v>-0.11802182487697589</v>
      </c>
      <c r="K649" s="144">
        <f t="shared" si="165"/>
        <v>-0.10928519846819731</v>
      </c>
      <c r="L649" s="35"/>
      <c r="M649" s="35"/>
      <c r="N649" s="35"/>
    </row>
    <row r="650" spans="1:14" x14ac:dyDescent="0.3">
      <c r="A650" s="397"/>
      <c r="B650" s="94">
        <v>100</v>
      </c>
      <c r="C650" s="144">
        <f t="shared" si="165"/>
        <v>-2.8783574915814625</v>
      </c>
      <c r="D650" s="144">
        <f t="shared" si="165"/>
        <v>-0.77744339886612823</v>
      </c>
      <c r="E650" s="144">
        <f t="shared" si="165"/>
        <v>-0.38798699462237435</v>
      </c>
      <c r="F650" s="144">
        <f t="shared" si="165"/>
        <v>-0.25166693993342193</v>
      </c>
      <c r="G650" s="144">
        <f t="shared" si="165"/>
        <v>-0.18856917072623189</v>
      </c>
      <c r="H650" s="144">
        <f t="shared" si="165"/>
        <v>-0.15429363782507319</v>
      </c>
      <c r="I650" s="144">
        <f t="shared" si="165"/>
        <v>-0.1336265175936579</v>
      </c>
      <c r="J650" s="144">
        <f t="shared" si="165"/>
        <v>-0.12021274272909781</v>
      </c>
      <c r="K650" s="144">
        <f t="shared" si="165"/>
        <v>-0.11101629513917692</v>
      </c>
      <c r="L650" s="35"/>
      <c r="M650" s="35"/>
      <c r="N650" s="35"/>
    </row>
    <row r="651" spans="1:14" x14ac:dyDescent="0.3">
      <c r="A651" s="284"/>
      <c r="B651" s="7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</row>
    <row r="652" spans="1:14" x14ac:dyDescent="0.3">
      <c r="A652" s="415" t="s">
        <v>504</v>
      </c>
      <c r="B652" s="416"/>
      <c r="C652" s="416"/>
      <c r="D652" s="416"/>
      <c r="E652" s="416"/>
      <c r="F652" s="416"/>
      <c r="G652" s="416"/>
      <c r="H652" s="416"/>
      <c r="I652" s="416"/>
      <c r="J652" s="416"/>
      <c r="K652" s="369"/>
      <c r="L652" s="35"/>
      <c r="M652" s="35"/>
      <c r="N652" s="35"/>
    </row>
    <row r="653" spans="1:14" x14ac:dyDescent="0.3">
      <c r="A653" s="360"/>
      <c r="B653" s="361"/>
      <c r="C653" s="364" t="s">
        <v>230</v>
      </c>
      <c r="D653" s="365"/>
      <c r="E653" s="365"/>
      <c r="F653" s="365"/>
      <c r="G653" s="365"/>
      <c r="H653" s="365"/>
      <c r="I653" s="365"/>
      <c r="J653" s="365"/>
      <c r="K653" s="366"/>
      <c r="L653" s="35"/>
      <c r="M653" s="35"/>
      <c r="N653" s="35"/>
    </row>
    <row r="654" spans="1:14" x14ac:dyDescent="0.3">
      <c r="A654" s="362"/>
      <c r="B654" s="363"/>
      <c r="C654" s="94">
        <v>5</v>
      </c>
      <c r="D654" s="94">
        <v>10</v>
      </c>
      <c r="E654" s="94">
        <v>15</v>
      </c>
      <c r="F654" s="94">
        <v>20</v>
      </c>
      <c r="G654" s="94">
        <v>25</v>
      </c>
      <c r="H654" s="94">
        <v>30</v>
      </c>
      <c r="I654" s="94">
        <v>35</v>
      </c>
      <c r="J654" s="94">
        <v>40</v>
      </c>
      <c r="K654" s="94">
        <v>45</v>
      </c>
      <c r="L654" s="35"/>
      <c r="M654" s="35"/>
      <c r="N654" s="35"/>
    </row>
    <row r="655" spans="1:14" x14ac:dyDescent="0.3">
      <c r="A655" s="397" t="s">
        <v>231</v>
      </c>
      <c r="B655" s="94">
        <v>5</v>
      </c>
      <c r="C655" s="144">
        <f t="shared" ref="C655:K670" si="166">TAN(C554)*($B$521/2)</f>
        <v>5.705456770976558E-3</v>
      </c>
      <c r="D655" s="144">
        <f t="shared" si="166"/>
        <v>2.2828432870235477E-2</v>
      </c>
      <c r="E655" s="144">
        <f t="shared" si="166"/>
        <v>5.1428499869114477E-2</v>
      </c>
      <c r="F655" s="144">
        <f t="shared" si="166"/>
        <v>9.1739012306234616E-2</v>
      </c>
      <c r="G655" s="144">
        <f t="shared" si="166"/>
        <v>0.14437849476536491</v>
      </c>
      <c r="H655" s="144">
        <f t="shared" si="166"/>
        <v>0.21068597629498464</v>
      </c>
      <c r="I655" s="144">
        <f t="shared" si="166"/>
        <v>0.29327209975245044</v>
      </c>
      <c r="J655" s="144">
        <f t="shared" si="166"/>
        <v>0.39701755592506227</v>
      </c>
      <c r="K655" s="144">
        <f t="shared" si="166"/>
        <v>0.53111542714086535</v>
      </c>
      <c r="L655" s="35"/>
      <c r="M655" s="35"/>
      <c r="N655" s="35"/>
    </row>
    <row r="656" spans="1:14" x14ac:dyDescent="0.3">
      <c r="A656" s="397"/>
      <c r="B656" s="94">
        <v>10</v>
      </c>
      <c r="C656" s="144">
        <f t="shared" si="166"/>
        <v>2.8526871143756171E-3</v>
      </c>
      <c r="D656" s="144">
        <f t="shared" si="166"/>
        <v>1.1411573937080135E-2</v>
      </c>
      <c r="E656" s="144">
        <f t="shared" si="166"/>
        <v>2.5684093512081972E-2</v>
      </c>
      <c r="F656" s="144">
        <f t="shared" si="166"/>
        <v>4.5699204517744896E-2</v>
      </c>
      <c r="G656" s="144">
        <f t="shared" si="166"/>
        <v>7.1532561706244321E-2</v>
      </c>
      <c r="H656" s="144">
        <f t="shared" si="166"/>
        <v>0.1033429210186797</v>
      </c>
      <c r="I656" s="144">
        <f t="shared" si="166"/>
        <v>0.14142225722543372</v>
      </c>
      <c r="J656" s="144">
        <f t="shared" si="166"/>
        <v>0.1862648939209203</v>
      </c>
      <c r="K656" s="144">
        <f t="shared" si="166"/>
        <v>0.23866604921521825</v>
      </c>
      <c r="L656" s="35"/>
      <c r="M656" s="35"/>
      <c r="N656" s="35"/>
    </row>
    <row r="657" spans="1:14" x14ac:dyDescent="0.3">
      <c r="A657" s="397"/>
      <c r="B657" s="94">
        <v>15</v>
      </c>
      <c r="C657" s="144">
        <f t="shared" si="166"/>
        <v>1.9017863144894873E-3</v>
      </c>
      <c r="D657" s="144">
        <f t="shared" si="166"/>
        <v>7.6073898311314683E-3</v>
      </c>
      <c r="E657" s="144">
        <f t="shared" si="166"/>
        <v>1.711901219923077E-2</v>
      </c>
      <c r="F657" s="144">
        <f t="shared" si="166"/>
        <v>3.0445222280167415E-2</v>
      </c>
      <c r="G657" s="144">
        <f t="shared" si="166"/>
        <v>4.760834664948399E-2</v>
      </c>
      <c r="H657" s="144">
        <f t="shared" si="166"/>
        <v>6.8654968398053545E-2</v>
      </c>
      <c r="I657" s="144">
        <f t="shared" si="166"/>
        <v>9.3669851761203973E-2</v>
      </c>
      <c r="J657" s="144">
        <f t="shared" si="166"/>
        <v>0.1227939506746813</v>
      </c>
      <c r="K657" s="144">
        <f t="shared" si="166"/>
        <v>0.15624772477932347</v>
      </c>
      <c r="L657" s="35"/>
      <c r="M657" s="35"/>
      <c r="N657" s="35"/>
    </row>
    <row r="658" spans="1:14" x14ac:dyDescent="0.3">
      <c r="A658" s="397"/>
      <c r="B658" s="94">
        <v>20</v>
      </c>
      <c r="C658" s="144">
        <f t="shared" si="166"/>
        <v>1.4263383984106774E-3</v>
      </c>
      <c r="D658" s="144">
        <f t="shared" si="166"/>
        <v>5.705456770976558E-3</v>
      </c>
      <c r="E658" s="144">
        <f t="shared" si="166"/>
        <v>1.283828383014492E-2</v>
      </c>
      <c r="F658" s="144">
        <f t="shared" si="166"/>
        <v>2.2828432870235477E-2</v>
      </c>
      <c r="G658" s="144">
        <f t="shared" si="166"/>
        <v>3.5685309723768099E-2</v>
      </c>
      <c r="H658" s="144">
        <f t="shared" si="166"/>
        <v>5.1428499869114477E-2</v>
      </c>
      <c r="I658" s="144">
        <f t="shared" si="166"/>
        <v>7.0093509324744646E-2</v>
      </c>
      <c r="J658" s="144">
        <f t="shared" si="166"/>
        <v>9.1739012306234616E-2</v>
      </c>
      <c r="K658" s="144">
        <f t="shared" si="166"/>
        <v>0.11645588458242545</v>
      </c>
      <c r="L658" s="35"/>
      <c r="M658" s="35"/>
      <c r="N658" s="35"/>
    </row>
    <row r="659" spans="1:14" x14ac:dyDescent="0.3">
      <c r="A659" s="397"/>
      <c r="B659" s="94">
        <v>25</v>
      </c>
      <c r="C659" s="144">
        <f t="shared" si="166"/>
        <v>1.1410702234883447E-3</v>
      </c>
      <c r="D659" s="144">
        <f t="shared" si="166"/>
        <v>4.5643337202805811E-3</v>
      </c>
      <c r="E659" s="144">
        <f t="shared" si="166"/>
        <v>1.0270265965475483E-2</v>
      </c>
      <c r="F659" s="144">
        <f t="shared" si="166"/>
        <v>1.8260716564492373E-2</v>
      </c>
      <c r="G659" s="144">
        <f t="shared" si="166"/>
        <v>2.8540498181484589E-2</v>
      </c>
      <c r="H659" s="144">
        <f t="shared" si="166"/>
        <v>4.111962280649549E-2</v>
      </c>
      <c r="I659" s="144">
        <f t="shared" si="166"/>
        <v>5.601620970999889E-2</v>
      </c>
      <c r="J659" s="144">
        <f t="shared" si="166"/>
        <v>7.3260114734008591E-2</v>
      </c>
      <c r="K659" s="144">
        <f t="shared" si="166"/>
        <v>9.2897370632178233E-2</v>
      </c>
      <c r="L659" s="35"/>
      <c r="M659" s="35"/>
      <c r="N659" s="35"/>
    </row>
    <row r="660" spans="1:14" x14ac:dyDescent="0.3">
      <c r="A660" s="397"/>
      <c r="B660" s="94">
        <v>30</v>
      </c>
      <c r="C660" s="144">
        <f t="shared" si="166"/>
        <v>9.5089162872432883E-4</v>
      </c>
      <c r="D660" s="144">
        <f t="shared" si="166"/>
        <v>3.8035970855414881E-3</v>
      </c>
      <c r="E660" s="144">
        <f t="shared" si="166"/>
        <v>8.5583915215818249E-3</v>
      </c>
      <c r="F660" s="144">
        <f t="shared" si="166"/>
        <v>1.5216345184238696E-2</v>
      </c>
      <c r="G660" s="144">
        <f t="shared" si="166"/>
        <v>2.378024219925166E-2</v>
      </c>
      <c r="H660" s="144">
        <f t="shared" si="166"/>
        <v>3.4255871590552968E-2</v>
      </c>
      <c r="I660" s="144">
        <f t="shared" si="166"/>
        <v>4.6653700299584509E-2</v>
      </c>
      <c r="J660" s="144">
        <f t="shared" si="166"/>
        <v>6.0990948053289445E-2</v>
      </c>
      <c r="K660" s="144">
        <f t="shared" si="166"/>
        <v>7.7294099769685792E-2</v>
      </c>
      <c r="L660" s="35"/>
      <c r="M660" s="35"/>
      <c r="N660" s="35"/>
    </row>
    <row r="661" spans="1:14" x14ac:dyDescent="0.3">
      <c r="A661" s="397"/>
      <c r="B661" s="94">
        <v>35</v>
      </c>
      <c r="C661" s="144">
        <f t="shared" si="166"/>
        <v>8.15049851613718E-4</v>
      </c>
      <c r="D661" s="144">
        <f t="shared" si="166"/>
        <v>3.2602186578834197E-3</v>
      </c>
      <c r="E661" s="144">
        <f t="shared" si="166"/>
        <v>7.3356796887598524E-3</v>
      </c>
      <c r="F661" s="144">
        <f t="shared" si="166"/>
        <v>1.3042106871397601E-2</v>
      </c>
      <c r="G661" s="144">
        <f t="shared" si="166"/>
        <v>2.0381253102184506E-2</v>
      </c>
      <c r="H661" s="144">
        <f t="shared" si="166"/>
        <v>2.9356762068492553E-2</v>
      </c>
      <c r="I661" s="144">
        <f t="shared" si="166"/>
        <v>3.9975218090010062E-2</v>
      </c>
      <c r="J661" s="144">
        <f t="shared" si="166"/>
        <v>5.2247443134352936E-2</v>
      </c>
      <c r="K661" s="144">
        <f t="shared" si="166"/>
        <v>6.6190057417926607E-2</v>
      </c>
      <c r="L661" s="35"/>
      <c r="M661" s="35"/>
      <c r="N661" s="35"/>
    </row>
    <row r="662" spans="1:14" x14ac:dyDescent="0.3">
      <c r="A662" s="397"/>
      <c r="B662" s="94">
        <v>40</v>
      </c>
      <c r="C662" s="144">
        <f t="shared" si="166"/>
        <v>7.1316855436169568E-4</v>
      </c>
      <c r="D662" s="144">
        <f t="shared" si="166"/>
        <v>2.8526871143756171E-3</v>
      </c>
      <c r="E662" s="144">
        <f t="shared" si="166"/>
        <v>6.418671756039716E-3</v>
      </c>
      <c r="F662" s="144">
        <f t="shared" si="166"/>
        <v>1.1411573937080135E-2</v>
      </c>
      <c r="G662" s="144">
        <f t="shared" si="166"/>
        <v>1.7832567799290024E-2</v>
      </c>
      <c r="H662" s="144">
        <f t="shared" si="166"/>
        <v>2.5684093512081972E-2</v>
      </c>
      <c r="I662" s="144">
        <f t="shared" si="166"/>
        <v>3.4970558968228663E-2</v>
      </c>
      <c r="J662" s="144">
        <f t="shared" si="166"/>
        <v>4.5699204517744896E-2</v>
      </c>
      <c r="K662" s="144">
        <f t="shared" si="166"/>
        <v>5.7881139123755837E-2</v>
      </c>
      <c r="L662" s="35"/>
      <c r="M662" s="35"/>
      <c r="N662" s="35"/>
    </row>
    <row r="663" spans="1:14" x14ac:dyDescent="0.3">
      <c r="A663" s="397"/>
      <c r="B663" s="94">
        <v>45</v>
      </c>
      <c r="C663" s="144">
        <f t="shared" si="166"/>
        <v>6.3392756377709321E-4</v>
      </c>
      <c r="D663" s="144">
        <f t="shared" si="166"/>
        <v>2.5357193130220112E-3</v>
      </c>
      <c r="E663" s="144">
        <f t="shared" si="166"/>
        <v>5.705456770976558E-3</v>
      </c>
      <c r="F663" s="144">
        <f t="shared" si="166"/>
        <v>1.0143457000807996E-2</v>
      </c>
      <c r="G663" s="144">
        <f t="shared" si="166"/>
        <v>1.5850544561907164E-2</v>
      </c>
      <c r="H663" s="144">
        <f t="shared" si="166"/>
        <v>2.2828432870235477E-2</v>
      </c>
      <c r="I663" s="144">
        <f t="shared" si="166"/>
        <v>3.1080216244321442E-2</v>
      </c>
      <c r="J663" s="144">
        <f t="shared" si="166"/>
        <v>4.0610975233641183E-2</v>
      </c>
      <c r="K663" s="144">
        <f t="shared" si="166"/>
        <v>5.1428499869114477E-2</v>
      </c>
      <c r="L663" s="35"/>
      <c r="M663" s="35"/>
      <c r="N663" s="35"/>
    </row>
    <row r="664" spans="1:14" x14ac:dyDescent="0.3">
      <c r="A664" s="397"/>
      <c r="B664" s="94">
        <v>50</v>
      </c>
      <c r="C664" s="144">
        <f t="shared" si="166"/>
        <v>5.7053478158444217E-4</v>
      </c>
      <c r="D664" s="144">
        <f t="shared" si="166"/>
        <v>2.2821457295507156E-3</v>
      </c>
      <c r="E664" s="144">
        <f t="shared" si="166"/>
        <v>5.1348922740075739E-3</v>
      </c>
      <c r="F664" s="144">
        <f t="shared" si="166"/>
        <v>9.1290055487776023E-3</v>
      </c>
      <c r="G664" s="144">
        <f t="shared" si="166"/>
        <v>1.4265086617030654E-2</v>
      </c>
      <c r="H664" s="144">
        <f t="shared" si="166"/>
        <v>2.0544384354116384E-2</v>
      </c>
      <c r="I664" s="144">
        <f t="shared" si="166"/>
        <v>2.7969153744019586E-2</v>
      </c>
      <c r="J664" s="144">
        <f t="shared" si="166"/>
        <v>3.6543096121249556E-2</v>
      </c>
      <c r="K664" s="144">
        <f t="shared" si="166"/>
        <v>4.6271884092521837E-2</v>
      </c>
      <c r="L664" s="35"/>
      <c r="M664" s="35"/>
      <c r="N664" s="35"/>
    </row>
    <row r="665" spans="1:14" x14ac:dyDescent="0.3">
      <c r="A665" s="397"/>
      <c r="B665" s="94">
        <v>55</v>
      </c>
      <c r="C665" s="144">
        <f t="shared" si="166"/>
        <v>5.1866796589482408E-4</v>
      </c>
      <c r="D665" s="144">
        <f t="shared" si="166"/>
        <v>2.0746768246675288E-3</v>
      </c>
      <c r="E665" s="144">
        <f t="shared" si="166"/>
        <v>4.6680712268524849E-3</v>
      </c>
      <c r="F665" s="144">
        <f t="shared" si="166"/>
        <v>8.2990248238064054E-3</v>
      </c>
      <c r="G665" s="144">
        <f t="shared" si="166"/>
        <v>1.2967989180603219E-2</v>
      </c>
      <c r="H665" s="144">
        <f t="shared" si="166"/>
        <v>1.8675902481903178E-2</v>
      </c>
      <c r="I665" s="144">
        <f t="shared" si="166"/>
        <v>2.5424458500315595E-2</v>
      </c>
      <c r="J665" s="144">
        <f t="shared" si="166"/>
        <v>3.321643677768521E-2</v>
      </c>
      <c r="K665" s="144">
        <f t="shared" si="166"/>
        <v>4.2056095714665863E-2</v>
      </c>
      <c r="L665" s="35"/>
      <c r="M665" s="35"/>
      <c r="N665" s="35"/>
    </row>
    <row r="666" spans="1:14" x14ac:dyDescent="0.3">
      <c r="A666" s="397"/>
      <c r="B666" s="94">
        <v>60</v>
      </c>
      <c r="C666" s="144">
        <f t="shared" si="166"/>
        <v>4.7544562329757324E-4</v>
      </c>
      <c r="D666" s="144">
        <f t="shared" si="166"/>
        <v>1.9017863144894873E-3</v>
      </c>
      <c r="E666" s="144">
        <f t="shared" si="166"/>
        <v>4.2790564657476165E-3</v>
      </c>
      <c r="F666" s="144">
        <f t="shared" si="166"/>
        <v>7.6073898311314683E-3</v>
      </c>
      <c r="G666" s="144">
        <f t="shared" si="166"/>
        <v>1.188713421750116E-2</v>
      </c>
      <c r="H666" s="144">
        <f t="shared" si="166"/>
        <v>1.711901219923077E-2</v>
      </c>
      <c r="I666" s="144">
        <f t="shared" si="166"/>
        <v>2.3304328160529308E-2</v>
      </c>
      <c r="J666" s="144">
        <f t="shared" si="166"/>
        <v>3.0445222280167415E-2</v>
      </c>
      <c r="K666" s="144">
        <f t="shared" si="166"/>
        <v>3.8544972554688021E-2</v>
      </c>
      <c r="L666" s="35"/>
      <c r="M666" s="35"/>
      <c r="N666" s="35"/>
    </row>
    <row r="667" spans="1:14" x14ac:dyDescent="0.3">
      <c r="A667" s="397"/>
      <c r="B667" s="94">
        <v>65</v>
      </c>
      <c r="C667" s="144">
        <f t="shared" si="166"/>
        <v>4.3887287434730493E-4</v>
      </c>
      <c r="D667" s="144">
        <f t="shared" si="166"/>
        <v>1.7554945029433109E-3</v>
      </c>
      <c r="E667" s="144">
        <f t="shared" si="166"/>
        <v>3.9498919360959391E-3</v>
      </c>
      <c r="F667" s="144">
        <f t="shared" si="166"/>
        <v>7.0221703739536184E-3</v>
      </c>
      <c r="G667" s="144">
        <f t="shared" si="166"/>
        <v>1.0972603367934325E-2</v>
      </c>
      <c r="H667" s="144">
        <f t="shared" si="166"/>
        <v>1.580175920152662E-2</v>
      </c>
      <c r="I667" s="144">
        <f t="shared" si="166"/>
        <v>2.151066365402627E-2</v>
      </c>
      <c r="J667" s="144">
        <f t="shared" si="166"/>
        <v>2.8100999559051237E-2</v>
      </c>
      <c r="K667" s="144">
        <f t="shared" si="166"/>
        <v>3.5575343891771583E-2</v>
      </c>
      <c r="L667" s="35"/>
      <c r="M667" s="35"/>
      <c r="N667" s="35"/>
    </row>
    <row r="668" spans="1:14" x14ac:dyDescent="0.3">
      <c r="A668" s="397"/>
      <c r="B668" s="94">
        <v>70</v>
      </c>
      <c r="C668" s="144">
        <f t="shared" si="166"/>
        <v>4.0752480548632584E-4</v>
      </c>
      <c r="D668" s="144">
        <f t="shared" si="166"/>
        <v>1.6301016283593777E-3</v>
      </c>
      <c r="E668" s="144">
        <f t="shared" si="166"/>
        <v>3.6677521265675002E-3</v>
      </c>
      <c r="F668" s="144">
        <f t="shared" si="166"/>
        <v>6.5205605285764724E-3</v>
      </c>
      <c r="G668" s="144">
        <f t="shared" si="166"/>
        <v>1.0188745849820236E-2</v>
      </c>
      <c r="H668" s="144">
        <f t="shared" si="166"/>
        <v>1.4672763063935949E-2</v>
      </c>
      <c r="I668" s="144">
        <f t="shared" si="166"/>
        <v>1.9973433369293307E-2</v>
      </c>
      <c r="J668" s="144">
        <f t="shared" si="166"/>
        <v>2.6092103835039654E-2</v>
      </c>
      <c r="K668" s="144">
        <f t="shared" si="166"/>
        <v>3.3030836932997562E-2</v>
      </c>
      <c r="L668" s="35"/>
      <c r="M668" s="35"/>
      <c r="N668" s="35"/>
    </row>
    <row r="669" spans="1:14" x14ac:dyDescent="0.3">
      <c r="A669" s="397"/>
      <c r="B669" s="94">
        <v>75</v>
      </c>
      <c r="C669" s="144">
        <f t="shared" si="166"/>
        <v>3.8035648029586774E-4</v>
      </c>
      <c r="D669" s="144">
        <f t="shared" si="166"/>
        <v>1.5214278776867337E-3</v>
      </c>
      <c r="E669" s="144">
        <f t="shared" si="166"/>
        <v>3.4232318008589608E-3</v>
      </c>
      <c r="F669" s="144">
        <f t="shared" si="166"/>
        <v>6.0858367302407167E-3</v>
      </c>
      <c r="G669" s="144">
        <f t="shared" si="166"/>
        <v>9.509420730117667E-3</v>
      </c>
      <c r="H669" s="144">
        <f t="shared" si="166"/>
        <v>1.3694353693897928E-2</v>
      </c>
      <c r="I669" s="144">
        <f t="shared" si="166"/>
        <v>1.8641303222028914E-2</v>
      </c>
      <c r="J669" s="144">
        <f t="shared" si="166"/>
        <v>2.4351364333808245E-2</v>
      </c>
      <c r="K669" s="144">
        <f t="shared" si="166"/>
        <v>3.0826213371502473E-2</v>
      </c>
      <c r="L669" s="35"/>
      <c r="M669" s="35"/>
      <c r="N669" s="35"/>
    </row>
    <row r="670" spans="1:14" x14ac:dyDescent="0.3">
      <c r="A670" s="397"/>
      <c r="B670" s="94">
        <v>80</v>
      </c>
      <c r="C670" s="144">
        <f t="shared" si="166"/>
        <v>3.5658419657550182E-4</v>
      </c>
      <c r="D670" s="144">
        <f t="shared" si="166"/>
        <v>1.4263383984106774E-3</v>
      </c>
      <c r="E670" s="144">
        <f t="shared" si="166"/>
        <v>3.209277114597257E-3</v>
      </c>
      <c r="F670" s="144">
        <f t="shared" si="166"/>
        <v>5.705456770976558E-3</v>
      </c>
      <c r="G670" s="144">
        <f t="shared" si="166"/>
        <v>8.9150240857236857E-3</v>
      </c>
      <c r="H670" s="144">
        <f t="shared" si="166"/>
        <v>1.283828383014492E-2</v>
      </c>
      <c r="I670" s="144">
        <f t="shared" si="166"/>
        <v>1.7475786046740115E-2</v>
      </c>
      <c r="J670" s="144">
        <f t="shared" si="166"/>
        <v>2.2828432870235477E-2</v>
      </c>
      <c r="K670" s="144">
        <f t="shared" si="166"/>
        <v>2.8897605211032101E-2</v>
      </c>
      <c r="L670" s="35"/>
      <c r="M670" s="35"/>
      <c r="N670" s="35"/>
    </row>
    <row r="671" spans="1:14" x14ac:dyDescent="0.3">
      <c r="A671" s="397"/>
      <c r="B671" s="94">
        <v>85</v>
      </c>
      <c r="C671" s="144">
        <f t="shared" ref="C671:K674" si="167">TAN(C570)*($B$521/2)</f>
        <v>3.3560865271292157E-4</v>
      </c>
      <c r="D671" s="144">
        <f t="shared" si="167"/>
        <v>1.3424359548769161E-3</v>
      </c>
      <c r="E671" s="144">
        <f t="shared" si="167"/>
        <v>3.0204940028030181E-3</v>
      </c>
      <c r="F671" s="144">
        <f t="shared" si="167"/>
        <v>5.369829838879246E-3</v>
      </c>
      <c r="G671" s="144">
        <f t="shared" si="167"/>
        <v>8.3905657814288444E-3</v>
      </c>
      <c r="H671" s="144">
        <f t="shared" si="167"/>
        <v>1.2082955912343662E-2</v>
      </c>
      <c r="I671" s="144">
        <f t="shared" si="167"/>
        <v>1.6447458775698878E-2</v>
      </c>
      <c r="J671" s="144">
        <f t="shared" si="167"/>
        <v>2.1484826394933137E-2</v>
      </c>
      <c r="K671" s="144">
        <f t="shared" si="167"/>
        <v>2.7196209800125284E-2</v>
      </c>
      <c r="L671" s="35"/>
      <c r="M671" s="35"/>
      <c r="N671" s="35"/>
    </row>
    <row r="672" spans="1:14" x14ac:dyDescent="0.3">
      <c r="A672" s="397"/>
      <c r="B672" s="94">
        <v>90</v>
      </c>
      <c r="C672" s="144">
        <f t="shared" si="167"/>
        <v>3.1696372527684121E-4</v>
      </c>
      <c r="D672" s="144">
        <f t="shared" si="167"/>
        <v>1.2678560333424442E-3</v>
      </c>
      <c r="E672" s="144">
        <f t="shared" si="167"/>
        <v>2.8526871143756171E-3</v>
      </c>
      <c r="F672" s="144">
        <f t="shared" si="167"/>
        <v>5.0714965977350004E-3</v>
      </c>
      <c r="G672" s="144">
        <f t="shared" si="167"/>
        <v>7.9243875258503179E-3</v>
      </c>
      <c r="H672" s="144">
        <f t="shared" si="167"/>
        <v>1.1411573937080135E-2</v>
      </c>
      <c r="I672" s="144">
        <f t="shared" si="167"/>
        <v>1.553344209751335E-2</v>
      </c>
      <c r="J672" s="144">
        <f t="shared" si="167"/>
        <v>2.0290625462542192E-2</v>
      </c>
      <c r="K672" s="144">
        <f t="shared" si="167"/>
        <v>2.5684093512081972E-2</v>
      </c>
      <c r="L672" s="35"/>
      <c r="M672" s="35"/>
      <c r="N672" s="35"/>
    </row>
    <row r="673" spans="1:14" x14ac:dyDescent="0.3">
      <c r="A673" s="397"/>
      <c r="B673" s="94">
        <v>95</v>
      </c>
      <c r="C673" s="144">
        <f t="shared" si="167"/>
        <v>3.0028142211417375E-4</v>
      </c>
      <c r="D673" s="144">
        <f t="shared" si="167"/>
        <v>1.2011266511617776E-3</v>
      </c>
      <c r="E673" s="144">
        <f t="shared" si="167"/>
        <v>2.7025443515367028E-3</v>
      </c>
      <c r="F673" s="144">
        <f t="shared" si="167"/>
        <v>4.804568218779821E-3</v>
      </c>
      <c r="G673" s="144">
        <f t="shared" si="167"/>
        <v>7.5072858659503269E-3</v>
      </c>
      <c r="H673" s="144">
        <f t="shared" si="167"/>
        <v>1.0810879279357489E-2</v>
      </c>
      <c r="I673" s="144">
        <f t="shared" si="167"/>
        <v>1.4715676874158489E-2</v>
      </c>
      <c r="J673" s="144">
        <f t="shared" si="167"/>
        <v>1.9222217211495498E-2</v>
      </c>
      <c r="K673" s="144">
        <f t="shared" si="167"/>
        <v>2.4331324486937533E-2</v>
      </c>
      <c r="L673" s="35"/>
      <c r="M673" s="35"/>
      <c r="N673" s="35"/>
    </row>
    <row r="674" spans="1:14" x14ac:dyDescent="0.3">
      <c r="A674" s="397"/>
      <c r="B674" s="94">
        <v>100</v>
      </c>
      <c r="C674" s="144">
        <f t="shared" si="167"/>
        <v>2.8526734952229063E-4</v>
      </c>
      <c r="D674" s="144">
        <f t="shared" si="167"/>
        <v>1.1410702234883447E-3</v>
      </c>
      <c r="E674" s="144">
        <f t="shared" si="167"/>
        <v>2.5674160505280604E-3</v>
      </c>
      <c r="F674" s="144">
        <f t="shared" si="167"/>
        <v>4.5643337202805811E-3</v>
      </c>
      <c r="G674" s="144">
        <f t="shared" si="167"/>
        <v>7.1318983494080002E-3</v>
      </c>
      <c r="H674" s="144">
        <f t="shared" si="167"/>
        <v>1.0270265965475483E-2</v>
      </c>
      <c r="I674" s="144">
        <f t="shared" si="167"/>
        <v>1.3979718132301233E-2</v>
      </c>
      <c r="J674" s="144">
        <f t="shared" si="167"/>
        <v>1.8260716564492373E-2</v>
      </c>
      <c r="K674" s="144">
        <f t="shared" si="167"/>
        <v>2.3113967816081934E-2</v>
      </c>
      <c r="L674" s="35"/>
      <c r="M674" s="35"/>
      <c r="N674" s="35"/>
    </row>
    <row r="675" spans="1:14" x14ac:dyDescent="0.3">
      <c r="A675" s="141"/>
      <c r="B675" s="141"/>
      <c r="C675" s="143"/>
      <c r="D675" s="143"/>
      <c r="E675" s="143"/>
      <c r="F675" s="143"/>
      <c r="G675" s="143"/>
      <c r="H675" s="143"/>
      <c r="I675" s="143"/>
      <c r="J675" s="143"/>
      <c r="K675" s="143"/>
      <c r="L675" s="35"/>
      <c r="M675" s="35"/>
      <c r="N675" s="35"/>
    </row>
    <row r="676" spans="1:14" x14ac:dyDescent="0.3">
      <c r="A676" s="373" t="s">
        <v>238</v>
      </c>
      <c r="B676" s="374"/>
      <c r="C676" s="374"/>
      <c r="D676" s="374"/>
      <c r="E676" s="374"/>
      <c r="F676" s="374"/>
      <c r="G676" s="374"/>
      <c r="H676" s="374"/>
      <c r="I676" s="374"/>
      <c r="J676" s="374"/>
      <c r="K676" s="375"/>
      <c r="L676" s="35"/>
      <c r="M676" s="35"/>
      <c r="N676" s="35"/>
    </row>
    <row r="677" spans="1:14" x14ac:dyDescent="0.3">
      <c r="A677" s="360"/>
      <c r="B677" s="361"/>
      <c r="C677" s="364" t="s">
        <v>230</v>
      </c>
      <c r="D677" s="365"/>
      <c r="E677" s="365"/>
      <c r="F677" s="365"/>
      <c r="G677" s="365"/>
      <c r="H677" s="365"/>
      <c r="I677" s="365"/>
      <c r="J677" s="365"/>
      <c r="K677" s="366"/>
      <c r="L677" s="35"/>
      <c r="M677" s="35"/>
      <c r="N677" s="35"/>
    </row>
    <row r="678" spans="1:14" x14ac:dyDescent="0.3">
      <c r="A678" s="362"/>
      <c r="B678" s="363"/>
      <c r="C678" s="94">
        <v>5</v>
      </c>
      <c r="D678" s="94">
        <v>10</v>
      </c>
      <c r="E678" s="94">
        <v>15</v>
      </c>
      <c r="F678" s="94">
        <v>20</v>
      </c>
      <c r="G678" s="94">
        <v>25</v>
      </c>
      <c r="H678" s="94">
        <v>30</v>
      </c>
      <c r="I678" s="94">
        <v>35</v>
      </c>
      <c r="J678" s="94">
        <v>40</v>
      </c>
      <c r="K678" s="94">
        <v>45</v>
      </c>
      <c r="L678" s="35"/>
      <c r="M678" s="35"/>
      <c r="N678" s="35"/>
    </row>
    <row r="679" spans="1:14" x14ac:dyDescent="0.3">
      <c r="A679" s="397" t="s">
        <v>231</v>
      </c>
      <c r="B679" s="94">
        <v>5</v>
      </c>
      <c r="C679" s="93">
        <f t="shared" ref="C679:K694" si="168">C468*$B$428</f>
        <v>757.81242534695093</v>
      </c>
      <c r="D679" s="93">
        <f t="shared" si="168"/>
        <v>3031.2497013878037</v>
      </c>
      <c r="E679" s="93">
        <f t="shared" si="168"/>
        <v>6820.3118281225579</v>
      </c>
      <c r="F679" s="93">
        <f t="shared" si="168"/>
        <v>12124.998805551215</v>
      </c>
      <c r="G679" s="93">
        <f t="shared" si="168"/>
        <v>18945.310633673773</v>
      </c>
      <c r="H679" s="93">
        <f t="shared" si="168"/>
        <v>27281.247312490232</v>
      </c>
      <c r="I679" s="93">
        <f t="shared" si="168"/>
        <v>37132.808842000595</v>
      </c>
      <c r="J679" s="93">
        <f t="shared" si="168"/>
        <v>48499.99522220486</v>
      </c>
      <c r="K679" s="93">
        <f t="shared" si="168"/>
        <v>61382.806453103025</v>
      </c>
      <c r="L679" s="35"/>
      <c r="M679" s="35"/>
      <c r="N679" s="35"/>
    </row>
    <row r="680" spans="1:14" x14ac:dyDescent="0.3">
      <c r="A680" s="397"/>
      <c r="B680" s="94">
        <v>10</v>
      </c>
      <c r="C680" s="93">
        <f t="shared" si="168"/>
        <v>378.90621267347547</v>
      </c>
      <c r="D680" s="93">
        <f t="shared" si="168"/>
        <v>1515.6248506939019</v>
      </c>
      <c r="E680" s="93">
        <f t="shared" si="168"/>
        <v>3410.155914061279</v>
      </c>
      <c r="F680" s="93">
        <f t="shared" si="168"/>
        <v>6062.4994027756075</v>
      </c>
      <c r="G680" s="93">
        <f t="shared" si="168"/>
        <v>9472.6553168368864</v>
      </c>
      <c r="H680" s="93">
        <f t="shared" si="168"/>
        <v>13640.623656245116</v>
      </c>
      <c r="I680" s="93">
        <f t="shared" si="168"/>
        <v>18566.404421000298</v>
      </c>
      <c r="J680" s="93">
        <f t="shared" si="168"/>
        <v>24249.99761110243</v>
      </c>
      <c r="K680" s="93">
        <f t="shared" si="168"/>
        <v>30691.403226551512</v>
      </c>
      <c r="L680" s="35"/>
      <c r="M680" s="35"/>
      <c r="N680" s="35"/>
    </row>
    <row r="681" spans="1:14" x14ac:dyDescent="0.3">
      <c r="A681" s="397"/>
      <c r="B681" s="94">
        <v>15</v>
      </c>
      <c r="C681" s="93">
        <f t="shared" si="168"/>
        <v>252.60414178231699</v>
      </c>
      <c r="D681" s="93">
        <f t="shared" si="168"/>
        <v>1010.4165671292679</v>
      </c>
      <c r="E681" s="93">
        <f t="shared" si="168"/>
        <v>2273.4372760408528</v>
      </c>
      <c r="F681" s="93">
        <f t="shared" si="168"/>
        <v>4041.6662685170718</v>
      </c>
      <c r="G681" s="93">
        <f t="shared" si="168"/>
        <v>6315.1035445579237</v>
      </c>
      <c r="H681" s="93">
        <f t="shared" si="168"/>
        <v>9093.7491041634112</v>
      </c>
      <c r="I681" s="93">
        <f t="shared" si="168"/>
        <v>12377.602947333533</v>
      </c>
      <c r="J681" s="93">
        <f t="shared" si="168"/>
        <v>16166.665074068287</v>
      </c>
      <c r="K681" s="93">
        <f t="shared" si="168"/>
        <v>20460.935484367674</v>
      </c>
      <c r="L681" s="35"/>
      <c r="M681" s="35"/>
      <c r="N681" s="35"/>
    </row>
    <row r="682" spans="1:14" x14ac:dyDescent="0.3">
      <c r="A682" s="397"/>
      <c r="B682" s="94">
        <v>20</v>
      </c>
      <c r="C682" s="93">
        <f t="shared" si="168"/>
        <v>189.45310633673773</v>
      </c>
      <c r="D682" s="93">
        <f t="shared" si="168"/>
        <v>757.81242534695093</v>
      </c>
      <c r="E682" s="93">
        <f t="shared" si="168"/>
        <v>1705.0779570306395</v>
      </c>
      <c r="F682" s="93">
        <f t="shared" si="168"/>
        <v>3031.2497013878037</v>
      </c>
      <c r="G682" s="93">
        <f t="shared" si="168"/>
        <v>4736.3276584184432</v>
      </c>
      <c r="H682" s="93">
        <f t="shared" si="168"/>
        <v>6820.3118281225579</v>
      </c>
      <c r="I682" s="93">
        <f t="shared" si="168"/>
        <v>9283.2022105001488</v>
      </c>
      <c r="J682" s="93">
        <f t="shared" si="168"/>
        <v>12124.998805551215</v>
      </c>
      <c r="K682" s="93">
        <f t="shared" si="168"/>
        <v>15345.701613275756</v>
      </c>
      <c r="L682" s="35"/>
      <c r="M682" s="35"/>
      <c r="N682" s="35"/>
    </row>
    <row r="683" spans="1:14" x14ac:dyDescent="0.3">
      <c r="A683" s="397"/>
      <c r="B683" s="94">
        <v>25</v>
      </c>
      <c r="C683" s="93">
        <f t="shared" si="168"/>
        <v>151.56248506939019</v>
      </c>
      <c r="D683" s="93">
        <f t="shared" si="168"/>
        <v>606.24994027756077</v>
      </c>
      <c r="E683" s="93">
        <f t="shared" si="168"/>
        <v>1364.0623656245116</v>
      </c>
      <c r="F683" s="93">
        <f t="shared" si="168"/>
        <v>2424.9997611102431</v>
      </c>
      <c r="G683" s="93">
        <f t="shared" si="168"/>
        <v>3789.0621267347547</v>
      </c>
      <c r="H683" s="93">
        <f t="shared" si="168"/>
        <v>5456.2494624980463</v>
      </c>
      <c r="I683" s="93">
        <f t="shared" si="168"/>
        <v>7426.561768400119</v>
      </c>
      <c r="J683" s="93">
        <f t="shared" si="168"/>
        <v>9699.9990444409723</v>
      </c>
      <c r="K683" s="93">
        <f t="shared" si="168"/>
        <v>12276.561290620604</v>
      </c>
      <c r="L683" s="35"/>
      <c r="M683" s="35"/>
      <c r="N683" s="35"/>
    </row>
    <row r="684" spans="1:14" x14ac:dyDescent="0.3">
      <c r="A684" s="397"/>
      <c r="B684" s="94">
        <v>30</v>
      </c>
      <c r="C684" s="93">
        <f t="shared" si="168"/>
        <v>126.30207089115849</v>
      </c>
      <c r="D684" s="93">
        <f t="shared" si="168"/>
        <v>505.20828356463397</v>
      </c>
      <c r="E684" s="93">
        <f t="shared" si="168"/>
        <v>1136.7186380204264</v>
      </c>
      <c r="F684" s="93">
        <f t="shared" si="168"/>
        <v>2020.8331342585359</v>
      </c>
      <c r="G684" s="93">
        <f t="shared" si="168"/>
        <v>3157.5517722789618</v>
      </c>
      <c r="H684" s="93">
        <f t="shared" si="168"/>
        <v>4546.8745520817056</v>
      </c>
      <c r="I684" s="93">
        <f t="shared" si="168"/>
        <v>6188.8014736667665</v>
      </c>
      <c r="J684" s="93">
        <f t="shared" si="168"/>
        <v>8083.3325370341436</v>
      </c>
      <c r="K684" s="93">
        <f t="shared" si="168"/>
        <v>10230.467742183837</v>
      </c>
      <c r="L684" s="35"/>
      <c r="M684" s="35"/>
      <c r="N684" s="35"/>
    </row>
    <row r="685" spans="1:14" x14ac:dyDescent="0.3">
      <c r="A685" s="397"/>
      <c r="B685" s="94">
        <v>35</v>
      </c>
      <c r="C685" s="93">
        <f t="shared" si="168"/>
        <v>108.25891790670727</v>
      </c>
      <c r="D685" s="93">
        <f t="shared" si="168"/>
        <v>433.03567162682907</v>
      </c>
      <c r="E685" s="93">
        <f t="shared" si="168"/>
        <v>974.33026116036547</v>
      </c>
      <c r="F685" s="93">
        <f t="shared" si="168"/>
        <v>1732.1426865073163</v>
      </c>
      <c r="G685" s="93">
        <f t="shared" si="168"/>
        <v>2706.4729476676821</v>
      </c>
      <c r="H685" s="93">
        <f t="shared" si="168"/>
        <v>3897.3210446414619</v>
      </c>
      <c r="I685" s="93">
        <f t="shared" si="168"/>
        <v>5304.6869774286561</v>
      </c>
      <c r="J685" s="93">
        <f t="shared" si="168"/>
        <v>6928.5707460292651</v>
      </c>
      <c r="K685" s="93">
        <f t="shared" si="168"/>
        <v>8768.9723504432895</v>
      </c>
      <c r="L685" s="35"/>
      <c r="M685" s="35"/>
      <c r="N685" s="35"/>
    </row>
    <row r="686" spans="1:14" x14ac:dyDescent="0.3">
      <c r="A686" s="397"/>
      <c r="B686" s="94">
        <v>40</v>
      </c>
      <c r="C686" s="93">
        <f t="shared" si="168"/>
        <v>94.726553168368866</v>
      </c>
      <c r="D686" s="93">
        <f t="shared" si="168"/>
        <v>378.90621267347547</v>
      </c>
      <c r="E686" s="93">
        <f t="shared" si="168"/>
        <v>852.53897851531974</v>
      </c>
      <c r="F686" s="93">
        <f t="shared" si="168"/>
        <v>1515.6248506939019</v>
      </c>
      <c r="G686" s="93">
        <f t="shared" si="168"/>
        <v>2368.1638292092216</v>
      </c>
      <c r="H686" s="93">
        <f t="shared" si="168"/>
        <v>3410.155914061279</v>
      </c>
      <c r="I686" s="93">
        <f t="shared" si="168"/>
        <v>4641.6011052500744</v>
      </c>
      <c r="J686" s="93">
        <f t="shared" si="168"/>
        <v>6062.4994027756075</v>
      </c>
      <c r="K686" s="93">
        <f t="shared" si="168"/>
        <v>7672.8508066378781</v>
      </c>
      <c r="L686" s="35"/>
      <c r="M686" s="35"/>
      <c r="N686" s="35"/>
    </row>
    <row r="687" spans="1:14" x14ac:dyDescent="0.3">
      <c r="A687" s="397"/>
      <c r="B687" s="94">
        <v>45</v>
      </c>
      <c r="C687" s="93">
        <f t="shared" si="168"/>
        <v>84.201380594105657</v>
      </c>
      <c r="D687" s="93">
        <f t="shared" si="168"/>
        <v>336.80552237642263</v>
      </c>
      <c r="E687" s="93">
        <f t="shared" si="168"/>
        <v>757.81242534695093</v>
      </c>
      <c r="F687" s="93">
        <f t="shared" si="168"/>
        <v>1347.2220895056905</v>
      </c>
      <c r="G687" s="93">
        <f t="shared" si="168"/>
        <v>2105.0345148526417</v>
      </c>
      <c r="H687" s="93">
        <f t="shared" si="168"/>
        <v>3031.2497013878037</v>
      </c>
      <c r="I687" s="93">
        <f t="shared" si="168"/>
        <v>4125.8676491111773</v>
      </c>
      <c r="J687" s="93">
        <f t="shared" si="168"/>
        <v>5388.8883580227621</v>
      </c>
      <c r="K687" s="93">
        <f t="shared" si="168"/>
        <v>6820.3118281225579</v>
      </c>
      <c r="L687" s="35"/>
      <c r="M687" s="35"/>
      <c r="N687" s="35"/>
    </row>
    <row r="688" spans="1:14" x14ac:dyDescent="0.3">
      <c r="A688" s="397"/>
      <c r="B688" s="94">
        <v>50</v>
      </c>
      <c r="C688" s="93">
        <f t="shared" si="168"/>
        <v>75.781242534695096</v>
      </c>
      <c r="D688" s="93">
        <f t="shared" si="168"/>
        <v>303.12497013878038</v>
      </c>
      <c r="E688" s="93">
        <f t="shared" si="168"/>
        <v>682.03118281225579</v>
      </c>
      <c r="F688" s="93">
        <f t="shared" si="168"/>
        <v>1212.4998805551215</v>
      </c>
      <c r="G688" s="93">
        <f t="shared" si="168"/>
        <v>1894.5310633673773</v>
      </c>
      <c r="H688" s="93">
        <f t="shared" si="168"/>
        <v>2728.1247312490232</v>
      </c>
      <c r="I688" s="93">
        <f t="shared" si="168"/>
        <v>3713.2808842000595</v>
      </c>
      <c r="J688" s="93">
        <f t="shared" si="168"/>
        <v>4849.9995222204861</v>
      </c>
      <c r="K688" s="93">
        <f t="shared" si="168"/>
        <v>6138.2806453103021</v>
      </c>
      <c r="L688" s="35"/>
      <c r="M688" s="35"/>
      <c r="N688" s="35"/>
    </row>
    <row r="689" spans="1:14" x14ac:dyDescent="0.3">
      <c r="A689" s="397"/>
      <c r="B689" s="94">
        <v>55</v>
      </c>
      <c r="C689" s="93">
        <f t="shared" si="168"/>
        <v>68.892038667904629</v>
      </c>
      <c r="D689" s="93">
        <f t="shared" si="168"/>
        <v>275.56815467161852</v>
      </c>
      <c r="E689" s="93">
        <f t="shared" si="168"/>
        <v>620.02834801114159</v>
      </c>
      <c r="F689" s="93">
        <f t="shared" si="168"/>
        <v>1102.2726186864741</v>
      </c>
      <c r="G689" s="93">
        <f t="shared" si="168"/>
        <v>1722.3009666976156</v>
      </c>
      <c r="H689" s="93">
        <f t="shared" si="168"/>
        <v>2480.1133920445664</v>
      </c>
      <c r="I689" s="93">
        <f t="shared" si="168"/>
        <v>3375.7098947273271</v>
      </c>
      <c r="J689" s="93">
        <f t="shared" si="168"/>
        <v>4409.0904747458962</v>
      </c>
      <c r="K689" s="93">
        <f t="shared" si="168"/>
        <v>5580.2551321002757</v>
      </c>
      <c r="L689" s="35"/>
      <c r="M689" s="35"/>
      <c r="N689" s="35"/>
    </row>
    <row r="690" spans="1:14" x14ac:dyDescent="0.3">
      <c r="A690" s="397"/>
      <c r="B690" s="94">
        <v>60</v>
      </c>
      <c r="C690" s="93">
        <f t="shared" si="168"/>
        <v>63.151035445579247</v>
      </c>
      <c r="D690" s="93">
        <f t="shared" si="168"/>
        <v>252.60414178231699</v>
      </c>
      <c r="E690" s="93">
        <f t="shared" si="168"/>
        <v>568.3593190102132</v>
      </c>
      <c r="F690" s="93">
        <f t="shared" si="168"/>
        <v>1010.4165671292679</v>
      </c>
      <c r="G690" s="93">
        <f t="shared" si="168"/>
        <v>1578.7758861394809</v>
      </c>
      <c r="H690" s="93">
        <f t="shared" si="168"/>
        <v>2273.4372760408528</v>
      </c>
      <c r="I690" s="93">
        <f t="shared" si="168"/>
        <v>3094.4007368333832</v>
      </c>
      <c r="J690" s="93">
        <f t="shared" si="168"/>
        <v>4041.6662685170718</v>
      </c>
      <c r="K690" s="93">
        <f t="shared" si="168"/>
        <v>5115.2338710919184</v>
      </c>
      <c r="L690" s="35"/>
      <c r="M690" s="35"/>
      <c r="N690" s="35"/>
    </row>
    <row r="691" spans="1:14" x14ac:dyDescent="0.3">
      <c r="A691" s="397"/>
      <c r="B691" s="94">
        <v>65</v>
      </c>
      <c r="C691" s="93">
        <f t="shared" si="168"/>
        <v>58.293263488226991</v>
      </c>
      <c r="D691" s="93">
        <f t="shared" si="168"/>
        <v>233.17305395290796</v>
      </c>
      <c r="E691" s="93">
        <f t="shared" si="168"/>
        <v>524.639371394043</v>
      </c>
      <c r="F691" s="93">
        <f t="shared" si="168"/>
        <v>932.69221581163185</v>
      </c>
      <c r="G691" s="93">
        <f t="shared" si="168"/>
        <v>1457.3315872056749</v>
      </c>
      <c r="H691" s="93">
        <f t="shared" si="168"/>
        <v>2098.557485576172</v>
      </c>
      <c r="I691" s="93">
        <f t="shared" si="168"/>
        <v>2856.3699109231229</v>
      </c>
      <c r="J691" s="93">
        <f t="shared" si="168"/>
        <v>3730.7688632465274</v>
      </c>
      <c r="K691" s="93">
        <f t="shared" si="168"/>
        <v>4721.7543425463864</v>
      </c>
      <c r="L691" s="35"/>
      <c r="M691" s="35"/>
      <c r="N691" s="35"/>
    </row>
    <row r="692" spans="1:14" x14ac:dyDescent="0.3">
      <c r="A692" s="397"/>
      <c r="B692" s="94">
        <v>70</v>
      </c>
      <c r="C692" s="93">
        <f t="shared" si="168"/>
        <v>54.129458953353634</v>
      </c>
      <c r="D692" s="93">
        <f t="shared" si="168"/>
        <v>216.51783581341454</v>
      </c>
      <c r="E692" s="93">
        <f t="shared" si="168"/>
        <v>487.16513058018273</v>
      </c>
      <c r="F692" s="93">
        <f t="shared" si="168"/>
        <v>866.07134325365814</v>
      </c>
      <c r="G692" s="93">
        <f t="shared" si="168"/>
        <v>1353.236473833841</v>
      </c>
      <c r="H692" s="93">
        <f t="shared" si="168"/>
        <v>1948.6605223207309</v>
      </c>
      <c r="I692" s="93">
        <f t="shared" si="168"/>
        <v>2652.343488714328</v>
      </c>
      <c r="J692" s="93">
        <f t="shared" si="168"/>
        <v>3464.2853730146326</v>
      </c>
      <c r="K692" s="93">
        <f t="shared" si="168"/>
        <v>4384.4861752216448</v>
      </c>
      <c r="L692" s="35"/>
      <c r="M692" s="35"/>
      <c r="N692" s="35"/>
    </row>
    <row r="693" spans="1:14" x14ac:dyDescent="0.3">
      <c r="A693" s="397"/>
      <c r="B693" s="94">
        <v>75</v>
      </c>
      <c r="C693" s="93">
        <f t="shared" si="168"/>
        <v>50.52082835646339</v>
      </c>
      <c r="D693" s="93">
        <f t="shared" si="168"/>
        <v>202.08331342585356</v>
      </c>
      <c r="E693" s="93">
        <f t="shared" si="168"/>
        <v>454.68745520817055</v>
      </c>
      <c r="F693" s="93">
        <f t="shared" si="168"/>
        <v>808.33325370341424</v>
      </c>
      <c r="G693" s="93">
        <f t="shared" si="168"/>
        <v>1263.020708911585</v>
      </c>
      <c r="H693" s="93">
        <f t="shared" si="168"/>
        <v>1818.7498208326822</v>
      </c>
      <c r="I693" s="93">
        <f t="shared" si="168"/>
        <v>2475.520589466706</v>
      </c>
      <c r="J693" s="93">
        <f t="shared" si="168"/>
        <v>3233.333014813657</v>
      </c>
      <c r="K693" s="93">
        <f t="shared" si="168"/>
        <v>4092.1870968735352</v>
      </c>
      <c r="L693" s="35"/>
      <c r="M693" s="35"/>
      <c r="N693" s="35"/>
    </row>
    <row r="694" spans="1:14" x14ac:dyDescent="0.3">
      <c r="A694" s="397"/>
      <c r="B694" s="94">
        <v>80</v>
      </c>
      <c r="C694" s="93">
        <f t="shared" si="168"/>
        <v>47.363276584184433</v>
      </c>
      <c r="D694" s="93">
        <f t="shared" si="168"/>
        <v>189.45310633673773</v>
      </c>
      <c r="E694" s="93">
        <f t="shared" si="168"/>
        <v>426.26948925765987</v>
      </c>
      <c r="F694" s="93">
        <f t="shared" si="168"/>
        <v>757.81242534695093</v>
      </c>
      <c r="G694" s="93">
        <f t="shared" si="168"/>
        <v>1184.0819146046108</v>
      </c>
      <c r="H694" s="93">
        <f t="shared" si="168"/>
        <v>1705.0779570306395</v>
      </c>
      <c r="I694" s="93">
        <f t="shared" si="168"/>
        <v>2320.8005526250372</v>
      </c>
      <c r="J694" s="93">
        <f t="shared" si="168"/>
        <v>3031.2497013878037</v>
      </c>
      <c r="K694" s="93">
        <f t="shared" si="168"/>
        <v>3836.4254033189391</v>
      </c>
      <c r="L694" s="35"/>
      <c r="M694" s="35"/>
      <c r="N694" s="35"/>
    </row>
    <row r="695" spans="1:14" x14ac:dyDescent="0.3">
      <c r="A695" s="397"/>
      <c r="B695" s="94">
        <v>85</v>
      </c>
      <c r="C695" s="93">
        <f t="shared" ref="C695:K698" si="169">C484*$B$428</f>
        <v>44.577201490997112</v>
      </c>
      <c r="D695" s="93">
        <f t="shared" si="169"/>
        <v>178.30880596398845</v>
      </c>
      <c r="E695" s="93">
        <f t="shared" si="169"/>
        <v>401.19481341897404</v>
      </c>
      <c r="F695" s="93">
        <f t="shared" si="169"/>
        <v>713.23522385595379</v>
      </c>
      <c r="G695" s="93">
        <f t="shared" si="169"/>
        <v>1114.4300372749278</v>
      </c>
      <c r="H695" s="93">
        <f t="shared" si="169"/>
        <v>1604.7792536758961</v>
      </c>
      <c r="I695" s="93">
        <f t="shared" si="169"/>
        <v>2184.2828730588585</v>
      </c>
      <c r="J695" s="93">
        <f t="shared" si="169"/>
        <v>2852.9408954238152</v>
      </c>
      <c r="K695" s="93">
        <f t="shared" si="169"/>
        <v>3610.7533207707661</v>
      </c>
      <c r="L695" s="35"/>
      <c r="M695" s="35"/>
      <c r="N695" s="35"/>
    </row>
    <row r="696" spans="1:14" x14ac:dyDescent="0.3">
      <c r="A696" s="397"/>
      <c r="B696" s="94">
        <v>90</v>
      </c>
      <c r="C696" s="93">
        <f t="shared" si="169"/>
        <v>42.100690297052829</v>
      </c>
      <c r="D696" s="93">
        <f t="shared" si="169"/>
        <v>168.40276118821131</v>
      </c>
      <c r="E696" s="93">
        <f t="shared" si="169"/>
        <v>378.90621267347547</v>
      </c>
      <c r="F696" s="93">
        <f t="shared" si="169"/>
        <v>673.61104475284526</v>
      </c>
      <c r="G696" s="93">
        <f t="shared" si="169"/>
        <v>1052.5172574263208</v>
      </c>
      <c r="H696" s="93">
        <f t="shared" si="169"/>
        <v>1515.6248506939019</v>
      </c>
      <c r="I696" s="93">
        <f t="shared" si="169"/>
        <v>2062.9338245555887</v>
      </c>
      <c r="J696" s="93">
        <f t="shared" si="169"/>
        <v>2694.444179011381</v>
      </c>
      <c r="K696" s="93">
        <f t="shared" si="169"/>
        <v>3410.155914061279</v>
      </c>
      <c r="L696" s="35"/>
      <c r="M696" s="35"/>
      <c r="N696" s="35"/>
    </row>
    <row r="697" spans="1:14" x14ac:dyDescent="0.3">
      <c r="A697" s="397"/>
      <c r="B697" s="94">
        <v>95</v>
      </c>
      <c r="C697" s="93">
        <f t="shared" si="169"/>
        <v>39.884864491944782</v>
      </c>
      <c r="D697" s="93">
        <f t="shared" si="169"/>
        <v>159.53945796777913</v>
      </c>
      <c r="E697" s="93">
        <f t="shared" si="169"/>
        <v>358.96378042750308</v>
      </c>
      <c r="F697" s="93">
        <f t="shared" si="169"/>
        <v>638.15783187111651</v>
      </c>
      <c r="G697" s="93">
        <f t="shared" si="169"/>
        <v>997.12161229861965</v>
      </c>
      <c r="H697" s="93">
        <f t="shared" si="169"/>
        <v>1435.8551217100123</v>
      </c>
      <c r="I697" s="93">
        <f t="shared" si="169"/>
        <v>1954.3583601052947</v>
      </c>
      <c r="J697" s="93">
        <f t="shared" si="169"/>
        <v>2552.6313274844661</v>
      </c>
      <c r="K697" s="93">
        <f t="shared" si="169"/>
        <v>3230.6740238475277</v>
      </c>
      <c r="L697" s="35"/>
      <c r="M697" s="35"/>
      <c r="N697" s="35"/>
    </row>
    <row r="698" spans="1:14" x14ac:dyDescent="0.3">
      <c r="A698" s="397"/>
      <c r="B698" s="94">
        <v>100</v>
      </c>
      <c r="C698" s="93">
        <f t="shared" si="169"/>
        <v>37.890621267347548</v>
      </c>
      <c r="D698" s="93">
        <f t="shared" si="169"/>
        <v>151.56248506939019</v>
      </c>
      <c r="E698" s="93">
        <f t="shared" si="169"/>
        <v>341.0155914061279</v>
      </c>
      <c r="F698" s="93">
        <f t="shared" si="169"/>
        <v>606.24994027756077</v>
      </c>
      <c r="G698" s="93">
        <f t="shared" si="169"/>
        <v>947.26553168368866</v>
      </c>
      <c r="H698" s="93">
        <f t="shared" si="169"/>
        <v>1364.0623656245116</v>
      </c>
      <c r="I698" s="93">
        <f t="shared" si="169"/>
        <v>1856.6404421000298</v>
      </c>
      <c r="J698" s="93">
        <f t="shared" si="169"/>
        <v>2424.9997611102431</v>
      </c>
      <c r="K698" s="93">
        <f t="shared" si="169"/>
        <v>3069.1403226551511</v>
      </c>
      <c r="L698" s="35"/>
      <c r="M698" s="35"/>
      <c r="N698" s="35"/>
    </row>
    <row r="699" spans="1:14" x14ac:dyDescent="0.3">
      <c r="A699" s="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</row>
    <row r="700" spans="1:14" x14ac:dyDescent="0.3">
      <c r="A700" s="415" t="s">
        <v>501</v>
      </c>
      <c r="B700" s="416"/>
      <c r="C700" s="416"/>
      <c r="D700" s="416"/>
      <c r="E700" s="416"/>
      <c r="F700" s="416"/>
      <c r="G700" s="416"/>
      <c r="H700" s="416"/>
      <c r="I700" s="416"/>
      <c r="J700" s="416"/>
      <c r="K700" s="369"/>
      <c r="L700" s="35"/>
      <c r="M700" s="35"/>
      <c r="N700" s="35"/>
    </row>
    <row r="701" spans="1:14" x14ac:dyDescent="0.3">
      <c r="A701" s="360"/>
      <c r="B701" s="361"/>
      <c r="C701" s="364" t="s">
        <v>230</v>
      </c>
      <c r="D701" s="365"/>
      <c r="E701" s="365"/>
      <c r="F701" s="365"/>
      <c r="G701" s="365"/>
      <c r="H701" s="365"/>
      <c r="I701" s="365"/>
      <c r="J701" s="365"/>
      <c r="K701" s="366"/>
      <c r="L701" s="35"/>
      <c r="M701" s="35"/>
      <c r="N701" s="35"/>
    </row>
    <row r="702" spans="1:14" x14ac:dyDescent="0.3">
      <c r="A702" s="362"/>
      <c r="B702" s="363"/>
      <c r="C702" s="94">
        <v>5</v>
      </c>
      <c r="D702" s="94">
        <v>10</v>
      </c>
      <c r="E702" s="94">
        <v>15</v>
      </c>
      <c r="F702" s="94">
        <v>20</v>
      </c>
      <c r="G702" s="94">
        <v>25</v>
      </c>
      <c r="H702" s="94">
        <v>30</v>
      </c>
      <c r="I702" s="94">
        <v>35</v>
      </c>
      <c r="J702" s="94">
        <v>40</v>
      </c>
      <c r="K702" s="94">
        <v>45</v>
      </c>
      <c r="L702" s="35"/>
      <c r="M702" s="35"/>
      <c r="N702" s="35"/>
    </row>
    <row r="703" spans="1:14" x14ac:dyDescent="0.3">
      <c r="A703" s="397" t="s">
        <v>231</v>
      </c>
      <c r="B703" s="94">
        <v>5</v>
      </c>
      <c r="C703" s="93">
        <f t="shared" ref="C703:K718" si="170">C679/$G$522</f>
        <v>1.1505496632293553</v>
      </c>
      <c r="D703" s="93">
        <f t="shared" si="170"/>
        <v>4.602198652917421</v>
      </c>
      <c r="E703" s="93">
        <f t="shared" si="170"/>
        <v>10.354946969064198</v>
      </c>
      <c r="F703" s="93">
        <f t="shared" si="170"/>
        <v>18.408794611669684</v>
      </c>
      <c r="G703" s="93">
        <f t="shared" si="170"/>
        <v>28.763741580733882</v>
      </c>
      <c r="H703" s="93">
        <f t="shared" si="170"/>
        <v>41.419787876256791</v>
      </c>
      <c r="I703" s="93">
        <f t="shared" si="170"/>
        <v>56.376933498238408</v>
      </c>
      <c r="J703" s="93">
        <f t="shared" si="170"/>
        <v>73.635178446678736</v>
      </c>
      <c r="K703" s="93">
        <f t="shared" si="170"/>
        <v>93.194522721577783</v>
      </c>
      <c r="L703" s="35"/>
      <c r="M703" s="35"/>
      <c r="N703" s="35"/>
    </row>
    <row r="704" spans="1:14" x14ac:dyDescent="0.3">
      <c r="A704" s="397"/>
      <c r="B704" s="94">
        <v>10</v>
      </c>
      <c r="C704" s="93">
        <f t="shared" si="170"/>
        <v>0.57527483161467763</v>
      </c>
      <c r="D704" s="93">
        <f t="shared" si="170"/>
        <v>2.3010993264587105</v>
      </c>
      <c r="E704" s="93">
        <f t="shared" si="170"/>
        <v>5.1774734845320989</v>
      </c>
      <c r="F704" s="93">
        <f t="shared" si="170"/>
        <v>9.2043973058348421</v>
      </c>
      <c r="G704" s="93">
        <f t="shared" si="170"/>
        <v>14.381870790366941</v>
      </c>
      <c r="H704" s="93">
        <f t="shared" si="170"/>
        <v>20.709893938128396</v>
      </c>
      <c r="I704" s="93">
        <f t="shared" si="170"/>
        <v>28.188466749119204</v>
      </c>
      <c r="J704" s="93">
        <f t="shared" si="170"/>
        <v>36.817589223339368</v>
      </c>
      <c r="K704" s="93">
        <f t="shared" si="170"/>
        <v>46.597261360788892</v>
      </c>
      <c r="L704" s="35"/>
      <c r="M704" s="35"/>
      <c r="N704" s="35"/>
    </row>
    <row r="705" spans="1:14" x14ac:dyDescent="0.3">
      <c r="A705" s="397"/>
      <c r="B705" s="94">
        <v>15</v>
      </c>
      <c r="C705" s="93">
        <f t="shared" si="170"/>
        <v>0.3835165544097851</v>
      </c>
      <c r="D705" s="93">
        <f t="shared" si="170"/>
        <v>1.5340662176391404</v>
      </c>
      <c r="E705" s="93">
        <f t="shared" si="170"/>
        <v>3.4516489896880658</v>
      </c>
      <c r="F705" s="93">
        <f t="shared" si="170"/>
        <v>6.1362648705565617</v>
      </c>
      <c r="G705" s="93">
        <f t="shared" si="170"/>
        <v>9.5879138602446261</v>
      </c>
      <c r="H705" s="93">
        <f t="shared" si="170"/>
        <v>13.806595958752263</v>
      </c>
      <c r="I705" s="93">
        <f t="shared" si="170"/>
        <v>18.792311166079472</v>
      </c>
      <c r="J705" s="93">
        <f t="shared" si="170"/>
        <v>24.545059482226247</v>
      </c>
      <c r="K705" s="93">
        <f t="shared" si="170"/>
        <v>31.06484090719259</v>
      </c>
      <c r="L705" s="35"/>
      <c r="M705" s="35"/>
      <c r="N705" s="35"/>
    </row>
    <row r="706" spans="1:14" x14ac:dyDescent="0.3">
      <c r="A706" s="397"/>
      <c r="B706" s="94">
        <v>20</v>
      </c>
      <c r="C706" s="93">
        <f t="shared" si="170"/>
        <v>0.28763741580733881</v>
      </c>
      <c r="D706" s="93">
        <f t="shared" si="170"/>
        <v>1.1505496632293553</v>
      </c>
      <c r="E706" s="93">
        <f t="shared" si="170"/>
        <v>2.5887367422660494</v>
      </c>
      <c r="F706" s="93">
        <f t="shared" si="170"/>
        <v>4.602198652917421</v>
      </c>
      <c r="G706" s="93">
        <f t="shared" si="170"/>
        <v>7.1909353951834705</v>
      </c>
      <c r="H706" s="93">
        <f t="shared" si="170"/>
        <v>10.354946969064198</v>
      </c>
      <c r="I706" s="93">
        <f t="shared" si="170"/>
        <v>14.094233374559602</v>
      </c>
      <c r="J706" s="93">
        <f t="shared" si="170"/>
        <v>18.408794611669684</v>
      </c>
      <c r="K706" s="93">
        <f t="shared" si="170"/>
        <v>23.298630680394446</v>
      </c>
      <c r="L706" s="35"/>
      <c r="M706" s="35"/>
      <c r="N706" s="35"/>
    </row>
    <row r="707" spans="1:14" x14ac:dyDescent="0.3">
      <c r="A707" s="397"/>
      <c r="B707" s="94">
        <v>25</v>
      </c>
      <c r="C707" s="93">
        <f t="shared" si="170"/>
        <v>0.23010993264587107</v>
      </c>
      <c r="D707" s="93">
        <f t="shared" si="170"/>
        <v>0.92043973058348427</v>
      </c>
      <c r="E707" s="93">
        <f t="shared" si="170"/>
        <v>2.0709893938128392</v>
      </c>
      <c r="F707" s="93">
        <f t="shared" si="170"/>
        <v>3.6817589223339371</v>
      </c>
      <c r="G707" s="93">
        <f t="shared" si="170"/>
        <v>5.7527483161467767</v>
      </c>
      <c r="H707" s="93">
        <f t="shared" si="170"/>
        <v>8.2839575752513568</v>
      </c>
      <c r="I707" s="93">
        <f t="shared" si="170"/>
        <v>11.275386699647681</v>
      </c>
      <c r="J707" s="93">
        <f t="shared" si="170"/>
        <v>14.727035689335748</v>
      </c>
      <c r="K707" s="93">
        <f t="shared" si="170"/>
        <v>18.638904544315555</v>
      </c>
      <c r="L707" s="35"/>
      <c r="M707" s="35"/>
      <c r="N707" s="35"/>
    </row>
    <row r="708" spans="1:14" x14ac:dyDescent="0.3">
      <c r="A708" s="397"/>
      <c r="B708" s="94">
        <v>30</v>
      </c>
      <c r="C708" s="93">
        <f t="shared" si="170"/>
        <v>0.19175827720489255</v>
      </c>
      <c r="D708" s="93">
        <f t="shared" si="170"/>
        <v>0.76703310881957021</v>
      </c>
      <c r="E708" s="93">
        <f t="shared" si="170"/>
        <v>1.7258244948440329</v>
      </c>
      <c r="F708" s="93">
        <f t="shared" si="170"/>
        <v>3.0681324352782808</v>
      </c>
      <c r="G708" s="93">
        <f t="shared" si="170"/>
        <v>4.7939569301223131</v>
      </c>
      <c r="H708" s="93">
        <f t="shared" si="170"/>
        <v>6.9032979793761315</v>
      </c>
      <c r="I708" s="93">
        <f t="shared" si="170"/>
        <v>9.3961555830397359</v>
      </c>
      <c r="J708" s="93">
        <f t="shared" si="170"/>
        <v>12.272529741113123</v>
      </c>
      <c r="K708" s="93">
        <f t="shared" si="170"/>
        <v>15.532420453596295</v>
      </c>
      <c r="L708" s="35"/>
      <c r="M708" s="35"/>
      <c r="N708" s="35"/>
    </row>
    <row r="709" spans="1:14" x14ac:dyDescent="0.3">
      <c r="A709" s="397"/>
      <c r="B709" s="94">
        <v>35</v>
      </c>
      <c r="C709" s="93">
        <f t="shared" si="170"/>
        <v>0.16436423760419361</v>
      </c>
      <c r="D709" s="93">
        <f t="shared" si="170"/>
        <v>0.65745695041677443</v>
      </c>
      <c r="E709" s="93">
        <f t="shared" si="170"/>
        <v>1.4792781384377425</v>
      </c>
      <c r="F709" s="93">
        <f t="shared" si="170"/>
        <v>2.6298278016670977</v>
      </c>
      <c r="G709" s="93">
        <f t="shared" si="170"/>
        <v>4.1091059401048406</v>
      </c>
      <c r="H709" s="93">
        <f t="shared" si="170"/>
        <v>5.9171125537509699</v>
      </c>
      <c r="I709" s="93">
        <f t="shared" si="170"/>
        <v>8.0538476426054864</v>
      </c>
      <c r="J709" s="93">
        <f t="shared" si="170"/>
        <v>10.519311206668391</v>
      </c>
      <c r="K709" s="93">
        <f t="shared" si="170"/>
        <v>13.313503245939684</v>
      </c>
      <c r="L709" s="35"/>
      <c r="M709" s="35"/>
      <c r="N709" s="35"/>
    </row>
    <row r="710" spans="1:14" x14ac:dyDescent="0.3">
      <c r="A710" s="397"/>
      <c r="B710" s="94">
        <v>40</v>
      </c>
      <c r="C710" s="93">
        <f t="shared" si="170"/>
        <v>0.14381870790366941</v>
      </c>
      <c r="D710" s="93">
        <f t="shared" si="170"/>
        <v>0.57527483161467763</v>
      </c>
      <c r="E710" s="93">
        <f t="shared" si="170"/>
        <v>1.2943683711330247</v>
      </c>
      <c r="F710" s="93">
        <f t="shared" si="170"/>
        <v>2.3010993264587105</v>
      </c>
      <c r="G710" s="93">
        <f t="shared" si="170"/>
        <v>3.5954676975917352</v>
      </c>
      <c r="H710" s="93">
        <f t="shared" si="170"/>
        <v>5.1774734845320989</v>
      </c>
      <c r="I710" s="93">
        <f t="shared" si="170"/>
        <v>7.047116687279801</v>
      </c>
      <c r="J710" s="93">
        <f t="shared" si="170"/>
        <v>9.2043973058348421</v>
      </c>
      <c r="K710" s="93">
        <f t="shared" si="170"/>
        <v>11.649315340197223</v>
      </c>
      <c r="L710" s="35"/>
      <c r="M710" s="35"/>
      <c r="N710" s="35"/>
    </row>
    <row r="711" spans="1:14" x14ac:dyDescent="0.3">
      <c r="A711" s="397"/>
      <c r="B711" s="94">
        <v>45</v>
      </c>
      <c r="C711" s="93">
        <f t="shared" si="170"/>
        <v>0.12783885146992838</v>
      </c>
      <c r="D711" s="93">
        <f t="shared" si="170"/>
        <v>0.51135540587971351</v>
      </c>
      <c r="E711" s="93">
        <f t="shared" si="170"/>
        <v>1.1505496632293553</v>
      </c>
      <c r="F711" s="93">
        <f t="shared" si="170"/>
        <v>2.045421623518854</v>
      </c>
      <c r="G711" s="93">
        <f t="shared" si="170"/>
        <v>3.1959712867482093</v>
      </c>
      <c r="H711" s="93">
        <f t="shared" si="170"/>
        <v>4.602198652917421</v>
      </c>
      <c r="I711" s="93">
        <f t="shared" si="170"/>
        <v>6.2641037220264897</v>
      </c>
      <c r="J711" s="93">
        <f t="shared" si="170"/>
        <v>8.1816864940754161</v>
      </c>
      <c r="K711" s="93">
        <f t="shared" si="170"/>
        <v>10.354946969064198</v>
      </c>
      <c r="L711" s="35"/>
      <c r="M711" s="35"/>
      <c r="N711" s="35"/>
    </row>
    <row r="712" spans="1:14" x14ac:dyDescent="0.3">
      <c r="A712" s="397"/>
      <c r="B712" s="94">
        <v>50</v>
      </c>
      <c r="C712" s="93">
        <f t="shared" si="170"/>
        <v>0.11505496632293553</v>
      </c>
      <c r="D712" s="93">
        <f t="shared" si="170"/>
        <v>0.46021986529174214</v>
      </c>
      <c r="E712" s="93">
        <f t="shared" si="170"/>
        <v>1.0354946969064196</v>
      </c>
      <c r="F712" s="93">
        <f t="shared" si="170"/>
        <v>1.8408794611669685</v>
      </c>
      <c r="G712" s="93">
        <f t="shared" si="170"/>
        <v>2.8763741580733884</v>
      </c>
      <c r="H712" s="93">
        <f t="shared" si="170"/>
        <v>4.1419787876256784</v>
      </c>
      <c r="I712" s="93">
        <f t="shared" si="170"/>
        <v>5.6376933498238406</v>
      </c>
      <c r="J712" s="93">
        <f t="shared" si="170"/>
        <v>7.3635178446678742</v>
      </c>
      <c r="K712" s="93">
        <f t="shared" si="170"/>
        <v>9.3194522721577773</v>
      </c>
      <c r="L712" s="35"/>
      <c r="M712" s="35"/>
      <c r="N712" s="35"/>
    </row>
    <row r="713" spans="1:14" x14ac:dyDescent="0.3">
      <c r="A713" s="397"/>
      <c r="B713" s="94">
        <v>55</v>
      </c>
      <c r="C713" s="93">
        <f t="shared" si="170"/>
        <v>0.10459542392994139</v>
      </c>
      <c r="D713" s="93">
        <f t="shared" si="170"/>
        <v>0.41838169571976558</v>
      </c>
      <c r="E713" s="93">
        <f t="shared" si="170"/>
        <v>0.94135881536947241</v>
      </c>
      <c r="F713" s="93">
        <f t="shared" si="170"/>
        <v>1.6735267828790623</v>
      </c>
      <c r="G713" s="93">
        <f t="shared" si="170"/>
        <v>2.6148855982485344</v>
      </c>
      <c r="H713" s="93">
        <f t="shared" si="170"/>
        <v>3.7654352614778897</v>
      </c>
      <c r="I713" s="93">
        <f t="shared" si="170"/>
        <v>5.1251757725671281</v>
      </c>
      <c r="J713" s="93">
        <f t="shared" si="170"/>
        <v>6.6941071315162493</v>
      </c>
      <c r="K713" s="93">
        <f t="shared" si="170"/>
        <v>8.4722293383252527</v>
      </c>
      <c r="L713" s="35"/>
      <c r="M713" s="35"/>
      <c r="N713" s="35"/>
    </row>
    <row r="714" spans="1:14" x14ac:dyDescent="0.3">
      <c r="A714" s="397"/>
      <c r="B714" s="94">
        <v>60</v>
      </c>
      <c r="C714" s="93">
        <f t="shared" si="170"/>
        <v>9.5879138602446276E-2</v>
      </c>
      <c r="D714" s="93">
        <f t="shared" si="170"/>
        <v>0.3835165544097851</v>
      </c>
      <c r="E714" s="93">
        <f t="shared" si="170"/>
        <v>0.86291224742201644</v>
      </c>
      <c r="F714" s="93">
        <f t="shared" si="170"/>
        <v>1.5340662176391404</v>
      </c>
      <c r="G714" s="93">
        <f t="shared" si="170"/>
        <v>2.3969784650611565</v>
      </c>
      <c r="H714" s="93">
        <f t="shared" si="170"/>
        <v>3.4516489896880658</v>
      </c>
      <c r="I714" s="93">
        <f t="shared" si="170"/>
        <v>4.6980777915198679</v>
      </c>
      <c r="J714" s="93">
        <f t="shared" si="170"/>
        <v>6.1362648705565617</v>
      </c>
      <c r="K714" s="93">
        <f t="shared" si="170"/>
        <v>7.7662102267981474</v>
      </c>
      <c r="L714" s="35"/>
      <c r="M714" s="35"/>
      <c r="N714" s="35"/>
    </row>
    <row r="715" spans="1:14" x14ac:dyDescent="0.3">
      <c r="A715" s="397"/>
      <c r="B715" s="94">
        <v>65</v>
      </c>
      <c r="C715" s="93">
        <f t="shared" si="170"/>
        <v>8.8503820248411941E-2</v>
      </c>
      <c r="D715" s="93">
        <f t="shared" si="170"/>
        <v>0.35401528099364776</v>
      </c>
      <c r="E715" s="93">
        <f t="shared" si="170"/>
        <v>0.79653438223570761</v>
      </c>
      <c r="F715" s="93">
        <f t="shared" si="170"/>
        <v>1.4160611239745911</v>
      </c>
      <c r="G715" s="93">
        <f t="shared" si="170"/>
        <v>2.2125955062102984</v>
      </c>
      <c r="H715" s="93">
        <f t="shared" si="170"/>
        <v>3.1861375289428304</v>
      </c>
      <c r="I715" s="93">
        <f t="shared" si="170"/>
        <v>4.3366871921721852</v>
      </c>
      <c r="J715" s="93">
        <f t="shared" si="170"/>
        <v>5.6642444958983642</v>
      </c>
      <c r="K715" s="93">
        <f t="shared" si="170"/>
        <v>7.1688094401213673</v>
      </c>
      <c r="L715" s="35"/>
      <c r="M715" s="35"/>
      <c r="N715" s="35"/>
    </row>
    <row r="716" spans="1:14" x14ac:dyDescent="0.3">
      <c r="A716" s="397"/>
      <c r="B716" s="94">
        <v>70</v>
      </c>
      <c r="C716" s="93">
        <f t="shared" si="170"/>
        <v>8.2182118802096804E-2</v>
      </c>
      <c r="D716" s="93">
        <f t="shared" si="170"/>
        <v>0.32872847520838722</v>
      </c>
      <c r="E716" s="93">
        <f t="shared" si="170"/>
        <v>0.73963906921887124</v>
      </c>
      <c r="F716" s="93">
        <f t="shared" si="170"/>
        <v>1.3149139008335489</v>
      </c>
      <c r="G716" s="93">
        <f t="shared" si="170"/>
        <v>2.0545529700524203</v>
      </c>
      <c r="H716" s="93">
        <f t="shared" si="170"/>
        <v>2.9585562768754849</v>
      </c>
      <c r="I716" s="93">
        <f t="shared" si="170"/>
        <v>4.0269238213027432</v>
      </c>
      <c r="J716" s="93">
        <f t="shared" si="170"/>
        <v>5.2596556033341955</v>
      </c>
      <c r="K716" s="93">
        <f t="shared" si="170"/>
        <v>6.6567516229698418</v>
      </c>
      <c r="L716" s="35"/>
      <c r="M716" s="35"/>
      <c r="N716" s="35"/>
    </row>
    <row r="717" spans="1:14" x14ac:dyDescent="0.3">
      <c r="A717" s="397"/>
      <c r="B717" s="94">
        <v>75</v>
      </c>
      <c r="C717" s="93">
        <f t="shared" si="170"/>
        <v>7.6703310881957018E-2</v>
      </c>
      <c r="D717" s="93">
        <f t="shared" si="170"/>
        <v>0.30681324352782807</v>
      </c>
      <c r="E717" s="93">
        <f t="shared" si="170"/>
        <v>0.69032979793761318</v>
      </c>
      <c r="F717" s="93">
        <f t="shared" si="170"/>
        <v>1.2272529741113123</v>
      </c>
      <c r="G717" s="93">
        <f t="shared" si="170"/>
        <v>1.9175827720489256</v>
      </c>
      <c r="H717" s="93">
        <f t="shared" si="170"/>
        <v>2.7613191917504527</v>
      </c>
      <c r="I717" s="93">
        <f t="shared" si="170"/>
        <v>3.7584622332158935</v>
      </c>
      <c r="J717" s="93">
        <f t="shared" si="170"/>
        <v>4.9090118964452492</v>
      </c>
      <c r="K717" s="93">
        <f t="shared" si="170"/>
        <v>6.2129681814385185</v>
      </c>
      <c r="L717" s="35"/>
      <c r="M717" s="35"/>
      <c r="N717" s="35"/>
    </row>
    <row r="718" spans="1:14" x14ac:dyDescent="0.3">
      <c r="A718" s="397"/>
      <c r="B718" s="94">
        <v>80</v>
      </c>
      <c r="C718" s="93">
        <f t="shared" si="170"/>
        <v>7.1909353951834704E-2</v>
      </c>
      <c r="D718" s="93">
        <f t="shared" si="170"/>
        <v>0.28763741580733881</v>
      </c>
      <c r="E718" s="93">
        <f t="shared" si="170"/>
        <v>0.64718418556651236</v>
      </c>
      <c r="F718" s="93">
        <f t="shared" si="170"/>
        <v>1.1505496632293553</v>
      </c>
      <c r="G718" s="93">
        <f t="shared" si="170"/>
        <v>1.7977338487958676</v>
      </c>
      <c r="H718" s="93">
        <f t="shared" si="170"/>
        <v>2.5887367422660494</v>
      </c>
      <c r="I718" s="93">
        <f t="shared" si="170"/>
        <v>3.5235583436399005</v>
      </c>
      <c r="J718" s="93">
        <f t="shared" si="170"/>
        <v>4.602198652917421</v>
      </c>
      <c r="K718" s="93">
        <f t="shared" si="170"/>
        <v>5.8246576700986115</v>
      </c>
      <c r="L718" s="35"/>
      <c r="M718" s="35"/>
      <c r="N718" s="35"/>
    </row>
    <row r="719" spans="1:14" x14ac:dyDescent="0.3">
      <c r="A719" s="397"/>
      <c r="B719" s="94">
        <v>85</v>
      </c>
      <c r="C719" s="93">
        <f t="shared" ref="C719:K722" si="171">C695/$G$522</f>
        <v>6.7679391954667961E-2</v>
      </c>
      <c r="D719" s="93">
        <f t="shared" si="171"/>
        <v>0.27071756781867184</v>
      </c>
      <c r="E719" s="93">
        <f t="shared" si="171"/>
        <v>0.60911452759201168</v>
      </c>
      <c r="F719" s="93">
        <f t="shared" si="171"/>
        <v>1.0828702712746874</v>
      </c>
      <c r="G719" s="93">
        <f t="shared" si="171"/>
        <v>1.6919847988666989</v>
      </c>
      <c r="H719" s="93">
        <f t="shared" si="171"/>
        <v>2.4364581103680467</v>
      </c>
      <c r="I719" s="93">
        <f t="shared" si="171"/>
        <v>3.31629020577873</v>
      </c>
      <c r="J719" s="93">
        <f t="shared" si="171"/>
        <v>4.3314810850987495</v>
      </c>
      <c r="K719" s="93">
        <f t="shared" si="171"/>
        <v>5.4820307483281043</v>
      </c>
      <c r="L719" s="35"/>
      <c r="M719" s="35"/>
      <c r="N719" s="35"/>
    </row>
    <row r="720" spans="1:14" x14ac:dyDescent="0.3">
      <c r="A720" s="397"/>
      <c r="B720" s="94">
        <v>90</v>
      </c>
      <c r="C720" s="93">
        <f t="shared" si="171"/>
        <v>6.3919425734964189E-2</v>
      </c>
      <c r="D720" s="93">
        <f t="shared" si="171"/>
        <v>0.25567770293985675</v>
      </c>
      <c r="E720" s="93">
        <f t="shared" si="171"/>
        <v>0.57527483161467763</v>
      </c>
      <c r="F720" s="93">
        <f t="shared" si="171"/>
        <v>1.022710811759427</v>
      </c>
      <c r="G720" s="93">
        <f t="shared" si="171"/>
        <v>1.5979856433741046</v>
      </c>
      <c r="H720" s="93">
        <f t="shared" si="171"/>
        <v>2.3010993264587105</v>
      </c>
      <c r="I720" s="93">
        <f t="shared" si="171"/>
        <v>3.1320518610132448</v>
      </c>
      <c r="J720" s="93">
        <f t="shared" si="171"/>
        <v>4.0908432470377081</v>
      </c>
      <c r="K720" s="93">
        <f t="shared" si="171"/>
        <v>5.1774734845320989</v>
      </c>
      <c r="L720" s="35"/>
      <c r="M720" s="35"/>
      <c r="N720" s="35"/>
    </row>
    <row r="721" spans="1:14" x14ac:dyDescent="0.3">
      <c r="A721" s="397"/>
      <c r="B721" s="94">
        <v>95</v>
      </c>
      <c r="C721" s="93">
        <f t="shared" si="171"/>
        <v>6.0555245433123954E-2</v>
      </c>
      <c r="D721" s="93">
        <f t="shared" si="171"/>
        <v>0.24222098173249582</v>
      </c>
      <c r="E721" s="93">
        <f t="shared" si="171"/>
        <v>0.54499720889811565</v>
      </c>
      <c r="F721" s="93">
        <f t="shared" si="171"/>
        <v>0.96888392692998326</v>
      </c>
      <c r="G721" s="93">
        <f t="shared" si="171"/>
        <v>1.513881135828099</v>
      </c>
      <c r="H721" s="93">
        <f t="shared" si="171"/>
        <v>2.1799888355924626</v>
      </c>
      <c r="I721" s="93">
        <f t="shared" si="171"/>
        <v>2.9672070262230745</v>
      </c>
      <c r="J721" s="93">
        <f t="shared" si="171"/>
        <v>3.8755357077199331</v>
      </c>
      <c r="K721" s="93">
        <f t="shared" si="171"/>
        <v>4.9049748800830413</v>
      </c>
      <c r="L721" s="35"/>
      <c r="M721" s="35"/>
      <c r="N721" s="35"/>
    </row>
    <row r="722" spans="1:14" x14ac:dyDescent="0.3">
      <c r="A722" s="397"/>
      <c r="B722" s="94">
        <v>100</v>
      </c>
      <c r="C722" s="93">
        <f t="shared" si="171"/>
        <v>5.7527483161467767E-2</v>
      </c>
      <c r="D722" s="93">
        <f t="shared" si="171"/>
        <v>0.23010993264587107</v>
      </c>
      <c r="E722" s="93">
        <f t="shared" si="171"/>
        <v>0.5177473484532098</v>
      </c>
      <c r="F722" s="93">
        <f t="shared" si="171"/>
        <v>0.92043973058348427</v>
      </c>
      <c r="G722" s="93">
        <f t="shared" si="171"/>
        <v>1.4381870790366942</v>
      </c>
      <c r="H722" s="93">
        <f t="shared" si="171"/>
        <v>2.0709893938128392</v>
      </c>
      <c r="I722" s="93">
        <f t="shared" si="171"/>
        <v>2.8188466749119203</v>
      </c>
      <c r="J722" s="93">
        <f t="shared" si="171"/>
        <v>3.6817589223339371</v>
      </c>
      <c r="K722" s="93">
        <f t="shared" si="171"/>
        <v>4.6597261360788886</v>
      </c>
      <c r="L722" s="35"/>
      <c r="M722" s="35"/>
      <c r="N722" s="35"/>
    </row>
    <row r="723" spans="1:14" x14ac:dyDescent="0.3">
      <c r="A723" s="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</row>
    <row r="724" spans="1:14" x14ac:dyDescent="0.3">
      <c r="A724" s="415" t="s">
        <v>507</v>
      </c>
      <c r="B724" s="416"/>
      <c r="C724" s="416"/>
      <c r="D724" s="416"/>
      <c r="E724" s="416"/>
      <c r="F724" s="416"/>
      <c r="G724" s="416"/>
      <c r="H724" s="416"/>
      <c r="I724" s="416"/>
      <c r="J724" s="416"/>
      <c r="K724" s="369"/>
      <c r="L724" s="35"/>
      <c r="M724" s="35"/>
      <c r="N724" s="35"/>
    </row>
    <row r="725" spans="1:14" x14ac:dyDescent="0.3">
      <c r="A725" s="360"/>
      <c r="B725" s="361"/>
      <c r="C725" s="364" t="s">
        <v>230</v>
      </c>
      <c r="D725" s="365"/>
      <c r="E725" s="365"/>
      <c r="F725" s="365"/>
      <c r="G725" s="365"/>
      <c r="H725" s="365"/>
      <c r="I725" s="365"/>
      <c r="J725" s="365"/>
      <c r="K725" s="366"/>
      <c r="L725" s="35"/>
      <c r="M725" s="35"/>
      <c r="N725" s="35"/>
    </row>
    <row r="726" spans="1:14" x14ac:dyDescent="0.3">
      <c r="A726" s="362"/>
      <c r="B726" s="363"/>
      <c r="C726" s="94">
        <v>5</v>
      </c>
      <c r="D726" s="94">
        <v>10</v>
      </c>
      <c r="E726" s="94">
        <v>15</v>
      </c>
      <c r="F726" s="94">
        <v>20</v>
      </c>
      <c r="G726" s="94">
        <v>25</v>
      </c>
      <c r="H726" s="94">
        <v>30</v>
      </c>
      <c r="I726" s="94">
        <v>35</v>
      </c>
      <c r="J726" s="94">
        <v>40</v>
      </c>
      <c r="K726" s="94">
        <v>45</v>
      </c>
      <c r="L726" s="35"/>
      <c r="M726" s="35"/>
      <c r="N726" s="35"/>
    </row>
    <row r="727" spans="1:14" x14ac:dyDescent="0.3">
      <c r="A727" s="397" t="s">
        <v>231</v>
      </c>
      <c r="B727" s="94">
        <v>5</v>
      </c>
      <c r="C727" s="144">
        <f>RADIANS(C703)</f>
        <v>2.0080879831064182E-2</v>
      </c>
      <c r="D727" s="144">
        <f t="shared" ref="D727:K727" si="172">RADIANS(D703)</f>
        <v>8.0323519324256729E-2</v>
      </c>
      <c r="E727" s="144">
        <f t="shared" si="172"/>
        <v>0.18072791847957767</v>
      </c>
      <c r="F727" s="144">
        <f t="shared" si="172"/>
        <v>0.32129407729702691</v>
      </c>
      <c r="G727" s="144">
        <f t="shared" si="172"/>
        <v>0.50202199577660456</v>
      </c>
      <c r="H727" s="144">
        <f t="shared" si="172"/>
        <v>0.72291167391831068</v>
      </c>
      <c r="I727" s="144">
        <f t="shared" si="172"/>
        <v>0.98396311172214501</v>
      </c>
      <c r="J727" s="144">
        <f t="shared" si="172"/>
        <v>1.2851763091881077</v>
      </c>
      <c r="K727" s="144">
        <f t="shared" si="172"/>
        <v>1.626551266316199</v>
      </c>
      <c r="L727" s="35"/>
      <c r="M727" s="35"/>
      <c r="N727" s="35"/>
    </row>
    <row r="728" spans="1:14" x14ac:dyDescent="0.3">
      <c r="A728" s="397"/>
      <c r="B728" s="94">
        <v>10</v>
      </c>
      <c r="C728" s="144">
        <f t="shared" ref="C728:K743" si="173">RADIANS(C704)</f>
        <v>1.0040439915532091E-2</v>
      </c>
      <c r="D728" s="144">
        <f t="shared" si="173"/>
        <v>4.0161759662128364E-2</v>
      </c>
      <c r="E728" s="144">
        <f t="shared" si="173"/>
        <v>9.0363959239788835E-2</v>
      </c>
      <c r="F728" s="144">
        <f t="shared" si="173"/>
        <v>0.16064703864851346</v>
      </c>
      <c r="G728" s="144">
        <f t="shared" si="173"/>
        <v>0.25101099788830228</v>
      </c>
      <c r="H728" s="144">
        <f t="shared" si="173"/>
        <v>0.36145583695915534</v>
      </c>
      <c r="I728" s="144">
        <f t="shared" si="173"/>
        <v>0.49198155586107251</v>
      </c>
      <c r="J728" s="144">
        <f t="shared" si="173"/>
        <v>0.64258815459405383</v>
      </c>
      <c r="K728" s="144">
        <f t="shared" si="173"/>
        <v>0.81327563315809948</v>
      </c>
      <c r="L728" s="35"/>
      <c r="M728" s="35"/>
      <c r="N728" s="35"/>
    </row>
    <row r="729" spans="1:14" x14ac:dyDescent="0.3">
      <c r="A729" s="397"/>
      <c r="B729" s="94">
        <v>15</v>
      </c>
      <c r="C729" s="144">
        <f t="shared" si="173"/>
        <v>6.693626610354728E-3</v>
      </c>
      <c r="D729" s="144">
        <f t="shared" si="173"/>
        <v>2.6774506441418912E-2</v>
      </c>
      <c r="E729" s="144">
        <f t="shared" si="173"/>
        <v>6.024263949319255E-2</v>
      </c>
      <c r="F729" s="144">
        <f t="shared" si="173"/>
        <v>0.10709802576567565</v>
      </c>
      <c r="G729" s="144">
        <f t="shared" si="173"/>
        <v>0.16734066525886818</v>
      </c>
      <c r="H729" s="144">
        <f t="shared" si="173"/>
        <v>0.2409705579727702</v>
      </c>
      <c r="I729" s="144">
        <f t="shared" si="173"/>
        <v>0.32798770390738169</v>
      </c>
      <c r="J729" s="144">
        <f t="shared" si="173"/>
        <v>0.42839210306270259</v>
      </c>
      <c r="K729" s="144">
        <f t="shared" si="173"/>
        <v>0.54218375543873287</v>
      </c>
      <c r="L729" s="35"/>
      <c r="M729" s="35"/>
      <c r="N729" s="35"/>
    </row>
    <row r="730" spans="1:14" x14ac:dyDescent="0.3">
      <c r="A730" s="397"/>
      <c r="B730" s="94">
        <v>20</v>
      </c>
      <c r="C730" s="144">
        <f t="shared" si="173"/>
        <v>5.0202199577660455E-3</v>
      </c>
      <c r="D730" s="144">
        <f t="shared" si="173"/>
        <v>2.0080879831064182E-2</v>
      </c>
      <c r="E730" s="144">
        <f t="shared" si="173"/>
        <v>4.5181979619894418E-2</v>
      </c>
      <c r="F730" s="144">
        <f t="shared" si="173"/>
        <v>8.0323519324256729E-2</v>
      </c>
      <c r="G730" s="144">
        <f t="shared" si="173"/>
        <v>0.12550549894415114</v>
      </c>
      <c r="H730" s="144">
        <f t="shared" si="173"/>
        <v>0.18072791847957767</v>
      </c>
      <c r="I730" s="144">
        <f t="shared" si="173"/>
        <v>0.24599077793053625</v>
      </c>
      <c r="J730" s="144">
        <f t="shared" si="173"/>
        <v>0.32129407729702691</v>
      </c>
      <c r="K730" s="144">
        <f t="shared" si="173"/>
        <v>0.40663781657904974</v>
      </c>
      <c r="L730" s="35"/>
      <c r="M730" s="35"/>
      <c r="N730" s="35"/>
    </row>
    <row r="731" spans="1:14" x14ac:dyDescent="0.3">
      <c r="A731" s="397"/>
      <c r="B731" s="94">
        <v>25</v>
      </c>
      <c r="C731" s="144">
        <f t="shared" si="173"/>
        <v>4.0161759662128375E-3</v>
      </c>
      <c r="D731" s="144">
        <f t="shared" si="173"/>
        <v>1.606470386485135E-2</v>
      </c>
      <c r="E731" s="144">
        <f t="shared" si="173"/>
        <v>3.6145583695915529E-2</v>
      </c>
      <c r="F731" s="144">
        <f t="shared" si="173"/>
        <v>6.42588154594054E-2</v>
      </c>
      <c r="G731" s="144">
        <f t="shared" si="173"/>
        <v>0.10040439915532093</v>
      </c>
      <c r="H731" s="144">
        <f t="shared" si="173"/>
        <v>0.14458233478366211</v>
      </c>
      <c r="I731" s="144">
        <f t="shared" si="173"/>
        <v>0.19679262234442899</v>
      </c>
      <c r="J731" s="144">
        <f t="shared" si="173"/>
        <v>0.2570352618376216</v>
      </c>
      <c r="K731" s="144">
        <f t="shared" si="173"/>
        <v>0.32531025326323976</v>
      </c>
      <c r="L731" s="35"/>
      <c r="M731" s="35"/>
      <c r="N731" s="35"/>
    </row>
    <row r="732" spans="1:14" x14ac:dyDescent="0.3">
      <c r="A732" s="397"/>
      <c r="B732" s="94">
        <v>30</v>
      </c>
      <c r="C732" s="144">
        <f t="shared" si="173"/>
        <v>3.346813305177364E-3</v>
      </c>
      <c r="D732" s="144">
        <f t="shared" si="173"/>
        <v>1.3387253220709456E-2</v>
      </c>
      <c r="E732" s="144">
        <f t="shared" si="173"/>
        <v>3.0121319746596275E-2</v>
      </c>
      <c r="F732" s="144">
        <f t="shared" si="173"/>
        <v>5.3549012882837824E-2</v>
      </c>
      <c r="G732" s="144">
        <f t="shared" si="173"/>
        <v>8.3670332629434088E-2</v>
      </c>
      <c r="H732" s="144">
        <f t="shared" si="173"/>
        <v>0.1204852789863851</v>
      </c>
      <c r="I732" s="144">
        <f t="shared" si="173"/>
        <v>0.16399385195369084</v>
      </c>
      <c r="J732" s="144">
        <f t="shared" si="173"/>
        <v>0.21419605153135129</v>
      </c>
      <c r="K732" s="144">
        <f t="shared" si="173"/>
        <v>0.27109187771936644</v>
      </c>
      <c r="L732" s="35"/>
      <c r="M732" s="35"/>
      <c r="N732" s="35"/>
    </row>
    <row r="733" spans="1:14" x14ac:dyDescent="0.3">
      <c r="A733" s="397"/>
      <c r="B733" s="94">
        <v>35</v>
      </c>
      <c r="C733" s="144">
        <f t="shared" si="173"/>
        <v>2.868697118723455E-3</v>
      </c>
      <c r="D733" s="144">
        <f t="shared" si="173"/>
        <v>1.147478847489382E-2</v>
      </c>
      <c r="E733" s="144">
        <f t="shared" si="173"/>
        <v>2.5818274068511095E-2</v>
      </c>
      <c r="F733" s="144">
        <f t="shared" si="173"/>
        <v>4.589915389957528E-2</v>
      </c>
      <c r="G733" s="144">
        <f t="shared" si="173"/>
        <v>7.1717427968086375E-2</v>
      </c>
      <c r="H733" s="144">
        <f t="shared" si="173"/>
        <v>0.10327309627404438</v>
      </c>
      <c r="I733" s="144">
        <f t="shared" si="173"/>
        <v>0.14056615881744927</v>
      </c>
      <c r="J733" s="144">
        <f t="shared" si="173"/>
        <v>0.18359661559830112</v>
      </c>
      <c r="K733" s="144">
        <f t="shared" si="173"/>
        <v>0.23236446661659987</v>
      </c>
      <c r="L733" s="35"/>
      <c r="M733" s="35"/>
      <c r="N733" s="35"/>
    </row>
    <row r="734" spans="1:14" x14ac:dyDescent="0.3">
      <c r="A734" s="397"/>
      <c r="B734" s="94">
        <v>40</v>
      </c>
      <c r="C734" s="144">
        <f t="shared" si="173"/>
        <v>2.5101099788830228E-3</v>
      </c>
      <c r="D734" s="144">
        <f t="shared" si="173"/>
        <v>1.0040439915532091E-2</v>
      </c>
      <c r="E734" s="144">
        <f t="shared" si="173"/>
        <v>2.2590989809947209E-2</v>
      </c>
      <c r="F734" s="144">
        <f t="shared" si="173"/>
        <v>4.0161759662128364E-2</v>
      </c>
      <c r="G734" s="144">
        <f t="shared" si="173"/>
        <v>6.275274947207557E-2</v>
      </c>
      <c r="H734" s="144">
        <f t="shared" si="173"/>
        <v>9.0363959239788835E-2</v>
      </c>
      <c r="I734" s="144">
        <f t="shared" si="173"/>
        <v>0.12299538896526813</v>
      </c>
      <c r="J734" s="144">
        <f t="shared" si="173"/>
        <v>0.16064703864851346</v>
      </c>
      <c r="K734" s="144">
        <f t="shared" si="173"/>
        <v>0.20331890828952487</v>
      </c>
      <c r="L734" s="35"/>
      <c r="M734" s="35"/>
      <c r="N734" s="35"/>
    </row>
    <row r="735" spans="1:14" x14ac:dyDescent="0.3">
      <c r="A735" s="397"/>
      <c r="B735" s="94">
        <v>45</v>
      </c>
      <c r="C735" s="144">
        <f t="shared" si="173"/>
        <v>2.2312088701182428E-3</v>
      </c>
      <c r="D735" s="144">
        <f t="shared" si="173"/>
        <v>8.9248354804729712E-3</v>
      </c>
      <c r="E735" s="144">
        <f t="shared" si="173"/>
        <v>2.0080879831064182E-2</v>
      </c>
      <c r="F735" s="144">
        <f t="shared" si="173"/>
        <v>3.5699341921891885E-2</v>
      </c>
      <c r="G735" s="144">
        <f t="shared" si="173"/>
        <v>5.578022175295607E-2</v>
      </c>
      <c r="H735" s="144">
        <f t="shared" si="173"/>
        <v>8.0323519324256729E-2</v>
      </c>
      <c r="I735" s="144">
        <f t="shared" si="173"/>
        <v>0.10932923463579389</v>
      </c>
      <c r="J735" s="144">
        <f t="shared" si="173"/>
        <v>0.14279736768756754</v>
      </c>
      <c r="K735" s="144">
        <f t="shared" si="173"/>
        <v>0.18072791847957767</v>
      </c>
      <c r="L735" s="35"/>
      <c r="M735" s="35"/>
      <c r="N735" s="35"/>
    </row>
    <row r="736" spans="1:14" x14ac:dyDescent="0.3">
      <c r="A736" s="397"/>
      <c r="B736" s="94">
        <v>50</v>
      </c>
      <c r="C736" s="144">
        <f t="shared" si="173"/>
        <v>2.0080879831064187E-3</v>
      </c>
      <c r="D736" s="144">
        <f t="shared" si="173"/>
        <v>8.0323519324256749E-3</v>
      </c>
      <c r="E736" s="144">
        <f t="shared" si="173"/>
        <v>1.8072791847957764E-2</v>
      </c>
      <c r="F736" s="144">
        <f t="shared" si="173"/>
        <v>3.21294077297027E-2</v>
      </c>
      <c r="G736" s="144">
        <f t="shared" si="173"/>
        <v>5.0202199577660464E-2</v>
      </c>
      <c r="H736" s="144">
        <f t="shared" si="173"/>
        <v>7.2291167391831057E-2</v>
      </c>
      <c r="I736" s="144">
        <f t="shared" si="173"/>
        <v>9.8396311172214493E-2</v>
      </c>
      <c r="J736" s="144">
        <f t="shared" si="173"/>
        <v>0.1285176309188108</v>
      </c>
      <c r="K736" s="144">
        <f t="shared" si="173"/>
        <v>0.16265512663161988</v>
      </c>
      <c r="L736" s="35"/>
      <c r="M736" s="35"/>
      <c r="N736" s="35"/>
    </row>
    <row r="737" spans="1:14" x14ac:dyDescent="0.3">
      <c r="A737" s="397"/>
      <c r="B737" s="94">
        <v>55</v>
      </c>
      <c r="C737" s="144">
        <f t="shared" si="173"/>
        <v>1.825534530096744E-3</v>
      </c>
      <c r="D737" s="144">
        <f t="shared" si="173"/>
        <v>7.3021381203869761E-3</v>
      </c>
      <c r="E737" s="144">
        <f t="shared" si="173"/>
        <v>1.6429810770870693E-2</v>
      </c>
      <c r="F737" s="144">
        <f t="shared" si="173"/>
        <v>2.9208552481547904E-2</v>
      </c>
      <c r="G737" s="144">
        <f t="shared" si="173"/>
        <v>4.5638363252418594E-2</v>
      </c>
      <c r="H737" s="144">
        <f t="shared" si="173"/>
        <v>6.5719243083482773E-2</v>
      </c>
      <c r="I737" s="144">
        <f t="shared" si="173"/>
        <v>8.9451191974740454E-2</v>
      </c>
      <c r="J737" s="144">
        <f t="shared" si="173"/>
        <v>0.11683420992619162</v>
      </c>
      <c r="K737" s="144">
        <f t="shared" si="173"/>
        <v>0.14786829693783626</v>
      </c>
      <c r="L737" s="35"/>
      <c r="M737" s="35"/>
      <c r="N737" s="35"/>
    </row>
    <row r="738" spans="1:14" x14ac:dyDescent="0.3">
      <c r="A738" s="397"/>
      <c r="B738" s="94">
        <v>60</v>
      </c>
      <c r="C738" s="144">
        <f t="shared" si="173"/>
        <v>1.673406652588682E-3</v>
      </c>
      <c r="D738" s="144">
        <f t="shared" si="173"/>
        <v>6.693626610354728E-3</v>
      </c>
      <c r="E738" s="144">
        <f t="shared" si="173"/>
        <v>1.5060659873298137E-2</v>
      </c>
      <c r="F738" s="144">
        <f t="shared" si="173"/>
        <v>2.6774506441418912E-2</v>
      </c>
      <c r="G738" s="144">
        <f t="shared" si="173"/>
        <v>4.1835166314717044E-2</v>
      </c>
      <c r="H738" s="144">
        <f t="shared" si="173"/>
        <v>6.024263949319255E-2</v>
      </c>
      <c r="I738" s="144">
        <f t="shared" si="173"/>
        <v>8.1996925976845422E-2</v>
      </c>
      <c r="J738" s="144">
        <f t="shared" si="173"/>
        <v>0.10709802576567565</v>
      </c>
      <c r="K738" s="144">
        <f t="shared" si="173"/>
        <v>0.13554593885968322</v>
      </c>
      <c r="L738" s="35"/>
      <c r="M738" s="35"/>
      <c r="N738" s="35"/>
    </row>
    <row r="739" spans="1:14" x14ac:dyDescent="0.3">
      <c r="A739" s="397"/>
      <c r="B739" s="94">
        <v>65</v>
      </c>
      <c r="C739" s="144">
        <f t="shared" si="173"/>
        <v>1.5446830639280142E-3</v>
      </c>
      <c r="D739" s="144">
        <f t="shared" si="173"/>
        <v>6.1787322557120567E-3</v>
      </c>
      <c r="E739" s="144">
        <f t="shared" si="173"/>
        <v>1.3902147575352129E-2</v>
      </c>
      <c r="F739" s="144">
        <f t="shared" si="173"/>
        <v>2.4714929022848227E-2</v>
      </c>
      <c r="G739" s="144">
        <f t="shared" si="173"/>
        <v>3.8617076598200351E-2</v>
      </c>
      <c r="H739" s="144">
        <f t="shared" si="173"/>
        <v>5.5608590301408516E-2</v>
      </c>
      <c r="I739" s="144">
        <f t="shared" si="173"/>
        <v>7.5689470132472694E-2</v>
      </c>
      <c r="J739" s="144">
        <f t="shared" si="173"/>
        <v>9.8859716091392907E-2</v>
      </c>
      <c r="K739" s="144">
        <f t="shared" si="173"/>
        <v>0.12511932817816915</v>
      </c>
      <c r="L739" s="35"/>
      <c r="M739" s="35"/>
      <c r="N739" s="35"/>
    </row>
    <row r="740" spans="1:14" x14ac:dyDescent="0.3">
      <c r="A740" s="397"/>
      <c r="B740" s="94">
        <v>70</v>
      </c>
      <c r="C740" s="144">
        <f t="shared" si="173"/>
        <v>1.4343485593617275E-3</v>
      </c>
      <c r="D740" s="144">
        <f t="shared" si="173"/>
        <v>5.7373942374469101E-3</v>
      </c>
      <c r="E740" s="144">
        <f t="shared" si="173"/>
        <v>1.2909137034255547E-2</v>
      </c>
      <c r="F740" s="144">
        <f t="shared" si="173"/>
        <v>2.294957694978764E-2</v>
      </c>
      <c r="G740" s="144">
        <f t="shared" si="173"/>
        <v>3.5858713984043188E-2</v>
      </c>
      <c r="H740" s="144">
        <f t="shared" si="173"/>
        <v>5.163654813702219E-2</v>
      </c>
      <c r="I740" s="144">
        <f t="shared" si="173"/>
        <v>7.0283079408724636E-2</v>
      </c>
      <c r="J740" s="144">
        <f t="shared" si="173"/>
        <v>9.1798307799150561E-2</v>
      </c>
      <c r="K740" s="144">
        <f t="shared" si="173"/>
        <v>0.11618223330829994</v>
      </c>
      <c r="L740" s="35"/>
      <c r="M740" s="35"/>
      <c r="N740" s="35"/>
    </row>
    <row r="741" spans="1:14" x14ac:dyDescent="0.3">
      <c r="A741" s="397"/>
      <c r="B741" s="94">
        <v>75</v>
      </c>
      <c r="C741" s="144">
        <f t="shared" si="173"/>
        <v>1.3387253220709457E-3</v>
      </c>
      <c r="D741" s="144">
        <f t="shared" si="173"/>
        <v>5.3549012882837827E-3</v>
      </c>
      <c r="E741" s="144">
        <f t="shared" si="173"/>
        <v>1.2048527898638511E-2</v>
      </c>
      <c r="F741" s="144">
        <f t="shared" si="173"/>
        <v>2.1419605153135131E-2</v>
      </c>
      <c r="G741" s="144">
        <f t="shared" si="173"/>
        <v>3.3468133051773645E-2</v>
      </c>
      <c r="H741" s="144">
        <f t="shared" si="173"/>
        <v>4.8194111594554043E-2</v>
      </c>
      <c r="I741" s="144">
        <f t="shared" si="173"/>
        <v>6.5597540781476324E-2</v>
      </c>
      <c r="J741" s="144">
        <f t="shared" si="173"/>
        <v>8.5678420612540523E-2</v>
      </c>
      <c r="K741" s="144">
        <f t="shared" si="173"/>
        <v>0.1084367510877466</v>
      </c>
      <c r="L741" s="35"/>
      <c r="M741" s="35"/>
      <c r="N741" s="35"/>
    </row>
    <row r="742" spans="1:14" x14ac:dyDescent="0.3">
      <c r="A742" s="397"/>
      <c r="B742" s="94">
        <v>80</v>
      </c>
      <c r="C742" s="144">
        <f t="shared" si="173"/>
        <v>1.2550549894415114E-3</v>
      </c>
      <c r="D742" s="144">
        <f t="shared" si="173"/>
        <v>5.0202199577660455E-3</v>
      </c>
      <c r="E742" s="144">
        <f t="shared" si="173"/>
        <v>1.1295494904973604E-2</v>
      </c>
      <c r="F742" s="144">
        <f t="shared" si="173"/>
        <v>2.0080879831064182E-2</v>
      </c>
      <c r="G742" s="144">
        <f t="shared" si="173"/>
        <v>3.1376374736037785E-2</v>
      </c>
      <c r="H742" s="144">
        <f t="shared" si="173"/>
        <v>4.5181979619894418E-2</v>
      </c>
      <c r="I742" s="144">
        <f t="shared" si="173"/>
        <v>6.1497694482634063E-2</v>
      </c>
      <c r="J742" s="144">
        <f t="shared" si="173"/>
        <v>8.0323519324256729E-2</v>
      </c>
      <c r="K742" s="144">
        <f t="shared" si="173"/>
        <v>0.10165945414476243</v>
      </c>
      <c r="L742" s="35"/>
      <c r="M742" s="35"/>
      <c r="N742" s="35"/>
    </row>
    <row r="743" spans="1:14" x14ac:dyDescent="0.3">
      <c r="A743" s="397"/>
      <c r="B743" s="94">
        <v>85</v>
      </c>
      <c r="C743" s="144">
        <f t="shared" si="173"/>
        <v>1.1812282253567167E-3</v>
      </c>
      <c r="D743" s="144">
        <f t="shared" si="173"/>
        <v>4.7249129014268667E-3</v>
      </c>
      <c r="E743" s="144">
        <f t="shared" si="173"/>
        <v>1.0631054028210452E-2</v>
      </c>
      <c r="F743" s="144">
        <f t="shared" si="173"/>
        <v>1.8899651605707467E-2</v>
      </c>
      <c r="G743" s="144">
        <f t="shared" si="173"/>
        <v>2.9530705633917919E-2</v>
      </c>
      <c r="H743" s="144">
        <f t="shared" si="173"/>
        <v>4.2524216112841809E-2</v>
      </c>
      <c r="I743" s="144">
        <f t="shared" si="173"/>
        <v>5.7880183042479119E-2</v>
      </c>
      <c r="J743" s="144">
        <f t="shared" si="173"/>
        <v>7.5598606422829867E-2</v>
      </c>
      <c r="K743" s="144">
        <f t="shared" si="173"/>
        <v>9.5679486253894053E-2</v>
      </c>
      <c r="L743" s="35"/>
      <c r="M743" s="35"/>
      <c r="N743" s="35"/>
    </row>
    <row r="744" spans="1:14" x14ac:dyDescent="0.3">
      <c r="A744" s="397"/>
      <c r="B744" s="94">
        <v>90</v>
      </c>
      <c r="C744" s="144">
        <f t="shared" ref="C744:K746" si="174">RADIANS(C720)</f>
        <v>1.1156044350591214E-3</v>
      </c>
      <c r="D744" s="144">
        <f t="shared" si="174"/>
        <v>4.4624177402364856E-3</v>
      </c>
      <c r="E744" s="144">
        <f t="shared" si="174"/>
        <v>1.0040439915532091E-2</v>
      </c>
      <c r="F744" s="144">
        <f t="shared" si="174"/>
        <v>1.7849670960945942E-2</v>
      </c>
      <c r="G744" s="144">
        <f t="shared" si="174"/>
        <v>2.7890110876478035E-2</v>
      </c>
      <c r="H744" s="144">
        <f t="shared" si="174"/>
        <v>4.0161759662128364E-2</v>
      </c>
      <c r="I744" s="144">
        <f t="shared" si="174"/>
        <v>5.4664617317896944E-2</v>
      </c>
      <c r="J744" s="144">
        <f t="shared" si="174"/>
        <v>7.139868384378377E-2</v>
      </c>
      <c r="K744" s="144">
        <f t="shared" si="174"/>
        <v>9.0363959239788835E-2</v>
      </c>
      <c r="L744" s="35"/>
      <c r="M744" s="35"/>
      <c r="N744" s="35"/>
    </row>
    <row r="745" spans="1:14" x14ac:dyDescent="0.3">
      <c r="A745" s="397"/>
      <c r="B745" s="94">
        <v>95</v>
      </c>
      <c r="C745" s="144">
        <f t="shared" si="174"/>
        <v>1.0568884121612727E-3</v>
      </c>
      <c r="D745" s="144">
        <f t="shared" si="174"/>
        <v>4.227553648645091E-3</v>
      </c>
      <c r="E745" s="144">
        <f t="shared" si="174"/>
        <v>9.5119957094514547E-3</v>
      </c>
      <c r="F745" s="144">
        <f t="shared" si="174"/>
        <v>1.6910214594580364E-2</v>
      </c>
      <c r="G745" s="144">
        <f t="shared" si="174"/>
        <v>2.6422210304031822E-2</v>
      </c>
      <c r="H745" s="144">
        <f t="shared" si="174"/>
        <v>3.8047982837805819E-2</v>
      </c>
      <c r="I745" s="144">
        <f t="shared" si="174"/>
        <v>5.1787532195902375E-2</v>
      </c>
      <c r="J745" s="144">
        <f t="shared" si="174"/>
        <v>6.7640858378321456E-2</v>
      </c>
      <c r="K745" s="144">
        <f t="shared" si="174"/>
        <v>8.5607961385063103E-2</v>
      </c>
      <c r="L745" s="35"/>
      <c r="M745" s="35"/>
      <c r="N745" s="35"/>
    </row>
    <row r="746" spans="1:14" x14ac:dyDescent="0.3">
      <c r="A746" s="397"/>
      <c r="B746" s="94">
        <v>100</v>
      </c>
      <c r="C746" s="144">
        <f t="shared" si="174"/>
        <v>1.0040439915532094E-3</v>
      </c>
      <c r="D746" s="144">
        <f t="shared" si="174"/>
        <v>4.0161759662128375E-3</v>
      </c>
      <c r="E746" s="144">
        <f t="shared" si="174"/>
        <v>9.0363959239788821E-3</v>
      </c>
      <c r="F746" s="144">
        <f t="shared" si="174"/>
        <v>1.606470386485135E-2</v>
      </c>
      <c r="G746" s="144">
        <f t="shared" si="174"/>
        <v>2.5101099788830232E-2</v>
      </c>
      <c r="H746" s="144">
        <f t="shared" si="174"/>
        <v>3.6145583695915529E-2</v>
      </c>
      <c r="I746" s="144">
        <f t="shared" si="174"/>
        <v>4.9198155586107246E-2</v>
      </c>
      <c r="J746" s="144">
        <f t="shared" si="174"/>
        <v>6.42588154594054E-2</v>
      </c>
      <c r="K746" s="144">
        <f t="shared" si="174"/>
        <v>8.1327563315809939E-2</v>
      </c>
      <c r="L746" s="35"/>
      <c r="M746" s="35"/>
      <c r="N746" s="35"/>
    </row>
    <row r="747" spans="1:14" x14ac:dyDescent="0.3">
      <c r="A747" s="141"/>
      <c r="B747" s="141"/>
      <c r="C747" s="153"/>
      <c r="D747" s="153"/>
      <c r="E747" s="153"/>
      <c r="F747" s="153"/>
      <c r="G747" s="153"/>
      <c r="H747" s="153"/>
      <c r="I747" s="153"/>
      <c r="J747" s="153"/>
      <c r="K747" s="153"/>
      <c r="L747" s="35"/>
      <c r="M747" s="35"/>
      <c r="N747" s="35"/>
    </row>
    <row r="748" spans="1:14" x14ac:dyDescent="0.3">
      <c r="A748" s="381" t="s">
        <v>535</v>
      </c>
      <c r="B748" s="381"/>
      <c r="C748" s="153"/>
      <c r="D748" s="153"/>
      <c r="E748" s="153"/>
      <c r="F748" s="153"/>
      <c r="G748" s="153"/>
      <c r="H748" s="153"/>
      <c r="I748" s="153"/>
      <c r="J748" s="153"/>
      <c r="K748" s="153"/>
      <c r="L748" s="35"/>
      <c r="M748" s="35"/>
      <c r="N748" s="35"/>
    </row>
    <row r="749" spans="1:14" x14ac:dyDescent="0.3">
      <c r="A749" s="141"/>
      <c r="B749" s="141"/>
      <c r="C749" s="153"/>
      <c r="D749" s="153"/>
      <c r="E749" s="153"/>
      <c r="F749" s="153"/>
      <c r="G749" s="153"/>
      <c r="H749" s="153"/>
      <c r="I749" s="153"/>
      <c r="J749" s="153"/>
      <c r="K749" s="153"/>
      <c r="L749" s="35"/>
      <c r="M749" s="35"/>
      <c r="N749" s="35"/>
    </row>
    <row r="750" spans="1:14" x14ac:dyDescent="0.3">
      <c r="A750" s="277" t="s">
        <v>532</v>
      </c>
      <c r="B750" s="96">
        <v>0.8</v>
      </c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</row>
    <row r="751" spans="1:14" x14ac:dyDescent="0.3">
      <c r="A751" s="277" t="s">
        <v>189</v>
      </c>
      <c r="B751" s="97">
        <f>RADIANS(B750)</f>
        <v>1.3962634015954637E-2</v>
      </c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</row>
    <row r="752" spans="1:14" x14ac:dyDescent="0.3">
      <c r="A752" s="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</row>
    <row r="753" spans="1:14" x14ac:dyDescent="0.3">
      <c r="A753" s="415" t="s">
        <v>533</v>
      </c>
      <c r="B753" s="416"/>
      <c r="C753" s="416"/>
      <c r="D753" s="416"/>
      <c r="E753" s="416"/>
      <c r="F753" s="416"/>
      <c r="G753" s="416"/>
      <c r="H753" s="416"/>
      <c r="I753" s="416"/>
      <c r="J753" s="416"/>
      <c r="K753" s="369"/>
      <c r="L753" s="35"/>
      <c r="M753" s="35"/>
      <c r="N753" s="35"/>
    </row>
    <row r="754" spans="1:14" x14ac:dyDescent="0.3">
      <c r="A754" s="360"/>
      <c r="B754" s="361"/>
      <c r="C754" s="364" t="s">
        <v>230</v>
      </c>
      <c r="D754" s="365"/>
      <c r="E754" s="365"/>
      <c r="F754" s="365"/>
      <c r="G754" s="365"/>
      <c r="H754" s="365"/>
      <c r="I754" s="365"/>
      <c r="J754" s="365"/>
      <c r="K754" s="366"/>
      <c r="L754" s="35"/>
      <c r="M754" s="35"/>
      <c r="N754" s="35"/>
    </row>
    <row r="755" spans="1:14" x14ac:dyDescent="0.3">
      <c r="A755" s="362"/>
      <c r="B755" s="363"/>
      <c r="C755" s="94">
        <v>5</v>
      </c>
      <c r="D755" s="94">
        <v>10</v>
      </c>
      <c r="E755" s="94">
        <v>15</v>
      </c>
      <c r="F755" s="94">
        <v>20</v>
      </c>
      <c r="G755" s="94">
        <v>25</v>
      </c>
      <c r="H755" s="94">
        <v>30</v>
      </c>
      <c r="I755" s="94">
        <v>35</v>
      </c>
      <c r="J755" s="94">
        <v>40</v>
      </c>
      <c r="K755" s="94">
        <v>45</v>
      </c>
      <c r="L755" s="35"/>
      <c r="M755" s="35"/>
      <c r="N755" s="35"/>
    </row>
    <row r="756" spans="1:14" x14ac:dyDescent="0.3">
      <c r="A756" s="397" t="s">
        <v>231</v>
      </c>
      <c r="B756" s="94">
        <v>5</v>
      </c>
      <c r="C756" s="144">
        <f t="shared" ref="C756:K771" si="175">$B$751/C727</f>
        <v>0.6953198332652285</v>
      </c>
      <c r="D756" s="144">
        <f t="shared" si="175"/>
        <v>0.17382995831630713</v>
      </c>
      <c r="E756" s="144">
        <f t="shared" si="175"/>
        <v>7.7257759251692038E-2</v>
      </c>
      <c r="F756" s="144">
        <f t="shared" si="175"/>
        <v>4.3457489579076782E-2</v>
      </c>
      <c r="G756" s="144">
        <f t="shared" si="175"/>
        <v>2.781279333060914E-2</v>
      </c>
      <c r="H756" s="144">
        <f t="shared" si="175"/>
        <v>1.9314439812923009E-2</v>
      </c>
      <c r="I756" s="144">
        <f t="shared" si="175"/>
        <v>1.4190200678882213E-2</v>
      </c>
      <c r="J756" s="144">
        <f t="shared" si="175"/>
        <v>1.0864372394769195E-2</v>
      </c>
      <c r="K756" s="144">
        <f t="shared" si="175"/>
        <v>8.5841954724102266E-3</v>
      </c>
      <c r="L756" s="35"/>
      <c r="M756" s="35"/>
      <c r="N756" s="35"/>
    </row>
    <row r="757" spans="1:14" x14ac:dyDescent="0.3">
      <c r="A757" s="397"/>
      <c r="B757" s="94">
        <v>10</v>
      </c>
      <c r="C757" s="144">
        <f t="shared" si="175"/>
        <v>1.390639666530457</v>
      </c>
      <c r="D757" s="144">
        <f t="shared" si="175"/>
        <v>0.34765991663261425</v>
      </c>
      <c r="E757" s="144">
        <f t="shared" si="175"/>
        <v>0.15451551850338408</v>
      </c>
      <c r="F757" s="144">
        <f t="shared" si="175"/>
        <v>8.6914979158153563E-2</v>
      </c>
      <c r="G757" s="144">
        <f t="shared" si="175"/>
        <v>5.5625586661218279E-2</v>
      </c>
      <c r="H757" s="144">
        <f t="shared" si="175"/>
        <v>3.8628879625846019E-2</v>
      </c>
      <c r="I757" s="144">
        <f t="shared" si="175"/>
        <v>2.8380401357764425E-2</v>
      </c>
      <c r="J757" s="144">
        <f t="shared" si="175"/>
        <v>2.1728744789538391E-2</v>
      </c>
      <c r="K757" s="144">
        <f t="shared" si="175"/>
        <v>1.7168390944820453E-2</v>
      </c>
      <c r="L757" s="35"/>
      <c r="M757" s="35"/>
      <c r="N757" s="35"/>
    </row>
    <row r="758" spans="1:14" x14ac:dyDescent="0.3">
      <c r="A758" s="397"/>
      <c r="B758" s="94">
        <v>15</v>
      </c>
      <c r="C758" s="144">
        <f t="shared" si="175"/>
        <v>2.0859594997956852</v>
      </c>
      <c r="D758" s="144">
        <f t="shared" si="175"/>
        <v>0.52148987494892129</v>
      </c>
      <c r="E758" s="144">
        <f t="shared" si="175"/>
        <v>0.23177327775507614</v>
      </c>
      <c r="F758" s="144">
        <f t="shared" si="175"/>
        <v>0.13037246873723032</v>
      </c>
      <c r="G758" s="144">
        <f t="shared" si="175"/>
        <v>8.3438379991827419E-2</v>
      </c>
      <c r="H758" s="144">
        <f t="shared" si="175"/>
        <v>5.7943319438769035E-2</v>
      </c>
      <c r="I758" s="144">
        <f t="shared" si="175"/>
        <v>4.2570602036646636E-2</v>
      </c>
      <c r="J758" s="144">
        <f t="shared" si="175"/>
        <v>3.2593117184307581E-2</v>
      </c>
      <c r="K758" s="144">
        <f t="shared" si="175"/>
        <v>2.5752586417230688E-2</v>
      </c>
      <c r="L758" s="35"/>
      <c r="M758" s="35"/>
      <c r="N758" s="35"/>
    </row>
    <row r="759" spans="1:14" x14ac:dyDescent="0.3">
      <c r="A759" s="397"/>
      <c r="B759" s="94">
        <v>20</v>
      </c>
      <c r="C759" s="144">
        <f t="shared" si="175"/>
        <v>2.781279333060914</v>
      </c>
      <c r="D759" s="144">
        <f t="shared" si="175"/>
        <v>0.6953198332652285</v>
      </c>
      <c r="E759" s="144">
        <f t="shared" si="175"/>
        <v>0.30903103700676815</v>
      </c>
      <c r="F759" s="144">
        <f t="shared" si="175"/>
        <v>0.17382995831630713</v>
      </c>
      <c r="G759" s="144">
        <f t="shared" si="175"/>
        <v>0.11125117332243656</v>
      </c>
      <c r="H759" s="144">
        <f t="shared" si="175"/>
        <v>7.7257759251692038E-2</v>
      </c>
      <c r="I759" s="144">
        <f t="shared" si="175"/>
        <v>5.6760802715528851E-2</v>
      </c>
      <c r="J759" s="144">
        <f t="shared" si="175"/>
        <v>4.3457489579076782E-2</v>
      </c>
      <c r="K759" s="144">
        <f t="shared" si="175"/>
        <v>3.4336781889640906E-2</v>
      </c>
      <c r="L759" s="35"/>
      <c r="M759" s="35"/>
      <c r="N759" s="35"/>
    </row>
    <row r="760" spans="1:14" x14ac:dyDescent="0.3">
      <c r="A760" s="397"/>
      <c r="B760" s="94">
        <v>25</v>
      </c>
      <c r="C760" s="144">
        <f t="shared" si="175"/>
        <v>3.4765991663261415</v>
      </c>
      <c r="D760" s="144">
        <f t="shared" si="175"/>
        <v>0.86914979158153538</v>
      </c>
      <c r="E760" s="144">
        <f t="shared" si="175"/>
        <v>0.38628879625846024</v>
      </c>
      <c r="F760" s="144">
        <f t="shared" si="175"/>
        <v>0.21728744789538385</v>
      </c>
      <c r="G760" s="144">
        <f t="shared" si="175"/>
        <v>0.13906396665304568</v>
      </c>
      <c r="H760" s="144">
        <f t="shared" si="175"/>
        <v>9.6572199064615061E-2</v>
      </c>
      <c r="I760" s="144">
        <f t="shared" si="175"/>
        <v>7.0951003394411072E-2</v>
      </c>
      <c r="J760" s="144">
        <f t="shared" si="175"/>
        <v>5.4321861973845961E-2</v>
      </c>
      <c r="K760" s="144">
        <f t="shared" si="175"/>
        <v>4.2920977362051138E-2</v>
      </c>
      <c r="L760" s="35"/>
      <c r="M760" s="35"/>
      <c r="N760" s="35"/>
    </row>
    <row r="761" spans="1:14" x14ac:dyDescent="0.3">
      <c r="A761" s="397"/>
      <c r="B761" s="94">
        <v>30</v>
      </c>
      <c r="C761" s="144">
        <f t="shared" si="175"/>
        <v>4.1719189995913704</v>
      </c>
      <c r="D761" s="144">
        <f t="shared" si="175"/>
        <v>1.0429797498978426</v>
      </c>
      <c r="E761" s="144">
        <f t="shared" si="175"/>
        <v>0.46354655551015228</v>
      </c>
      <c r="F761" s="144">
        <f t="shared" si="175"/>
        <v>0.26074493747446065</v>
      </c>
      <c r="G761" s="144">
        <f t="shared" si="175"/>
        <v>0.16687675998365484</v>
      </c>
      <c r="H761" s="144">
        <f t="shared" si="175"/>
        <v>0.11588663887753807</v>
      </c>
      <c r="I761" s="144">
        <f t="shared" si="175"/>
        <v>8.5141204073293272E-2</v>
      </c>
      <c r="J761" s="144">
        <f t="shared" si="175"/>
        <v>6.5186234368615162E-2</v>
      </c>
      <c r="K761" s="144">
        <f t="shared" si="175"/>
        <v>5.1505172834461377E-2</v>
      </c>
      <c r="L761" s="35"/>
      <c r="M761" s="35"/>
      <c r="N761" s="35"/>
    </row>
    <row r="762" spans="1:14" x14ac:dyDescent="0.3">
      <c r="A762" s="397"/>
      <c r="B762" s="94">
        <v>35</v>
      </c>
      <c r="C762" s="144">
        <f t="shared" si="175"/>
        <v>4.8672388328565983</v>
      </c>
      <c r="D762" s="144">
        <f t="shared" si="175"/>
        <v>1.2168097082141496</v>
      </c>
      <c r="E762" s="144">
        <f t="shared" si="175"/>
        <v>0.54080431476184432</v>
      </c>
      <c r="F762" s="144">
        <f t="shared" si="175"/>
        <v>0.30420242705353739</v>
      </c>
      <c r="G762" s="144">
        <f t="shared" si="175"/>
        <v>0.19468955331426394</v>
      </c>
      <c r="H762" s="144">
        <f t="shared" si="175"/>
        <v>0.13520107869046108</v>
      </c>
      <c r="I762" s="144">
        <f t="shared" si="175"/>
        <v>9.9331404752175501E-2</v>
      </c>
      <c r="J762" s="144">
        <f t="shared" si="175"/>
        <v>7.6050606763384349E-2</v>
      </c>
      <c r="K762" s="144">
        <f t="shared" si="175"/>
        <v>6.0089368306871581E-2</v>
      </c>
      <c r="L762" s="35"/>
      <c r="M762" s="35"/>
      <c r="N762" s="35"/>
    </row>
    <row r="763" spans="1:14" x14ac:dyDescent="0.3">
      <c r="A763" s="397"/>
      <c r="B763" s="94">
        <v>40</v>
      </c>
      <c r="C763" s="144">
        <f t="shared" si="175"/>
        <v>5.562558666121828</v>
      </c>
      <c r="D763" s="144">
        <f t="shared" si="175"/>
        <v>1.390639666530457</v>
      </c>
      <c r="E763" s="144">
        <f t="shared" si="175"/>
        <v>0.6180620740135363</v>
      </c>
      <c r="F763" s="144">
        <f t="shared" si="175"/>
        <v>0.34765991663261425</v>
      </c>
      <c r="G763" s="144">
        <f t="shared" si="175"/>
        <v>0.22250234664487312</v>
      </c>
      <c r="H763" s="144">
        <f t="shared" si="175"/>
        <v>0.15451551850338408</v>
      </c>
      <c r="I763" s="144">
        <f t="shared" si="175"/>
        <v>0.1135216054310577</v>
      </c>
      <c r="J763" s="144">
        <f t="shared" si="175"/>
        <v>8.6914979158153563E-2</v>
      </c>
      <c r="K763" s="144">
        <f t="shared" si="175"/>
        <v>6.8673563779281813E-2</v>
      </c>
      <c r="L763" s="35"/>
      <c r="M763" s="35"/>
      <c r="N763" s="35"/>
    </row>
    <row r="764" spans="1:14" x14ac:dyDescent="0.3">
      <c r="A764" s="397"/>
      <c r="B764" s="94">
        <v>45</v>
      </c>
      <c r="C764" s="144">
        <f t="shared" si="175"/>
        <v>6.2578784993870551</v>
      </c>
      <c r="D764" s="144">
        <f t="shared" si="175"/>
        <v>1.5644696248467638</v>
      </c>
      <c r="E764" s="144">
        <f t="shared" si="175"/>
        <v>0.6953198332652285</v>
      </c>
      <c r="F764" s="144">
        <f t="shared" si="175"/>
        <v>0.39111740621169094</v>
      </c>
      <c r="G764" s="144">
        <f t="shared" si="175"/>
        <v>0.25031513997548221</v>
      </c>
      <c r="H764" s="144">
        <f t="shared" si="175"/>
        <v>0.17382995831630713</v>
      </c>
      <c r="I764" s="144">
        <f t="shared" si="175"/>
        <v>0.12771180610993993</v>
      </c>
      <c r="J764" s="144">
        <f t="shared" si="175"/>
        <v>9.7779351552922736E-2</v>
      </c>
      <c r="K764" s="144">
        <f t="shared" si="175"/>
        <v>7.7257759251692038E-2</v>
      </c>
      <c r="L764" s="35"/>
      <c r="M764" s="35"/>
      <c r="N764" s="35"/>
    </row>
    <row r="765" spans="1:14" x14ac:dyDescent="0.3">
      <c r="A765" s="397"/>
      <c r="B765" s="94">
        <v>50</v>
      </c>
      <c r="C765" s="144">
        <f t="shared" si="175"/>
        <v>6.953198332652283</v>
      </c>
      <c r="D765" s="144">
        <f t="shared" si="175"/>
        <v>1.7382995831630708</v>
      </c>
      <c r="E765" s="144">
        <f t="shared" si="175"/>
        <v>0.77257759251692049</v>
      </c>
      <c r="F765" s="144">
        <f t="shared" si="175"/>
        <v>0.43457489579076769</v>
      </c>
      <c r="G765" s="144">
        <f t="shared" si="175"/>
        <v>0.27812793330609137</v>
      </c>
      <c r="H765" s="144">
        <f t="shared" si="175"/>
        <v>0.19314439812923012</v>
      </c>
      <c r="I765" s="144">
        <f t="shared" si="175"/>
        <v>0.14190200678882214</v>
      </c>
      <c r="J765" s="144">
        <f t="shared" si="175"/>
        <v>0.10864372394769192</v>
      </c>
      <c r="K765" s="144">
        <f t="shared" si="175"/>
        <v>8.5841954724102276E-2</v>
      </c>
      <c r="L765" s="35"/>
      <c r="M765" s="35"/>
      <c r="N765" s="35"/>
    </row>
    <row r="766" spans="1:14" x14ac:dyDescent="0.3">
      <c r="A766" s="397"/>
      <c r="B766" s="94">
        <v>55</v>
      </c>
      <c r="C766" s="144">
        <f t="shared" si="175"/>
        <v>7.6485181659175128</v>
      </c>
      <c r="D766" s="144">
        <f t="shared" si="175"/>
        <v>1.9121295414793782</v>
      </c>
      <c r="E766" s="144">
        <f t="shared" si="175"/>
        <v>0.84983535176861269</v>
      </c>
      <c r="F766" s="144">
        <f t="shared" si="175"/>
        <v>0.47803238536984455</v>
      </c>
      <c r="G766" s="144">
        <f t="shared" si="175"/>
        <v>0.30594072663670052</v>
      </c>
      <c r="H766" s="144">
        <f t="shared" si="175"/>
        <v>0.21245883794215317</v>
      </c>
      <c r="I766" s="144">
        <f t="shared" si="175"/>
        <v>0.15609220746770433</v>
      </c>
      <c r="J766" s="144">
        <f t="shared" si="175"/>
        <v>0.11950809634246114</v>
      </c>
      <c r="K766" s="144">
        <f t="shared" si="175"/>
        <v>9.4426150196512501E-2</v>
      </c>
      <c r="L766" s="35"/>
      <c r="M766" s="35"/>
      <c r="N766" s="35"/>
    </row>
    <row r="767" spans="1:14" x14ac:dyDescent="0.3">
      <c r="A767" s="397"/>
      <c r="B767" s="94">
        <v>60</v>
      </c>
      <c r="C767" s="144">
        <f t="shared" si="175"/>
        <v>8.3438379991827407</v>
      </c>
      <c r="D767" s="144">
        <f t="shared" si="175"/>
        <v>2.0859594997956852</v>
      </c>
      <c r="E767" s="144">
        <f t="shared" si="175"/>
        <v>0.92709311102030456</v>
      </c>
      <c r="F767" s="144">
        <f t="shared" si="175"/>
        <v>0.52148987494892129</v>
      </c>
      <c r="G767" s="144">
        <f t="shared" si="175"/>
        <v>0.33375351996730968</v>
      </c>
      <c r="H767" s="144">
        <f t="shared" si="175"/>
        <v>0.23177327775507614</v>
      </c>
      <c r="I767" s="144">
        <f t="shared" si="175"/>
        <v>0.17028240814658654</v>
      </c>
      <c r="J767" s="144">
        <f t="shared" si="175"/>
        <v>0.13037246873723032</v>
      </c>
      <c r="K767" s="144">
        <f t="shared" si="175"/>
        <v>0.10301034566892275</v>
      </c>
      <c r="L767" s="35"/>
      <c r="M767" s="35"/>
      <c r="N767" s="35"/>
    </row>
    <row r="768" spans="1:14" x14ac:dyDescent="0.3">
      <c r="A768" s="397"/>
      <c r="B768" s="94">
        <v>65</v>
      </c>
      <c r="C768" s="144">
        <f t="shared" si="175"/>
        <v>9.0391578324479696</v>
      </c>
      <c r="D768" s="144">
        <f t="shared" si="175"/>
        <v>2.2597894581119924</v>
      </c>
      <c r="E768" s="144">
        <f t="shared" si="175"/>
        <v>1.0043508702719965</v>
      </c>
      <c r="F768" s="144">
        <f t="shared" si="175"/>
        <v>0.5649473645279981</v>
      </c>
      <c r="G768" s="144">
        <f t="shared" si="175"/>
        <v>0.36156631329791883</v>
      </c>
      <c r="H768" s="144">
        <f t="shared" si="175"/>
        <v>0.25108771756799914</v>
      </c>
      <c r="I768" s="144">
        <f t="shared" si="175"/>
        <v>0.18447260882546876</v>
      </c>
      <c r="J768" s="144">
        <f t="shared" si="175"/>
        <v>0.14123684113199952</v>
      </c>
      <c r="K768" s="144">
        <f t="shared" si="175"/>
        <v>0.11159454114133295</v>
      </c>
      <c r="L768" s="35"/>
      <c r="M768" s="35"/>
      <c r="N768" s="35"/>
    </row>
    <row r="769" spans="1:14" x14ac:dyDescent="0.3">
      <c r="A769" s="397"/>
      <c r="B769" s="94">
        <v>70</v>
      </c>
      <c r="C769" s="144">
        <f t="shared" si="175"/>
        <v>9.7344776657131966</v>
      </c>
      <c r="D769" s="144">
        <f t="shared" si="175"/>
        <v>2.4336194164282992</v>
      </c>
      <c r="E769" s="144">
        <f t="shared" si="175"/>
        <v>1.0816086295236886</v>
      </c>
      <c r="F769" s="144">
        <f t="shared" si="175"/>
        <v>0.60840485410707479</v>
      </c>
      <c r="G769" s="144">
        <f t="shared" si="175"/>
        <v>0.38937910662852787</v>
      </c>
      <c r="H769" s="144">
        <f t="shared" si="175"/>
        <v>0.27040215738092216</v>
      </c>
      <c r="I769" s="144">
        <f t="shared" si="175"/>
        <v>0.198662809504351</v>
      </c>
      <c r="J769" s="144">
        <f t="shared" si="175"/>
        <v>0.1521012135267687</v>
      </c>
      <c r="K769" s="144">
        <f t="shared" si="175"/>
        <v>0.12017873661374316</v>
      </c>
      <c r="L769" s="35"/>
      <c r="M769" s="35"/>
      <c r="N769" s="35"/>
    </row>
    <row r="770" spans="1:14" x14ac:dyDescent="0.3">
      <c r="A770" s="397"/>
      <c r="B770" s="94">
        <v>75</v>
      </c>
      <c r="C770" s="144">
        <f t="shared" si="175"/>
        <v>10.429797498978425</v>
      </c>
      <c r="D770" s="144">
        <f t="shared" si="175"/>
        <v>2.6074493747446064</v>
      </c>
      <c r="E770" s="144">
        <f t="shared" si="175"/>
        <v>1.1588663887753807</v>
      </c>
      <c r="F770" s="144">
        <f t="shared" si="175"/>
        <v>0.65186234368615159</v>
      </c>
      <c r="G770" s="144">
        <f t="shared" si="175"/>
        <v>0.41719189995913697</v>
      </c>
      <c r="H770" s="144">
        <f t="shared" si="175"/>
        <v>0.28971659719384518</v>
      </c>
      <c r="I770" s="144">
        <f t="shared" si="175"/>
        <v>0.21285301018323322</v>
      </c>
      <c r="J770" s="144">
        <f t="shared" si="175"/>
        <v>0.1629655859215379</v>
      </c>
      <c r="K770" s="144">
        <f t="shared" si="175"/>
        <v>0.12876293208615341</v>
      </c>
      <c r="L770" s="35"/>
      <c r="M770" s="35"/>
      <c r="N770" s="35"/>
    </row>
    <row r="771" spans="1:14" x14ac:dyDescent="0.3">
      <c r="A771" s="397"/>
      <c r="B771" s="94">
        <v>80</v>
      </c>
      <c r="C771" s="144">
        <f t="shared" si="175"/>
        <v>11.125117332243656</v>
      </c>
      <c r="D771" s="144">
        <f t="shared" si="175"/>
        <v>2.781279333060914</v>
      </c>
      <c r="E771" s="144">
        <f t="shared" si="175"/>
        <v>1.2361241480270726</v>
      </c>
      <c r="F771" s="144">
        <f t="shared" si="175"/>
        <v>0.6953198332652285</v>
      </c>
      <c r="G771" s="144">
        <f t="shared" si="175"/>
        <v>0.44500469328974623</v>
      </c>
      <c r="H771" s="144">
        <f t="shared" si="175"/>
        <v>0.30903103700676815</v>
      </c>
      <c r="I771" s="144">
        <f t="shared" si="175"/>
        <v>0.2270432108621154</v>
      </c>
      <c r="J771" s="144">
        <f t="shared" si="175"/>
        <v>0.17382995831630713</v>
      </c>
      <c r="K771" s="144">
        <f t="shared" si="175"/>
        <v>0.13734712755856363</v>
      </c>
      <c r="L771" s="35"/>
      <c r="M771" s="35"/>
      <c r="N771" s="35"/>
    </row>
    <row r="772" spans="1:14" x14ac:dyDescent="0.3">
      <c r="A772" s="397"/>
      <c r="B772" s="94">
        <v>85</v>
      </c>
      <c r="C772" s="144">
        <f t="shared" ref="C772:K775" si="176">$B$751/C743</f>
        <v>11.820437165508883</v>
      </c>
      <c r="D772" s="144">
        <f t="shared" si="176"/>
        <v>2.9551092913772208</v>
      </c>
      <c r="E772" s="144">
        <f t="shared" si="176"/>
        <v>1.3133819072787645</v>
      </c>
      <c r="F772" s="144">
        <f t="shared" si="176"/>
        <v>0.7387773228443052</v>
      </c>
      <c r="G772" s="144">
        <f t="shared" si="176"/>
        <v>0.47281748662035533</v>
      </c>
      <c r="H772" s="144">
        <f t="shared" si="176"/>
        <v>0.32834547681969112</v>
      </c>
      <c r="I772" s="144">
        <f t="shared" si="176"/>
        <v>0.24123341154099762</v>
      </c>
      <c r="J772" s="144">
        <f t="shared" si="176"/>
        <v>0.1846943307110763</v>
      </c>
      <c r="K772" s="144">
        <f t="shared" si="176"/>
        <v>0.14593132303097386</v>
      </c>
      <c r="L772" s="35"/>
      <c r="M772" s="35"/>
      <c r="N772" s="35"/>
    </row>
    <row r="773" spans="1:14" x14ac:dyDescent="0.3">
      <c r="A773" s="397"/>
      <c r="B773" s="94">
        <v>90</v>
      </c>
      <c r="C773" s="144">
        <f t="shared" si="176"/>
        <v>12.51575699877411</v>
      </c>
      <c r="D773" s="144">
        <f t="shared" si="176"/>
        <v>3.1289392496935275</v>
      </c>
      <c r="E773" s="144">
        <f t="shared" si="176"/>
        <v>1.390639666530457</v>
      </c>
      <c r="F773" s="144">
        <f t="shared" si="176"/>
        <v>0.78223481242338189</v>
      </c>
      <c r="G773" s="144">
        <f t="shared" si="176"/>
        <v>0.50063027995096443</v>
      </c>
      <c r="H773" s="144">
        <f t="shared" si="176"/>
        <v>0.34765991663261425</v>
      </c>
      <c r="I773" s="144">
        <f t="shared" si="176"/>
        <v>0.25542361221987986</v>
      </c>
      <c r="J773" s="144">
        <f t="shared" si="176"/>
        <v>0.19555870310584547</v>
      </c>
      <c r="K773" s="144">
        <f t="shared" si="176"/>
        <v>0.15451551850338408</v>
      </c>
      <c r="L773" s="35"/>
      <c r="M773" s="35"/>
      <c r="N773" s="35"/>
    </row>
    <row r="774" spans="1:14" x14ac:dyDescent="0.3">
      <c r="A774" s="397"/>
      <c r="B774" s="94">
        <v>95</v>
      </c>
      <c r="C774" s="144">
        <f t="shared" si="176"/>
        <v>13.211076832039341</v>
      </c>
      <c r="D774" s="144">
        <f t="shared" si="176"/>
        <v>3.3027692080098352</v>
      </c>
      <c r="E774" s="144">
        <f t="shared" si="176"/>
        <v>1.4678974257821491</v>
      </c>
      <c r="F774" s="144">
        <f t="shared" si="176"/>
        <v>0.8256923020024588</v>
      </c>
      <c r="G774" s="144">
        <f t="shared" si="176"/>
        <v>0.52844307328157358</v>
      </c>
      <c r="H774" s="144">
        <f t="shared" si="176"/>
        <v>0.36697435644553728</v>
      </c>
      <c r="I774" s="144">
        <f t="shared" si="176"/>
        <v>0.26961381289876202</v>
      </c>
      <c r="J774" s="144">
        <f t="shared" si="176"/>
        <v>0.2064230755006147</v>
      </c>
      <c r="K774" s="144">
        <f t="shared" si="176"/>
        <v>0.16309971397579431</v>
      </c>
      <c r="L774" s="35"/>
      <c r="M774" s="35"/>
      <c r="N774" s="35"/>
    </row>
    <row r="775" spans="1:14" x14ac:dyDescent="0.3">
      <c r="A775" s="397"/>
      <c r="B775" s="94">
        <v>100</v>
      </c>
      <c r="C775" s="144">
        <f t="shared" si="176"/>
        <v>13.906396665304566</v>
      </c>
      <c r="D775" s="144">
        <f t="shared" si="176"/>
        <v>3.4765991663261415</v>
      </c>
      <c r="E775" s="144">
        <f t="shared" si="176"/>
        <v>1.545155185033841</v>
      </c>
      <c r="F775" s="144">
        <f t="shared" si="176"/>
        <v>0.86914979158153538</v>
      </c>
      <c r="G775" s="144">
        <f t="shared" si="176"/>
        <v>0.55625586661218274</v>
      </c>
      <c r="H775" s="144">
        <f t="shared" si="176"/>
        <v>0.38628879625846024</v>
      </c>
      <c r="I775" s="144">
        <f t="shared" si="176"/>
        <v>0.28380401357764429</v>
      </c>
      <c r="J775" s="144">
        <f t="shared" si="176"/>
        <v>0.21728744789538385</v>
      </c>
      <c r="K775" s="144">
        <f t="shared" si="176"/>
        <v>0.17168390944820455</v>
      </c>
      <c r="L775" s="35"/>
      <c r="M775" s="35"/>
      <c r="N775" s="35"/>
    </row>
    <row r="776" spans="1:14" x14ac:dyDescent="0.3">
      <c r="A776" s="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</row>
    <row r="777" spans="1:14" x14ac:dyDescent="0.3">
      <c r="A777" s="415" t="s">
        <v>534</v>
      </c>
      <c r="B777" s="416"/>
      <c r="C777" s="416"/>
      <c r="D777" s="416"/>
      <c r="E777" s="416"/>
      <c r="F777" s="416"/>
      <c r="G777" s="416"/>
      <c r="H777" s="416"/>
      <c r="I777" s="416"/>
      <c r="J777" s="416"/>
      <c r="K777" s="369"/>
      <c r="L777" s="35"/>
      <c r="M777" s="35"/>
      <c r="N777" s="35"/>
    </row>
    <row r="778" spans="1:14" x14ac:dyDescent="0.3">
      <c r="A778" s="360"/>
      <c r="B778" s="361"/>
      <c r="C778" s="364" t="s">
        <v>230</v>
      </c>
      <c r="D778" s="365"/>
      <c r="E778" s="365"/>
      <c r="F778" s="365"/>
      <c r="G778" s="365"/>
      <c r="H778" s="365"/>
      <c r="I778" s="365"/>
      <c r="J778" s="365"/>
      <c r="K778" s="366"/>
      <c r="L778" s="35"/>
      <c r="M778" s="35"/>
      <c r="N778" s="35"/>
    </row>
    <row r="779" spans="1:14" x14ac:dyDescent="0.3">
      <c r="A779" s="362"/>
      <c r="B779" s="363"/>
      <c r="C779" s="94">
        <v>5</v>
      </c>
      <c r="D779" s="94">
        <v>10</v>
      </c>
      <c r="E779" s="94">
        <v>15</v>
      </c>
      <c r="F779" s="94">
        <v>20</v>
      </c>
      <c r="G779" s="94">
        <v>25</v>
      </c>
      <c r="H779" s="94">
        <v>30</v>
      </c>
      <c r="I779" s="94">
        <v>35</v>
      </c>
      <c r="J779" s="94">
        <v>40</v>
      </c>
      <c r="K779" s="94">
        <v>45</v>
      </c>
      <c r="L779" s="35"/>
      <c r="M779" s="35"/>
      <c r="N779" s="35"/>
    </row>
    <row r="780" spans="1:14" x14ac:dyDescent="0.3">
      <c r="A780" s="397" t="s">
        <v>231</v>
      </c>
      <c r="B780" s="94">
        <v>5</v>
      </c>
      <c r="C780" s="144">
        <f>($E$4/2)/(1-C756)</f>
        <v>2.4615977076475932</v>
      </c>
      <c r="D780" s="144">
        <f t="shared" ref="D780:K780" si="177">($E$4/2)/(1-D756)</f>
        <v>0.90780343290049326</v>
      </c>
      <c r="E780" s="144">
        <f t="shared" si="177"/>
        <v>0.81279469702370977</v>
      </c>
      <c r="F780" s="144">
        <f t="shared" si="177"/>
        <v>0.78407388258151234</v>
      </c>
      <c r="G780" s="144">
        <f t="shared" si="177"/>
        <v>0.7714563561985347</v>
      </c>
      <c r="H780" s="144">
        <f t="shared" si="177"/>
        <v>0.76477112588149965</v>
      </c>
      <c r="I780" s="144">
        <f t="shared" si="177"/>
        <v>0.76079584572651926</v>
      </c>
      <c r="J780" s="144">
        <f t="shared" si="177"/>
        <v>0.7582377775794048</v>
      </c>
      <c r="K780" s="144">
        <f t="shared" si="177"/>
        <v>0.75649389143778623</v>
      </c>
      <c r="L780" s="35"/>
      <c r="M780" s="35"/>
      <c r="N780" s="35"/>
    </row>
    <row r="781" spans="1:14" x14ac:dyDescent="0.3">
      <c r="A781" s="397"/>
      <c r="B781" s="94">
        <v>10</v>
      </c>
      <c r="C781" s="144">
        <f t="shared" ref="C781:K796" si="178">($E$4/2)/(1-C757)</f>
        <v>-1.9199279137760701</v>
      </c>
      <c r="D781" s="144">
        <f t="shared" si="178"/>
        <v>1.1497070609680962</v>
      </c>
      <c r="E781" s="144">
        <f t="shared" si="178"/>
        <v>0.88706536478635756</v>
      </c>
      <c r="F781" s="144">
        <f t="shared" si="178"/>
        <v>0.82139119893623358</v>
      </c>
      <c r="G781" s="144">
        <f t="shared" si="178"/>
        <v>0.79417653571152769</v>
      </c>
      <c r="H781" s="144">
        <f t="shared" si="178"/>
        <v>0.78013577078132856</v>
      </c>
      <c r="I781" s="144">
        <f t="shared" si="178"/>
        <v>0.77190703136090288</v>
      </c>
      <c r="J781" s="144">
        <f t="shared" si="178"/>
        <v>0.76665852748443253</v>
      </c>
      <c r="K781" s="144">
        <f t="shared" si="178"/>
        <v>0.76310122007674708</v>
      </c>
      <c r="L781" s="35"/>
      <c r="M781" s="35"/>
      <c r="N781" s="35"/>
    </row>
    <row r="782" spans="1:14" x14ac:dyDescent="0.3">
      <c r="A782" s="397"/>
      <c r="B782" s="94">
        <v>15</v>
      </c>
      <c r="C782" s="144">
        <f t="shared" si="178"/>
        <v>-0.69063349060541079</v>
      </c>
      <c r="D782" s="144">
        <f t="shared" si="178"/>
        <v>1.567364953709059</v>
      </c>
      <c r="E782" s="144">
        <f t="shared" si="178"/>
        <v>0.97627429283940892</v>
      </c>
      <c r="F782" s="144">
        <f t="shared" si="178"/>
        <v>0.86243819685761236</v>
      </c>
      <c r="G782" s="144">
        <f t="shared" si="178"/>
        <v>0.81827558958154134</v>
      </c>
      <c r="H782" s="144">
        <f t="shared" si="178"/>
        <v>0.79613044042444137</v>
      </c>
      <c r="I782" s="144">
        <f t="shared" si="178"/>
        <v>0.7833475779993827</v>
      </c>
      <c r="J782" s="144">
        <f t="shared" si="178"/>
        <v>0.77526841427578286</v>
      </c>
      <c r="K782" s="144">
        <f t="shared" si="178"/>
        <v>0.76982498443787972</v>
      </c>
      <c r="L782" s="35"/>
      <c r="M782" s="35"/>
      <c r="N782" s="35"/>
    </row>
    <row r="783" spans="1:14" x14ac:dyDescent="0.3">
      <c r="A783" s="397"/>
      <c r="B783" s="94">
        <v>20</v>
      </c>
      <c r="C783" s="144">
        <f t="shared" si="178"/>
        <v>-0.42104569793173052</v>
      </c>
      <c r="D783" s="144">
        <f t="shared" si="178"/>
        <v>2.4615977076475932</v>
      </c>
      <c r="E783" s="144">
        <f t="shared" si="178"/>
        <v>1.0854322555257034</v>
      </c>
      <c r="F783" s="144">
        <f t="shared" si="178"/>
        <v>0.90780343290049326</v>
      </c>
      <c r="G783" s="144">
        <f t="shared" si="178"/>
        <v>0.84388297062933704</v>
      </c>
      <c r="H783" s="144">
        <f t="shared" si="178"/>
        <v>0.81279469702370977</v>
      </c>
      <c r="I783" s="144">
        <f t="shared" si="178"/>
        <v>0.7951323504782295</v>
      </c>
      <c r="J783" s="144">
        <f t="shared" si="178"/>
        <v>0.78407388258151234</v>
      </c>
      <c r="K783" s="144">
        <f t="shared" si="178"/>
        <v>0.77666828966275037</v>
      </c>
      <c r="L783" s="35"/>
      <c r="M783" s="35"/>
      <c r="N783" s="35"/>
    </row>
    <row r="784" spans="1:14" x14ac:dyDescent="0.3">
      <c r="A784" s="397"/>
      <c r="B784" s="94">
        <v>25</v>
      </c>
      <c r="C784" s="144">
        <f t="shared" si="178"/>
        <v>-0.30283463315243364</v>
      </c>
      <c r="D784" s="144">
        <f t="shared" si="178"/>
        <v>5.731744787149804</v>
      </c>
      <c r="E784" s="144">
        <f t="shared" si="178"/>
        <v>1.2220731761577182</v>
      </c>
      <c r="F784" s="144">
        <f t="shared" si="178"/>
        <v>0.95820617413550335</v>
      </c>
      <c r="G784" s="144">
        <f t="shared" si="178"/>
        <v>0.87114485972240929</v>
      </c>
      <c r="H784" s="144">
        <f t="shared" si="178"/>
        <v>0.83017148600416124</v>
      </c>
      <c r="I784" s="144">
        <f t="shared" si="178"/>
        <v>0.80727712180975431</v>
      </c>
      <c r="J784" s="144">
        <f t="shared" si="178"/>
        <v>0.79308167318472755</v>
      </c>
      <c r="K784" s="144">
        <f t="shared" si="178"/>
        <v>0.78363435229497835</v>
      </c>
      <c r="L784" s="35"/>
      <c r="M784" s="35"/>
      <c r="N784" s="35"/>
    </row>
    <row r="785" spans="1:14" x14ac:dyDescent="0.3">
      <c r="A785" s="397"/>
      <c r="B785" s="94">
        <v>30</v>
      </c>
      <c r="C785" s="144">
        <f t="shared" si="178"/>
        <v>-0.23644992198622361</v>
      </c>
      <c r="D785" s="144">
        <f t="shared" si="178"/>
        <v>-17.450078275994038</v>
      </c>
      <c r="E785" s="144">
        <f t="shared" si="178"/>
        <v>1.3980709933053541</v>
      </c>
      <c r="F785" s="144">
        <f t="shared" si="178"/>
        <v>1.0145348175739946</v>
      </c>
      <c r="G785" s="144">
        <f t="shared" si="178"/>
        <v>0.90022695800117836</v>
      </c>
      <c r="H785" s="144">
        <f t="shared" si="178"/>
        <v>0.84830750555314205</v>
      </c>
      <c r="I785" s="144">
        <f t="shared" si="178"/>
        <v>0.81979864361503685</v>
      </c>
      <c r="J785" s="144">
        <f t="shared" si="178"/>
        <v>0.80229884023310316</v>
      </c>
      <c r="K785" s="144">
        <f t="shared" si="178"/>
        <v>0.79072650532136657</v>
      </c>
      <c r="L785" s="35"/>
      <c r="M785" s="35"/>
      <c r="N785" s="35"/>
    </row>
    <row r="786" spans="1:14" x14ac:dyDescent="0.3">
      <c r="A786" s="397"/>
      <c r="B786" s="94">
        <v>35</v>
      </c>
      <c r="C786" s="144">
        <f t="shared" si="178"/>
        <v>-0.1939368196315924</v>
      </c>
      <c r="D786" s="144">
        <f t="shared" si="178"/>
        <v>-3.4592546901045691</v>
      </c>
      <c r="E786" s="144">
        <f t="shared" si="178"/>
        <v>1.6332906081445921</v>
      </c>
      <c r="F786" s="144">
        <f t="shared" si="178"/>
        <v>1.0778997069851923</v>
      </c>
      <c r="G786" s="144">
        <f t="shared" si="178"/>
        <v>0.93131785771143694</v>
      </c>
      <c r="H786" s="144">
        <f t="shared" si="178"/>
        <v>0.86725362569173603</v>
      </c>
      <c r="I786" s="144">
        <f t="shared" si="178"/>
        <v>0.83271472321473905</v>
      </c>
      <c r="J786" s="144">
        <f t="shared" si="178"/>
        <v>0.81173276966256025</v>
      </c>
      <c r="K786" s="144">
        <f t="shared" si="178"/>
        <v>0.79794820348927353</v>
      </c>
      <c r="L786" s="35"/>
      <c r="M786" s="35"/>
      <c r="N786" s="35"/>
    </row>
    <row r="787" spans="1:14" x14ac:dyDescent="0.3">
      <c r="A787" s="397"/>
      <c r="B787" s="94">
        <v>40</v>
      </c>
      <c r="C787" s="144">
        <f t="shared" si="178"/>
        <v>-0.16438144797324863</v>
      </c>
      <c r="D787" s="144">
        <f t="shared" si="178"/>
        <v>-1.9199279137760701</v>
      </c>
      <c r="E787" s="144">
        <f t="shared" si="178"/>
        <v>1.9636698766243519</v>
      </c>
      <c r="F787" s="144">
        <f t="shared" si="178"/>
        <v>1.1497070609680962</v>
      </c>
      <c r="G787" s="144">
        <f t="shared" si="178"/>
        <v>0.96463313652913729</v>
      </c>
      <c r="H787" s="144">
        <f t="shared" si="178"/>
        <v>0.88706536478635756</v>
      </c>
      <c r="I787" s="144">
        <f t="shared" si="178"/>
        <v>0.84604430812405074</v>
      </c>
      <c r="J787" s="144">
        <f t="shared" si="178"/>
        <v>0.82139119893623358</v>
      </c>
      <c r="K787" s="144">
        <f t="shared" si="178"/>
        <v>0.80530302891805272</v>
      </c>
      <c r="L787" s="35"/>
      <c r="M787" s="35"/>
      <c r="N787" s="35"/>
    </row>
    <row r="788" spans="1:14" x14ac:dyDescent="0.3">
      <c r="A788" s="397"/>
      <c r="B788" s="94">
        <v>45</v>
      </c>
      <c r="C788" s="144">
        <f t="shared" si="178"/>
        <v>-0.14264308315367735</v>
      </c>
      <c r="D788" s="144">
        <f t="shared" si="178"/>
        <v>-1.328680883765184</v>
      </c>
      <c r="E788" s="144">
        <f t="shared" si="178"/>
        <v>2.4615977076475932</v>
      </c>
      <c r="F788" s="144">
        <f t="shared" si="178"/>
        <v>1.2317645596233833</v>
      </c>
      <c r="G788" s="144">
        <f t="shared" si="178"/>
        <v>1.0004203632650015</v>
      </c>
      <c r="H788" s="144">
        <f t="shared" si="178"/>
        <v>0.90780343290049326</v>
      </c>
      <c r="I788" s="144">
        <f t="shared" si="178"/>
        <v>0.85980757879491276</v>
      </c>
      <c r="J788" s="144">
        <f t="shared" si="178"/>
        <v>0.83128223820959657</v>
      </c>
      <c r="K788" s="144">
        <f t="shared" si="178"/>
        <v>0.81279469702370977</v>
      </c>
      <c r="L788" s="35"/>
      <c r="M788" s="35"/>
      <c r="N788" s="35"/>
    </row>
    <row r="789" spans="1:14" x14ac:dyDescent="0.3">
      <c r="A789" s="397"/>
      <c r="B789" s="94">
        <v>50</v>
      </c>
      <c r="C789" s="144">
        <f t="shared" si="178"/>
        <v>-0.12598270007004087</v>
      </c>
      <c r="D789" s="144">
        <f t="shared" si="178"/>
        <v>-1.0158477901163123</v>
      </c>
      <c r="E789" s="144">
        <f t="shared" si="178"/>
        <v>3.2978280737609413</v>
      </c>
      <c r="F789" s="144">
        <f t="shared" si="178"/>
        <v>1.3264356223604583</v>
      </c>
      <c r="G789" s="144">
        <f t="shared" si="178"/>
        <v>1.0389652607489219</v>
      </c>
      <c r="H789" s="144">
        <f t="shared" si="178"/>
        <v>0.92953435318668565</v>
      </c>
      <c r="I789" s="144">
        <f t="shared" si="178"/>
        <v>0.87402605056020111</v>
      </c>
      <c r="J789" s="144">
        <f t="shared" si="178"/>
        <v>0.84141439304342458</v>
      </c>
      <c r="K789" s="144">
        <f t="shared" si="178"/>
        <v>0.82042706277736255</v>
      </c>
      <c r="L789" s="35"/>
      <c r="M789" s="35"/>
      <c r="N789" s="35"/>
    </row>
    <row r="790" spans="1:14" x14ac:dyDescent="0.3">
      <c r="A790" s="397"/>
      <c r="B790" s="94">
        <v>55</v>
      </c>
      <c r="C790" s="144">
        <f t="shared" si="178"/>
        <v>-0.11280709193888441</v>
      </c>
      <c r="D790" s="144">
        <f t="shared" si="178"/>
        <v>-0.82225162753042613</v>
      </c>
      <c r="E790" s="144">
        <f t="shared" si="178"/>
        <v>4.9945177432462797</v>
      </c>
      <c r="F790" s="144">
        <f t="shared" si="178"/>
        <v>1.4368707540053394</v>
      </c>
      <c r="G790" s="144">
        <f t="shared" si="178"/>
        <v>1.0805993504929641</v>
      </c>
      <c r="H790" s="144">
        <f t="shared" si="178"/>
        <v>0.95233117471631357</v>
      </c>
      <c r="I790" s="144">
        <f t="shared" si="178"/>
        <v>0.88872268586297964</v>
      </c>
      <c r="J790" s="144">
        <f t="shared" si="178"/>
        <v>0.85179658879828524</v>
      </c>
      <c r="K790" s="144">
        <f t="shared" si="178"/>
        <v>0.82820412731965753</v>
      </c>
      <c r="L790" s="35"/>
      <c r="M790" s="35"/>
      <c r="N790" s="35"/>
    </row>
    <row r="791" spans="1:14" x14ac:dyDescent="0.3">
      <c r="A791" s="397"/>
      <c r="B791" s="94">
        <v>60</v>
      </c>
      <c r="C791" s="144">
        <f t="shared" si="178"/>
        <v>-0.102126435806926</v>
      </c>
      <c r="D791" s="144">
        <f t="shared" si="178"/>
        <v>-0.69063349060541079</v>
      </c>
      <c r="E791" s="144">
        <f t="shared" si="178"/>
        <v>10.287093723185404</v>
      </c>
      <c r="F791" s="144">
        <f t="shared" si="178"/>
        <v>1.567364953709059</v>
      </c>
      <c r="G791" s="144">
        <f t="shared" si="178"/>
        <v>1.1257095121361094</v>
      </c>
      <c r="H791" s="144">
        <f t="shared" si="178"/>
        <v>0.97627429283940892</v>
      </c>
      <c r="I791" s="144">
        <f t="shared" si="178"/>
        <v>0.90392201800212379</v>
      </c>
      <c r="J791" s="144">
        <f t="shared" si="178"/>
        <v>0.86243819685761236</v>
      </c>
      <c r="K791" s="144">
        <f t="shared" si="178"/>
        <v>0.83613004495498489</v>
      </c>
      <c r="L791" s="35"/>
      <c r="M791" s="35"/>
      <c r="N791" s="35"/>
    </row>
    <row r="792" spans="1:14" x14ac:dyDescent="0.3">
      <c r="A792" s="397"/>
      <c r="B792" s="94">
        <v>65</v>
      </c>
      <c r="C792" s="144">
        <f t="shared" si="178"/>
        <v>-9.3293354307937587E-2</v>
      </c>
      <c r="D792" s="144">
        <f t="shared" si="178"/>
        <v>-0.5953375742038689</v>
      </c>
      <c r="E792" s="144">
        <f t="shared" si="178"/>
        <v>-172.37930646363245</v>
      </c>
      <c r="F792" s="144">
        <f t="shared" si="178"/>
        <v>1.7239293337145334</v>
      </c>
      <c r="G792" s="144">
        <f t="shared" si="178"/>
        <v>1.1747500415810297</v>
      </c>
      <c r="H792" s="144">
        <f t="shared" si="178"/>
        <v>1.0014523964868982</v>
      </c>
      <c r="I792" s="144">
        <f t="shared" si="178"/>
        <v>0.91965028779700708</v>
      </c>
      <c r="J792" s="144">
        <f t="shared" si="178"/>
        <v>0.87334906284129687</v>
      </c>
      <c r="K792" s="144">
        <f t="shared" si="178"/>
        <v>0.84420913055118285</v>
      </c>
      <c r="L792" s="35"/>
      <c r="M792" s="35"/>
      <c r="N792" s="35"/>
    </row>
    <row r="793" spans="1:14" x14ac:dyDescent="0.3">
      <c r="A793" s="397"/>
      <c r="B793" s="94">
        <v>70</v>
      </c>
      <c r="C793" s="144">
        <f t="shared" si="178"/>
        <v>-8.5866611456812306E-2</v>
      </c>
      <c r="D793" s="144">
        <f t="shared" si="178"/>
        <v>-0.52315139667160782</v>
      </c>
      <c r="E793" s="144">
        <f t="shared" si="178"/>
        <v>-9.1902045699995067</v>
      </c>
      <c r="F793" s="144">
        <f t="shared" si="178"/>
        <v>1.9152433523909775</v>
      </c>
      <c r="G793" s="144">
        <f t="shared" si="178"/>
        <v>1.2282580045025357</v>
      </c>
      <c r="H793" s="144">
        <f t="shared" si="178"/>
        <v>1.0279635659388511</v>
      </c>
      <c r="I793" s="144">
        <f t="shared" si="178"/>
        <v>0.93593559477266297</v>
      </c>
      <c r="J793" s="144">
        <f t="shared" si="178"/>
        <v>0.88453953698833132</v>
      </c>
      <c r="K793" s="144">
        <f t="shared" si="178"/>
        <v>0.85244586737242434</v>
      </c>
      <c r="L793" s="35"/>
      <c r="M793" s="35"/>
      <c r="N793" s="35"/>
    </row>
    <row r="794" spans="1:14" x14ac:dyDescent="0.3">
      <c r="A794" s="397"/>
      <c r="B794" s="94">
        <v>75</v>
      </c>
      <c r="C794" s="144">
        <f t="shared" si="178"/>
        <v>-7.9535111976821463E-2</v>
      </c>
      <c r="D794" s="144">
        <f t="shared" si="178"/>
        <v>-0.4665776800088407</v>
      </c>
      <c r="E794" s="144">
        <f t="shared" si="178"/>
        <v>-4.720948249540788</v>
      </c>
      <c r="F794" s="144">
        <f t="shared" si="178"/>
        <v>2.1543202420018304</v>
      </c>
      <c r="G794" s="144">
        <f t="shared" si="178"/>
        <v>1.2868729860607881</v>
      </c>
      <c r="H794" s="144">
        <f t="shared" si="178"/>
        <v>1.0559165496996474</v>
      </c>
      <c r="I794" s="144">
        <f t="shared" si="178"/>
        <v>0.95280806469778423</v>
      </c>
      <c r="J794" s="144">
        <f t="shared" si="178"/>
        <v>0.89602050690558144</v>
      </c>
      <c r="K794" s="144">
        <f t="shared" si="178"/>
        <v>0.8608449153751625</v>
      </c>
      <c r="L794" s="35"/>
      <c r="M794" s="35"/>
      <c r="N794" s="35"/>
    </row>
    <row r="795" spans="1:14" x14ac:dyDescent="0.3">
      <c r="A795" s="397"/>
      <c r="B795" s="94">
        <v>80</v>
      </c>
      <c r="C795" s="144">
        <f t="shared" si="178"/>
        <v>-7.4073215686262586E-2</v>
      </c>
      <c r="D795" s="144">
        <f t="shared" si="178"/>
        <v>-0.42104569793173052</v>
      </c>
      <c r="E795" s="144">
        <f t="shared" si="178"/>
        <v>-3.1762952085443179</v>
      </c>
      <c r="F795" s="144">
        <f t="shared" si="178"/>
        <v>2.4615977076475932</v>
      </c>
      <c r="G795" s="144">
        <f t="shared" si="178"/>
        <v>1.351362778985719</v>
      </c>
      <c r="H795" s="144">
        <f t="shared" si="178"/>
        <v>1.0854322555257034</v>
      </c>
      <c r="I795" s="144">
        <f t="shared" si="178"/>
        <v>0.97030003557703481</v>
      </c>
      <c r="J795" s="144">
        <f t="shared" si="178"/>
        <v>0.90780343290049326</v>
      </c>
      <c r="K795" s="144">
        <f t="shared" si="178"/>
        <v>0.8694111199993898</v>
      </c>
      <c r="L795" s="35"/>
      <c r="M795" s="35"/>
      <c r="N795" s="35"/>
    </row>
    <row r="796" spans="1:14" x14ac:dyDescent="0.3">
      <c r="A796" s="397"/>
      <c r="B796" s="94">
        <v>85</v>
      </c>
      <c r="C796" s="144">
        <f t="shared" si="178"/>
        <v>-6.9313280834039911E-2</v>
      </c>
      <c r="D796" s="144">
        <f t="shared" si="178"/>
        <v>-0.38361026839153528</v>
      </c>
      <c r="E796" s="144">
        <f t="shared" si="178"/>
        <v>-2.3932460125493078</v>
      </c>
      <c r="F796" s="144">
        <f t="shared" si="178"/>
        <v>2.8711136726961208</v>
      </c>
      <c r="G796" s="144">
        <f t="shared" si="178"/>
        <v>1.4226572030849891</v>
      </c>
      <c r="H796" s="144">
        <f t="shared" si="178"/>
        <v>1.1166454987137173</v>
      </c>
      <c r="I796" s="144">
        <f t="shared" si="178"/>
        <v>0.98844626451356188</v>
      </c>
      <c r="J796" s="144">
        <f t="shared" si="178"/>
        <v>0.91990038613875869</v>
      </c>
      <c r="K796" s="144">
        <f t="shared" si="178"/>
        <v>0.87814952149006131</v>
      </c>
      <c r="L796" s="35"/>
      <c r="M796" s="35"/>
      <c r="N796" s="35"/>
    </row>
    <row r="797" spans="1:14" x14ac:dyDescent="0.3">
      <c r="A797" s="397"/>
      <c r="B797" s="94">
        <v>90</v>
      </c>
      <c r="C797" s="144">
        <f t="shared" ref="C797:K799" si="179">($E$4/2)/(1-C773)</f>
        <v>-6.5128154413108916E-2</v>
      </c>
      <c r="D797" s="144">
        <f t="shared" si="179"/>
        <v>-0.35228811724334858</v>
      </c>
      <c r="E797" s="144">
        <f t="shared" si="179"/>
        <v>-1.9199279137760701</v>
      </c>
      <c r="F797" s="144">
        <f t="shared" si="179"/>
        <v>3.444076660490655</v>
      </c>
      <c r="G797" s="144">
        <f t="shared" si="179"/>
        <v>1.5018932263781508</v>
      </c>
      <c r="H797" s="144">
        <f t="shared" si="179"/>
        <v>1.1497070609680962</v>
      </c>
      <c r="I797" s="144">
        <f t="shared" si="179"/>
        <v>1.0072841582259273</v>
      </c>
      <c r="J797" s="144">
        <f t="shared" si="179"/>
        <v>0.93232408989401028</v>
      </c>
      <c r="K797" s="144">
        <f t="shared" si="179"/>
        <v>0.88706536478635756</v>
      </c>
      <c r="L797" s="35"/>
      <c r="M797" s="35"/>
      <c r="N797" s="35"/>
    </row>
    <row r="798" spans="1:14" x14ac:dyDescent="0.3">
      <c r="A798" s="397"/>
      <c r="B798" s="94">
        <v>95</v>
      </c>
      <c r="C798" s="144">
        <f t="shared" si="179"/>
        <v>-6.1419644664928739E-2</v>
      </c>
      <c r="D798" s="144">
        <f t="shared" si="179"/>
        <v>-0.32569481882562878</v>
      </c>
      <c r="E798" s="144">
        <f t="shared" si="179"/>
        <v>-1.6029154226405096</v>
      </c>
      <c r="F798" s="144">
        <f t="shared" si="179"/>
        <v>4.3027359584002971</v>
      </c>
      <c r="G798" s="144">
        <f t="shared" si="179"/>
        <v>1.5904760539077736</v>
      </c>
      <c r="H798" s="144">
        <f t="shared" si="179"/>
        <v>1.1847861261808001</v>
      </c>
      <c r="I798" s="144">
        <f t="shared" si="179"/>
        <v>1.0268540304364262</v>
      </c>
      <c r="J798" s="144">
        <f t="shared" si="179"/>
        <v>0.94508796418585994</v>
      </c>
      <c r="K798" s="144">
        <f t="shared" si="179"/>
        <v>0.89616411001956309</v>
      </c>
      <c r="L798" s="35"/>
      <c r="M798" s="35"/>
      <c r="N798" s="35"/>
    </row>
    <row r="799" spans="1:14" x14ac:dyDescent="0.3">
      <c r="A799" s="397"/>
      <c r="B799" s="94">
        <v>100</v>
      </c>
      <c r="C799" s="144">
        <f t="shared" si="179"/>
        <v>-5.8110719781004148E-2</v>
      </c>
      <c r="D799" s="144">
        <f t="shared" si="179"/>
        <v>-0.30283463315243364</v>
      </c>
      <c r="E799" s="144">
        <f t="shared" si="179"/>
        <v>-1.3757550521205133</v>
      </c>
      <c r="F799" s="144">
        <f t="shared" si="179"/>
        <v>5.731744787149804</v>
      </c>
      <c r="G799" s="144">
        <f t="shared" si="179"/>
        <v>1.6901631899311793</v>
      </c>
      <c r="H799" s="144">
        <f t="shared" si="179"/>
        <v>1.2220731761577182</v>
      </c>
      <c r="I799" s="144">
        <f t="shared" si="179"/>
        <v>1.0471993898576657</v>
      </c>
      <c r="J799" s="144">
        <f t="shared" si="179"/>
        <v>0.95820617413550335</v>
      </c>
      <c r="K799" s="144">
        <f t="shared" si="179"/>
        <v>0.90545144366370578</v>
      </c>
      <c r="L799" s="35"/>
      <c r="M799" s="35"/>
      <c r="N799" s="35"/>
    </row>
    <row r="800" spans="1:14" x14ac:dyDescent="0.3">
      <c r="A800" s="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</row>
    <row r="801" spans="1:14" x14ac:dyDescent="0.3">
      <c r="A801" s="415" t="s">
        <v>540</v>
      </c>
      <c r="B801" s="416"/>
      <c r="C801" s="416"/>
      <c r="D801" s="416"/>
      <c r="E801" s="416"/>
      <c r="F801" s="416"/>
      <c r="G801" s="416"/>
      <c r="H801" s="416"/>
      <c r="I801" s="416"/>
      <c r="J801" s="416"/>
      <c r="K801" s="369"/>
      <c r="L801" s="35"/>
      <c r="M801" s="35"/>
      <c r="N801" s="35"/>
    </row>
    <row r="802" spans="1:14" x14ac:dyDescent="0.3">
      <c r="A802" s="360"/>
      <c r="B802" s="361"/>
      <c r="C802" s="364" t="s">
        <v>230</v>
      </c>
      <c r="D802" s="365"/>
      <c r="E802" s="365"/>
      <c r="F802" s="365"/>
      <c r="G802" s="365"/>
      <c r="H802" s="365"/>
      <c r="I802" s="365"/>
      <c r="J802" s="365"/>
      <c r="K802" s="366"/>
      <c r="L802" s="35"/>
      <c r="M802" s="35"/>
      <c r="N802" s="35"/>
    </row>
    <row r="803" spans="1:14" x14ac:dyDescent="0.3">
      <c r="A803" s="362"/>
      <c r="B803" s="363"/>
      <c r="C803" s="94">
        <v>5</v>
      </c>
      <c r="D803" s="94">
        <v>10</v>
      </c>
      <c r="E803" s="94">
        <v>15</v>
      </c>
      <c r="F803" s="94">
        <v>20</v>
      </c>
      <c r="G803" s="94">
        <v>25</v>
      </c>
      <c r="H803" s="94">
        <v>30</v>
      </c>
      <c r="I803" s="94">
        <v>35</v>
      </c>
      <c r="J803" s="94">
        <v>40</v>
      </c>
      <c r="K803" s="94">
        <v>45</v>
      </c>
      <c r="L803" s="35"/>
      <c r="M803" s="35"/>
      <c r="N803" s="35"/>
    </row>
    <row r="804" spans="1:14" x14ac:dyDescent="0.3">
      <c r="A804" s="397" t="s">
        <v>231</v>
      </c>
      <c r="B804" s="94">
        <v>5</v>
      </c>
      <c r="C804" s="144">
        <f>DEGREES(ATAN(1/(C780*1000)))</f>
        <v>2.3275848926579766E-2</v>
      </c>
      <c r="D804" s="144">
        <f t="shared" ref="D804:K804" si="180">DEGREES(ATAN(1/(D780*1000)))</f>
        <v>6.3114716536312787E-2</v>
      </c>
      <c r="E804" s="144">
        <f t="shared" si="180"/>
        <v>7.0492279063182478E-2</v>
      </c>
      <c r="F804" s="144">
        <f t="shared" si="180"/>
        <v>7.307442540787415E-2</v>
      </c>
      <c r="G804" s="144">
        <f t="shared" si="180"/>
        <v>7.426959018756106E-2</v>
      </c>
      <c r="H804" s="144">
        <f t="shared" si="180"/>
        <v>7.4918815472959616E-2</v>
      </c>
      <c r="I804" s="144">
        <f t="shared" si="180"/>
        <v>7.5310277834275116E-2</v>
      </c>
      <c r="J804" s="144">
        <f t="shared" si="180"/>
        <v>7.5564351959253193E-2</v>
      </c>
      <c r="K804" s="144">
        <f t="shared" si="180"/>
        <v>7.5738544341163574E-2</v>
      </c>
      <c r="L804" s="35"/>
      <c r="M804" s="35"/>
      <c r="N804" s="35"/>
    </row>
    <row r="805" spans="1:14" x14ac:dyDescent="0.3">
      <c r="A805" s="397"/>
      <c r="B805" s="94">
        <v>10</v>
      </c>
      <c r="C805" s="144">
        <f t="shared" ref="C805:K820" si="181">DEGREES(ATAN(1/(C781*1000)))</f>
        <v>-2.9842669571474238E-2</v>
      </c>
      <c r="D805" s="144">
        <f t="shared" si="181"/>
        <v>4.9835098878320688E-2</v>
      </c>
      <c r="E805" s="144">
        <f t="shared" si="181"/>
        <v>6.4590229216944406E-2</v>
      </c>
      <c r="F805" s="144">
        <f t="shared" si="181"/>
        <v>6.9754522911646633E-2</v>
      </c>
      <c r="G805" s="144">
        <f t="shared" si="181"/>
        <v>7.2144852757432529E-2</v>
      </c>
      <c r="H805" s="144">
        <f t="shared" si="181"/>
        <v>7.3443303433129173E-2</v>
      </c>
      <c r="I805" s="144">
        <f t="shared" si="181"/>
        <v>7.4226228201213065E-2</v>
      </c>
      <c r="J805" s="144">
        <f t="shared" si="181"/>
        <v>7.4734376473375067E-2</v>
      </c>
      <c r="K805" s="144">
        <f t="shared" si="181"/>
        <v>7.5082761249064781E-2</v>
      </c>
      <c r="L805" s="35"/>
      <c r="M805" s="35"/>
      <c r="N805" s="35"/>
    </row>
    <row r="806" spans="1:14" x14ac:dyDescent="0.3">
      <c r="A806" s="397"/>
      <c r="B806" s="94">
        <v>15</v>
      </c>
      <c r="C806" s="144">
        <f t="shared" si="181"/>
        <v>-8.2961136769948846E-2</v>
      </c>
      <c r="D806" s="144">
        <f t="shared" si="181"/>
        <v>3.6555475866166996E-2</v>
      </c>
      <c r="E806" s="144">
        <f t="shared" si="181"/>
        <v>5.868817799995843E-2</v>
      </c>
      <c r="F806" s="144">
        <f t="shared" si="181"/>
        <v>6.6434619947028678E-2</v>
      </c>
      <c r="G806" s="144">
        <f t="shared" si="181"/>
        <v>7.0020115128876931E-2</v>
      </c>
      <c r="H806" s="144">
        <f t="shared" si="181"/>
        <v>7.1967791295884431E-2</v>
      </c>
      <c r="I806" s="144">
        <f t="shared" si="181"/>
        <v>7.3142178515008691E-2</v>
      </c>
      <c r="J806" s="144">
        <f t="shared" si="181"/>
        <v>7.3904400956132599E-2</v>
      </c>
      <c r="K806" s="144">
        <f t="shared" si="181"/>
        <v>7.4426978137294111E-2</v>
      </c>
      <c r="L806" s="35"/>
      <c r="M806" s="35"/>
      <c r="N806" s="35"/>
    </row>
    <row r="807" spans="1:14" x14ac:dyDescent="0.3">
      <c r="A807" s="397"/>
      <c r="B807" s="94">
        <v>20</v>
      </c>
      <c r="C807" s="144">
        <f t="shared" si="181"/>
        <v>-0.13607946135857873</v>
      </c>
      <c r="D807" s="144">
        <f t="shared" si="181"/>
        <v>2.3275848926579766E-2</v>
      </c>
      <c r="E807" s="144">
        <f t="shared" si="181"/>
        <v>5.2786125537478731E-2</v>
      </c>
      <c r="F807" s="144">
        <f t="shared" si="181"/>
        <v>6.3114716536312787E-2</v>
      </c>
      <c r="G807" s="144">
        <f t="shared" si="181"/>
        <v>6.7895377307738133E-2</v>
      </c>
      <c r="H807" s="144">
        <f t="shared" si="181"/>
        <v>7.0492279063182478E-2</v>
      </c>
      <c r="I807" s="144">
        <f t="shared" si="181"/>
        <v>7.205812877643808E-2</v>
      </c>
      <c r="J807" s="144">
        <f t="shared" si="181"/>
        <v>7.307442540787415E-2</v>
      </c>
      <c r="K807" s="144">
        <f t="shared" si="181"/>
        <v>7.3771195006023374E-2</v>
      </c>
      <c r="L807" s="35"/>
      <c r="M807" s="35"/>
      <c r="N807" s="35"/>
    </row>
    <row r="808" spans="1:14" x14ac:dyDescent="0.3">
      <c r="A808" s="397"/>
      <c r="B808" s="94">
        <v>25</v>
      </c>
      <c r="C808" s="144">
        <f t="shared" si="181"/>
        <v>-0.18919755202856928</v>
      </c>
      <c r="D808" s="144">
        <f t="shared" si="181"/>
        <v>9.9962194862895995E-3</v>
      </c>
      <c r="E808" s="144">
        <f t="shared" si="181"/>
        <v>4.6884071954759597E-2</v>
      </c>
      <c r="F808" s="144">
        <f t="shared" si="181"/>
        <v>5.9794812701791468E-2</v>
      </c>
      <c r="G808" s="144">
        <f t="shared" si="181"/>
        <v>6.5770639299859976E-2</v>
      </c>
      <c r="H808" s="144">
        <f t="shared" si="181"/>
        <v>6.9016766736980401E-2</v>
      </c>
      <c r="I808" s="144">
        <f t="shared" si="181"/>
        <v>7.0974078986277347E-2</v>
      </c>
      <c r="J808" s="144">
        <f t="shared" si="181"/>
        <v>7.2244449828947968E-2</v>
      </c>
      <c r="K808" s="144">
        <f t="shared" si="181"/>
        <v>7.3115411855424403E-2</v>
      </c>
      <c r="L808" s="35"/>
      <c r="M808" s="35"/>
      <c r="N808" s="35"/>
    </row>
    <row r="809" spans="1:14" x14ac:dyDescent="0.3">
      <c r="A809" s="397"/>
      <c r="B809" s="94">
        <v>30</v>
      </c>
      <c r="C809" s="144">
        <f t="shared" si="181"/>
        <v>-0.24231531747353882</v>
      </c>
      <c r="D809" s="144">
        <f t="shared" si="181"/>
        <v>-3.2834110279713578E-3</v>
      </c>
      <c r="E809" s="144">
        <f t="shared" si="181"/>
        <v>4.09820173770555E-2</v>
      </c>
      <c r="F809" s="144">
        <f t="shared" si="181"/>
        <v>5.6474908465757305E-2</v>
      </c>
      <c r="G809" s="144">
        <f t="shared" si="181"/>
        <v>6.3645901111086298E-2</v>
      </c>
      <c r="H809" s="144">
        <f t="shared" si="181"/>
        <v>6.75412543192353E-2</v>
      </c>
      <c r="I809" s="144">
        <f t="shared" si="181"/>
        <v>6.9890029145302665E-2</v>
      </c>
      <c r="J809" s="144">
        <f t="shared" si="181"/>
        <v>7.141447421970247E-2</v>
      </c>
      <c r="K809" s="144">
        <f t="shared" si="181"/>
        <v>7.2459628685669034E-2</v>
      </c>
      <c r="L809" s="35"/>
      <c r="M809" s="35"/>
      <c r="N809" s="35"/>
    </row>
    <row r="810" spans="1:14" x14ac:dyDescent="0.3">
      <c r="A810" s="397"/>
      <c r="B810" s="94">
        <v>35</v>
      </c>
      <c r="C810" s="144">
        <f t="shared" si="181"/>
        <v>-0.29543266639045929</v>
      </c>
      <c r="D810" s="144">
        <f t="shared" si="181"/>
        <v>-1.6563041189470173E-2</v>
      </c>
      <c r="E810" s="144">
        <f t="shared" si="181"/>
        <v>3.5079961929621019E-2</v>
      </c>
      <c r="F810" s="144">
        <f t="shared" si="181"/>
        <v>5.3155003850502855E-2</v>
      </c>
      <c r="G810" s="144">
        <f t="shared" si="181"/>
        <v>6.1521162747260959E-2</v>
      </c>
      <c r="H810" s="144">
        <f t="shared" si="181"/>
        <v>6.6065741811904263E-2</v>
      </c>
      <c r="I810" s="144">
        <f t="shared" si="181"/>
        <v>6.8805979254290134E-2</v>
      </c>
      <c r="J810" s="144">
        <f t="shared" si="181"/>
        <v>7.0584498580485919E-2</v>
      </c>
      <c r="K810" s="144">
        <f t="shared" si="181"/>
        <v>7.1803845496929017E-2</v>
      </c>
      <c r="L810" s="35"/>
      <c r="M810" s="35"/>
      <c r="N810" s="35"/>
    </row>
    <row r="811" spans="1:14" x14ac:dyDescent="0.3">
      <c r="A811" s="397"/>
      <c r="B811" s="94">
        <v>40</v>
      </c>
      <c r="C811" s="144">
        <f t="shared" si="181"/>
        <v>-0.34854950748059943</v>
      </c>
      <c r="D811" s="144">
        <f t="shared" si="181"/>
        <v>-2.9842669571474238E-2</v>
      </c>
      <c r="E811" s="144">
        <f t="shared" si="181"/>
        <v>2.9177905737710855E-2</v>
      </c>
      <c r="F811" s="144">
        <f t="shared" si="181"/>
        <v>4.9835098878320688E-2</v>
      </c>
      <c r="G811" s="144">
        <f t="shared" si="181"/>
        <v>5.9396424214227826E-2</v>
      </c>
      <c r="H811" s="144">
        <f t="shared" si="181"/>
        <v>6.4590229216944406E-2</v>
      </c>
      <c r="I811" s="144">
        <f t="shared" si="181"/>
        <v>6.7721929314015855E-2</v>
      </c>
      <c r="J811" s="144">
        <f t="shared" si="181"/>
        <v>6.9754522911646633E-2</v>
      </c>
      <c r="K811" s="144">
        <f t="shared" si="181"/>
        <v>7.1148062289376229E-2</v>
      </c>
      <c r="L811" s="35"/>
      <c r="M811" s="35"/>
      <c r="N811" s="35"/>
    </row>
    <row r="812" spans="1:14" x14ac:dyDescent="0.3">
      <c r="A812" s="397"/>
      <c r="B812" s="94">
        <v>45</v>
      </c>
      <c r="C812" s="144">
        <f t="shared" si="181"/>
        <v>-0.40166574945046407</v>
      </c>
      <c r="D812" s="144">
        <f t="shared" si="181"/>
        <v>-4.3122294747251974E-2</v>
      </c>
      <c r="E812" s="144">
        <f t="shared" si="181"/>
        <v>2.3275848926579766E-2</v>
      </c>
      <c r="F812" s="144">
        <f t="shared" si="181"/>
        <v>4.651519357150341E-2</v>
      </c>
      <c r="G812" s="144">
        <f t="shared" si="181"/>
        <v>5.7271685517830746E-2</v>
      </c>
      <c r="H812" s="144">
        <f t="shared" si="181"/>
        <v>6.3114716536312787E-2</v>
      </c>
      <c r="I812" s="144">
        <f t="shared" si="181"/>
        <v>6.6637879325255972E-2</v>
      </c>
      <c r="J812" s="144">
        <f t="shared" si="181"/>
        <v>6.8924547213532958E-2</v>
      </c>
      <c r="K812" s="144">
        <f t="shared" si="181"/>
        <v>7.0492279063182478E-2</v>
      </c>
      <c r="L812" s="35"/>
      <c r="M812" s="35"/>
      <c r="N812" s="35"/>
    </row>
    <row r="813" spans="1:14" x14ac:dyDescent="0.3">
      <c r="A813" s="397"/>
      <c r="B813" s="94">
        <v>50</v>
      </c>
      <c r="C813" s="144">
        <f t="shared" si="181"/>
        <v>-0.45478130101273795</v>
      </c>
      <c r="D813" s="144">
        <f t="shared" si="181"/>
        <v>-5.6401915290073962E-2</v>
      </c>
      <c r="E813" s="144">
        <f t="shared" si="181"/>
        <v>1.7373791621482657E-2</v>
      </c>
      <c r="F813" s="144">
        <f t="shared" si="181"/>
        <v>4.3195287952343606E-2</v>
      </c>
      <c r="G813" s="144">
        <f t="shared" si="181"/>
        <v>5.5146946663913586E-2</v>
      </c>
      <c r="H813" s="144">
        <f t="shared" si="181"/>
        <v>6.1639203771966515E-2</v>
      </c>
      <c r="I813" s="144">
        <f t="shared" si="181"/>
        <v>6.5553829288786586E-2</v>
      </c>
      <c r="J813" s="144">
        <f t="shared" si="181"/>
        <v>6.8094571486493186E-2</v>
      </c>
      <c r="K813" s="144">
        <f t="shared" si="181"/>
        <v>6.9836495818519556E-2</v>
      </c>
      <c r="L813" s="35"/>
      <c r="M813" s="35"/>
      <c r="N813" s="35"/>
    </row>
    <row r="814" spans="1:14" x14ac:dyDescent="0.3">
      <c r="A814" s="397"/>
      <c r="B814" s="94">
        <v>55</v>
      </c>
      <c r="C814" s="144">
        <f t="shared" si="181"/>
        <v>-0.50789607088722444</v>
      </c>
      <c r="D814" s="144">
        <f t="shared" si="181"/>
        <v>-6.9681529773213791E-2</v>
      </c>
      <c r="E814" s="144">
        <f t="shared" si="181"/>
        <v>1.1471733947674425E-2</v>
      </c>
      <c r="F814" s="144">
        <f t="shared" si="181"/>
        <v>3.9875382043133935E-2</v>
      </c>
      <c r="G814" s="144">
        <f t="shared" si="181"/>
        <v>5.3022207658320199E-2</v>
      </c>
      <c r="H814" s="144">
        <f t="shared" si="181"/>
        <v>6.0163690925862712E-2</v>
      </c>
      <c r="I814" s="144">
        <f t="shared" si="181"/>
        <v>6.4469779205383854E-2</v>
      </c>
      <c r="J814" s="144">
        <f t="shared" si="181"/>
        <v>6.7264595730875662E-2</v>
      </c>
      <c r="K814" s="144">
        <f t="shared" si="181"/>
        <v>6.9180712555559284E-2</v>
      </c>
      <c r="L814" s="35"/>
      <c r="M814" s="35"/>
      <c r="N814" s="35"/>
    </row>
    <row r="815" spans="1:14" x14ac:dyDescent="0.3">
      <c r="A815" s="397"/>
      <c r="B815" s="94">
        <v>60</v>
      </c>
      <c r="C815" s="144">
        <f t="shared" si="181"/>
        <v>-0.56100996780178858</v>
      </c>
      <c r="D815" s="144">
        <f t="shared" si="181"/>
        <v>-8.2961136769948846E-2</v>
      </c>
      <c r="E815" s="144">
        <f t="shared" si="181"/>
        <v>5.5696760304100841E-3</v>
      </c>
      <c r="F815" s="144">
        <f t="shared" si="181"/>
        <v>3.6555475866166996E-2</v>
      </c>
      <c r="G815" s="144">
        <f t="shared" si="181"/>
        <v>5.0897468506894472E-2</v>
      </c>
      <c r="H815" s="144">
        <f t="shared" si="181"/>
        <v>5.868817799995843E-2</v>
      </c>
      <c r="I815" s="144">
        <f t="shared" si="181"/>
        <v>6.3385729075823891E-2</v>
      </c>
      <c r="J815" s="144">
        <f t="shared" si="181"/>
        <v>6.6434619947028678E-2</v>
      </c>
      <c r="K815" s="144">
        <f t="shared" si="181"/>
        <v>6.8524929274473498E-2</v>
      </c>
      <c r="L815" s="35"/>
      <c r="M815" s="35"/>
      <c r="N815" s="35"/>
    </row>
    <row r="816" spans="1:14" x14ac:dyDescent="0.3">
      <c r="A816" s="397"/>
      <c r="B816" s="94">
        <v>65</v>
      </c>
      <c r="C816" s="144">
        <f t="shared" si="181"/>
        <v>-0.61412290049329654</v>
      </c>
      <c r="D816" s="144">
        <f t="shared" si="181"/>
        <v>-9.6240734853561424E-2</v>
      </c>
      <c r="E816" s="144">
        <f t="shared" si="181"/>
        <v>-3.3238200505538931E-4</v>
      </c>
      <c r="F816" s="144">
        <f t="shared" si="181"/>
        <v>3.3235569443735458E-2</v>
      </c>
      <c r="G816" s="144">
        <f t="shared" si="181"/>
        <v>4.8772729215480266E-2</v>
      </c>
      <c r="H816" s="144">
        <f t="shared" si="181"/>
        <v>5.7212664996210798E-2</v>
      </c>
      <c r="I816" s="144">
        <f t="shared" si="181"/>
        <v>6.2301678900882805E-2</v>
      </c>
      <c r="J816" s="144">
        <f t="shared" si="181"/>
        <v>6.560464413530058E-2</v>
      </c>
      <c r="K816" s="144">
        <f t="shared" si="181"/>
        <v>6.7869145975434003E-2</v>
      </c>
      <c r="L816" s="35"/>
      <c r="M816" s="35"/>
      <c r="N816" s="35"/>
    </row>
    <row r="817" spans="1:14" x14ac:dyDescent="0.3">
      <c r="A817" s="397"/>
      <c r="B817" s="94">
        <v>70</v>
      </c>
      <c r="C817" s="144">
        <f t="shared" si="181"/>
        <v>-0.66723477770855677</v>
      </c>
      <c r="D817" s="144">
        <f t="shared" si="181"/>
        <v>-0.10952032259733951</v>
      </c>
      <c r="E817" s="144">
        <f t="shared" si="181"/>
        <v>-6.2344400334669731E-3</v>
      </c>
      <c r="F817" s="144">
        <f t="shared" si="181"/>
        <v>2.9915662798131973E-2</v>
      </c>
      <c r="G817" s="144">
        <f t="shared" si="181"/>
        <v>4.6647989789921455E-2</v>
      </c>
      <c r="H817" s="144">
        <f t="shared" si="181"/>
        <v>5.5737151916576903E-2</v>
      </c>
      <c r="I817" s="144">
        <f t="shared" si="181"/>
        <v>6.1217628681336726E-2</v>
      </c>
      <c r="J817" s="144">
        <f t="shared" si="181"/>
        <v>6.47746682960397E-2</v>
      </c>
      <c r="K817" s="144">
        <f t="shared" si="181"/>
        <v>6.7213362658612608E-2</v>
      </c>
      <c r="L817" s="35"/>
      <c r="M817" s="35"/>
      <c r="N817" s="35"/>
    </row>
    <row r="818" spans="1:14" x14ac:dyDescent="0.3">
      <c r="A818" s="397"/>
      <c r="B818" s="94">
        <v>75</v>
      </c>
      <c r="C818" s="144">
        <f t="shared" si="181"/>
        <v>-0.72034550820525989</v>
      </c>
      <c r="D818" s="144">
        <f t="shared" si="181"/>
        <v>-0.12279989857457786</v>
      </c>
      <c r="E818" s="144">
        <f t="shared" si="181"/>
        <v>-1.2136497929569636E-2</v>
      </c>
      <c r="F818" s="144">
        <f t="shared" si="181"/>
        <v>2.6595755951649182E-2</v>
      </c>
      <c r="G818" s="144">
        <f t="shared" si="181"/>
        <v>4.4523250236061906E-2</v>
      </c>
      <c r="H818" s="144">
        <f t="shared" si="181"/>
        <v>5.4261638763013847E-2</v>
      </c>
      <c r="I818" s="144">
        <f t="shared" si="181"/>
        <v>6.0133578417961804E-2</v>
      </c>
      <c r="J818" s="144">
        <f t="shared" si="181"/>
        <v>6.3944692429594316E-2</v>
      </c>
      <c r="K818" s="144">
        <f t="shared" si="181"/>
        <v>6.6557579324181132E-2</v>
      </c>
      <c r="L818" s="35"/>
      <c r="M818" s="35"/>
      <c r="N818" s="35"/>
    </row>
    <row r="819" spans="1:14" x14ac:dyDescent="0.3">
      <c r="A819" s="397"/>
      <c r="B819" s="94">
        <v>80</v>
      </c>
      <c r="C819" s="144">
        <f t="shared" si="181"/>
        <v>-0.77345500075291962</v>
      </c>
      <c r="D819" s="144">
        <f t="shared" si="181"/>
        <v>-0.13607946135857873</v>
      </c>
      <c r="E819" s="144">
        <f t="shared" si="181"/>
        <v>-1.8038555568108357E-2</v>
      </c>
      <c r="F819" s="144">
        <f t="shared" si="181"/>
        <v>2.3275848926579766E-2</v>
      </c>
      <c r="G819" s="144">
        <f t="shared" si="181"/>
        <v>4.2398510559745493E-2</v>
      </c>
      <c r="H819" s="144">
        <f t="shared" si="181"/>
        <v>5.2786125537478731E-2</v>
      </c>
      <c r="I819" s="144">
        <f t="shared" si="181"/>
        <v>5.9049528111534105E-2</v>
      </c>
      <c r="J819" s="144">
        <f t="shared" si="181"/>
        <v>6.3114716536312787E-2</v>
      </c>
      <c r="K819" s="144">
        <f t="shared" si="181"/>
        <v>6.5901795972311397E-2</v>
      </c>
      <c r="L819" s="35"/>
      <c r="M819" s="35"/>
      <c r="N819" s="35"/>
    </row>
    <row r="820" spans="1:14" x14ac:dyDescent="0.3">
      <c r="A820" s="397"/>
      <c r="B820" s="94">
        <v>85</v>
      </c>
      <c r="C820" s="144">
        <f t="shared" si="181"/>
        <v>-0.82656316413381048</v>
      </c>
      <c r="D820" s="144">
        <f t="shared" si="181"/>
        <v>-0.14935900952265282</v>
      </c>
      <c r="E820" s="144">
        <f t="shared" si="181"/>
        <v>-2.394061282382819E-2</v>
      </c>
      <c r="F820" s="144">
        <f t="shared" si="181"/>
        <v>1.9955941745216425E-2</v>
      </c>
      <c r="G820" s="144">
        <f t="shared" si="181"/>
        <v>4.0273770766816104E-2</v>
      </c>
      <c r="H820" s="144">
        <f t="shared" si="181"/>
        <v>5.1310612241928635E-2</v>
      </c>
      <c r="I820" s="144">
        <f t="shared" si="181"/>
        <v>5.7965477762829822E-2</v>
      </c>
      <c r="J820" s="144">
        <f t="shared" si="181"/>
        <v>6.2284740616543405E-2</v>
      </c>
      <c r="K820" s="144">
        <f t="shared" si="181"/>
        <v>6.524601260317521E-2</v>
      </c>
      <c r="L820" s="35"/>
      <c r="M820" s="35"/>
      <c r="N820" s="35"/>
    </row>
    <row r="821" spans="1:14" x14ac:dyDescent="0.3">
      <c r="A821" s="397"/>
      <c r="B821" s="94">
        <v>90</v>
      </c>
      <c r="C821" s="144">
        <f t="shared" ref="C821:K823" si="182">DEGREES(ATAN(1/(C797*1000)))</f>
        <v>-0.87966990714391013</v>
      </c>
      <c r="D821" s="144">
        <f t="shared" si="182"/>
        <v>-0.16263854164012037</v>
      </c>
      <c r="E821" s="144">
        <f t="shared" si="182"/>
        <v>-2.9842669571474238E-2</v>
      </c>
      <c r="F821" s="144">
        <f t="shared" si="182"/>
        <v>1.6636034429851822E-2</v>
      </c>
      <c r="G821" s="144">
        <f t="shared" si="182"/>
        <v>3.8149030863117626E-2</v>
      </c>
      <c r="H821" s="144">
        <f t="shared" si="182"/>
        <v>4.9835098878320688E-2</v>
      </c>
      <c r="I821" s="144">
        <f t="shared" si="182"/>
        <v>5.6881427372625047E-2</v>
      </c>
      <c r="J821" s="144">
        <f t="shared" si="182"/>
        <v>6.1454764670634522E-2</v>
      </c>
      <c r="K821" s="144">
        <f t="shared" si="182"/>
        <v>6.4590229216944406E-2</v>
      </c>
      <c r="L821" s="35"/>
      <c r="M821" s="35"/>
      <c r="N821" s="35"/>
    </row>
    <row r="822" spans="1:14" x14ac:dyDescent="0.3">
      <c r="A822" s="397"/>
      <c r="B822" s="94">
        <v>95</v>
      </c>
      <c r="C822" s="144">
        <f t="shared" si="182"/>
        <v>-0.93277513859383598</v>
      </c>
      <c r="D822" s="144">
        <f t="shared" si="182"/>
        <v>-0.17591805628431198</v>
      </c>
      <c r="E822" s="144">
        <f t="shared" si="182"/>
        <v>-3.5744725685791588E-2</v>
      </c>
      <c r="F822" s="144">
        <f t="shared" si="182"/>
        <v>1.3316127002778635E-2</v>
      </c>
      <c r="G822" s="144">
        <f t="shared" si="182"/>
        <v>3.6024290854493927E-2</v>
      </c>
      <c r="H822" s="144">
        <f t="shared" si="182"/>
        <v>4.8359585448611971E-2</v>
      </c>
      <c r="I822" s="144">
        <f t="shared" si="182"/>
        <v>5.5797376941695905E-2</v>
      </c>
      <c r="J822" s="144">
        <f t="shared" si="182"/>
        <v>6.0624788698934437E-2</v>
      </c>
      <c r="K822" s="144">
        <f t="shared" si="182"/>
        <v>6.393444581379075E-2</v>
      </c>
      <c r="L822" s="35"/>
      <c r="M822" s="35"/>
      <c r="N822" s="35"/>
    </row>
    <row r="823" spans="1:14" x14ac:dyDescent="0.3">
      <c r="A823" s="397"/>
      <c r="B823" s="94">
        <v>100</v>
      </c>
      <c r="C823" s="144">
        <f t="shared" si="182"/>
        <v>-0.98587876730978363</v>
      </c>
      <c r="D823" s="144">
        <f t="shared" si="182"/>
        <v>-0.18919755202856928</v>
      </c>
      <c r="E823" s="144">
        <f t="shared" si="182"/>
        <v>-4.1646781041525464E-2</v>
      </c>
      <c r="F823" s="144">
        <f t="shared" si="182"/>
        <v>9.9962194862895995E-3</v>
      </c>
      <c r="G823" s="144">
        <f t="shared" si="182"/>
        <v>3.3899550746788888E-2</v>
      </c>
      <c r="H823" s="144">
        <f t="shared" si="182"/>
        <v>4.6884071954759597E-2</v>
      </c>
      <c r="I823" s="144">
        <f t="shared" si="182"/>
        <v>5.4713326470818516E-2</v>
      </c>
      <c r="J823" s="144">
        <f t="shared" si="182"/>
        <v>5.9794812701791468E-2</v>
      </c>
      <c r="K823" s="144">
        <f t="shared" si="182"/>
        <v>6.3278662393886145E-2</v>
      </c>
      <c r="L823" s="35"/>
      <c r="M823" s="35"/>
      <c r="N823" s="35"/>
    </row>
    <row r="824" spans="1:14" x14ac:dyDescent="0.3">
      <c r="A824" s="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</row>
    <row r="825" spans="1:14" x14ac:dyDescent="0.3">
      <c r="A825" s="415" t="s">
        <v>506</v>
      </c>
      <c r="B825" s="416"/>
      <c r="C825" s="416"/>
      <c r="D825" s="416"/>
      <c r="E825" s="416"/>
      <c r="F825" s="416"/>
      <c r="G825" s="416"/>
      <c r="H825" s="416"/>
      <c r="I825" s="416"/>
      <c r="J825" s="416"/>
      <c r="K825" s="369"/>
      <c r="L825" s="35"/>
      <c r="M825" s="35"/>
      <c r="N825" s="35"/>
    </row>
    <row r="826" spans="1:14" x14ac:dyDescent="0.3">
      <c r="A826" s="360"/>
      <c r="B826" s="361"/>
      <c r="C826" s="364" t="s">
        <v>230</v>
      </c>
      <c r="D826" s="365"/>
      <c r="E826" s="365"/>
      <c r="F826" s="365"/>
      <c r="G826" s="365"/>
      <c r="H826" s="365"/>
      <c r="I826" s="365"/>
      <c r="J826" s="365"/>
      <c r="K826" s="366"/>
      <c r="L826" s="35"/>
      <c r="M826" s="35"/>
      <c r="N826" s="35"/>
    </row>
    <row r="827" spans="1:14" x14ac:dyDescent="0.3">
      <c r="A827" s="362"/>
      <c r="B827" s="363"/>
      <c r="C827" s="94">
        <v>5</v>
      </c>
      <c r="D827" s="94">
        <v>10</v>
      </c>
      <c r="E827" s="94">
        <v>15</v>
      </c>
      <c r="F827" s="94">
        <v>20</v>
      </c>
      <c r="G827" s="94">
        <v>25</v>
      </c>
      <c r="H827" s="94">
        <v>30</v>
      </c>
      <c r="I827" s="94">
        <v>35</v>
      </c>
      <c r="J827" s="94">
        <v>40</v>
      </c>
      <c r="K827" s="94">
        <v>45</v>
      </c>
      <c r="L827" s="35"/>
      <c r="M827" s="35"/>
      <c r="N827" s="35"/>
    </row>
    <row r="828" spans="1:14" x14ac:dyDescent="0.3">
      <c r="A828" s="397" t="s">
        <v>231</v>
      </c>
      <c r="B828" s="94">
        <v>5</v>
      </c>
      <c r="C828" s="144">
        <f t="shared" ref="C828:K843" si="183">TAN(C703)*($G$521/2)</f>
        <v>1.6783463391357922</v>
      </c>
      <c r="D828" s="144">
        <f t="shared" si="183"/>
        <v>6.7788351315257565</v>
      </c>
      <c r="E828" s="144">
        <f t="shared" si="183"/>
        <v>1.006010108712128</v>
      </c>
      <c r="F828" s="144">
        <f t="shared" si="183"/>
        <v>-0.35378317737446641</v>
      </c>
      <c r="G828" s="144">
        <f t="shared" si="183"/>
        <v>0.3994706803011191</v>
      </c>
      <c r="H828" s="144">
        <f t="shared" si="183"/>
        <v>0.49039436917494988</v>
      </c>
      <c r="I828" s="144">
        <f t="shared" si="183"/>
        <v>-0.13008204300313575</v>
      </c>
      <c r="J828" s="144">
        <f t="shared" si="183"/>
        <v>3.8530113445308549</v>
      </c>
      <c r="K828" s="144">
        <f t="shared" si="183"/>
        <v>-1.3174091406770458</v>
      </c>
      <c r="L828" s="35"/>
      <c r="M828" s="35"/>
      <c r="N828" s="35"/>
    </row>
    <row r="829" spans="1:14" x14ac:dyDescent="0.3">
      <c r="A829" s="397"/>
      <c r="B829" s="94">
        <v>10</v>
      </c>
      <c r="C829" s="144">
        <f t="shared" si="183"/>
        <v>0.48632686112809304</v>
      </c>
      <c r="D829" s="144">
        <f t="shared" si="183"/>
        <v>-0.8375552235340038</v>
      </c>
      <c r="E829" s="144">
        <f t="shared" si="183"/>
        <v>-1.4946270801473927</v>
      </c>
      <c r="F829" s="144">
        <f t="shared" si="183"/>
        <v>-0.16801435904515602</v>
      </c>
      <c r="G829" s="144">
        <f t="shared" si="183"/>
        <v>-3.0035077333874787</v>
      </c>
      <c r="H829" s="144">
        <f t="shared" si="183"/>
        <v>-2.5175073167562068</v>
      </c>
      <c r="I829" s="144">
        <f t="shared" si="183"/>
        <v>-6.455909621913232E-2</v>
      </c>
      <c r="J829" s="144">
        <f t="shared" si="183"/>
        <v>-0.91006627112581784</v>
      </c>
      <c r="K829" s="144">
        <f t="shared" si="183"/>
        <v>-0.43604768737170807</v>
      </c>
      <c r="L829" s="35"/>
      <c r="M829" s="35"/>
      <c r="N829" s="35"/>
    </row>
    <row r="830" spans="1:14" x14ac:dyDescent="0.3">
      <c r="A830" s="397"/>
      <c r="B830" s="94">
        <v>15</v>
      </c>
      <c r="C830" s="144">
        <f t="shared" si="183"/>
        <v>0.30262201926542531</v>
      </c>
      <c r="D830" s="144">
        <f t="shared" si="183"/>
        <v>20.410031760398795</v>
      </c>
      <c r="E830" s="144">
        <f t="shared" si="183"/>
        <v>0.24029221719598218</v>
      </c>
      <c r="F830" s="144">
        <f t="shared" si="183"/>
        <v>-0.11099007538189784</v>
      </c>
      <c r="G830" s="144">
        <f t="shared" si="183"/>
        <v>0.12344900187968712</v>
      </c>
      <c r="H830" s="144">
        <f t="shared" si="183"/>
        <v>2.1855505341837977</v>
      </c>
      <c r="I830" s="144">
        <f t="shared" si="183"/>
        <v>-4.2980525370756882E-2</v>
      </c>
      <c r="J830" s="144">
        <f t="shared" si="183"/>
        <v>-0.4996524791809881</v>
      </c>
      <c r="K830" s="144">
        <f t="shared" si="183"/>
        <v>-0.27469445041799767</v>
      </c>
      <c r="L830" s="35"/>
      <c r="M830" s="35"/>
      <c r="N830" s="35"/>
    </row>
    <row r="831" spans="1:14" x14ac:dyDescent="0.3">
      <c r="A831" s="397"/>
      <c r="B831" s="94">
        <v>20</v>
      </c>
      <c r="C831" s="144">
        <f t="shared" si="183"/>
        <v>0.221881216316347</v>
      </c>
      <c r="D831" s="144">
        <f t="shared" si="183"/>
        <v>1.6783463391357922</v>
      </c>
      <c r="E831" s="144">
        <f t="shared" si="183"/>
        <v>-0.46278116933667124</v>
      </c>
      <c r="F831" s="144">
        <f t="shared" si="183"/>
        <v>6.7788351315257565</v>
      </c>
      <c r="G831" s="144">
        <f t="shared" si="183"/>
        <v>0.96031024689919531</v>
      </c>
      <c r="H831" s="144">
        <f t="shared" si="183"/>
        <v>1.006010108712128</v>
      </c>
      <c r="I831" s="144">
        <f t="shared" si="183"/>
        <v>17.458114478493123</v>
      </c>
      <c r="J831" s="144">
        <f t="shared" si="183"/>
        <v>-0.35378317737446641</v>
      </c>
      <c r="K831" s="144">
        <f t="shared" si="183"/>
        <v>2.7821731285185201</v>
      </c>
      <c r="L831" s="35"/>
      <c r="M831" s="35"/>
      <c r="N831" s="35"/>
    </row>
    <row r="832" spans="1:14" x14ac:dyDescent="0.3">
      <c r="A832" s="397"/>
      <c r="B832" s="94">
        <v>25</v>
      </c>
      <c r="C832" s="144">
        <f t="shared" si="183"/>
        <v>0.17569449362450193</v>
      </c>
      <c r="D832" s="144">
        <f t="shared" si="183"/>
        <v>0.9858468815243463</v>
      </c>
      <c r="E832" s="144">
        <f t="shared" si="183"/>
        <v>-1.3722360334596528</v>
      </c>
      <c r="F832" s="144">
        <f t="shared" si="183"/>
        <v>0.44974174307678744</v>
      </c>
      <c r="G832" s="144">
        <f t="shared" si="183"/>
        <v>-0.43987812935908371</v>
      </c>
      <c r="H832" s="144">
        <f t="shared" si="183"/>
        <v>-1.635440992867693</v>
      </c>
      <c r="I832" s="144">
        <f t="shared" si="183"/>
        <v>-2.6100461799083883</v>
      </c>
      <c r="J832" s="144">
        <f t="shared" si="183"/>
        <v>-1.1204639645361394</v>
      </c>
      <c r="K832" s="144">
        <f t="shared" si="183"/>
        <v>-0.16036763109848157</v>
      </c>
      <c r="L832" s="35"/>
      <c r="M832" s="35"/>
      <c r="N832" s="35"/>
    </row>
    <row r="833" spans="1:14" x14ac:dyDescent="0.3">
      <c r="A833" s="397"/>
      <c r="B833" s="94">
        <v>30</v>
      </c>
      <c r="C833" s="144">
        <f t="shared" si="183"/>
        <v>0.14560782499694946</v>
      </c>
      <c r="D833" s="144">
        <f t="shared" si="183"/>
        <v>0.72294622067541436</v>
      </c>
      <c r="E833" s="144">
        <f t="shared" si="183"/>
        <v>-4.799011218710592</v>
      </c>
      <c r="F833" s="144">
        <f t="shared" si="183"/>
        <v>-5.519448337469933E-2</v>
      </c>
      <c r="G833" s="144">
        <f t="shared" si="183"/>
        <v>-9.1743868952590439</v>
      </c>
      <c r="H833" s="144">
        <f t="shared" si="183"/>
        <v>0.53555933830157687</v>
      </c>
      <c r="I833" s="144">
        <f t="shared" si="183"/>
        <v>-2.1472647371685288E-2</v>
      </c>
      <c r="J833" s="144">
        <f t="shared" si="183"/>
        <v>-0.22695038304825138</v>
      </c>
      <c r="K833" s="144">
        <f t="shared" si="183"/>
        <v>-0.13302634075613506</v>
      </c>
      <c r="L833" s="35"/>
      <c r="M833" s="35"/>
      <c r="N833" s="35"/>
    </row>
    <row r="834" spans="1:14" x14ac:dyDescent="0.3">
      <c r="A834" s="397"/>
      <c r="B834" s="94">
        <v>35</v>
      </c>
      <c r="C834" s="144">
        <f t="shared" si="183"/>
        <v>0.1243954065666394</v>
      </c>
      <c r="D834" s="144">
        <f t="shared" si="183"/>
        <v>0.57902857764097271</v>
      </c>
      <c r="E834" s="144">
        <f t="shared" si="183"/>
        <v>8.1721999595951029</v>
      </c>
      <c r="F834" s="144">
        <f t="shared" si="183"/>
        <v>-0.42125853771969124</v>
      </c>
      <c r="G834" s="144">
        <f t="shared" si="183"/>
        <v>1.0885857399726375</v>
      </c>
      <c r="H834" s="144">
        <f t="shared" si="183"/>
        <v>-0.28751396778960236</v>
      </c>
      <c r="I834" s="144">
        <f t="shared" si="183"/>
        <v>-3.7024139464996599</v>
      </c>
      <c r="J834" s="144">
        <f t="shared" si="183"/>
        <v>1.453853843395279</v>
      </c>
      <c r="K834" s="144">
        <f t="shared" si="183"/>
        <v>0.69469112769611607</v>
      </c>
      <c r="L834" s="35"/>
      <c r="M834" s="35"/>
      <c r="N834" s="35"/>
    </row>
    <row r="835" spans="1:14" x14ac:dyDescent="0.3">
      <c r="A835" s="397"/>
      <c r="B835" s="94">
        <v>40</v>
      </c>
      <c r="C835" s="144">
        <f t="shared" si="183"/>
        <v>0.10861391582676957</v>
      </c>
      <c r="D835" s="144">
        <f t="shared" si="183"/>
        <v>0.48632686112809304</v>
      </c>
      <c r="E835" s="144">
        <f t="shared" si="183"/>
        <v>2.6437227256960356</v>
      </c>
      <c r="F835" s="144">
        <f t="shared" si="183"/>
        <v>-0.8375552235340038</v>
      </c>
      <c r="G835" s="144">
        <f t="shared" si="183"/>
        <v>0.36588248083582176</v>
      </c>
      <c r="H835" s="144">
        <f t="shared" si="183"/>
        <v>-1.4946270801473927</v>
      </c>
      <c r="I835" s="144">
        <f t="shared" si="183"/>
        <v>0.71847179115994275</v>
      </c>
      <c r="J835" s="144">
        <f t="shared" si="183"/>
        <v>-0.16801435904515602</v>
      </c>
      <c r="K835" s="144">
        <f t="shared" si="183"/>
        <v>-0.97895340267128494</v>
      </c>
      <c r="L835" s="35"/>
      <c r="M835" s="35"/>
      <c r="N835" s="35"/>
    </row>
    <row r="836" spans="1:14" x14ac:dyDescent="0.3">
      <c r="A836" s="397"/>
      <c r="B836" s="94">
        <v>45</v>
      </c>
      <c r="C836" s="144">
        <f t="shared" si="183"/>
        <v>9.6404886037103038E-2</v>
      </c>
      <c r="D836" s="144">
        <f t="shared" si="183"/>
        <v>0.42085466633225888</v>
      </c>
      <c r="E836" s="144">
        <f t="shared" si="183"/>
        <v>1.6783463391357922</v>
      </c>
      <c r="F836" s="144">
        <f t="shared" si="183"/>
        <v>-1.4597164923758612</v>
      </c>
      <c r="G836" s="144">
        <f t="shared" si="183"/>
        <v>4.0824222365288987E-2</v>
      </c>
      <c r="H836" s="144">
        <f t="shared" si="183"/>
        <v>6.7788351315257565</v>
      </c>
      <c r="I836" s="144">
        <f t="shared" si="183"/>
        <v>-1.4312926051997681E-2</v>
      </c>
      <c r="J836" s="144">
        <f t="shared" si="183"/>
        <v>-2.2061259079851987</v>
      </c>
      <c r="K836" s="144">
        <f t="shared" si="183"/>
        <v>1.006010108712128</v>
      </c>
      <c r="L836" s="35"/>
      <c r="M836" s="35"/>
      <c r="N836" s="35"/>
    </row>
    <row r="837" spans="1:14" x14ac:dyDescent="0.3">
      <c r="A837" s="397"/>
      <c r="B837" s="94">
        <v>50</v>
      </c>
      <c r="C837" s="144">
        <f t="shared" si="183"/>
        <v>8.6674015979736285E-2</v>
      </c>
      <c r="D837" s="144">
        <f t="shared" si="183"/>
        <v>0.37179197585089208</v>
      </c>
      <c r="E837" s="144">
        <f t="shared" si="183"/>
        <v>1.2646255129084787</v>
      </c>
      <c r="F837" s="144">
        <f t="shared" si="183"/>
        <v>-2.7090713145646301</v>
      </c>
      <c r="G837" s="144">
        <f t="shared" si="183"/>
        <v>-0.20371286679386003</v>
      </c>
      <c r="H837" s="144">
        <f t="shared" si="183"/>
        <v>1.1690484225314415</v>
      </c>
      <c r="I837" s="144">
        <f t="shared" si="183"/>
        <v>-0.56483651748540498</v>
      </c>
      <c r="J837" s="144">
        <f t="shared" si="183"/>
        <v>1.4045363792216301</v>
      </c>
      <c r="K837" s="144">
        <f t="shared" si="183"/>
        <v>-7.9287676153371608E-2</v>
      </c>
      <c r="L837" s="35"/>
      <c r="M837" s="35"/>
      <c r="N837" s="35"/>
    </row>
    <row r="838" spans="1:14" x14ac:dyDescent="0.3">
      <c r="A838" s="397"/>
      <c r="B838" s="94">
        <v>55</v>
      </c>
      <c r="C838" s="144">
        <f t="shared" si="183"/>
        <v>7.8733899182783049E-2</v>
      </c>
      <c r="D838" s="144">
        <f t="shared" si="183"/>
        <v>0.33347468132815461</v>
      </c>
      <c r="E838" s="144">
        <f t="shared" si="183"/>
        <v>1.0298610686253684</v>
      </c>
      <c r="F838" s="144">
        <f t="shared" si="183"/>
        <v>-7.2749580180881939</v>
      </c>
      <c r="G838" s="144">
        <f t="shared" si="183"/>
        <v>-0.43612657972306762</v>
      </c>
      <c r="H838" s="144">
        <f t="shared" si="183"/>
        <v>0.53979453582480441</v>
      </c>
      <c r="I838" s="144">
        <f t="shared" si="183"/>
        <v>-1.7125302814963697</v>
      </c>
      <c r="J838" s="144">
        <f t="shared" si="183"/>
        <v>0.32679570381768075</v>
      </c>
      <c r="K838" s="144">
        <f t="shared" si="183"/>
        <v>-1.0544564503523248</v>
      </c>
      <c r="L838" s="35"/>
      <c r="M838" s="35"/>
      <c r="N838" s="35"/>
    </row>
    <row r="839" spans="1:14" x14ac:dyDescent="0.3">
      <c r="A839" s="397"/>
      <c r="B839" s="94">
        <v>60</v>
      </c>
      <c r="C839" s="144">
        <f t="shared" si="183"/>
        <v>7.2130516888238613E-2</v>
      </c>
      <c r="D839" s="144">
        <f t="shared" si="183"/>
        <v>0.30262201926542531</v>
      </c>
      <c r="E839" s="144">
        <f t="shared" si="183"/>
        <v>0.8763154389389356</v>
      </c>
      <c r="F839" s="144">
        <f t="shared" si="183"/>
        <v>20.410031760398795</v>
      </c>
      <c r="G839" s="144">
        <f t="shared" si="183"/>
        <v>-0.69118993537866757</v>
      </c>
      <c r="H839" s="144">
        <f t="shared" si="183"/>
        <v>0.24029221719598218</v>
      </c>
      <c r="I839" s="144">
        <f t="shared" si="183"/>
        <v>52.402969722006873</v>
      </c>
      <c r="J839" s="144">
        <f t="shared" si="183"/>
        <v>-0.11099007538189784</v>
      </c>
      <c r="K839" s="144">
        <f t="shared" si="183"/>
        <v>8.5229698282496305</v>
      </c>
      <c r="L839" s="35"/>
      <c r="M839" s="35"/>
      <c r="N839" s="35"/>
    </row>
    <row r="840" spans="1:14" x14ac:dyDescent="0.3">
      <c r="A840" s="397"/>
      <c r="B840" s="94">
        <v>65</v>
      </c>
      <c r="C840" s="144">
        <f t="shared" si="183"/>
        <v>6.6551720899295674E-2</v>
      </c>
      <c r="D840" s="144">
        <f t="shared" si="183"/>
        <v>0.27718912411106816</v>
      </c>
      <c r="E840" s="144">
        <f t="shared" si="183"/>
        <v>0.76689315244248046</v>
      </c>
      <c r="F840" s="144">
        <f t="shared" si="183"/>
        <v>4.8082444357303045</v>
      </c>
      <c r="G840" s="144">
        <f t="shared" si="183"/>
        <v>-1.0035537539528196</v>
      </c>
      <c r="H840" s="144">
        <f t="shared" si="183"/>
        <v>3.3430771064021862E-2</v>
      </c>
      <c r="I840" s="144">
        <f t="shared" si="183"/>
        <v>1.9014427722372091</v>
      </c>
      <c r="J840" s="144">
        <f t="shared" si="183"/>
        <v>-0.53423339475092324</v>
      </c>
      <c r="K840" s="144">
        <f t="shared" si="183"/>
        <v>0.9177097666012819</v>
      </c>
      <c r="L840" s="35"/>
      <c r="M840" s="35"/>
      <c r="N840" s="35"/>
    </row>
    <row r="841" spans="1:14" x14ac:dyDescent="0.3">
      <c r="A841" s="397"/>
      <c r="B841" s="94">
        <v>70</v>
      </c>
      <c r="C841" s="144">
        <f t="shared" si="183"/>
        <v>6.1775727470769759E-2</v>
      </c>
      <c r="D841" s="144">
        <f t="shared" si="183"/>
        <v>0.25582858574731659</v>
      </c>
      <c r="E841" s="144">
        <f t="shared" si="183"/>
        <v>0.68432092559436863</v>
      </c>
      <c r="F841" s="144">
        <f t="shared" si="183"/>
        <v>2.8667820519440377</v>
      </c>
      <c r="G841" s="144">
        <f t="shared" si="183"/>
        <v>-1.4274972683796128</v>
      </c>
      <c r="H841" s="144">
        <f t="shared" si="183"/>
        <v>-0.13883114465051855</v>
      </c>
      <c r="I841" s="144">
        <f t="shared" si="183"/>
        <v>0.91716126229999018</v>
      </c>
      <c r="J841" s="144">
        <f t="shared" si="183"/>
        <v>-1.2308184170640628</v>
      </c>
      <c r="K841" s="144">
        <f t="shared" si="183"/>
        <v>0.29397876507547355</v>
      </c>
      <c r="L841" s="35"/>
      <c r="M841" s="35"/>
      <c r="N841" s="35"/>
    </row>
    <row r="842" spans="1:14" x14ac:dyDescent="0.3">
      <c r="A842" s="397"/>
      <c r="B842" s="94">
        <v>75</v>
      </c>
      <c r="C842" s="144">
        <f t="shared" si="183"/>
        <v>5.7640568323473904E-2</v>
      </c>
      <c r="D842" s="144">
        <f t="shared" si="183"/>
        <v>0.23761299583005652</v>
      </c>
      <c r="E842" s="144">
        <f t="shared" si="183"/>
        <v>0.61941802938118418</v>
      </c>
      <c r="F842" s="144">
        <f t="shared" si="183"/>
        <v>2.0965612974797785</v>
      </c>
      <c r="G842" s="144">
        <f t="shared" si="183"/>
        <v>-2.0753145381435667</v>
      </c>
      <c r="H842" s="144">
        <f t="shared" si="183"/>
        <v>-0.29979738258588096</v>
      </c>
      <c r="I842" s="144">
        <f t="shared" si="183"/>
        <v>0.53189522992639593</v>
      </c>
      <c r="J842" s="144">
        <f t="shared" si="183"/>
        <v>-3.7651249880419035</v>
      </c>
      <c r="K842" s="144">
        <f t="shared" si="183"/>
        <v>-5.274956575463792E-2</v>
      </c>
      <c r="L842" s="35"/>
      <c r="M842" s="35"/>
      <c r="N842" s="35"/>
    </row>
    <row r="843" spans="1:14" x14ac:dyDescent="0.3">
      <c r="A843" s="397"/>
      <c r="B843" s="94">
        <v>80</v>
      </c>
      <c r="C843" s="144">
        <f t="shared" si="183"/>
        <v>5.4025168155659997E-2</v>
      </c>
      <c r="D843" s="144">
        <f t="shared" si="183"/>
        <v>0.221881216316347</v>
      </c>
      <c r="E843" s="144">
        <f t="shared" si="183"/>
        <v>0.56682808065385748</v>
      </c>
      <c r="F843" s="144">
        <f t="shared" si="183"/>
        <v>1.6783463391357922</v>
      </c>
      <c r="G843" s="144">
        <f t="shared" si="183"/>
        <v>-3.2479442384541866</v>
      </c>
      <c r="H843" s="144">
        <f t="shared" si="183"/>
        <v>-0.46278116933667124</v>
      </c>
      <c r="I843" s="144">
        <f t="shared" si="183"/>
        <v>0.30127034468978542</v>
      </c>
      <c r="J843" s="144">
        <f t="shared" si="183"/>
        <v>6.7788351315257565</v>
      </c>
      <c r="K843" s="144">
        <f t="shared" si="183"/>
        <v>-0.37021224108507</v>
      </c>
      <c r="L843" s="35"/>
      <c r="M843" s="35"/>
      <c r="N843" s="35"/>
    </row>
    <row r="844" spans="1:14" x14ac:dyDescent="0.3">
      <c r="A844" s="397"/>
      <c r="B844" s="94">
        <v>85</v>
      </c>
      <c r="C844" s="144">
        <f t="shared" ref="C844:K847" si="184">TAN(C719)*($G$521/2)</f>
        <v>5.0837187593086496E-2</v>
      </c>
      <c r="D844" s="144">
        <f t="shared" si="184"/>
        <v>0.20814811457244556</v>
      </c>
      <c r="E844" s="144">
        <f t="shared" si="184"/>
        <v>0.52320124682611169</v>
      </c>
      <c r="F844" s="144">
        <f t="shared" si="184"/>
        <v>1.41315565327361</v>
      </c>
      <c r="G844" s="144">
        <f t="shared" si="184"/>
        <v>-6.1583806265159957</v>
      </c>
      <c r="H844" s="144">
        <f t="shared" si="184"/>
        <v>-0.63832786959299115</v>
      </c>
      <c r="I844" s="144">
        <f t="shared" si="184"/>
        <v>0.13237254830878642</v>
      </c>
      <c r="J844" s="144">
        <f t="shared" si="184"/>
        <v>1.8728189341579089</v>
      </c>
      <c r="K844" s="144">
        <f t="shared" si="184"/>
        <v>-0.77401496992775543</v>
      </c>
      <c r="L844" s="35"/>
      <c r="M844" s="35"/>
      <c r="N844" s="35"/>
    </row>
    <row r="845" spans="1:14" x14ac:dyDescent="0.3">
      <c r="A845" s="397"/>
      <c r="B845" s="94">
        <v>90</v>
      </c>
      <c r="C845" s="144">
        <f t="shared" si="184"/>
        <v>4.8004964965298477E-2</v>
      </c>
      <c r="D845" s="144">
        <f t="shared" si="184"/>
        <v>0.19604899004909654</v>
      </c>
      <c r="E845" s="144">
        <f t="shared" si="184"/>
        <v>0.48632686112809304</v>
      </c>
      <c r="F845" s="144">
        <f t="shared" si="184"/>
        <v>1.2285532235462706</v>
      </c>
      <c r="G845" s="144">
        <f t="shared" si="184"/>
        <v>-27.577566136044158</v>
      </c>
      <c r="H845" s="144">
        <f t="shared" si="184"/>
        <v>-0.8375552235340038</v>
      </c>
      <c r="I845" s="144">
        <f t="shared" si="184"/>
        <v>-7.1558115570876987E-3</v>
      </c>
      <c r="J845" s="144">
        <f t="shared" si="184"/>
        <v>1.047127542025251</v>
      </c>
      <c r="K845" s="144">
        <f t="shared" si="184"/>
        <v>-1.4946270801473927</v>
      </c>
      <c r="L845" s="35"/>
      <c r="M845" s="35"/>
      <c r="N845" s="35"/>
    </row>
    <row r="846" spans="1:14" x14ac:dyDescent="0.3">
      <c r="A846" s="397"/>
      <c r="B846" s="94">
        <v>95</v>
      </c>
      <c r="C846" s="144">
        <f t="shared" si="184"/>
        <v>4.5472028699930583E-2</v>
      </c>
      <c r="D846" s="144">
        <f t="shared" si="184"/>
        <v>0.18530398105224188</v>
      </c>
      <c r="E846" s="144">
        <f t="shared" si="184"/>
        <v>0.45468215563217435</v>
      </c>
      <c r="F846" s="144">
        <f t="shared" si="184"/>
        <v>1.0917857348184772</v>
      </c>
      <c r="G846" s="144">
        <f t="shared" si="184"/>
        <v>13.163269376602251</v>
      </c>
      <c r="H846" s="144">
        <f t="shared" si="184"/>
        <v>-1.0749334697836632</v>
      </c>
      <c r="I846" s="144">
        <f t="shared" si="184"/>
        <v>-0.13213133036416241</v>
      </c>
      <c r="J846" s="144">
        <f t="shared" si="184"/>
        <v>0.67653275194053941</v>
      </c>
      <c r="K846" s="144">
        <f t="shared" si="184"/>
        <v>-3.8461001595178166</v>
      </c>
      <c r="L846" s="35"/>
      <c r="M846" s="35"/>
      <c r="N846" s="35"/>
    </row>
    <row r="847" spans="1:14" x14ac:dyDescent="0.3">
      <c r="A847" s="397"/>
      <c r="B847" s="94">
        <v>100</v>
      </c>
      <c r="C847" s="144">
        <f t="shared" si="184"/>
        <v>4.3193270986860662E-2</v>
      </c>
      <c r="D847" s="144">
        <f t="shared" si="184"/>
        <v>0.17569449362450193</v>
      </c>
      <c r="E847" s="144">
        <f t="shared" si="184"/>
        <v>0.42718090986570012</v>
      </c>
      <c r="F847" s="144">
        <f t="shared" si="184"/>
        <v>0.9858468815243463</v>
      </c>
      <c r="G847" s="144">
        <f t="shared" si="184"/>
        <v>5.6225229146138211</v>
      </c>
      <c r="H847" s="144">
        <f t="shared" si="184"/>
        <v>-1.3722360334596528</v>
      </c>
      <c r="I847" s="144">
        <f t="shared" si="184"/>
        <v>-0.25082979584140841</v>
      </c>
      <c r="J847" s="144">
        <f t="shared" si="184"/>
        <v>0.44974174307678744</v>
      </c>
      <c r="K847" s="144">
        <f t="shared" si="184"/>
        <v>14.228371783889713</v>
      </c>
      <c r="L847" s="35"/>
      <c r="M847" s="35"/>
      <c r="N847" s="35"/>
    </row>
    <row r="848" spans="1:14" x14ac:dyDescent="0.3">
      <c r="A848" s="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</row>
    <row r="849" spans="1:14" x14ac:dyDescent="0.3">
      <c r="A849" s="370" t="s">
        <v>734</v>
      </c>
      <c r="B849" s="370"/>
      <c r="C849" s="370"/>
      <c r="D849" s="370"/>
      <c r="E849" s="370"/>
      <c r="F849" s="370"/>
      <c r="G849" s="370"/>
      <c r="H849" s="370"/>
      <c r="I849" s="370"/>
      <c r="J849" s="370"/>
      <c r="K849" s="370"/>
      <c r="L849" s="35"/>
      <c r="M849" s="35"/>
      <c r="N849" s="35"/>
    </row>
    <row r="850" spans="1:14" x14ac:dyDescent="0.3">
      <c r="A850" s="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</row>
    <row r="851" spans="1:14" x14ac:dyDescent="0.3">
      <c r="A851" s="353" t="s">
        <v>735</v>
      </c>
      <c r="B851" s="96">
        <f>B577</f>
        <v>-0.8</v>
      </c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</row>
    <row r="852" spans="1:14" x14ac:dyDescent="0.3">
      <c r="A852" s="353" t="s">
        <v>189</v>
      </c>
      <c r="B852" s="97">
        <f>RADIANS(B851)</f>
        <v>-1.3962634015954637E-2</v>
      </c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</row>
    <row r="853" spans="1:14" x14ac:dyDescent="0.3">
      <c r="A853" s="7"/>
      <c r="B853" s="37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</row>
    <row r="854" spans="1:14" x14ac:dyDescent="0.3">
      <c r="A854" s="353" t="s">
        <v>737</v>
      </c>
      <c r="B854" s="354">
        <f>0.4*ABS(B852)*D55</f>
        <v>6.0268313466466603</v>
      </c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</row>
    <row r="855" spans="1:14" x14ac:dyDescent="0.3">
      <c r="A855" s="7"/>
      <c r="B855" s="37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</row>
    <row r="856" spans="1:14" x14ac:dyDescent="0.3">
      <c r="A856" s="357" t="s">
        <v>738</v>
      </c>
      <c r="B856" s="358"/>
      <c r="C856" s="358"/>
      <c r="D856" s="358"/>
      <c r="E856" s="358"/>
      <c r="F856" s="358"/>
      <c r="G856" s="358"/>
      <c r="H856" s="358"/>
      <c r="I856" s="358"/>
      <c r="J856" s="358"/>
      <c r="K856" s="359"/>
      <c r="L856" s="35"/>
      <c r="M856" s="35"/>
      <c r="N856" s="35"/>
    </row>
    <row r="857" spans="1:14" x14ac:dyDescent="0.3">
      <c r="A857" s="360"/>
      <c r="B857" s="361"/>
      <c r="C857" s="364" t="s">
        <v>230</v>
      </c>
      <c r="D857" s="365"/>
      <c r="E857" s="365"/>
      <c r="F857" s="365"/>
      <c r="G857" s="365"/>
      <c r="H857" s="365"/>
      <c r="I857" s="365"/>
      <c r="J857" s="365"/>
      <c r="K857" s="366"/>
      <c r="L857" s="35"/>
      <c r="M857" s="35"/>
      <c r="N857" s="35"/>
    </row>
    <row r="858" spans="1:14" x14ac:dyDescent="0.3">
      <c r="A858" s="362"/>
      <c r="B858" s="363"/>
      <c r="C858" s="94">
        <v>5</v>
      </c>
      <c r="D858" s="94">
        <v>10</v>
      </c>
      <c r="E858" s="94">
        <v>15</v>
      </c>
      <c r="F858" s="94">
        <v>20</v>
      </c>
      <c r="G858" s="94">
        <v>25</v>
      </c>
      <c r="H858" s="94">
        <v>30</v>
      </c>
      <c r="I858" s="94">
        <v>35</v>
      </c>
      <c r="J858" s="94">
        <v>40</v>
      </c>
      <c r="K858" s="94">
        <v>45</v>
      </c>
      <c r="L858" s="35"/>
      <c r="M858" s="35"/>
      <c r="N858" s="35"/>
    </row>
    <row r="859" spans="1:14" x14ac:dyDescent="0.3">
      <c r="A859" s="397" t="s">
        <v>231</v>
      </c>
      <c r="B859" s="94">
        <v>5</v>
      </c>
      <c r="C859" s="144">
        <f>$B$851+C631</f>
        <v>-1.0166126892725234</v>
      </c>
      <c r="D859" s="144">
        <f t="shared" ref="D859:K859" si="185">$B$851+D631</f>
        <v>-0.91144906927537628</v>
      </c>
      <c r="E859" s="144">
        <f t="shared" si="185"/>
        <v>-0.8919742213061983</v>
      </c>
      <c r="F859" s="144">
        <f t="shared" si="185"/>
        <v>-0.88515801926586113</v>
      </c>
      <c r="G859" s="144">
        <f t="shared" si="185"/>
        <v>-0.88200309063659288</v>
      </c>
      <c r="H859" s="144">
        <f t="shared" si="185"/>
        <v>-0.88028930203573597</v>
      </c>
      <c r="I859" s="144">
        <f t="shared" si="185"/>
        <v>-0.87925594149249497</v>
      </c>
      <c r="J859" s="144">
        <f t="shared" si="185"/>
        <v>-0.87858525072766058</v>
      </c>
      <c r="K859" s="144">
        <f t="shared" si="185"/>
        <v>-0.87812542733487031</v>
      </c>
      <c r="L859" s="35"/>
      <c r="M859" s="35"/>
      <c r="N859" s="35"/>
    </row>
    <row r="860" spans="1:14" x14ac:dyDescent="0.3">
      <c r="A860" s="397"/>
      <c r="B860" s="94">
        <v>10</v>
      </c>
      <c r="C860" s="144">
        <f t="shared" ref="C860:K878" si="186">$B$851+C632</f>
        <v>-1.1568284565247262</v>
      </c>
      <c r="D860" s="144">
        <f t="shared" si="186"/>
        <v>-0.94650372770119784</v>
      </c>
      <c r="E860" s="144">
        <f t="shared" si="186"/>
        <v>-0.90755410159769645</v>
      </c>
      <c r="F860" s="144">
        <f t="shared" si="186"/>
        <v>-0.89392170713370467</v>
      </c>
      <c r="G860" s="144">
        <f t="shared" si="186"/>
        <v>-0.88761185228814055</v>
      </c>
      <c r="H860" s="144">
        <f t="shared" si="186"/>
        <v>-0.88418427591597126</v>
      </c>
      <c r="I860" s="144">
        <f t="shared" si="186"/>
        <v>-0.88211755517616908</v>
      </c>
      <c r="J860" s="144">
        <f t="shared" si="186"/>
        <v>-0.88077617381208628</v>
      </c>
      <c r="K860" s="144">
        <f t="shared" si="186"/>
        <v>-0.87985652711368834</v>
      </c>
      <c r="L860" s="35"/>
      <c r="M860" s="35"/>
      <c r="N860" s="35"/>
    </row>
    <row r="861" spans="1:14" x14ac:dyDescent="0.3">
      <c r="A861" s="397"/>
      <c r="B861" s="94">
        <v>15</v>
      </c>
      <c r="C861" s="144">
        <f t="shared" si="186"/>
        <v>-1.2970399498270226</v>
      </c>
      <c r="D861" s="144">
        <f t="shared" si="186"/>
        <v>-0.98155827644778282</v>
      </c>
      <c r="E861" s="144">
        <f t="shared" si="186"/>
        <v>-0.92313396598396302</v>
      </c>
      <c r="F861" s="144">
        <f t="shared" si="186"/>
        <v>-0.90268539060689434</v>
      </c>
      <c r="G861" s="144">
        <f t="shared" si="186"/>
        <v>-0.89322061226056815</v>
      </c>
      <c r="H861" s="144">
        <f t="shared" si="186"/>
        <v>-0.88807924901812518</v>
      </c>
      <c r="I861" s="144">
        <f t="shared" si="186"/>
        <v>-0.88497916845016489</v>
      </c>
      <c r="J861" s="144">
        <f t="shared" si="186"/>
        <v>-0.88296709666028883</v>
      </c>
      <c r="K861" s="144">
        <f t="shared" si="186"/>
        <v>-0.88158762674671243</v>
      </c>
      <c r="L861" s="35"/>
      <c r="M861" s="35"/>
      <c r="N861" s="35"/>
    </row>
    <row r="862" spans="1:14" x14ac:dyDescent="0.3">
      <c r="A862" s="397"/>
      <c r="B862" s="94">
        <v>20</v>
      </c>
      <c r="C862" s="144">
        <f t="shared" si="186"/>
        <v>-1.4372454901435359</v>
      </c>
      <c r="D862" s="144">
        <f t="shared" si="186"/>
        <v>-1.0166126892725234</v>
      </c>
      <c r="E862" s="144">
        <f t="shared" si="186"/>
        <v>-0.93871381216106187</v>
      </c>
      <c r="F862" s="144">
        <f t="shared" si="186"/>
        <v>-0.91144906927537628</v>
      </c>
      <c r="G862" s="144">
        <f t="shared" si="186"/>
        <v>-0.898829370446382</v>
      </c>
      <c r="H862" s="144">
        <f t="shared" si="186"/>
        <v>-0.8919742213061983</v>
      </c>
      <c r="I862" s="144">
        <f t="shared" si="186"/>
        <v>-0.88784078130020605</v>
      </c>
      <c r="J862" s="144">
        <f t="shared" si="186"/>
        <v>-0.88515801926586113</v>
      </c>
      <c r="K862" s="144">
        <f t="shared" si="186"/>
        <v>-0.883318726230782</v>
      </c>
      <c r="L862" s="35"/>
      <c r="M862" s="35"/>
      <c r="N862" s="35"/>
    </row>
    <row r="863" spans="1:14" x14ac:dyDescent="0.3">
      <c r="A863" s="397"/>
      <c r="B863" s="94">
        <v>25</v>
      </c>
      <c r="C863" s="144">
        <f t="shared" si="186"/>
        <v>-1.5774433988661283</v>
      </c>
      <c r="D863" s="144">
        <f t="shared" si="186"/>
        <v>-1.051666939933422</v>
      </c>
      <c r="E863" s="144">
        <f t="shared" si="186"/>
        <v>-0.95429363782507326</v>
      </c>
      <c r="F863" s="144">
        <f t="shared" si="186"/>
        <v>-0.92021274272909781</v>
      </c>
      <c r="G863" s="144">
        <f t="shared" si="186"/>
        <v>-0.9044381267380891</v>
      </c>
      <c r="H863" s="144">
        <f t="shared" si="186"/>
        <v>-0.89586919274419119</v>
      </c>
      <c r="I863" s="144">
        <f t="shared" si="186"/>
        <v>-0.89070239371201643</v>
      </c>
      <c r="J863" s="144">
        <f t="shared" si="186"/>
        <v>-0.88734894162239597</v>
      </c>
      <c r="K863" s="144">
        <f t="shared" si="186"/>
        <v>-0.88504982556273681</v>
      </c>
      <c r="L863" s="35"/>
      <c r="M863" s="35"/>
      <c r="N863" s="35"/>
    </row>
    <row r="864" spans="1:14" x14ac:dyDescent="0.3">
      <c r="A864" s="397"/>
      <c r="B864" s="94">
        <v>30</v>
      </c>
      <c r="C864" s="144">
        <f t="shared" si="186"/>
        <v>-1.7176319979349328</v>
      </c>
      <c r="D864" s="144">
        <f t="shared" si="186"/>
        <v>-1.0867210021892098</v>
      </c>
      <c r="E864" s="144">
        <f t="shared" si="186"/>
        <v>-0.96987344067209513</v>
      </c>
      <c r="F864" s="144">
        <f t="shared" si="186"/>
        <v>-0.92897641055800806</v>
      </c>
      <c r="G864" s="144">
        <f t="shared" si="186"/>
        <v>-0.91004688102819631</v>
      </c>
      <c r="H864" s="144">
        <f t="shared" si="186"/>
        <v>-0.89976416329610476</v>
      </c>
      <c r="I864" s="144">
        <f t="shared" si="186"/>
        <v>-0.89356400567131966</v>
      </c>
      <c r="J864" s="144">
        <f t="shared" si="186"/>
        <v>-0.88953986372348626</v>
      </c>
      <c r="K864" s="144">
        <f t="shared" si="186"/>
        <v>-0.88678092473941617</v>
      </c>
      <c r="L864" s="35"/>
      <c r="M864" s="35"/>
      <c r="N864" s="35"/>
    </row>
    <row r="865" spans="1:14" x14ac:dyDescent="0.3">
      <c r="A865" s="397"/>
      <c r="B865" s="94">
        <v>35</v>
      </c>
      <c r="C865" s="144">
        <f t="shared" si="186"/>
        <v>-1.8578096099587897</v>
      </c>
      <c r="D865" s="144">
        <f t="shared" si="186"/>
        <v>-1.1217748497994642</v>
      </c>
      <c r="E865" s="144">
        <f t="shared" si="186"/>
        <v>-0.98545321839824629</v>
      </c>
      <c r="F865" s="144">
        <f t="shared" si="186"/>
        <v>-0.93774007235205725</v>
      </c>
      <c r="G865" s="144">
        <f t="shared" si="186"/>
        <v>-0.91565563320921084</v>
      </c>
      <c r="H865" s="144">
        <f t="shared" si="186"/>
        <v>-0.90365913292593958</v>
      </c>
      <c r="I865" s="144">
        <f t="shared" si="186"/>
        <v>-0.89642561716383962</v>
      </c>
      <c r="J865" s="144">
        <f t="shared" si="186"/>
        <v>-0.89173078556272489</v>
      </c>
      <c r="K865" s="144">
        <f t="shared" si="186"/>
        <v>-0.88851202375765992</v>
      </c>
      <c r="L865" s="35"/>
      <c r="M865" s="35"/>
      <c r="N865" s="35"/>
    </row>
    <row r="866" spans="1:14" x14ac:dyDescent="0.3">
      <c r="A866" s="397"/>
      <c r="B866" s="94">
        <v>40</v>
      </c>
      <c r="C866" s="144">
        <f t="shared" si="186"/>
        <v>-1.9979745583355573</v>
      </c>
      <c r="D866" s="144">
        <f t="shared" si="186"/>
        <v>-1.1568284565247262</v>
      </c>
      <c r="E866" s="144">
        <f t="shared" si="186"/>
        <v>-1.0010329686996673</v>
      </c>
      <c r="F866" s="144">
        <f t="shared" si="186"/>
        <v>-0.94650372770119784</v>
      </c>
      <c r="G866" s="144">
        <f t="shared" si="186"/>
        <v>-0.92126438317364001</v>
      </c>
      <c r="H866" s="144">
        <f t="shared" si="186"/>
        <v>-0.90755410159769645</v>
      </c>
      <c r="I866" s="144">
        <f t="shared" si="186"/>
        <v>-0.89928722817530005</v>
      </c>
      <c r="J866" s="144">
        <f t="shared" si="186"/>
        <v>-0.89392170713370467</v>
      </c>
      <c r="K866" s="144">
        <f t="shared" si="186"/>
        <v>-0.89024312261430738</v>
      </c>
      <c r="L866" s="35"/>
      <c r="M866" s="35"/>
      <c r="N866" s="35"/>
    </row>
    <row r="867" spans="1:14" x14ac:dyDescent="0.3">
      <c r="A867" s="397"/>
      <c r="B867" s="94">
        <v>45</v>
      </c>
      <c r="C867" s="144">
        <f t="shared" si="186"/>
        <v>-2.138125167372289</v>
      </c>
      <c r="D867" s="144">
        <f t="shared" si="186"/>
        <v>-1.1918817961266195</v>
      </c>
      <c r="E867" s="144">
        <f t="shared" si="186"/>
        <v>-1.0166126892725234</v>
      </c>
      <c r="F867" s="144">
        <f t="shared" si="186"/>
        <v>-0.95526737619538371</v>
      </c>
      <c r="G867" s="144">
        <f t="shared" si="186"/>
        <v>-0.9268731308139917</v>
      </c>
      <c r="H867" s="144">
        <f t="shared" si="186"/>
        <v>-0.91144906927537628</v>
      </c>
      <c r="I867" s="144">
        <f t="shared" si="186"/>
        <v>-0.9021488386914247</v>
      </c>
      <c r="J867" s="144">
        <f t="shared" si="186"/>
        <v>-0.89611262843001871</v>
      </c>
      <c r="K867" s="144">
        <f t="shared" si="186"/>
        <v>-0.8919742213061983</v>
      </c>
      <c r="L867" s="35"/>
      <c r="M867" s="35"/>
      <c r="N867" s="35"/>
    </row>
    <row r="868" spans="1:14" x14ac:dyDescent="0.3">
      <c r="A868" s="397"/>
      <c r="B868" s="94">
        <v>50</v>
      </c>
      <c r="C868" s="144">
        <f t="shared" si="186"/>
        <v>-2.2782597624052388</v>
      </c>
      <c r="D868" s="144">
        <f t="shared" si="186"/>
        <v>-1.2269348423679671</v>
      </c>
      <c r="E868" s="144">
        <f t="shared" si="186"/>
        <v>-1.032192377813006</v>
      </c>
      <c r="F868" s="144">
        <f t="shared" si="186"/>
        <v>-0.96403101742457076</v>
      </c>
      <c r="G868" s="144">
        <f t="shared" si="186"/>
        <v>-0.93248187602277377</v>
      </c>
      <c r="H868" s="144">
        <f t="shared" si="186"/>
        <v>-0.91534403592298008</v>
      </c>
      <c r="I868" s="144">
        <f t="shared" si="186"/>
        <v>-0.90501044869793745</v>
      </c>
      <c r="J868" s="144">
        <f t="shared" si="186"/>
        <v>-0.8983035494452597</v>
      </c>
      <c r="K868" s="144">
        <f t="shared" si="186"/>
        <v>-0.8937053198301721</v>
      </c>
      <c r="L868" s="35"/>
      <c r="M868" s="35"/>
      <c r="N868" s="35"/>
    </row>
    <row r="869" spans="1:14" x14ac:dyDescent="0.3">
      <c r="A869" s="397"/>
      <c r="B869" s="94">
        <v>55</v>
      </c>
      <c r="C869" s="144">
        <f t="shared" si="186"/>
        <v>-2.4183766699196916</v>
      </c>
      <c r="D869" s="144">
        <f t="shared" si="186"/>
        <v>-1.2619875690129094</v>
      </c>
      <c r="E869" s="144">
        <f t="shared" si="186"/>
        <v>-1.0477720320173352</v>
      </c>
      <c r="F869" s="144">
        <f t="shared" si="186"/>
        <v>-0.9727946509787172</v>
      </c>
      <c r="G869" s="144">
        <f t="shared" si="186"/>
        <v>-0.93809061869249444</v>
      </c>
      <c r="H869" s="144">
        <f t="shared" si="186"/>
        <v>-0.91923900150450855</v>
      </c>
      <c r="I869" s="144">
        <f t="shared" si="186"/>
        <v>-0.90787205818056205</v>
      </c>
      <c r="J869" s="144">
        <f t="shared" si="186"/>
        <v>-0.90049447017302064</v>
      </c>
      <c r="K869" s="144">
        <f t="shared" si="186"/>
        <v>-0.89543641818306841</v>
      </c>
      <c r="L869" s="35"/>
      <c r="M869" s="35"/>
      <c r="N869" s="35"/>
    </row>
    <row r="870" spans="1:14" x14ac:dyDescent="0.3">
      <c r="A870" s="397"/>
      <c r="B870" s="94">
        <v>60</v>
      </c>
      <c r="C870" s="144">
        <f t="shared" si="186"/>
        <v>-2.5584742176695774</v>
      </c>
      <c r="D870" s="144">
        <f t="shared" si="186"/>
        <v>-1.2970399498270226</v>
      </c>
      <c r="E870" s="144">
        <f t="shared" si="186"/>
        <v>-1.063351649581761</v>
      </c>
      <c r="F870" s="144">
        <f t="shared" si="186"/>
        <v>-0.98155827644778282</v>
      </c>
      <c r="G870" s="144">
        <f t="shared" si="186"/>
        <v>-0.94369935871566235</v>
      </c>
      <c r="H870" s="144">
        <f t="shared" si="186"/>
        <v>-0.92313396598396302</v>
      </c>
      <c r="I870" s="144">
        <f t="shared" si="186"/>
        <v>-0.91073366712502235</v>
      </c>
      <c r="J870" s="144">
        <f t="shared" si="186"/>
        <v>-0.90268539060689434</v>
      </c>
      <c r="K870" s="144">
        <f t="shared" si="186"/>
        <v>-0.89716751636172676</v>
      </c>
      <c r="L870" s="35"/>
      <c r="M870" s="35"/>
      <c r="N870" s="35"/>
    </row>
    <row r="871" spans="1:14" x14ac:dyDescent="0.3">
      <c r="A871" s="397"/>
      <c r="B871" s="94">
        <v>65</v>
      </c>
      <c r="C871" s="144">
        <f t="shared" si="186"/>
        <v>-2.6985507347968651</v>
      </c>
      <c r="D871" s="144">
        <f t="shared" si="186"/>
        <v>-1.3320919585774358</v>
      </c>
      <c r="E871" s="144">
        <f t="shared" si="186"/>
        <v>-1.0789312282025667</v>
      </c>
      <c r="F871" s="144">
        <f t="shared" si="186"/>
        <v>-0.99032189342173027</v>
      </c>
      <c r="G871" s="144">
        <f t="shared" si="186"/>
        <v>-0.94930809598478616</v>
      </c>
      <c r="H871" s="144">
        <f t="shared" si="186"/>
        <v>-0.92702892932534442</v>
      </c>
      <c r="I871" s="144">
        <f t="shared" si="186"/>
        <v>-0.91359527551704223</v>
      </c>
      <c r="J871" s="144">
        <f t="shared" si="186"/>
        <v>-0.90487631074047392</v>
      </c>
      <c r="K871" s="144">
        <f t="shared" si="186"/>
        <v>-0.89889861436298668</v>
      </c>
      <c r="L871" s="35"/>
      <c r="M871" s="35"/>
      <c r="N871" s="35"/>
    </row>
    <row r="872" spans="1:14" x14ac:dyDescent="0.3">
      <c r="A872" s="397"/>
      <c r="B872" s="94">
        <v>70</v>
      </c>
      <c r="C872" s="144">
        <f t="shared" si="186"/>
        <v>-2.8386045519507057</v>
      </c>
      <c r="D872" s="144">
        <f t="shared" si="186"/>
        <v>-1.3671435690329488</v>
      </c>
      <c r="E872" s="144">
        <f t="shared" si="186"/>
        <v>-1.0945107655760697</v>
      </c>
      <c r="F872" s="144">
        <f t="shared" si="186"/>
        <v>-0.99908550149052422</v>
      </c>
      <c r="G872" s="144">
        <f t="shared" si="186"/>
        <v>-0.95491683039237507</v>
      </c>
      <c r="H872" s="144">
        <f t="shared" si="186"/>
        <v>-0.93092389149265387</v>
      </c>
      <c r="I872" s="144">
        <f t="shared" si="186"/>
        <v>-0.91645688334234565</v>
      </c>
      <c r="J872" s="144">
        <f t="shared" si="186"/>
        <v>-0.90706723056735217</v>
      </c>
      <c r="K872" s="144">
        <f t="shared" si="186"/>
        <v>-0.90062971218368792</v>
      </c>
      <c r="L872" s="35"/>
      <c r="M872" s="35"/>
      <c r="N872" s="35"/>
    </row>
    <row r="873" spans="1:14" x14ac:dyDescent="0.3">
      <c r="A873" s="397"/>
      <c r="B873" s="94">
        <v>75</v>
      </c>
      <c r="C873" s="144">
        <f t="shared" si="186"/>
        <v>-2.9786340014063075</v>
      </c>
      <c r="D873" s="144">
        <f t="shared" si="186"/>
        <v>-1.4021947549641505</v>
      </c>
      <c r="E873" s="144">
        <f t="shared" si="186"/>
        <v>-1.1100902593986239</v>
      </c>
      <c r="F873" s="144">
        <f t="shared" si="186"/>
        <v>-1.0078491002441319</v>
      </c>
      <c r="G873" s="144">
        <f t="shared" si="186"/>
        <v>-0.96052556183093851</v>
      </c>
      <c r="H873" s="144">
        <f t="shared" si="186"/>
        <v>-0.9348188524498926</v>
      </c>
      <c r="I873" s="144">
        <f t="shared" si="186"/>
        <v>-0.91931849058665649</v>
      </c>
      <c r="J873" s="144">
        <f t="shared" si="186"/>
        <v>-0.90925815008112199</v>
      </c>
      <c r="K873" s="144">
        <f t="shared" si="186"/>
        <v>-0.90236080982066991</v>
      </c>
      <c r="L873" s="35"/>
      <c r="M873" s="35"/>
      <c r="N873" s="35"/>
    </row>
    <row r="874" spans="1:14" x14ac:dyDescent="0.3">
      <c r="A874" s="397"/>
      <c r="B874" s="94">
        <v>80</v>
      </c>
      <c r="C874" s="144">
        <f t="shared" si="186"/>
        <v>-3.1186374171835194</v>
      </c>
      <c r="D874" s="144">
        <f t="shared" si="186"/>
        <v>-1.4372454901435359</v>
      </c>
      <c r="E874" s="144">
        <f t="shared" si="186"/>
        <v>-1.125669707366622</v>
      </c>
      <c r="F874" s="144">
        <f t="shared" si="186"/>
        <v>-1.0166126892725234</v>
      </c>
      <c r="G874" s="144">
        <f t="shared" si="186"/>
        <v>-0.96613429019298658</v>
      </c>
      <c r="H874" s="144">
        <f t="shared" si="186"/>
        <v>-0.93871381216106187</v>
      </c>
      <c r="I874" s="144">
        <f t="shared" si="186"/>
        <v>-0.92218009723569838</v>
      </c>
      <c r="J874" s="144">
        <f t="shared" si="186"/>
        <v>-0.91144906927537628</v>
      </c>
      <c r="K874" s="144">
        <f t="shared" si="186"/>
        <v>-0.90409190727077227</v>
      </c>
      <c r="L874" s="35"/>
      <c r="M874" s="35"/>
      <c r="N874" s="35"/>
    </row>
    <row r="875" spans="1:14" x14ac:dyDescent="0.3">
      <c r="A875" s="397"/>
      <c r="B875" s="94">
        <v>85</v>
      </c>
      <c r="C875" s="144">
        <f t="shared" si="186"/>
        <v>-3.2586131351650955</v>
      </c>
      <c r="D875" s="144">
        <f t="shared" si="186"/>
        <v>-1.472295748345624</v>
      </c>
      <c r="E875" s="144">
        <f t="shared" si="186"/>
        <v>-1.1412491071764976</v>
      </c>
      <c r="F875" s="144">
        <f t="shared" si="186"/>
        <v>-1.0253762681656711</v>
      </c>
      <c r="G875" s="144">
        <f t="shared" si="186"/>
        <v>-0.97174301537102914</v>
      </c>
      <c r="H875" s="144">
        <f t="shared" si="186"/>
        <v>-0.94260877059016324</v>
      </c>
      <c r="I875" s="144">
        <f t="shared" si="186"/>
        <v>-0.92504170327519564</v>
      </c>
      <c r="J875" s="144">
        <f t="shared" si="186"/>
        <v>-0.91363998814370806</v>
      </c>
      <c r="K875" s="144">
        <f t="shared" si="186"/>
        <v>-0.90582300453083464</v>
      </c>
      <c r="L875" s="35"/>
      <c r="M875" s="35"/>
      <c r="N875" s="35"/>
    </row>
    <row r="876" spans="1:14" x14ac:dyDescent="0.3">
      <c r="A876" s="397"/>
      <c r="B876" s="94">
        <v>90</v>
      </c>
      <c r="C876" s="144">
        <f t="shared" si="186"/>
        <v>-3.3985594932146448</v>
      </c>
      <c r="D876" s="144">
        <f t="shared" si="186"/>
        <v>-1.5073455033470757</v>
      </c>
      <c r="E876" s="144">
        <f t="shared" si="186"/>
        <v>-1.1568284565247262</v>
      </c>
      <c r="F876" s="144">
        <f t="shared" si="186"/>
        <v>-1.0341398365135506</v>
      </c>
      <c r="G876" s="144">
        <f t="shared" si="186"/>
        <v>-0.97735173725757696</v>
      </c>
      <c r="H876" s="144">
        <f t="shared" si="186"/>
        <v>-0.94650372770119784</v>
      </c>
      <c r="I876" s="144">
        <f t="shared" si="186"/>
        <v>-0.92790330869087201</v>
      </c>
      <c r="J876" s="144">
        <f t="shared" si="186"/>
        <v>-0.91583090667971034</v>
      </c>
      <c r="K876" s="144">
        <f t="shared" si="186"/>
        <v>-0.90755410159769645</v>
      </c>
      <c r="L876" s="35"/>
      <c r="M876" s="35"/>
      <c r="N876" s="35"/>
    </row>
    <row r="877" spans="1:14" x14ac:dyDescent="0.3">
      <c r="A877" s="397"/>
      <c r="B877" s="94">
        <v>95</v>
      </c>
      <c r="C877" s="144">
        <f t="shared" si="186"/>
        <v>-3.5384748312942049</v>
      </c>
      <c r="D877" s="144">
        <f t="shared" si="186"/>
        <v>-1.5423947289268116</v>
      </c>
      <c r="E877" s="144">
        <f t="shared" si="186"/>
        <v>-1.1724077531078294</v>
      </c>
      <c r="F877" s="144">
        <f t="shared" si="186"/>
        <v>-1.0429033939061405</v>
      </c>
      <c r="G877" s="144">
        <f t="shared" si="186"/>
        <v>-0.98296045574514079</v>
      </c>
      <c r="H877" s="144">
        <f t="shared" si="186"/>
        <v>-0.95039868345816736</v>
      </c>
      <c r="I877" s="144">
        <f t="shared" si="186"/>
        <v>-0.93076491346845147</v>
      </c>
      <c r="J877" s="144">
        <f t="shared" si="186"/>
        <v>-0.91802182487697592</v>
      </c>
      <c r="K877" s="144">
        <f t="shared" si="186"/>
        <v>-0.90928519846819733</v>
      </c>
      <c r="L877" s="35"/>
      <c r="M877" s="35"/>
      <c r="N877" s="35"/>
    </row>
    <row r="878" spans="1:14" x14ac:dyDescent="0.3">
      <c r="A878" s="397"/>
      <c r="B878" s="94">
        <v>100</v>
      </c>
      <c r="C878" s="144">
        <f t="shared" si="186"/>
        <v>-3.6783574915814627</v>
      </c>
      <c r="D878" s="144">
        <f t="shared" si="186"/>
        <v>-1.5774433988661283</v>
      </c>
      <c r="E878" s="144">
        <f t="shared" si="186"/>
        <v>-1.1879869946223744</v>
      </c>
      <c r="F878" s="144">
        <f t="shared" si="186"/>
        <v>-1.051666939933422</v>
      </c>
      <c r="G878" s="144">
        <f t="shared" si="186"/>
        <v>-0.98856917072623196</v>
      </c>
      <c r="H878" s="144">
        <f t="shared" si="186"/>
        <v>-0.95429363782507326</v>
      </c>
      <c r="I878" s="144">
        <f t="shared" si="186"/>
        <v>-0.933626517593658</v>
      </c>
      <c r="J878" s="144">
        <f t="shared" si="186"/>
        <v>-0.92021274272909781</v>
      </c>
      <c r="K878" s="144">
        <f t="shared" si="186"/>
        <v>-0.91101629513917692</v>
      </c>
      <c r="L878" s="35"/>
      <c r="M878" s="35"/>
      <c r="N878" s="35"/>
    </row>
    <row r="879" spans="1:14" x14ac:dyDescent="0.3">
      <c r="A879" s="7"/>
      <c r="B879" s="37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</row>
    <row r="880" spans="1:14" x14ac:dyDescent="0.3">
      <c r="A880" s="357" t="s">
        <v>740</v>
      </c>
      <c r="B880" s="358"/>
      <c r="C880" s="358"/>
      <c r="D880" s="358"/>
      <c r="E880" s="358"/>
      <c r="F880" s="358"/>
      <c r="G880" s="358"/>
      <c r="H880" s="358"/>
      <c r="I880" s="358"/>
      <c r="J880" s="358"/>
      <c r="K880" s="359"/>
      <c r="L880" s="35"/>
      <c r="M880" s="35"/>
      <c r="N880" s="35"/>
    </row>
    <row r="881" spans="1:14" x14ac:dyDescent="0.3">
      <c r="A881" s="360"/>
      <c r="B881" s="361"/>
      <c r="C881" s="364" t="s">
        <v>230</v>
      </c>
      <c r="D881" s="365"/>
      <c r="E881" s="365"/>
      <c r="F881" s="365"/>
      <c r="G881" s="365"/>
      <c r="H881" s="365"/>
      <c r="I881" s="365"/>
      <c r="J881" s="365"/>
      <c r="K881" s="366"/>
      <c r="L881" s="35"/>
      <c r="M881" s="35"/>
      <c r="N881" s="35"/>
    </row>
    <row r="882" spans="1:14" x14ac:dyDescent="0.3">
      <c r="A882" s="362"/>
      <c r="B882" s="363"/>
      <c r="C882" s="94">
        <v>5</v>
      </c>
      <c r="D882" s="94">
        <v>10</v>
      </c>
      <c r="E882" s="94">
        <v>15</v>
      </c>
      <c r="F882" s="94">
        <v>20</v>
      </c>
      <c r="G882" s="94">
        <v>25</v>
      </c>
      <c r="H882" s="94">
        <v>30</v>
      </c>
      <c r="I882" s="94">
        <v>35</v>
      </c>
      <c r="J882" s="94">
        <v>40</v>
      </c>
      <c r="K882" s="94">
        <v>45</v>
      </c>
      <c r="L882" s="35"/>
      <c r="M882" s="35"/>
      <c r="N882" s="35"/>
    </row>
    <row r="883" spans="1:14" x14ac:dyDescent="0.3">
      <c r="A883" s="397" t="s">
        <v>231</v>
      </c>
      <c r="B883" s="94">
        <v>5</v>
      </c>
      <c r="C883" s="144">
        <f>RADIANS(C859)</f>
        <v>-1.7743238645359569E-2</v>
      </c>
      <c r="D883" s="144">
        <f t="shared" ref="D883:K883" si="187">RADIANS(D859)</f>
        <v>-1.5907787223093203E-2</v>
      </c>
      <c r="E883" s="144">
        <f t="shared" si="187"/>
        <v>-1.5567887004705716E-2</v>
      </c>
      <c r="F883" s="144">
        <f t="shared" si="187"/>
        <v>-1.5448921836620678E-2</v>
      </c>
      <c r="G883" s="144">
        <f t="shared" si="187"/>
        <v>-1.5393857944374515E-2</v>
      </c>
      <c r="H883" s="144">
        <f t="shared" si="187"/>
        <v>-1.5363946690606416E-2</v>
      </c>
      <c r="I883" s="144">
        <f t="shared" si="187"/>
        <v>-1.5345911146766662E-2</v>
      </c>
      <c r="J883" s="144">
        <f t="shared" si="187"/>
        <v>-1.5334205384657584E-2</v>
      </c>
      <c r="K883" s="144">
        <f t="shared" si="187"/>
        <v>-1.5326179952475701E-2</v>
      </c>
      <c r="L883" s="35"/>
      <c r="M883" s="35"/>
      <c r="N883" s="35"/>
    </row>
    <row r="884" spans="1:14" x14ac:dyDescent="0.3">
      <c r="A884" s="397"/>
      <c r="B884" s="94">
        <v>10</v>
      </c>
      <c r="C884" s="144">
        <f t="shared" ref="C884:K902" si="188">RADIANS(C860)</f>
        <v>-2.019046544712055E-2</v>
      </c>
      <c r="D884" s="144">
        <f t="shared" si="188"/>
        <v>-1.651960643078576E-2</v>
      </c>
      <c r="E884" s="144">
        <f t="shared" si="188"/>
        <v>-1.5839807212858933E-2</v>
      </c>
      <c r="F884" s="144">
        <f t="shared" si="188"/>
        <v>-1.5601877044531628E-2</v>
      </c>
      <c r="G884" s="144">
        <f t="shared" si="188"/>
        <v>-1.5491749302153617E-2</v>
      </c>
      <c r="H884" s="144">
        <f t="shared" si="188"/>
        <v>-1.54319268090957E-2</v>
      </c>
      <c r="I884" s="144">
        <f t="shared" si="188"/>
        <v>-1.5395855727466899E-2</v>
      </c>
      <c r="J884" s="144">
        <f t="shared" si="188"/>
        <v>-1.5372444206138761E-2</v>
      </c>
      <c r="K884" s="144">
        <f t="shared" si="188"/>
        <v>-1.5356393343296621E-2</v>
      </c>
      <c r="L884" s="35"/>
      <c r="M884" s="35"/>
      <c r="N884" s="35"/>
    </row>
    <row r="885" spans="1:14" x14ac:dyDescent="0.3">
      <c r="A885" s="397"/>
      <c r="B885" s="94">
        <v>15</v>
      </c>
      <c r="C885" s="144">
        <f t="shared" si="188"/>
        <v>-2.2637617654383602E-2</v>
      </c>
      <c r="D885" s="144">
        <f t="shared" si="188"/>
        <v>-1.7131423724214521E-2</v>
      </c>
      <c r="E885" s="144">
        <f t="shared" si="188"/>
        <v>-1.6111727143413489E-2</v>
      </c>
      <c r="F885" s="144">
        <f t="shared" si="188"/>
        <v>-1.57548321757414E-2</v>
      </c>
      <c r="G885" s="144">
        <f t="shared" si="188"/>
        <v>-1.5589640630626544E-2</v>
      </c>
      <c r="H885" s="144">
        <f t="shared" si="188"/>
        <v>-1.5499906914004904E-2</v>
      </c>
      <c r="I885" s="144">
        <f t="shared" si="188"/>
        <v>-1.54458003010169E-2</v>
      </c>
      <c r="J885" s="144">
        <f t="shared" si="188"/>
        <v>-1.5410683023497069E-2</v>
      </c>
      <c r="K885" s="144">
        <f t="shared" si="188"/>
        <v>-1.5386606731572957E-2</v>
      </c>
      <c r="L885" s="35"/>
      <c r="M885" s="35"/>
      <c r="N885" s="35"/>
    </row>
    <row r="886" spans="1:14" x14ac:dyDescent="0.3">
      <c r="A886" s="397"/>
      <c r="B886" s="94">
        <v>20</v>
      </c>
      <c r="C886" s="144">
        <f t="shared" si="188"/>
        <v>-2.5084665962444411E-2</v>
      </c>
      <c r="D886" s="144">
        <f t="shared" si="188"/>
        <v>-1.7743238645359569E-2</v>
      </c>
      <c r="E886" s="144">
        <f t="shared" si="188"/>
        <v>-1.6383646756158117E-2</v>
      </c>
      <c r="F886" s="144">
        <f t="shared" si="188"/>
        <v>-1.5907787223093203E-2</v>
      </c>
      <c r="G886" s="144">
        <f t="shared" si="188"/>
        <v>-1.5687531927917182E-2</v>
      </c>
      <c r="H886" s="144">
        <f t="shared" si="188"/>
        <v>-1.5567887004705716E-2</v>
      </c>
      <c r="I886" s="144">
        <f t="shared" si="188"/>
        <v>-1.5495744867167498E-2</v>
      </c>
      <c r="J886" s="144">
        <f t="shared" si="188"/>
        <v>-1.5448921836620678E-2</v>
      </c>
      <c r="K886" s="144">
        <f t="shared" si="188"/>
        <v>-1.5416820117249546E-2</v>
      </c>
      <c r="L886" s="35"/>
      <c r="M886" s="35"/>
      <c r="N886" s="35"/>
    </row>
    <row r="887" spans="1:14" x14ac:dyDescent="0.3">
      <c r="A887" s="397"/>
      <c r="B887" s="94">
        <v>25</v>
      </c>
      <c r="C887" s="144">
        <f t="shared" si="188"/>
        <v>-2.7531581074064126E-2</v>
      </c>
      <c r="D887" s="144">
        <f t="shared" si="188"/>
        <v>-1.8355050736211648E-2</v>
      </c>
      <c r="E887" s="144">
        <f t="shared" si="188"/>
        <v>-1.6655566010881827E-2</v>
      </c>
      <c r="F887" s="144">
        <f t="shared" si="188"/>
        <v>-1.6060742179430269E-2</v>
      </c>
      <c r="G887" s="144">
        <f t="shared" si="188"/>
        <v>-1.5785423192149418E-2</v>
      </c>
      <c r="H887" s="144">
        <f t="shared" si="188"/>
        <v>-1.563586708056983E-2</v>
      </c>
      <c r="I887" s="144">
        <f t="shared" si="188"/>
        <v>-1.5545689425669524E-2</v>
      </c>
      <c r="J887" s="144">
        <f t="shared" si="188"/>
        <v>-1.5487160645397763E-2</v>
      </c>
      <c r="K887" s="144">
        <f t="shared" si="188"/>
        <v>-1.5447033500271233E-2</v>
      </c>
      <c r="L887" s="35"/>
      <c r="M887" s="35"/>
      <c r="N887" s="35"/>
    </row>
    <row r="888" spans="1:14" x14ac:dyDescent="0.3">
      <c r="A888" s="397"/>
      <c r="B888" s="94">
        <v>30</v>
      </c>
      <c r="C888" s="144">
        <f t="shared" si="188"/>
        <v>-2.9978333701573021E-2</v>
      </c>
      <c r="D888" s="144">
        <f t="shared" si="188"/>
        <v>-1.8966859538774215E-2</v>
      </c>
      <c r="E888" s="144">
        <f t="shared" si="188"/>
        <v>-1.6927484867373947E-2</v>
      </c>
      <c r="F888" s="144">
        <f t="shared" si="188"/>
        <v>-1.6213697037595853E-2</v>
      </c>
      <c r="G888" s="144">
        <f t="shared" si="188"/>
        <v>-1.5883314421447144E-2</v>
      </c>
      <c r="H888" s="144">
        <f t="shared" si="188"/>
        <v>-1.5703847140968941E-2</v>
      </c>
      <c r="I888" s="144">
        <f t="shared" si="188"/>
        <v>-1.5595633976273811E-2</v>
      </c>
      <c r="J888" s="144">
        <f t="shared" si="188"/>
        <v>-1.5525399449716501E-2</v>
      </c>
      <c r="K888" s="144">
        <f t="shared" si="188"/>
        <v>-1.547724688058285E-2</v>
      </c>
      <c r="L888" s="35"/>
      <c r="M888" s="35"/>
      <c r="N888" s="35"/>
    </row>
    <row r="889" spans="1:14" x14ac:dyDescent="0.3">
      <c r="A889" s="397"/>
      <c r="B889" s="94">
        <v>35</v>
      </c>
      <c r="C889" s="144">
        <f t="shared" si="188"/>
        <v>-3.2424894568972518E-2</v>
      </c>
      <c r="D889" s="144">
        <f t="shared" si="188"/>
        <v>-1.9578664595065503E-2</v>
      </c>
      <c r="E889" s="144">
        <f t="shared" si="188"/>
        <v>-1.7199403285424159E-2</v>
      </c>
      <c r="F889" s="144">
        <f t="shared" si="188"/>
        <v>-1.6366651790433246E-2</v>
      </c>
      <c r="G889" s="144">
        <f t="shared" si="188"/>
        <v>-1.5981205613934263E-2</v>
      </c>
      <c r="H889" s="144">
        <f t="shared" si="188"/>
        <v>-1.5771827185274746E-2</v>
      </c>
      <c r="I889" s="144">
        <f t="shared" si="188"/>
        <v>-1.5645578518731194E-2</v>
      </c>
      <c r="J889" s="144">
        <f t="shared" si="188"/>
        <v>-1.5563638249465064E-2</v>
      </c>
      <c r="K889" s="144">
        <f t="shared" si="188"/>
        <v>-1.5507460258129246E-2</v>
      </c>
      <c r="L889" s="35"/>
      <c r="M889" s="35"/>
      <c r="N889" s="35"/>
    </row>
    <row r="890" spans="1:14" x14ac:dyDescent="0.3">
      <c r="A890" s="397"/>
      <c r="B890" s="94">
        <v>40</v>
      </c>
      <c r="C890" s="144">
        <f t="shared" si="188"/>
        <v>-3.4871234414034988E-2</v>
      </c>
      <c r="D890" s="144">
        <f t="shared" si="188"/>
        <v>-2.019046544712055E-2</v>
      </c>
      <c r="E890" s="144">
        <f t="shared" si="188"/>
        <v>-1.7471321224822534E-2</v>
      </c>
      <c r="F890" s="144">
        <f t="shared" si="188"/>
        <v>-1.651960643078576E-2</v>
      </c>
      <c r="G890" s="144">
        <f t="shared" si="188"/>
        <v>-1.6079096767734665E-2</v>
      </c>
      <c r="H890" s="144">
        <f t="shared" si="188"/>
        <v>-1.5839807212858933E-2</v>
      </c>
      <c r="I890" s="144">
        <f t="shared" si="188"/>
        <v>-1.5695523052792502E-2</v>
      </c>
      <c r="J890" s="144">
        <f t="shared" si="188"/>
        <v>-1.5601877044531628E-2</v>
      </c>
      <c r="K890" s="144">
        <f t="shared" si="188"/>
        <v>-1.5537673632855253E-2</v>
      </c>
      <c r="L890" s="35"/>
      <c r="M890" s="35"/>
      <c r="N890" s="35"/>
    </row>
    <row r="891" spans="1:14" x14ac:dyDescent="0.3">
      <c r="A891" s="397"/>
      <c r="B891" s="94">
        <v>45</v>
      </c>
      <c r="C891" s="144">
        <f t="shared" si="188"/>
        <v>-3.7317323990401274E-2</v>
      </c>
      <c r="D891" s="144">
        <f t="shared" si="188"/>
        <v>-2.0802261636993308E-2</v>
      </c>
      <c r="E891" s="144">
        <f t="shared" si="188"/>
        <v>-1.7743238645359569E-2</v>
      </c>
      <c r="F891" s="144">
        <f t="shared" si="188"/>
        <v>-1.6672560951496749E-2</v>
      </c>
      <c r="G891" s="144">
        <f t="shared" si="188"/>
        <v>-1.6176987880972264E-2</v>
      </c>
      <c r="H891" s="144">
        <f t="shared" si="188"/>
        <v>-1.5907787223093203E-2</v>
      </c>
      <c r="I891" s="144">
        <f t="shared" si="188"/>
        <v>-1.5745467578208574E-2</v>
      </c>
      <c r="J891" s="144">
        <f t="shared" si="188"/>
        <v>-1.5640115834804371E-2</v>
      </c>
      <c r="K891" s="144">
        <f t="shared" si="188"/>
        <v>-1.5567887004705716E-2</v>
      </c>
      <c r="L891" s="35"/>
      <c r="M891" s="35"/>
      <c r="N891" s="35"/>
    </row>
    <row r="892" spans="1:14" x14ac:dyDescent="0.3">
      <c r="A892" s="397"/>
      <c r="B892" s="94">
        <v>50</v>
      </c>
      <c r="C892" s="144">
        <f t="shared" si="188"/>
        <v>-3.9763134069675146E-2</v>
      </c>
      <c r="D892" s="144">
        <f t="shared" si="188"/>
        <v>-2.1414052706758648E-2</v>
      </c>
      <c r="E892" s="144">
        <f t="shared" si="188"/>
        <v>-1.8015155506826221E-2</v>
      </c>
      <c r="F892" s="144">
        <f t="shared" si="188"/>
        <v>-1.6825515345409586E-2</v>
      </c>
      <c r="G892" s="144">
        <f t="shared" si="188"/>
        <v>-1.6274878951770967E-2</v>
      </c>
      <c r="H892" s="144">
        <f t="shared" si="188"/>
        <v>-1.5975767215349254E-2</v>
      </c>
      <c r="I892" s="144">
        <f t="shared" si="188"/>
        <v>-1.5795412094730236E-2</v>
      </c>
      <c r="J892" s="144">
        <f t="shared" si="188"/>
        <v>-1.5678354620171465E-2</v>
      </c>
      <c r="K892" s="144">
        <f t="shared" si="188"/>
        <v>-1.5598100373625473E-2</v>
      </c>
      <c r="L892" s="35"/>
      <c r="M892" s="35"/>
      <c r="N892" s="35"/>
    </row>
    <row r="893" spans="1:14" x14ac:dyDescent="0.3">
      <c r="A893" s="397"/>
      <c r="B893" s="94">
        <v>55</v>
      </c>
      <c r="C893" s="144">
        <f t="shared" si="188"/>
        <v>-4.2208635443514726E-2</v>
      </c>
      <c r="D893" s="144">
        <f t="shared" si="188"/>
        <v>-2.2025838198514437E-2</v>
      </c>
      <c r="E893" s="144">
        <f t="shared" si="188"/>
        <v>-1.8287071769013941E-2</v>
      </c>
      <c r="F893" s="144">
        <f t="shared" si="188"/>
        <v>-1.6978469605367693E-2</v>
      </c>
      <c r="G893" s="144">
        <f t="shared" si="188"/>
        <v>-1.6372769978254691E-2</v>
      </c>
      <c r="H893" s="144">
        <f t="shared" si="188"/>
        <v>-1.6043747188998782E-2</v>
      </c>
      <c r="I893" s="144">
        <f t="shared" si="188"/>
        <v>-1.5845356602108326E-2</v>
      </c>
      <c r="J893" s="144">
        <f t="shared" si="188"/>
        <v>-1.5716593400521083E-2</v>
      </c>
      <c r="K893" s="144">
        <f t="shared" si="188"/>
        <v>-1.5628313739559363E-2</v>
      </c>
      <c r="L893" s="35"/>
      <c r="M893" s="35"/>
      <c r="N893" s="35"/>
    </row>
    <row r="894" spans="1:14" x14ac:dyDescent="0.3">
      <c r="A894" s="397"/>
      <c r="B894" s="94">
        <v>60</v>
      </c>
      <c r="C894" s="144">
        <f t="shared" si="188"/>
        <v>-4.465379892572021E-2</v>
      </c>
      <c r="D894" s="144">
        <f t="shared" si="188"/>
        <v>-2.2637617654383602E-2</v>
      </c>
      <c r="E894" s="144">
        <f t="shared" si="188"/>
        <v>-1.8558987391714712E-2</v>
      </c>
      <c r="F894" s="144">
        <f t="shared" si="188"/>
        <v>-1.7131423724214521E-2</v>
      </c>
      <c r="G894" s="144">
        <f t="shared" si="188"/>
        <v>-1.6470660958547354E-2</v>
      </c>
      <c r="H894" s="144">
        <f t="shared" si="188"/>
        <v>-1.6111727143413489E-2</v>
      </c>
      <c r="I894" s="144">
        <f t="shared" si="188"/>
        <v>-1.589530110009368E-2</v>
      </c>
      <c r="J894" s="144">
        <f t="shared" si="188"/>
        <v>-1.57548321757414E-2</v>
      </c>
      <c r="K894" s="144">
        <f t="shared" si="188"/>
        <v>-1.5658527102452229E-2</v>
      </c>
      <c r="L894" s="35"/>
      <c r="M894" s="35"/>
      <c r="N894" s="35"/>
    </row>
    <row r="895" spans="1:14" x14ac:dyDescent="0.3">
      <c r="A895" s="397"/>
      <c r="B895" s="94">
        <v>65</v>
      </c>
      <c r="C895" s="144">
        <f t="shared" si="188"/>
        <v>-4.709859535431761E-2</v>
      </c>
      <c r="D895" s="144">
        <f t="shared" si="188"/>
        <v>-2.3249390616516173E-2</v>
      </c>
      <c r="E895" s="144">
        <f t="shared" si="188"/>
        <v>-1.8830902334721091E-2</v>
      </c>
      <c r="F895" s="144">
        <f t="shared" si="188"/>
        <v>-1.7284377694793567E-2</v>
      </c>
      <c r="G895" s="144">
        <f t="shared" si="188"/>
        <v>-1.656855189077288E-2</v>
      </c>
      <c r="H895" s="144">
        <f t="shared" si="188"/>
        <v>-1.6179707077965077E-2</v>
      </c>
      <c r="I895" s="144">
        <f t="shared" si="188"/>
        <v>-1.5945245588437126E-2</v>
      </c>
      <c r="J895" s="144">
        <f t="shared" si="188"/>
        <v>-1.5793070945720598E-2</v>
      </c>
      <c r="K895" s="144">
        <f t="shared" si="188"/>
        <v>-1.5688740462248909E-2</v>
      </c>
      <c r="L895" s="35"/>
      <c r="M895" s="35"/>
      <c r="N895" s="35"/>
    </row>
    <row r="896" spans="1:14" x14ac:dyDescent="0.3">
      <c r="A896" s="397"/>
      <c r="B896" s="94">
        <v>70</v>
      </c>
      <c r="C896" s="144">
        <f t="shared" si="188"/>
        <v>-4.9542995593638242E-2</v>
      </c>
      <c r="D896" s="144">
        <f t="shared" si="188"/>
        <v>-2.3861156627091346E-2</v>
      </c>
      <c r="E896" s="144">
        <f t="shared" si="188"/>
        <v>-1.9102816557826228E-2</v>
      </c>
      <c r="F896" s="144">
        <f t="shared" si="188"/>
        <v>-1.7437331509948362E-2</v>
      </c>
      <c r="G896" s="144">
        <f t="shared" si="188"/>
        <v>-1.66664427730552E-2</v>
      </c>
      <c r="H896" s="144">
        <f t="shared" si="188"/>
        <v>-1.624768699202524E-2</v>
      </c>
      <c r="I896" s="144">
        <f t="shared" si="188"/>
        <v>-1.5995190066889507E-2</v>
      </c>
      <c r="J896" s="144">
        <f t="shared" si="188"/>
        <v>-1.5831309710346849E-2</v>
      </c>
      <c r="K896" s="144">
        <f t="shared" si="188"/>
        <v>-1.5718953818894245E-2</v>
      </c>
      <c r="L896" s="35"/>
      <c r="M896" s="35"/>
      <c r="N896" s="35"/>
    </row>
    <row r="897" spans="1:14" x14ac:dyDescent="0.3">
      <c r="A897" s="397"/>
      <c r="B897" s="94">
        <v>75</v>
      </c>
      <c r="C897" s="144">
        <f t="shared" si="188"/>
        <v>-5.1986970536393472E-2</v>
      </c>
      <c r="D897" s="144">
        <f t="shared" si="188"/>
        <v>-2.4472915228319528E-2</v>
      </c>
      <c r="E897" s="144">
        <f t="shared" si="188"/>
        <v>-1.9374730020823915E-2</v>
      </c>
      <c r="F897" s="144">
        <f t="shared" si="188"/>
        <v>-1.7590285162522489E-2</v>
      </c>
      <c r="G897" s="144">
        <f t="shared" si="188"/>
        <v>-1.6764333603518252E-2</v>
      </c>
      <c r="H897" s="144">
        <f t="shared" si="188"/>
        <v>-1.6315666884965687E-2</v>
      </c>
      <c r="I897" s="144">
        <f t="shared" si="188"/>
        <v>-1.6045134535201653E-2</v>
      </c>
      <c r="J897" s="144">
        <f t="shared" si="188"/>
        <v>-1.5869548469508325E-2</v>
      </c>
      <c r="K897" s="144">
        <f t="shared" si="188"/>
        <v>-1.5749167172333073E-2</v>
      </c>
      <c r="L897" s="35"/>
      <c r="M897" s="35"/>
      <c r="N897" s="35"/>
    </row>
    <row r="898" spans="1:14" x14ac:dyDescent="0.3">
      <c r="A898" s="397"/>
      <c r="B898" s="94">
        <v>80</v>
      </c>
      <c r="C898" s="144">
        <f t="shared" si="188"/>
        <v>-5.4430491105744397E-2</v>
      </c>
      <c r="D898" s="144">
        <f t="shared" si="188"/>
        <v>-2.5084665962444411E-2</v>
      </c>
      <c r="E898" s="144">
        <f t="shared" si="188"/>
        <v>-1.964664268350862E-2</v>
      </c>
      <c r="F898" s="144">
        <f t="shared" si="188"/>
        <v>-1.7743238645359569E-2</v>
      </c>
      <c r="G898" s="144">
        <f t="shared" si="188"/>
        <v>-1.6862224380285978E-2</v>
      </c>
      <c r="H898" s="144">
        <f t="shared" si="188"/>
        <v>-1.6383646756158117E-2</v>
      </c>
      <c r="I898" s="144">
        <f t="shared" si="188"/>
        <v>-1.6095078993124394E-2</v>
      </c>
      <c r="J898" s="144">
        <f t="shared" si="188"/>
        <v>-1.5907787223093203E-2</v>
      </c>
      <c r="K898" s="144">
        <f t="shared" si="188"/>
        <v>-1.5779380522510236E-2</v>
      </c>
      <c r="L898" s="35"/>
      <c r="M898" s="35"/>
      <c r="N898" s="35"/>
    </row>
    <row r="899" spans="1:14" x14ac:dyDescent="0.3">
      <c r="A899" s="397"/>
      <c r="B899" s="94">
        <v>85</v>
      </c>
      <c r="C899" s="144">
        <f t="shared" si="188"/>
        <v>-5.6873528257365934E-2</v>
      </c>
      <c r="D899" s="144">
        <f t="shared" si="188"/>
        <v>-2.5696408371744996E-2</v>
      </c>
      <c r="E899" s="144">
        <f t="shared" si="188"/>
        <v>-1.9918554505675531E-2</v>
      </c>
      <c r="F899" s="144">
        <f t="shared" si="188"/>
        <v>-1.7896191951303278E-2</v>
      </c>
      <c r="G899" s="144">
        <f t="shared" si="188"/>
        <v>-1.6960115101482327E-2</v>
      </c>
      <c r="H899" s="144">
        <f t="shared" si="188"/>
        <v>-1.6451626604974241E-2</v>
      </c>
      <c r="I899" s="144">
        <f t="shared" si="188"/>
        <v>-1.6145023440408579E-2</v>
      </c>
      <c r="J899" s="144">
        <f t="shared" si="188"/>
        <v>-1.5946025970989663E-2</v>
      </c>
      <c r="K899" s="144">
        <f t="shared" si="188"/>
        <v>-1.5809593869370579E-2</v>
      </c>
      <c r="L899" s="35"/>
      <c r="M899" s="35"/>
      <c r="N899" s="35"/>
    </row>
    <row r="900" spans="1:14" x14ac:dyDescent="0.3">
      <c r="A900" s="397"/>
      <c r="B900" s="94">
        <v>90</v>
      </c>
      <c r="C900" s="144">
        <f t="shared" si="188"/>
        <v>-5.9316052981505434E-2</v>
      </c>
      <c r="D900" s="144">
        <f t="shared" si="188"/>
        <v>-2.630814199853768E-2</v>
      </c>
      <c r="E900" s="144">
        <f t="shared" si="188"/>
        <v>-2.019046544712055E-2</v>
      </c>
      <c r="F900" s="144">
        <f t="shared" si="188"/>
        <v>-1.8049145073197336E-2</v>
      </c>
      <c r="G900" s="144">
        <f t="shared" si="188"/>
        <v>-1.7058005765231254E-2</v>
      </c>
      <c r="H900" s="144">
        <f t="shared" si="188"/>
        <v>-1.651960643078576E-2</v>
      </c>
      <c r="I900" s="144">
        <f t="shared" si="188"/>
        <v>-1.6194967876805032E-2</v>
      </c>
      <c r="J900" s="144">
        <f t="shared" si="188"/>
        <v>-1.5984264713085873E-2</v>
      </c>
      <c r="K900" s="144">
        <f t="shared" si="188"/>
        <v>-1.5839807212858933E-2</v>
      </c>
      <c r="L900" s="35"/>
      <c r="M900" s="35"/>
      <c r="N900" s="35"/>
    </row>
    <row r="901" spans="1:14" x14ac:dyDescent="0.3">
      <c r="A901" s="397"/>
      <c r="B901" s="94">
        <v>95</v>
      </c>
      <c r="C901" s="144">
        <f t="shared" si="188"/>
        <v>-6.1758036305034764E-2</v>
      </c>
      <c r="D901" s="144">
        <f t="shared" si="188"/>
        <v>-2.6919866385178289E-2</v>
      </c>
      <c r="E901" s="144">
        <f t="shared" si="188"/>
        <v>-2.0462375467640403E-2</v>
      </c>
      <c r="F901" s="144">
        <f t="shared" si="188"/>
        <v>-1.8202098003885517E-2</v>
      </c>
      <c r="G901" s="144">
        <f t="shared" si="188"/>
        <v>-1.7155896369656719E-2</v>
      </c>
      <c r="H901" s="144">
        <f t="shared" si="188"/>
        <v>-1.6587586232964389E-2</v>
      </c>
      <c r="I901" s="144">
        <f t="shared" si="188"/>
        <v>-1.6244912302064592E-2</v>
      </c>
      <c r="J901" s="144">
        <f t="shared" si="188"/>
        <v>-1.6022503449270017E-2</v>
      </c>
      <c r="K901" s="144">
        <f t="shared" si="188"/>
        <v>-1.5870020552920142E-2</v>
      </c>
      <c r="L901" s="35"/>
      <c r="M901" s="35"/>
      <c r="N901" s="35"/>
    </row>
    <row r="902" spans="1:14" x14ac:dyDescent="0.3">
      <c r="A902" s="397"/>
      <c r="B902" s="94">
        <v>100</v>
      </c>
      <c r="C902" s="144">
        <f t="shared" si="188"/>
        <v>-6.4199449293496122E-2</v>
      </c>
      <c r="D902" s="144">
        <f t="shared" si="188"/>
        <v>-2.7531581074064126E-2</v>
      </c>
      <c r="E902" s="144">
        <f t="shared" si="188"/>
        <v>-2.0734284527032604E-2</v>
      </c>
      <c r="F902" s="144">
        <f t="shared" si="188"/>
        <v>-1.8355050736211648E-2</v>
      </c>
      <c r="G902" s="144">
        <f t="shared" si="188"/>
        <v>-1.725378691288269E-2</v>
      </c>
      <c r="H902" s="144">
        <f t="shared" si="188"/>
        <v>-1.6655566010881827E-2</v>
      </c>
      <c r="I902" s="144">
        <f t="shared" si="188"/>
        <v>-1.62948567159381E-2</v>
      </c>
      <c r="J902" s="144">
        <f t="shared" si="188"/>
        <v>-1.6060742179430269E-2</v>
      </c>
      <c r="K902" s="144">
        <f t="shared" si="188"/>
        <v>-1.5900233889499051E-2</v>
      </c>
      <c r="L902" s="35"/>
      <c r="M902" s="35"/>
      <c r="N902" s="35"/>
    </row>
    <row r="903" spans="1:14" x14ac:dyDescent="0.3">
      <c r="A903" s="7"/>
      <c r="B903" s="37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</row>
    <row r="904" spans="1:14" x14ac:dyDescent="0.3">
      <c r="A904" s="357" t="s">
        <v>741</v>
      </c>
      <c r="B904" s="358"/>
      <c r="C904" s="358"/>
      <c r="D904" s="358"/>
      <c r="E904" s="358"/>
      <c r="F904" s="358"/>
      <c r="G904" s="358"/>
      <c r="H904" s="358"/>
      <c r="I904" s="358"/>
      <c r="J904" s="358"/>
      <c r="K904" s="359"/>
      <c r="L904" s="35"/>
      <c r="M904" s="35"/>
      <c r="N904" s="35"/>
    </row>
    <row r="905" spans="1:14" x14ac:dyDescent="0.3">
      <c r="A905" s="360"/>
      <c r="B905" s="361"/>
      <c r="C905" s="364" t="s">
        <v>230</v>
      </c>
      <c r="D905" s="365"/>
      <c r="E905" s="365"/>
      <c r="F905" s="365"/>
      <c r="G905" s="365"/>
      <c r="H905" s="365"/>
      <c r="I905" s="365"/>
      <c r="J905" s="365"/>
      <c r="K905" s="366"/>
      <c r="L905" s="35"/>
      <c r="M905" s="35"/>
      <c r="N905" s="35"/>
    </row>
    <row r="906" spans="1:14" x14ac:dyDescent="0.3">
      <c r="A906" s="362"/>
      <c r="B906" s="363"/>
      <c r="C906" s="94">
        <v>5</v>
      </c>
      <c r="D906" s="94">
        <v>10</v>
      </c>
      <c r="E906" s="94">
        <v>15</v>
      </c>
      <c r="F906" s="94">
        <v>20</v>
      </c>
      <c r="G906" s="94">
        <v>25</v>
      </c>
      <c r="H906" s="94">
        <v>30</v>
      </c>
      <c r="I906" s="94">
        <v>35</v>
      </c>
      <c r="J906" s="94">
        <v>40</v>
      </c>
      <c r="K906" s="94">
        <v>45</v>
      </c>
      <c r="L906" s="35"/>
      <c r="M906" s="35"/>
      <c r="N906" s="35"/>
    </row>
    <row r="907" spans="1:14" x14ac:dyDescent="0.3">
      <c r="A907" s="397" t="s">
        <v>231</v>
      </c>
      <c r="B907" s="94">
        <v>5</v>
      </c>
      <c r="C907" s="144">
        <f>0.4*ABS(C883)*$D$55</f>
        <v>7.658691528883006</v>
      </c>
      <c r="D907" s="144">
        <f t="shared" ref="D907:K907" si="189">0.4*ABS(D883)*$D$55</f>
        <v>6.866437276975951</v>
      </c>
      <c r="E907" s="144">
        <f t="shared" si="189"/>
        <v>6.7197227467111764</v>
      </c>
      <c r="F907" s="144">
        <f t="shared" si="189"/>
        <v>6.6683726215589507</v>
      </c>
      <c r="G907" s="144">
        <f t="shared" si="189"/>
        <v>6.6446048431098168</v>
      </c>
      <c r="H907" s="144">
        <f t="shared" si="189"/>
        <v>6.6316939495333544</v>
      </c>
      <c r="I907" s="144">
        <f t="shared" si="189"/>
        <v>6.6239090873903628</v>
      </c>
      <c r="J907" s="144">
        <f t="shared" si="189"/>
        <v>6.6188564122336011</v>
      </c>
      <c r="K907" s="144">
        <f t="shared" si="189"/>
        <v>6.6153923146866127</v>
      </c>
      <c r="L907" s="35"/>
      <c r="M907" s="35"/>
      <c r="N907" s="35"/>
    </row>
    <row r="908" spans="1:14" x14ac:dyDescent="0.3">
      <c r="A908" s="397"/>
      <c r="B908" s="94">
        <v>10</v>
      </c>
      <c r="C908" s="144">
        <f t="shared" ref="C908:K926" si="190">0.4*ABS(C884)*$D$55</f>
        <v>8.7150125055951158</v>
      </c>
      <c r="D908" s="144">
        <f t="shared" si="190"/>
        <v>7.1305229197843669</v>
      </c>
      <c r="E908" s="144">
        <f t="shared" si="190"/>
        <v>6.8370943853584309</v>
      </c>
      <c r="F908" s="144">
        <f t="shared" si="190"/>
        <v>6.7343942075016328</v>
      </c>
      <c r="G908" s="144">
        <f t="shared" si="190"/>
        <v>6.6868586687815883</v>
      </c>
      <c r="H908" s="144">
        <f t="shared" si="190"/>
        <v>6.661036887878069</v>
      </c>
      <c r="I908" s="144">
        <f t="shared" si="190"/>
        <v>6.6454671662038134</v>
      </c>
      <c r="J908" s="144">
        <f t="shared" si="190"/>
        <v>6.6353618171377367</v>
      </c>
      <c r="K908" s="144">
        <f t="shared" si="190"/>
        <v>6.6284336227005545</v>
      </c>
      <c r="L908" s="35"/>
      <c r="M908" s="35"/>
      <c r="N908" s="35"/>
    </row>
    <row r="909" spans="1:14" x14ac:dyDescent="0.3">
      <c r="A909" s="397"/>
      <c r="B909" s="94">
        <v>15</v>
      </c>
      <c r="C909" s="144">
        <f t="shared" si="190"/>
        <v>9.7713012843381399</v>
      </c>
      <c r="D909" s="144">
        <f t="shared" si="190"/>
        <v>7.3946077363199567</v>
      </c>
      <c r="E909" s="144">
        <f t="shared" si="190"/>
        <v>6.9544659041829995</v>
      </c>
      <c r="F909" s="144">
        <f t="shared" si="190"/>
        <v>6.8004157603370192</v>
      </c>
      <c r="G909" s="144">
        <f t="shared" si="190"/>
        <v>6.7291124818036421</v>
      </c>
      <c r="H909" s="144">
        <f t="shared" si="190"/>
        <v>6.6903798203610778</v>
      </c>
      <c r="I909" s="144">
        <f t="shared" si="190"/>
        <v>6.6670252419309355</v>
      </c>
      <c r="J909" s="144">
        <f t="shared" si="190"/>
        <v>6.6518672202622762</v>
      </c>
      <c r="K909" s="144">
        <f t="shared" si="190"/>
        <v>6.6414749296161526</v>
      </c>
      <c r="L909" s="35"/>
      <c r="M909" s="35"/>
      <c r="N909" s="35"/>
    </row>
    <row r="910" spans="1:14" x14ac:dyDescent="0.3">
      <c r="A910" s="397"/>
      <c r="B910" s="94">
        <v>20</v>
      </c>
      <c r="C910" s="144">
        <f t="shared" si="190"/>
        <v>10.827545216029508</v>
      </c>
      <c r="D910" s="144">
        <f t="shared" si="190"/>
        <v>7.658691528883006</v>
      </c>
      <c r="E910" s="144">
        <f t="shared" si="190"/>
        <v>7.0718372858280905</v>
      </c>
      <c r="F910" s="144">
        <f t="shared" si="190"/>
        <v>6.866437276975951</v>
      </c>
      <c r="G910" s="144">
        <f t="shared" si="190"/>
        <v>6.7713662813661735</v>
      </c>
      <c r="H910" s="144">
        <f t="shared" si="190"/>
        <v>6.7197227467111764</v>
      </c>
      <c r="I910" s="144">
        <f t="shared" si="190"/>
        <v>6.6885833144641804</v>
      </c>
      <c r="J910" s="144">
        <f t="shared" si="190"/>
        <v>6.6683726215589507</v>
      </c>
      <c r="K910" s="144">
        <f t="shared" si="190"/>
        <v>6.654516235409595</v>
      </c>
      <c r="L910" s="35"/>
      <c r="M910" s="35"/>
      <c r="N910" s="35"/>
    </row>
    <row r="911" spans="1:14" x14ac:dyDescent="0.3">
      <c r="A911" s="397"/>
      <c r="B911" s="94">
        <v>25</v>
      </c>
      <c r="C911" s="144">
        <f t="shared" si="190"/>
        <v>11.883731654809042</v>
      </c>
      <c r="D911" s="144">
        <f t="shared" si="190"/>
        <v>7.9227740997783975</v>
      </c>
      <c r="E911" s="144">
        <f t="shared" si="190"/>
        <v>7.1892085129370331</v>
      </c>
      <c r="F911" s="144">
        <f t="shared" si="190"/>
        <v>6.9324587543292822</v>
      </c>
      <c r="G911" s="144">
        <f t="shared" si="190"/>
        <v>6.813620066659376</v>
      </c>
      <c r="H911" s="144">
        <f t="shared" si="190"/>
        <v>6.7490656666571631</v>
      </c>
      <c r="I911" s="144">
        <f t="shared" si="190"/>
        <v>6.7101413836959951</v>
      </c>
      <c r="J911" s="144">
        <f t="shared" si="190"/>
        <v>6.6848780209794914</v>
      </c>
      <c r="K911" s="144">
        <f t="shared" si="190"/>
        <v>6.6675575400570759</v>
      </c>
      <c r="L911" s="35"/>
      <c r="M911" s="35"/>
      <c r="N911" s="35"/>
    </row>
    <row r="912" spans="1:14" x14ac:dyDescent="0.3">
      <c r="A912" s="397"/>
      <c r="B912" s="94">
        <v>30</v>
      </c>
      <c r="C912" s="144">
        <f t="shared" si="190"/>
        <v>12.939847958946983</v>
      </c>
      <c r="D912" s="144">
        <f t="shared" si="190"/>
        <v>8.1868552513165032</v>
      </c>
      <c r="E912" s="144">
        <f t="shared" si="190"/>
        <v>7.3065795681532917</v>
      </c>
      <c r="F912" s="144">
        <f t="shared" si="190"/>
        <v>6.9984801893078759</v>
      </c>
      <c r="G912" s="144">
        <f t="shared" si="190"/>
        <v>6.855873836873446</v>
      </c>
      <c r="H912" s="144">
        <f t="shared" si="190"/>
        <v>6.7784085799278353</v>
      </c>
      <c r="I912" s="144">
        <f t="shared" si="190"/>
        <v>6.7316994495188291</v>
      </c>
      <c r="J912" s="144">
        <f t="shared" si="190"/>
        <v>6.7013834184756318</v>
      </c>
      <c r="K912" s="144">
        <f t="shared" si="190"/>
        <v>6.6805988435347832</v>
      </c>
      <c r="L912" s="35"/>
      <c r="M912" s="35"/>
      <c r="N912" s="35"/>
    </row>
    <row r="913" spans="1:14" x14ac:dyDescent="0.3">
      <c r="A913" s="397"/>
      <c r="B913" s="94">
        <v>35</v>
      </c>
      <c r="C913" s="144">
        <f t="shared" si="190"/>
        <v>13.9958814917513</v>
      </c>
      <c r="D913" s="144">
        <f t="shared" si="190"/>
        <v>8.4509347858140753</v>
      </c>
      <c r="E913" s="144">
        <f t="shared" si="190"/>
        <v>7.4239504341204858</v>
      </c>
      <c r="F913" s="144">
        <f t="shared" si="190"/>
        <v>7.0645015788226075</v>
      </c>
      <c r="G913" s="144">
        <f t="shared" si="190"/>
        <v>6.8981275911985858</v>
      </c>
      <c r="H913" s="144">
        <f t="shared" si="190"/>
        <v>6.8077514862519921</v>
      </c>
      <c r="I913" s="144">
        <f t="shared" si="190"/>
        <v>6.7532575118251339</v>
      </c>
      <c r="J913" s="144">
        <f t="shared" si="190"/>
        <v>6.7178888139991022</v>
      </c>
      <c r="K913" s="144">
        <f t="shared" si="190"/>
        <v>6.6936401458189092</v>
      </c>
      <c r="L913" s="35"/>
      <c r="M913" s="35"/>
      <c r="N913" s="35"/>
    </row>
    <row r="914" spans="1:14" x14ac:dyDescent="0.3">
      <c r="A914" s="397"/>
      <c r="B914" s="94">
        <v>40</v>
      </c>
      <c r="C914" s="144">
        <f t="shared" si="190"/>
        <v>15.051819622474063</v>
      </c>
      <c r="D914" s="144">
        <f t="shared" si="190"/>
        <v>8.7150125055951158</v>
      </c>
      <c r="E914" s="144">
        <f t="shared" si="190"/>
        <v>7.5413210934823995</v>
      </c>
      <c r="F914" s="144">
        <f t="shared" si="190"/>
        <v>7.1305229197843669</v>
      </c>
      <c r="G914" s="144">
        <f t="shared" si="190"/>
        <v>6.9403813288249916</v>
      </c>
      <c r="H914" s="144">
        <f t="shared" si="190"/>
        <v>6.8370943853584309</v>
      </c>
      <c r="I914" s="144">
        <f t="shared" si="190"/>
        <v>6.7748155705073572</v>
      </c>
      <c r="J914" s="144">
        <f t="shared" si="190"/>
        <v>6.7343942075016328</v>
      </c>
      <c r="K914" s="144">
        <f t="shared" si="190"/>
        <v>6.7066814468856419</v>
      </c>
      <c r="L914" s="35"/>
      <c r="M914" s="35"/>
      <c r="N914" s="35"/>
    </row>
    <row r="915" spans="1:14" x14ac:dyDescent="0.3">
      <c r="A915" s="397"/>
      <c r="B915" s="94">
        <v>45</v>
      </c>
      <c r="C915" s="144">
        <f t="shared" si="190"/>
        <v>16.10764972721681</v>
      </c>
      <c r="D915" s="144">
        <f t="shared" si="190"/>
        <v>8.9790882129917922</v>
      </c>
      <c r="E915" s="144">
        <f t="shared" si="190"/>
        <v>7.658691528883006</v>
      </c>
      <c r="F915" s="144">
        <f t="shared" si="190"/>
        <v>7.1965442091040579</v>
      </c>
      <c r="G915" s="144">
        <f t="shared" si="190"/>
        <v>6.9826350489428695</v>
      </c>
      <c r="H915" s="144">
        <f t="shared" si="190"/>
        <v>6.866437276975951</v>
      </c>
      <c r="I915" s="144">
        <f t="shared" si="190"/>
        <v>6.7963736254579503</v>
      </c>
      <c r="J915" s="144">
        <f t="shared" si="190"/>
        <v>6.7508995989349607</v>
      </c>
      <c r="K915" s="144">
        <f t="shared" si="190"/>
        <v>6.7197227467111764</v>
      </c>
      <c r="L915" s="35"/>
      <c r="M915" s="35"/>
      <c r="N915" s="35"/>
    </row>
    <row r="916" spans="1:14" x14ac:dyDescent="0.3">
      <c r="A916" s="397"/>
      <c r="B916" s="94">
        <v>50</v>
      </c>
      <c r="C916" s="144">
        <f t="shared" si="190"/>
        <v>17.163359189834583</v>
      </c>
      <c r="D916" s="144">
        <f t="shared" si="190"/>
        <v>9.243161710345305</v>
      </c>
      <c r="E916" s="144">
        <f t="shared" si="190"/>
        <v>7.776061722966471</v>
      </c>
      <c r="F916" s="144">
        <f t="shared" si="190"/>
        <v>7.262565443692595</v>
      </c>
      <c r="G916" s="144">
        <f t="shared" si="190"/>
        <v>7.0248887507424218</v>
      </c>
      <c r="H916" s="144">
        <f t="shared" si="190"/>
        <v>6.8957801608333531</v>
      </c>
      <c r="I916" s="144">
        <f t="shared" si="190"/>
        <v>6.8179316765693603</v>
      </c>
      <c r="J916" s="144">
        <f t="shared" si="190"/>
        <v>6.7674049882508127</v>
      </c>
      <c r="K916" s="144">
        <f t="shared" si="190"/>
        <v>6.7327640452716997</v>
      </c>
      <c r="L916" s="35"/>
      <c r="M916" s="35"/>
      <c r="N916" s="35"/>
    </row>
    <row r="917" spans="1:14" x14ac:dyDescent="0.3">
      <c r="A917" s="397"/>
      <c r="B917" s="94">
        <v>55</v>
      </c>
      <c r="C917" s="144">
        <f t="shared" si="190"/>
        <v>18.218935402838699</v>
      </c>
      <c r="D917" s="144">
        <f t="shared" si="190"/>
        <v>9.5072328000067738</v>
      </c>
      <c r="E917" s="144">
        <f t="shared" si="190"/>
        <v>7.8934316583771791</v>
      </c>
      <c r="F917" s="144">
        <f t="shared" si="190"/>
        <v>7.3285866204609116</v>
      </c>
      <c r="G917" s="144">
        <f t="shared" si="190"/>
        <v>7.0671424334138564</v>
      </c>
      <c r="H917" s="144">
        <f t="shared" si="190"/>
        <v>6.9251230366594365</v>
      </c>
      <c r="I917" s="144">
        <f t="shared" si="190"/>
        <v>6.8394897237340393</v>
      </c>
      <c r="J917" s="144">
        <f t="shared" si="190"/>
        <v>6.7839103754009216</v>
      </c>
      <c r="K917" s="144">
        <f t="shared" si="190"/>
        <v>6.7458053425434041</v>
      </c>
      <c r="L917" s="35"/>
      <c r="M917" s="35"/>
      <c r="N917" s="35"/>
    </row>
    <row r="918" spans="1:14" x14ac:dyDescent="0.3">
      <c r="A918" s="397"/>
      <c r="B918" s="94">
        <v>60</v>
      </c>
      <c r="C918" s="144">
        <f t="shared" si="190"/>
        <v>19.274365768297873</v>
      </c>
      <c r="D918" s="144">
        <f t="shared" si="190"/>
        <v>9.7713012843381399</v>
      </c>
      <c r="E918" s="144">
        <f t="shared" si="190"/>
        <v>8.0108013177597392</v>
      </c>
      <c r="F918" s="144">
        <f t="shared" si="190"/>
        <v>7.3946077363199567</v>
      </c>
      <c r="G918" s="144">
        <f t="shared" si="190"/>
        <v>7.1093960961473819</v>
      </c>
      <c r="H918" s="144">
        <f t="shared" si="190"/>
        <v>6.9544659041829995</v>
      </c>
      <c r="I918" s="144">
        <f t="shared" si="190"/>
        <v>6.8610477668444378</v>
      </c>
      <c r="J918" s="144">
        <f t="shared" si="190"/>
        <v>6.8004157603370192</v>
      </c>
      <c r="K918" s="144">
        <f t="shared" si="190"/>
        <v>6.7588466385024812</v>
      </c>
      <c r="L918" s="35"/>
      <c r="M918" s="35"/>
      <c r="N918" s="35"/>
    </row>
    <row r="919" spans="1:14" x14ac:dyDescent="0.3">
      <c r="A919" s="397"/>
      <c r="B919" s="94">
        <v>65</v>
      </c>
      <c r="C919" s="144">
        <f t="shared" si="190"/>
        <v>20.32963769873766</v>
      </c>
      <c r="D919" s="144">
        <f t="shared" si="190"/>
        <v>10.035366965713042</v>
      </c>
      <c r="E919" s="144">
        <f t="shared" si="190"/>
        <v>8.1281706837590129</v>
      </c>
      <c r="F919" s="144">
        <f t="shared" si="190"/>
        <v>7.4606287881806965</v>
      </c>
      <c r="G919" s="144">
        <f t="shared" si="190"/>
        <v>7.1516497381332078</v>
      </c>
      <c r="H919" s="144">
        <f t="shared" si="190"/>
        <v>6.9838087631328474</v>
      </c>
      <c r="I919" s="144">
        <f t="shared" si="190"/>
        <v>6.882605805793002</v>
      </c>
      <c r="J919" s="144">
        <f t="shared" si="190"/>
        <v>6.8169211430108403</v>
      </c>
      <c r="K919" s="144">
        <f t="shared" si="190"/>
        <v>6.7718879331251198</v>
      </c>
      <c r="L919" s="35"/>
      <c r="M919" s="35"/>
      <c r="N919" s="35"/>
    </row>
    <row r="920" spans="1:14" x14ac:dyDescent="0.3">
      <c r="A920" s="397"/>
      <c r="B920" s="94">
        <v>70</v>
      </c>
      <c r="C920" s="144">
        <f t="shared" si="190"/>
        <v>21.384738618038018</v>
      </c>
      <c r="D920" s="144">
        <f t="shared" si="190"/>
        <v>10.29942964651771</v>
      </c>
      <c r="E920" s="144">
        <f t="shared" si="190"/>
        <v>8.2455397390201135</v>
      </c>
      <c r="F920" s="144">
        <f t="shared" si="190"/>
        <v>7.5266497729541122</v>
      </c>
      <c r="G920" s="144">
        <f t="shared" si="190"/>
        <v>7.1939033585615473</v>
      </c>
      <c r="H920" s="144">
        <f t="shared" si="190"/>
        <v>7.0131516132377767</v>
      </c>
      <c r="I920" s="144">
        <f t="shared" si="190"/>
        <v>6.9041638404721883</v>
      </c>
      <c r="J920" s="144">
        <f t="shared" si="190"/>
        <v>6.8334265233741149</v>
      </c>
      <c r="K920" s="144">
        <f t="shared" si="190"/>
        <v>6.7849292263875132</v>
      </c>
      <c r="L920" s="35"/>
      <c r="M920" s="35"/>
      <c r="N920" s="35"/>
    </row>
    <row r="921" spans="1:14" x14ac:dyDescent="0.3">
      <c r="A921" s="397"/>
      <c r="B921" s="94">
        <v>75</v>
      </c>
      <c r="C921" s="144">
        <f t="shared" si="190"/>
        <v>22.439655962328882</v>
      </c>
      <c r="D921" s="144">
        <f t="shared" si="190"/>
        <v>10.563489129151844</v>
      </c>
      <c r="E921" s="144">
        <f t="shared" si="190"/>
        <v>8.3629084661884363</v>
      </c>
      <c r="F921" s="144">
        <f t="shared" si="190"/>
        <v>7.5926706875512089</v>
      </c>
      <c r="G921" s="144">
        <f t="shared" si="190"/>
        <v>7.2361569566226196</v>
      </c>
      <c r="H921" s="144">
        <f t="shared" si="190"/>
        <v>7.042494454226591</v>
      </c>
      <c r="I921" s="144">
        <f t="shared" si="190"/>
        <v>6.9257218707744421</v>
      </c>
      <c r="J921" s="144">
        <f t="shared" si="190"/>
        <v>6.8499319013785751</v>
      </c>
      <c r="K921" s="144">
        <f t="shared" si="190"/>
        <v>6.7979705182658492</v>
      </c>
      <c r="L921" s="35"/>
      <c r="M921" s="35"/>
      <c r="N921" s="35"/>
    </row>
    <row r="922" spans="1:14" x14ac:dyDescent="0.3">
      <c r="A922" s="397"/>
      <c r="B922" s="94">
        <v>80</v>
      </c>
      <c r="C922" s="144">
        <f t="shared" si="190"/>
        <v>23.494377180883518</v>
      </c>
      <c r="D922" s="144">
        <f t="shared" si="190"/>
        <v>10.827545216029508</v>
      </c>
      <c r="E922" s="144">
        <f t="shared" si="190"/>
        <v>8.4802768479096624</v>
      </c>
      <c r="F922" s="144">
        <f t="shared" si="190"/>
        <v>7.658691528883006</v>
      </c>
      <c r="G922" s="144">
        <f t="shared" si="190"/>
        <v>7.2784105315066414</v>
      </c>
      <c r="H922" s="144">
        <f t="shared" si="190"/>
        <v>7.0718372858280905</v>
      </c>
      <c r="I922" s="144">
        <f t="shared" si="190"/>
        <v>6.9472798965922147</v>
      </c>
      <c r="J922" s="144">
        <f t="shared" si="190"/>
        <v>6.866437276975951</v>
      </c>
      <c r="K922" s="144">
        <f t="shared" si="190"/>
        <v>6.8110118087363194</v>
      </c>
      <c r="L922" s="35"/>
      <c r="M922" s="35"/>
      <c r="N922" s="35"/>
    </row>
    <row r="923" spans="1:14" x14ac:dyDescent="0.3">
      <c r="A923" s="397"/>
      <c r="B923" s="94">
        <v>85</v>
      </c>
      <c r="C923" s="144">
        <f t="shared" si="190"/>
        <v>24.548889737009436</v>
      </c>
      <c r="D923" s="144">
        <f t="shared" si="190"/>
        <v>11.091597709580011</v>
      </c>
      <c r="E923" s="144">
        <f t="shared" si="190"/>
        <v>8.5976448668297873</v>
      </c>
      <c r="F923" s="144">
        <f t="shared" si="190"/>
        <v>7.7247122938605477</v>
      </c>
      <c r="G923" s="144">
        <f t="shared" si="190"/>
        <v>7.3206640824038329</v>
      </c>
      <c r="H923" s="144">
        <f t="shared" si="190"/>
        <v>7.101180107771083</v>
      </c>
      <c r="I923" s="144">
        <f t="shared" si="190"/>
        <v>6.96883791781796</v>
      </c>
      <c r="J923" s="144">
        <f t="shared" si="190"/>
        <v>6.8829426501179789</v>
      </c>
      <c r="K923" s="144">
        <f t="shared" si="190"/>
        <v>6.8240530977751179</v>
      </c>
      <c r="L923" s="35"/>
      <c r="M923" s="35"/>
      <c r="N923" s="35"/>
    </row>
    <row r="924" spans="1:14" x14ac:dyDescent="0.3">
      <c r="A924" s="397"/>
      <c r="B924" s="94">
        <v>90</v>
      </c>
      <c r="C924" s="144">
        <f t="shared" si="190"/>
        <v>25.603181108937012</v>
      </c>
      <c r="D924" s="144">
        <f t="shared" si="190"/>
        <v>11.355646412248806</v>
      </c>
      <c r="E924" s="144">
        <f t="shared" si="190"/>
        <v>8.7150125055951158</v>
      </c>
      <c r="F924" s="144">
        <f t="shared" si="190"/>
        <v>7.7907329793948996</v>
      </c>
      <c r="G924" s="144">
        <f t="shared" si="190"/>
        <v>7.3629176085044206</v>
      </c>
      <c r="H924" s="144">
        <f t="shared" si="190"/>
        <v>7.1305229197843669</v>
      </c>
      <c r="I924" s="144">
        <f t="shared" si="190"/>
        <v>6.9903959343441251</v>
      </c>
      <c r="J924" s="144">
        <f t="shared" si="190"/>
        <v>6.8994480207563873</v>
      </c>
      <c r="K924" s="144">
        <f t="shared" si="190"/>
        <v>6.8370943853584309</v>
      </c>
      <c r="L924" s="35"/>
      <c r="M924" s="35"/>
      <c r="N924" s="35"/>
    </row>
    <row r="925" spans="1:14" x14ac:dyDescent="0.3">
      <c r="A925" s="397"/>
      <c r="B925" s="94">
        <v>95</v>
      </c>
      <c r="C925" s="144">
        <f t="shared" si="190"/>
        <v>26.657238790705208</v>
      </c>
      <c r="D925" s="144">
        <f t="shared" si="190"/>
        <v>11.61969112649836</v>
      </c>
      <c r="E925" s="144">
        <f t="shared" si="190"/>
        <v>8.8323797468523058</v>
      </c>
      <c r="F925" s="144">
        <f t="shared" si="190"/>
        <v>7.8567535823971459</v>
      </c>
      <c r="G925" s="144">
        <f t="shared" si="190"/>
        <v>7.4051711089986281</v>
      </c>
      <c r="H925" s="144">
        <f t="shared" si="190"/>
        <v>7.1598657215967503</v>
      </c>
      <c r="I925" s="144">
        <f t="shared" si="190"/>
        <v>7.0119539460631621</v>
      </c>
      <c r="J925" s="144">
        <f t="shared" si="190"/>
        <v>6.9159533888429117</v>
      </c>
      <c r="K925" s="144">
        <f t="shared" si="190"/>
        <v>6.8501356714624517</v>
      </c>
      <c r="L925" s="35"/>
      <c r="M925" s="35"/>
      <c r="N925" s="35"/>
    </row>
    <row r="926" spans="1:14" x14ac:dyDescent="0.3">
      <c r="A926" s="397"/>
      <c r="B926" s="94">
        <v>100</v>
      </c>
      <c r="C926" s="144">
        <f t="shared" si="190"/>
        <v>27.711050293044671</v>
      </c>
      <c r="D926" s="144">
        <f t="shared" si="190"/>
        <v>11.883731654809042</v>
      </c>
      <c r="E926" s="144">
        <f t="shared" si="190"/>
        <v>8.949746573248353</v>
      </c>
      <c r="F926" s="144">
        <f t="shared" si="190"/>
        <v>7.9227740997783975</v>
      </c>
      <c r="G926" s="144">
        <f t="shared" si="190"/>
        <v>7.4474245830766854</v>
      </c>
      <c r="H926" s="144">
        <f t="shared" si="190"/>
        <v>7.1892085129370331</v>
      </c>
      <c r="I926" s="144">
        <f t="shared" si="190"/>
        <v>7.0335119528675225</v>
      </c>
      <c r="J926" s="144">
        <f t="shared" si="190"/>
        <v>6.9324587543292822</v>
      </c>
      <c r="K926" s="144">
        <f t="shared" si="190"/>
        <v>6.8631769560633717</v>
      </c>
      <c r="L926" s="35"/>
      <c r="M926" s="35"/>
      <c r="N926" s="35"/>
    </row>
    <row r="927" spans="1:14" x14ac:dyDescent="0.3">
      <c r="A927" s="7"/>
      <c r="B927" s="37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</row>
    <row r="928" spans="1:14" x14ac:dyDescent="0.3">
      <c r="A928" s="353" t="s">
        <v>736</v>
      </c>
      <c r="B928" s="96">
        <v>0.8</v>
      </c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</row>
    <row r="929" spans="1:14" x14ac:dyDescent="0.3">
      <c r="A929" s="353" t="s">
        <v>189</v>
      </c>
      <c r="B929" s="97">
        <f>RADIANS(B928)</f>
        <v>1.3962634015954637E-2</v>
      </c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</row>
    <row r="930" spans="1:14" x14ac:dyDescent="0.3">
      <c r="A930" s="7"/>
      <c r="B930" s="37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</row>
    <row r="931" spans="1:14" x14ac:dyDescent="0.3">
      <c r="A931" s="353" t="s">
        <v>737</v>
      </c>
      <c r="B931" s="354">
        <f>0.4*ABS(B929)*D53</f>
        <v>9.0402470199699891</v>
      </c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</row>
    <row r="932" spans="1:14" x14ac:dyDescent="0.3">
      <c r="A932" s="7"/>
      <c r="B932" s="37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</row>
    <row r="933" spans="1:14" x14ac:dyDescent="0.3">
      <c r="A933" s="357" t="s">
        <v>739</v>
      </c>
      <c r="B933" s="358"/>
      <c r="C933" s="358"/>
      <c r="D933" s="358"/>
      <c r="E933" s="358"/>
      <c r="F933" s="358"/>
      <c r="G933" s="358"/>
      <c r="H933" s="358"/>
      <c r="I933" s="358"/>
      <c r="J933" s="358"/>
      <c r="K933" s="359"/>
      <c r="L933" s="35"/>
      <c r="M933" s="35"/>
      <c r="N933" s="35"/>
    </row>
    <row r="934" spans="1:14" x14ac:dyDescent="0.3">
      <c r="A934" s="360"/>
      <c r="B934" s="361"/>
      <c r="C934" s="364" t="s">
        <v>230</v>
      </c>
      <c r="D934" s="365"/>
      <c r="E934" s="365"/>
      <c r="F934" s="365"/>
      <c r="G934" s="365"/>
      <c r="H934" s="365"/>
      <c r="I934" s="365"/>
      <c r="J934" s="365"/>
      <c r="K934" s="366"/>
      <c r="L934" s="35"/>
      <c r="M934" s="35"/>
      <c r="N934" s="35"/>
    </row>
    <row r="935" spans="1:14" x14ac:dyDescent="0.3">
      <c r="A935" s="362"/>
      <c r="B935" s="363"/>
      <c r="C935" s="94">
        <v>5</v>
      </c>
      <c r="D935" s="94">
        <v>10</v>
      </c>
      <c r="E935" s="94">
        <v>15</v>
      </c>
      <c r="F935" s="94">
        <v>20</v>
      </c>
      <c r="G935" s="94">
        <v>25</v>
      </c>
      <c r="H935" s="94">
        <v>30</v>
      </c>
      <c r="I935" s="94">
        <v>35</v>
      </c>
      <c r="J935" s="94">
        <v>40</v>
      </c>
      <c r="K935" s="94">
        <v>45</v>
      </c>
      <c r="L935" s="35"/>
      <c r="M935" s="35"/>
      <c r="N935" s="35"/>
    </row>
    <row r="936" spans="1:14" x14ac:dyDescent="0.3">
      <c r="A936" s="397" t="s">
        <v>231</v>
      </c>
      <c r="B936" s="94">
        <v>5</v>
      </c>
      <c r="C936" s="144">
        <f>$B$928+C804</f>
        <v>0.82327584892657979</v>
      </c>
      <c r="D936" s="144">
        <f t="shared" ref="D936:K936" si="191">$B$928+D804</f>
        <v>0.86311471653631289</v>
      </c>
      <c r="E936" s="144">
        <f t="shared" si="191"/>
        <v>0.87049227906318249</v>
      </c>
      <c r="F936" s="144">
        <f t="shared" si="191"/>
        <v>0.87307442540787417</v>
      </c>
      <c r="G936" s="144">
        <f t="shared" si="191"/>
        <v>0.87426959018756112</v>
      </c>
      <c r="H936" s="144">
        <f t="shared" si="191"/>
        <v>0.87491881547295969</v>
      </c>
      <c r="I936" s="144">
        <f t="shared" si="191"/>
        <v>0.87531027783427517</v>
      </c>
      <c r="J936" s="144">
        <f t="shared" si="191"/>
        <v>0.8755643519592532</v>
      </c>
      <c r="K936" s="144">
        <f t="shared" si="191"/>
        <v>0.87573854434116361</v>
      </c>
      <c r="L936" s="35"/>
      <c r="M936" s="35"/>
      <c r="N936" s="35"/>
    </row>
    <row r="937" spans="1:14" x14ac:dyDescent="0.3">
      <c r="A937" s="397"/>
      <c r="B937" s="94">
        <v>10</v>
      </c>
      <c r="C937" s="144">
        <f t="shared" ref="C937:K955" si="192">$B$928+C805</f>
        <v>0.77015733042852585</v>
      </c>
      <c r="D937" s="144">
        <f t="shared" si="192"/>
        <v>0.84983509887832076</v>
      </c>
      <c r="E937" s="144">
        <f t="shared" si="192"/>
        <v>0.86459022921694451</v>
      </c>
      <c r="F937" s="144">
        <f t="shared" si="192"/>
        <v>0.86975452291164668</v>
      </c>
      <c r="G937" s="144">
        <f t="shared" si="192"/>
        <v>0.87214485275743259</v>
      </c>
      <c r="H937" s="144">
        <f t="shared" si="192"/>
        <v>0.87344330343312926</v>
      </c>
      <c r="I937" s="144">
        <f t="shared" si="192"/>
        <v>0.8742262282012131</v>
      </c>
      <c r="J937" s="144">
        <f t="shared" si="192"/>
        <v>0.87473437647337515</v>
      </c>
      <c r="K937" s="144">
        <f t="shared" si="192"/>
        <v>0.87508276124906481</v>
      </c>
      <c r="L937" s="35"/>
      <c r="M937" s="35"/>
      <c r="N937" s="35"/>
    </row>
    <row r="938" spans="1:14" x14ac:dyDescent="0.3">
      <c r="A938" s="397"/>
      <c r="B938" s="94">
        <v>15</v>
      </c>
      <c r="C938" s="144">
        <f t="shared" si="192"/>
        <v>0.71703886323005117</v>
      </c>
      <c r="D938" s="144">
        <f t="shared" si="192"/>
        <v>0.83655547586616708</v>
      </c>
      <c r="E938" s="144">
        <f t="shared" si="192"/>
        <v>0.85868817799995845</v>
      </c>
      <c r="F938" s="144">
        <f t="shared" si="192"/>
        <v>0.86643461994702875</v>
      </c>
      <c r="G938" s="144">
        <f t="shared" si="192"/>
        <v>0.870020115128877</v>
      </c>
      <c r="H938" s="144">
        <f t="shared" si="192"/>
        <v>0.87196779129588453</v>
      </c>
      <c r="I938" s="144">
        <f t="shared" si="192"/>
        <v>0.87314217851500875</v>
      </c>
      <c r="J938" s="144">
        <f t="shared" si="192"/>
        <v>0.87390440095613264</v>
      </c>
      <c r="K938" s="144">
        <f t="shared" si="192"/>
        <v>0.8744269781372942</v>
      </c>
      <c r="L938" s="35"/>
      <c r="M938" s="35"/>
      <c r="N938" s="35"/>
    </row>
    <row r="939" spans="1:14" x14ac:dyDescent="0.3">
      <c r="A939" s="397"/>
      <c r="B939" s="94">
        <v>20</v>
      </c>
      <c r="C939" s="144">
        <f t="shared" si="192"/>
        <v>0.66392053864142131</v>
      </c>
      <c r="D939" s="144">
        <f t="shared" si="192"/>
        <v>0.82327584892657979</v>
      </c>
      <c r="E939" s="144">
        <f t="shared" si="192"/>
        <v>0.85278612553747879</v>
      </c>
      <c r="F939" s="144">
        <f t="shared" si="192"/>
        <v>0.86311471653631289</v>
      </c>
      <c r="G939" s="144">
        <f t="shared" si="192"/>
        <v>0.86789537730773814</v>
      </c>
      <c r="H939" s="144">
        <f t="shared" si="192"/>
        <v>0.87049227906318249</v>
      </c>
      <c r="I939" s="144">
        <f t="shared" si="192"/>
        <v>0.87205812877643818</v>
      </c>
      <c r="J939" s="144">
        <f t="shared" si="192"/>
        <v>0.87307442540787417</v>
      </c>
      <c r="K939" s="144">
        <f t="shared" si="192"/>
        <v>0.8737711950060234</v>
      </c>
      <c r="L939" s="35"/>
      <c r="M939" s="35"/>
      <c r="N939" s="35"/>
    </row>
    <row r="940" spans="1:14" x14ac:dyDescent="0.3">
      <c r="A940" s="397"/>
      <c r="B940" s="94">
        <v>25</v>
      </c>
      <c r="C940" s="144">
        <f t="shared" si="192"/>
        <v>0.6108024479714308</v>
      </c>
      <c r="D940" s="144">
        <f t="shared" si="192"/>
        <v>0.80999621948628964</v>
      </c>
      <c r="E940" s="144">
        <f t="shared" si="192"/>
        <v>0.84688407195475968</v>
      </c>
      <c r="F940" s="144">
        <f t="shared" si="192"/>
        <v>0.85979481270179148</v>
      </c>
      <c r="G940" s="144">
        <f t="shared" si="192"/>
        <v>0.86577063929985998</v>
      </c>
      <c r="H940" s="144">
        <f t="shared" si="192"/>
        <v>0.86901676673698047</v>
      </c>
      <c r="I940" s="144">
        <f t="shared" si="192"/>
        <v>0.87097407898627743</v>
      </c>
      <c r="J940" s="144">
        <f t="shared" si="192"/>
        <v>0.872244449828948</v>
      </c>
      <c r="K940" s="144">
        <f t="shared" si="192"/>
        <v>0.87311541185542441</v>
      </c>
      <c r="L940" s="35"/>
      <c r="M940" s="35"/>
      <c r="N940" s="35"/>
    </row>
    <row r="941" spans="1:14" x14ac:dyDescent="0.3">
      <c r="A941" s="397"/>
      <c r="B941" s="94">
        <v>30</v>
      </c>
      <c r="C941" s="144">
        <f t="shared" si="192"/>
        <v>0.5576846825264612</v>
      </c>
      <c r="D941" s="144">
        <f t="shared" si="192"/>
        <v>0.79671658897202868</v>
      </c>
      <c r="E941" s="144">
        <f t="shared" si="192"/>
        <v>0.84098201737705558</v>
      </c>
      <c r="F941" s="144">
        <f t="shared" si="192"/>
        <v>0.85647490846575736</v>
      </c>
      <c r="G941" s="144">
        <f t="shared" si="192"/>
        <v>0.8636459011110863</v>
      </c>
      <c r="H941" s="144">
        <f t="shared" si="192"/>
        <v>0.86754125431923534</v>
      </c>
      <c r="I941" s="144">
        <f t="shared" si="192"/>
        <v>0.86989002914530267</v>
      </c>
      <c r="J941" s="144">
        <f t="shared" si="192"/>
        <v>0.87141447421970253</v>
      </c>
      <c r="K941" s="144">
        <f t="shared" si="192"/>
        <v>0.87245962868566906</v>
      </c>
      <c r="L941" s="35"/>
      <c r="M941" s="35"/>
      <c r="N941" s="35"/>
    </row>
    <row r="942" spans="1:14" x14ac:dyDescent="0.3">
      <c r="A942" s="397"/>
      <c r="B942" s="94">
        <v>35</v>
      </c>
      <c r="C942" s="144">
        <f t="shared" si="192"/>
        <v>0.50456733360954076</v>
      </c>
      <c r="D942" s="144">
        <f t="shared" si="192"/>
        <v>0.78343695881052988</v>
      </c>
      <c r="E942" s="144">
        <f t="shared" si="192"/>
        <v>0.83507996192962108</v>
      </c>
      <c r="F942" s="144">
        <f t="shared" si="192"/>
        <v>0.85315500385050291</v>
      </c>
      <c r="G942" s="144">
        <f t="shared" si="192"/>
        <v>0.86152116274726098</v>
      </c>
      <c r="H942" s="144">
        <f t="shared" si="192"/>
        <v>0.86606574181190432</v>
      </c>
      <c r="I942" s="144">
        <f t="shared" si="192"/>
        <v>0.86880597925429015</v>
      </c>
      <c r="J942" s="144">
        <f t="shared" si="192"/>
        <v>0.87058449858048592</v>
      </c>
      <c r="K942" s="144">
        <f t="shared" si="192"/>
        <v>0.87180384549692902</v>
      </c>
      <c r="L942" s="35"/>
      <c r="M942" s="35"/>
      <c r="N942" s="35"/>
    </row>
    <row r="943" spans="1:14" x14ac:dyDescent="0.3">
      <c r="A943" s="397"/>
      <c r="B943" s="94">
        <v>40</v>
      </c>
      <c r="C943" s="144">
        <f t="shared" si="192"/>
        <v>0.45145049251940061</v>
      </c>
      <c r="D943" s="144">
        <f t="shared" si="192"/>
        <v>0.77015733042852585</v>
      </c>
      <c r="E943" s="144">
        <f t="shared" si="192"/>
        <v>0.82917790573771089</v>
      </c>
      <c r="F943" s="144">
        <f t="shared" si="192"/>
        <v>0.84983509887832076</v>
      </c>
      <c r="G943" s="144">
        <f t="shared" si="192"/>
        <v>0.85939642421422791</v>
      </c>
      <c r="H943" s="144">
        <f t="shared" si="192"/>
        <v>0.86459022921694451</v>
      </c>
      <c r="I943" s="144">
        <f t="shared" si="192"/>
        <v>0.86772192931401593</v>
      </c>
      <c r="J943" s="144">
        <f t="shared" si="192"/>
        <v>0.86975452291164668</v>
      </c>
      <c r="K943" s="144">
        <f t="shared" si="192"/>
        <v>0.87114806228937625</v>
      </c>
      <c r="L943" s="35"/>
      <c r="M943" s="35"/>
      <c r="N943" s="35"/>
    </row>
    <row r="944" spans="1:14" x14ac:dyDescent="0.3">
      <c r="A944" s="397"/>
      <c r="B944" s="94">
        <v>45</v>
      </c>
      <c r="C944" s="144">
        <f t="shared" si="192"/>
        <v>0.39833425054953597</v>
      </c>
      <c r="D944" s="144">
        <f t="shared" si="192"/>
        <v>0.75687770525274811</v>
      </c>
      <c r="E944" s="144">
        <f t="shared" si="192"/>
        <v>0.82327584892657979</v>
      </c>
      <c r="F944" s="144">
        <f t="shared" si="192"/>
        <v>0.8465151935715034</v>
      </c>
      <c r="G944" s="144">
        <f t="shared" si="192"/>
        <v>0.85727168551783084</v>
      </c>
      <c r="H944" s="144">
        <f t="shared" si="192"/>
        <v>0.86311471653631289</v>
      </c>
      <c r="I944" s="144">
        <f t="shared" si="192"/>
        <v>0.86663787932525604</v>
      </c>
      <c r="J944" s="144">
        <f t="shared" si="192"/>
        <v>0.86892454721353296</v>
      </c>
      <c r="K944" s="144">
        <f t="shared" si="192"/>
        <v>0.87049227906318249</v>
      </c>
      <c r="L944" s="35"/>
      <c r="M944" s="35"/>
      <c r="N944" s="35"/>
    </row>
    <row r="945" spans="1:14" x14ac:dyDescent="0.3">
      <c r="A945" s="397"/>
      <c r="B945" s="94">
        <v>50</v>
      </c>
      <c r="C945" s="144">
        <f t="shared" si="192"/>
        <v>0.3452186989872621</v>
      </c>
      <c r="D945" s="144">
        <f t="shared" si="192"/>
        <v>0.74359808470992605</v>
      </c>
      <c r="E945" s="144">
        <f t="shared" si="192"/>
        <v>0.81737379162148271</v>
      </c>
      <c r="F945" s="144">
        <f t="shared" si="192"/>
        <v>0.84319528795234366</v>
      </c>
      <c r="G945" s="144">
        <f t="shared" si="192"/>
        <v>0.85514694666391367</v>
      </c>
      <c r="H945" s="144">
        <f t="shared" si="192"/>
        <v>0.86163920377196657</v>
      </c>
      <c r="I945" s="144">
        <f t="shared" si="192"/>
        <v>0.86555382928878666</v>
      </c>
      <c r="J945" s="144">
        <f t="shared" si="192"/>
        <v>0.86809457148649327</v>
      </c>
      <c r="K945" s="144">
        <f t="shared" si="192"/>
        <v>0.86983649581851963</v>
      </c>
      <c r="L945" s="35"/>
      <c r="M945" s="35"/>
      <c r="N945" s="35"/>
    </row>
    <row r="946" spans="1:14" x14ac:dyDescent="0.3">
      <c r="A946" s="397"/>
      <c r="B946" s="94">
        <v>55</v>
      </c>
      <c r="C946" s="144">
        <f t="shared" si="192"/>
        <v>0.29210392911277561</v>
      </c>
      <c r="D946" s="144">
        <f t="shared" si="192"/>
        <v>0.7303184702267862</v>
      </c>
      <c r="E946" s="144">
        <f t="shared" si="192"/>
        <v>0.81147173394767447</v>
      </c>
      <c r="F946" s="144">
        <f t="shared" si="192"/>
        <v>0.83987538204313394</v>
      </c>
      <c r="G946" s="144">
        <f t="shared" si="192"/>
        <v>0.85302220765832026</v>
      </c>
      <c r="H946" s="144">
        <f t="shared" si="192"/>
        <v>0.86016369092586276</v>
      </c>
      <c r="I946" s="144">
        <f t="shared" si="192"/>
        <v>0.86446977920538393</v>
      </c>
      <c r="J946" s="144">
        <f t="shared" si="192"/>
        <v>0.86726459573087566</v>
      </c>
      <c r="K946" s="144">
        <f t="shared" si="192"/>
        <v>0.86918071255555929</v>
      </c>
      <c r="L946" s="35"/>
      <c r="M946" s="35"/>
      <c r="N946" s="35"/>
    </row>
    <row r="947" spans="1:14" x14ac:dyDescent="0.3">
      <c r="A947" s="397"/>
      <c r="B947" s="94">
        <v>60</v>
      </c>
      <c r="C947" s="144">
        <f t="shared" si="192"/>
        <v>0.23899003219821147</v>
      </c>
      <c r="D947" s="144">
        <f t="shared" si="192"/>
        <v>0.71703886323005117</v>
      </c>
      <c r="E947" s="144">
        <f t="shared" si="192"/>
        <v>0.80556967603041008</v>
      </c>
      <c r="F947" s="144">
        <f t="shared" si="192"/>
        <v>0.83655547586616708</v>
      </c>
      <c r="G947" s="144">
        <f t="shared" si="192"/>
        <v>0.85089746850689452</v>
      </c>
      <c r="H947" s="144">
        <f t="shared" si="192"/>
        <v>0.85868817799995845</v>
      </c>
      <c r="I947" s="144">
        <f t="shared" si="192"/>
        <v>0.86338572907582389</v>
      </c>
      <c r="J947" s="144">
        <f t="shared" si="192"/>
        <v>0.86643461994702875</v>
      </c>
      <c r="K947" s="144">
        <f t="shared" si="192"/>
        <v>0.86852492927447356</v>
      </c>
      <c r="L947" s="35"/>
      <c r="M947" s="35"/>
      <c r="N947" s="35"/>
    </row>
    <row r="948" spans="1:14" x14ac:dyDescent="0.3">
      <c r="A948" s="397"/>
      <c r="B948" s="94">
        <v>65</v>
      </c>
      <c r="C948" s="144">
        <f t="shared" si="192"/>
        <v>0.1858770995067035</v>
      </c>
      <c r="D948" s="144">
        <f t="shared" si="192"/>
        <v>0.70375926514643861</v>
      </c>
      <c r="E948" s="144">
        <f t="shared" si="192"/>
        <v>0.79966761799494468</v>
      </c>
      <c r="F948" s="144">
        <f t="shared" si="192"/>
        <v>0.83323556944373545</v>
      </c>
      <c r="G948" s="144">
        <f t="shared" si="192"/>
        <v>0.8487727292154803</v>
      </c>
      <c r="H948" s="144">
        <f t="shared" si="192"/>
        <v>0.85721266499621085</v>
      </c>
      <c r="I948" s="144">
        <f t="shared" si="192"/>
        <v>0.86230167890088283</v>
      </c>
      <c r="J948" s="144">
        <f t="shared" si="192"/>
        <v>0.86560464413530058</v>
      </c>
      <c r="K948" s="144">
        <f t="shared" si="192"/>
        <v>0.86786914597543408</v>
      </c>
      <c r="L948" s="35"/>
      <c r="M948" s="35"/>
      <c r="N948" s="35"/>
    </row>
    <row r="949" spans="1:14" x14ac:dyDescent="0.3">
      <c r="A949" s="397"/>
      <c r="B949" s="94">
        <v>70</v>
      </c>
      <c r="C949" s="144">
        <f t="shared" si="192"/>
        <v>0.13276522229144327</v>
      </c>
      <c r="D949" s="144">
        <f t="shared" si="192"/>
        <v>0.69047967740266047</v>
      </c>
      <c r="E949" s="144">
        <f t="shared" si="192"/>
        <v>0.79376555996653309</v>
      </c>
      <c r="F949" s="144">
        <f t="shared" si="192"/>
        <v>0.829915662798132</v>
      </c>
      <c r="G949" s="144">
        <f t="shared" si="192"/>
        <v>0.84664798978992151</v>
      </c>
      <c r="H949" s="144">
        <f t="shared" si="192"/>
        <v>0.85573715191657695</v>
      </c>
      <c r="I949" s="144">
        <f t="shared" si="192"/>
        <v>0.86121762868133678</v>
      </c>
      <c r="J949" s="144">
        <f t="shared" si="192"/>
        <v>0.86477466829603977</v>
      </c>
      <c r="K949" s="144">
        <f t="shared" si="192"/>
        <v>0.86721336265861271</v>
      </c>
      <c r="L949" s="35"/>
      <c r="M949" s="35"/>
      <c r="N949" s="35"/>
    </row>
    <row r="950" spans="1:14" x14ac:dyDescent="0.3">
      <c r="A950" s="397"/>
      <c r="B950" s="94">
        <v>75</v>
      </c>
      <c r="C950" s="144">
        <f t="shared" si="192"/>
        <v>7.9654491794740157E-2</v>
      </c>
      <c r="D950" s="144">
        <f t="shared" si="192"/>
        <v>0.6772001014254222</v>
      </c>
      <c r="E950" s="144">
        <f t="shared" si="192"/>
        <v>0.78786350207043043</v>
      </c>
      <c r="F950" s="144">
        <f t="shared" si="192"/>
        <v>0.82659575595164925</v>
      </c>
      <c r="G950" s="144">
        <f t="shared" si="192"/>
        <v>0.84452325023606201</v>
      </c>
      <c r="H950" s="144">
        <f t="shared" si="192"/>
        <v>0.85426163876301386</v>
      </c>
      <c r="I950" s="144">
        <f t="shared" si="192"/>
        <v>0.8601335784179619</v>
      </c>
      <c r="J950" s="144">
        <f t="shared" si="192"/>
        <v>0.86394469242959437</v>
      </c>
      <c r="K950" s="144">
        <f t="shared" si="192"/>
        <v>0.8665575793241812</v>
      </c>
      <c r="L950" s="35"/>
      <c r="M950" s="35"/>
      <c r="N950" s="35"/>
    </row>
    <row r="951" spans="1:14" x14ac:dyDescent="0.3">
      <c r="A951" s="397"/>
      <c r="B951" s="94">
        <v>80</v>
      </c>
      <c r="C951" s="144">
        <f t="shared" si="192"/>
        <v>2.6544999247080425E-2</v>
      </c>
      <c r="D951" s="144">
        <f t="shared" si="192"/>
        <v>0.66392053864142131</v>
      </c>
      <c r="E951" s="144">
        <f t="shared" si="192"/>
        <v>0.78196144443189164</v>
      </c>
      <c r="F951" s="144">
        <f t="shared" si="192"/>
        <v>0.82327584892657979</v>
      </c>
      <c r="G951" s="144">
        <f t="shared" si="192"/>
        <v>0.84239851055974557</v>
      </c>
      <c r="H951" s="144">
        <f t="shared" si="192"/>
        <v>0.85278612553747879</v>
      </c>
      <c r="I951" s="144">
        <f t="shared" si="192"/>
        <v>0.85904952811153412</v>
      </c>
      <c r="J951" s="144">
        <f t="shared" si="192"/>
        <v>0.86311471653631289</v>
      </c>
      <c r="K951" s="144">
        <f t="shared" si="192"/>
        <v>0.86590179597231143</v>
      </c>
      <c r="L951" s="35"/>
      <c r="M951" s="35"/>
      <c r="N951" s="35"/>
    </row>
    <row r="952" spans="1:14" x14ac:dyDescent="0.3">
      <c r="A952" s="397"/>
      <c r="B952" s="94">
        <v>85</v>
      </c>
      <c r="C952" s="144">
        <f t="shared" si="192"/>
        <v>-2.6563164133810435E-2</v>
      </c>
      <c r="D952" s="144">
        <f t="shared" si="192"/>
        <v>0.65064099047734725</v>
      </c>
      <c r="E952" s="144">
        <f t="shared" si="192"/>
        <v>0.77605938717617184</v>
      </c>
      <c r="F952" s="144">
        <f t="shared" si="192"/>
        <v>0.81995594174521647</v>
      </c>
      <c r="G952" s="144">
        <f t="shared" si="192"/>
        <v>0.8402737707668162</v>
      </c>
      <c r="H952" s="144">
        <f t="shared" si="192"/>
        <v>0.85131061224192872</v>
      </c>
      <c r="I952" s="144">
        <f t="shared" si="192"/>
        <v>0.85796547776282983</v>
      </c>
      <c r="J952" s="144">
        <f t="shared" si="192"/>
        <v>0.86228474061654348</v>
      </c>
      <c r="K952" s="144">
        <f t="shared" si="192"/>
        <v>0.86524601260317524</v>
      </c>
      <c r="L952" s="35"/>
      <c r="M952" s="35"/>
      <c r="N952" s="35"/>
    </row>
    <row r="953" spans="1:14" x14ac:dyDescent="0.3">
      <c r="A953" s="397"/>
      <c r="B953" s="94">
        <v>90</v>
      </c>
      <c r="C953" s="144">
        <f t="shared" si="192"/>
        <v>-7.966990714391009E-2</v>
      </c>
      <c r="D953" s="144">
        <f t="shared" si="192"/>
        <v>0.63736145835987967</v>
      </c>
      <c r="E953" s="144">
        <f t="shared" si="192"/>
        <v>0.77015733042852585</v>
      </c>
      <c r="F953" s="144">
        <f t="shared" si="192"/>
        <v>0.81663603442985189</v>
      </c>
      <c r="G953" s="144">
        <f t="shared" si="192"/>
        <v>0.83814903086311765</v>
      </c>
      <c r="H953" s="144">
        <f t="shared" si="192"/>
        <v>0.84983509887832076</v>
      </c>
      <c r="I953" s="144">
        <f t="shared" si="192"/>
        <v>0.85688142737262507</v>
      </c>
      <c r="J953" s="144">
        <f t="shared" si="192"/>
        <v>0.86145476467063453</v>
      </c>
      <c r="K953" s="144">
        <f t="shared" si="192"/>
        <v>0.86459022921694451</v>
      </c>
      <c r="L953" s="35"/>
      <c r="M953" s="35"/>
      <c r="N953" s="35"/>
    </row>
    <row r="954" spans="1:14" x14ac:dyDescent="0.3">
      <c r="A954" s="397"/>
      <c r="B954" s="94">
        <v>95</v>
      </c>
      <c r="C954" s="144">
        <f t="shared" si="192"/>
        <v>-0.13277513859383594</v>
      </c>
      <c r="D954" s="144">
        <f t="shared" si="192"/>
        <v>0.62408194371568804</v>
      </c>
      <c r="E954" s="144">
        <f t="shared" si="192"/>
        <v>0.76425527431420848</v>
      </c>
      <c r="F954" s="144">
        <f t="shared" si="192"/>
        <v>0.81331612700277867</v>
      </c>
      <c r="G954" s="144">
        <f t="shared" si="192"/>
        <v>0.83602429085449392</v>
      </c>
      <c r="H954" s="144">
        <f t="shared" si="192"/>
        <v>0.84835958544861201</v>
      </c>
      <c r="I954" s="144">
        <f t="shared" si="192"/>
        <v>0.855797376941696</v>
      </c>
      <c r="J954" s="144">
        <f t="shared" si="192"/>
        <v>0.86062478869893444</v>
      </c>
      <c r="K954" s="144">
        <f t="shared" si="192"/>
        <v>0.86393444581379075</v>
      </c>
      <c r="L954" s="35"/>
      <c r="M954" s="35"/>
      <c r="N954" s="35"/>
    </row>
    <row r="955" spans="1:14" x14ac:dyDescent="0.3">
      <c r="A955" s="397"/>
      <c r="B955" s="94">
        <v>100</v>
      </c>
      <c r="C955" s="144">
        <f t="shared" si="192"/>
        <v>-0.18587876730978359</v>
      </c>
      <c r="D955" s="144">
        <f t="shared" si="192"/>
        <v>0.6108024479714308</v>
      </c>
      <c r="E955" s="144">
        <f t="shared" si="192"/>
        <v>0.75835321895847463</v>
      </c>
      <c r="F955" s="144">
        <f t="shared" si="192"/>
        <v>0.80999621948628964</v>
      </c>
      <c r="G955" s="144">
        <f t="shared" si="192"/>
        <v>0.8338995507467889</v>
      </c>
      <c r="H955" s="144">
        <f t="shared" si="192"/>
        <v>0.84688407195475968</v>
      </c>
      <c r="I955" s="144">
        <f t="shared" si="192"/>
        <v>0.85471332647081855</v>
      </c>
      <c r="J955" s="144">
        <f t="shared" si="192"/>
        <v>0.85979481270179148</v>
      </c>
      <c r="K955" s="144">
        <f t="shared" si="192"/>
        <v>0.86327866239388618</v>
      </c>
      <c r="L955" s="35"/>
      <c r="M955" s="35"/>
      <c r="N955" s="35"/>
    </row>
    <row r="956" spans="1:14" x14ac:dyDescent="0.3">
      <c r="A956" s="7"/>
      <c r="B956" s="37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</row>
    <row r="957" spans="1:14" x14ac:dyDescent="0.3">
      <c r="A957" s="357" t="s">
        <v>742</v>
      </c>
      <c r="B957" s="358"/>
      <c r="C957" s="358"/>
      <c r="D957" s="358"/>
      <c r="E957" s="358"/>
      <c r="F957" s="358"/>
      <c r="G957" s="358"/>
      <c r="H957" s="358"/>
      <c r="I957" s="358"/>
      <c r="J957" s="358"/>
      <c r="K957" s="359"/>
      <c r="L957" s="35"/>
      <c r="M957" s="35"/>
      <c r="N957" s="35"/>
    </row>
    <row r="958" spans="1:14" x14ac:dyDescent="0.3">
      <c r="A958" s="360"/>
      <c r="B958" s="361"/>
      <c r="C958" s="364" t="s">
        <v>230</v>
      </c>
      <c r="D958" s="365"/>
      <c r="E958" s="365"/>
      <c r="F958" s="365"/>
      <c r="G958" s="365"/>
      <c r="H958" s="365"/>
      <c r="I958" s="365"/>
      <c r="J958" s="365"/>
      <c r="K958" s="366"/>
      <c r="L958" s="35"/>
      <c r="M958" s="35"/>
      <c r="N958" s="35"/>
    </row>
    <row r="959" spans="1:14" x14ac:dyDescent="0.3">
      <c r="A959" s="362"/>
      <c r="B959" s="363"/>
      <c r="C959" s="94">
        <v>5</v>
      </c>
      <c r="D959" s="94">
        <v>10</v>
      </c>
      <c r="E959" s="94">
        <v>15</v>
      </c>
      <c r="F959" s="94">
        <v>20</v>
      </c>
      <c r="G959" s="94">
        <v>25</v>
      </c>
      <c r="H959" s="94">
        <v>30</v>
      </c>
      <c r="I959" s="94">
        <v>35</v>
      </c>
      <c r="J959" s="94">
        <v>40</v>
      </c>
      <c r="K959" s="94">
        <v>45</v>
      </c>
      <c r="L959" s="35"/>
      <c r="M959" s="35"/>
      <c r="N959" s="35"/>
    </row>
    <row r="960" spans="1:14" x14ac:dyDescent="0.3">
      <c r="A960" s="397" t="s">
        <v>231</v>
      </c>
      <c r="B960" s="94">
        <v>5</v>
      </c>
      <c r="C960" s="144">
        <f>RADIANS(C936)</f>
        <v>1.4368874215920242E-2</v>
      </c>
      <c r="D960" s="144">
        <f t="shared" ref="D960:K960" si="193">RADIANS(D936)</f>
        <v>1.5064193625976207E-2</v>
      </c>
      <c r="E960" s="144">
        <f t="shared" si="193"/>
        <v>1.5192956382841835E-2</v>
      </c>
      <c r="F960" s="144">
        <f t="shared" si="193"/>
        <v>1.5238023338325041E-2</v>
      </c>
      <c r="G960" s="144">
        <f t="shared" si="193"/>
        <v>1.5258882898834451E-2</v>
      </c>
      <c r="H960" s="144">
        <f t="shared" si="193"/>
        <v>1.5270214017651856E-2</v>
      </c>
      <c r="I960" s="144">
        <f t="shared" si="193"/>
        <v>1.5277046324754443E-2</v>
      </c>
      <c r="J960" s="144">
        <f t="shared" si="193"/>
        <v>1.5281480754779433E-2</v>
      </c>
      <c r="K960" s="144">
        <f t="shared" si="193"/>
        <v>1.5284520985375661E-2</v>
      </c>
      <c r="L960" s="35"/>
      <c r="M960" s="35"/>
      <c r="N960" s="35"/>
    </row>
    <row r="961" spans="1:14" x14ac:dyDescent="0.3">
      <c r="A961" s="397"/>
      <c r="B961" s="94">
        <v>10</v>
      </c>
      <c r="C961" s="144">
        <f t="shared" ref="C961:K979" si="194">RADIANS(C937)</f>
        <v>1.3441781174347687E-2</v>
      </c>
      <c r="D961" s="144">
        <f t="shared" si="194"/>
        <v>1.4832420574438267E-2</v>
      </c>
      <c r="E961" s="144">
        <f t="shared" si="194"/>
        <v>1.5089946180408157E-2</v>
      </c>
      <c r="F961" s="144">
        <f t="shared" si="194"/>
        <v>1.5180080108920692E-2</v>
      </c>
      <c r="G961" s="144">
        <f t="shared" si="194"/>
        <v>1.5221799234938344E-2</v>
      </c>
      <c r="H961" s="144">
        <f t="shared" si="194"/>
        <v>1.5244461474403998E-2</v>
      </c>
      <c r="I961" s="144">
        <f t="shared" si="194"/>
        <v>1.5258126089402474E-2</v>
      </c>
      <c r="J961" s="144">
        <f t="shared" si="194"/>
        <v>1.5266994949840022E-2</v>
      </c>
      <c r="K961" s="144">
        <f t="shared" si="194"/>
        <v>1.5273075411239628E-2</v>
      </c>
      <c r="L961" s="35"/>
      <c r="M961" s="35"/>
      <c r="N961" s="35"/>
    </row>
    <row r="962" spans="1:14" x14ac:dyDescent="0.3">
      <c r="A962" s="397"/>
      <c r="B962" s="94">
        <v>15</v>
      </c>
      <c r="C962" s="144">
        <f t="shared" si="194"/>
        <v>1.2514689028121697E-2</v>
      </c>
      <c r="D962" s="144">
        <f t="shared" si="194"/>
        <v>1.4600647429452577E-2</v>
      </c>
      <c r="E962" s="144">
        <f t="shared" si="194"/>
        <v>1.4986935954050411E-2</v>
      </c>
      <c r="F962" s="144">
        <f t="shared" si="194"/>
        <v>1.5122136871341389E-2</v>
      </c>
      <c r="G962" s="144">
        <f t="shared" si="194"/>
        <v>1.5184715567579034E-2</v>
      </c>
      <c r="H962" s="144">
        <f t="shared" si="194"/>
        <v>1.5218708929455938E-2</v>
      </c>
      <c r="I962" s="144">
        <f t="shared" si="194"/>
        <v>1.5239205853122996E-2</v>
      </c>
      <c r="J962" s="144">
        <f t="shared" si="194"/>
        <v>1.5252509144353197E-2</v>
      </c>
      <c r="K962" s="144">
        <f t="shared" si="194"/>
        <v>1.5261629836760257E-2</v>
      </c>
      <c r="L962" s="35"/>
      <c r="M962" s="35"/>
      <c r="N962" s="35"/>
    </row>
    <row r="963" spans="1:14" x14ac:dyDescent="0.3">
      <c r="A963" s="397"/>
      <c r="B963" s="94">
        <v>20</v>
      </c>
      <c r="C963" s="144">
        <f t="shared" si="194"/>
        <v>1.1587599370907042E-2</v>
      </c>
      <c r="D963" s="144">
        <f t="shared" si="194"/>
        <v>1.4368874215920242E-2</v>
      </c>
      <c r="E963" s="144">
        <f t="shared" si="194"/>
        <v>1.4883925705954702E-2</v>
      </c>
      <c r="F963" s="144">
        <f t="shared" si="194"/>
        <v>1.5064193625976207E-2</v>
      </c>
      <c r="G963" s="144">
        <f t="shared" si="194"/>
        <v>1.5147631896858511E-2</v>
      </c>
      <c r="H963" s="144">
        <f t="shared" si="194"/>
        <v>1.5192956382841835E-2</v>
      </c>
      <c r="I963" s="144">
        <f t="shared" si="194"/>
        <v>1.5220285615929556E-2</v>
      </c>
      <c r="J963" s="144">
        <f t="shared" si="194"/>
        <v>1.5238023338325041E-2</v>
      </c>
      <c r="K963" s="144">
        <f t="shared" si="194"/>
        <v>1.5250184261940542E-2</v>
      </c>
      <c r="L963" s="35"/>
      <c r="M963" s="35"/>
      <c r="N963" s="35"/>
    </row>
    <row r="964" spans="1:14" x14ac:dyDescent="0.3">
      <c r="A964" s="397"/>
      <c r="B964" s="94">
        <v>25</v>
      </c>
      <c r="C964" s="144">
        <f t="shared" si="194"/>
        <v>1.0660513796342827E-2</v>
      </c>
      <c r="D964" s="144">
        <f t="shared" si="194"/>
        <v>1.4137100958742406E-2</v>
      </c>
      <c r="E964" s="144">
        <f t="shared" si="194"/>
        <v>1.4780915438307127E-2</v>
      </c>
      <c r="F964" s="144">
        <f t="shared" si="194"/>
        <v>1.5006250373214224E-2</v>
      </c>
      <c r="G964" s="144">
        <f t="shared" si="194"/>
        <v>1.5110548222878771E-2</v>
      </c>
      <c r="H964" s="144">
        <f t="shared" si="194"/>
        <v>1.516720383459585E-2</v>
      </c>
      <c r="I964" s="144">
        <f t="shared" si="194"/>
        <v>1.5201365377835696E-2</v>
      </c>
      <c r="J964" s="144">
        <f t="shared" si="194"/>
        <v>1.5223537531761634E-2</v>
      </c>
      <c r="K964" s="144">
        <f t="shared" si="194"/>
        <v>1.5238738686783488E-2</v>
      </c>
      <c r="L964" s="35"/>
      <c r="M964" s="35"/>
      <c r="N964" s="35"/>
    </row>
    <row r="965" spans="1:14" x14ac:dyDescent="0.3">
      <c r="A965" s="397"/>
      <c r="B965" s="94">
        <v>30</v>
      </c>
      <c r="C965" s="144">
        <f t="shared" si="194"/>
        <v>9.7334338980260369E-3</v>
      </c>
      <c r="D965" s="144">
        <f t="shared" si="194"/>
        <v>1.3905327682820245E-2</v>
      </c>
      <c r="E965" s="144">
        <f t="shared" si="194"/>
        <v>1.4677905153293787E-2</v>
      </c>
      <c r="F965" s="144">
        <f t="shared" si="194"/>
        <v>1.4948307113444522E-2</v>
      </c>
      <c r="G965" s="144">
        <f t="shared" si="194"/>
        <v>1.5073464545741809E-2</v>
      </c>
      <c r="H965" s="144">
        <f t="shared" si="194"/>
        <v>1.5141451284752134E-2</v>
      </c>
      <c r="I965" s="144">
        <f t="shared" si="194"/>
        <v>1.5182445138854967E-2</v>
      </c>
      <c r="J965" s="144">
        <f t="shared" si="194"/>
        <v>1.5209051724669053E-2</v>
      </c>
      <c r="K965" s="144">
        <f t="shared" si="194"/>
        <v>1.5227293111292093E-2</v>
      </c>
      <c r="L965" s="35"/>
      <c r="M965" s="35"/>
      <c r="N965" s="35"/>
    </row>
    <row r="966" spans="1:14" x14ac:dyDescent="0.3">
      <c r="A966" s="397"/>
      <c r="B966" s="94">
        <v>35</v>
      </c>
      <c r="C966" s="144">
        <f t="shared" si="194"/>
        <v>8.8063612694951315E-3</v>
      </c>
      <c r="D966" s="144">
        <f t="shared" si="194"/>
        <v>1.3673554413054945E-2</v>
      </c>
      <c r="E966" s="144">
        <f t="shared" si="194"/>
        <v>1.4574894853100788E-2</v>
      </c>
      <c r="F966" s="144">
        <f t="shared" si="194"/>
        <v>1.4890363847056175E-2</v>
      </c>
      <c r="G966" s="144">
        <f t="shared" si="194"/>
        <v>1.503638086554962E-2</v>
      </c>
      <c r="H966" s="144">
        <f t="shared" si="194"/>
        <v>1.511569873334485E-2</v>
      </c>
      <c r="I966" s="144">
        <f t="shared" si="194"/>
        <v>1.5163524899000913E-2</v>
      </c>
      <c r="J966" s="144">
        <f t="shared" si="194"/>
        <v>1.519456591705338E-2</v>
      </c>
      <c r="K966" s="144">
        <f t="shared" si="194"/>
        <v>1.5215847535469352E-2</v>
      </c>
      <c r="L966" s="35"/>
      <c r="M966" s="35"/>
      <c r="N966" s="35"/>
    </row>
    <row r="967" spans="1:14" x14ac:dyDescent="0.3">
      <c r="A967" s="397"/>
      <c r="B967" s="94">
        <v>40</v>
      </c>
      <c r="C967" s="144">
        <f t="shared" si="194"/>
        <v>7.8792975042135706E-3</v>
      </c>
      <c r="D967" s="144">
        <f t="shared" si="194"/>
        <v>1.3441781174347687E-2</v>
      </c>
      <c r="E967" s="144">
        <f t="shared" si="194"/>
        <v>1.4471884539914236E-2</v>
      </c>
      <c r="F967" s="144">
        <f t="shared" si="194"/>
        <v>1.4832420574438267E-2</v>
      </c>
      <c r="G967" s="144">
        <f t="shared" si="194"/>
        <v>1.4999297182404199E-2</v>
      </c>
      <c r="H967" s="144">
        <f t="shared" si="194"/>
        <v>1.5089946180408157E-2</v>
      </c>
      <c r="I967" s="144">
        <f t="shared" si="194"/>
        <v>1.5144604658287078E-2</v>
      </c>
      <c r="J967" s="144">
        <f t="shared" si="194"/>
        <v>1.5180080108920692E-2</v>
      </c>
      <c r="K967" s="144">
        <f t="shared" si="194"/>
        <v>1.5204401959318267E-2</v>
      </c>
      <c r="L967" s="35"/>
      <c r="M967" s="35"/>
      <c r="N967" s="35"/>
    </row>
    <row r="968" spans="1:14" x14ac:dyDescent="0.3">
      <c r="A968" s="397"/>
      <c r="B968" s="94">
        <v>45</v>
      </c>
      <c r="C968" s="144">
        <f t="shared" si="194"/>
        <v>6.9522441955534343E-3</v>
      </c>
      <c r="D968" s="144">
        <f t="shared" si="194"/>
        <v>1.3210007991599635E-2</v>
      </c>
      <c r="E968" s="144">
        <f t="shared" si="194"/>
        <v>1.4368874215920242E-2</v>
      </c>
      <c r="F968" s="144">
        <f t="shared" si="194"/>
        <v>1.4774477295979872E-2</v>
      </c>
      <c r="G968" s="144">
        <f t="shared" si="194"/>
        <v>1.4962213496407539E-2</v>
      </c>
      <c r="H968" s="144">
        <f t="shared" si="194"/>
        <v>1.5064193625976207E-2</v>
      </c>
      <c r="I968" s="144">
        <f t="shared" si="194"/>
        <v>1.5125684416727011E-2</v>
      </c>
      <c r="J968" s="144">
        <f t="shared" si="194"/>
        <v>1.516559430027707E-2</v>
      </c>
      <c r="K968" s="144">
        <f t="shared" si="194"/>
        <v>1.5192956382841835E-2</v>
      </c>
      <c r="L968" s="35"/>
      <c r="M968" s="35"/>
      <c r="N968" s="35"/>
    </row>
    <row r="969" spans="1:14" x14ac:dyDescent="0.3">
      <c r="A969" s="397"/>
      <c r="B969" s="94">
        <v>50</v>
      </c>
      <c r="C969" s="144">
        <f t="shared" si="194"/>
        <v>6.0252029367789377E-3</v>
      </c>
      <c r="D969" s="144">
        <f t="shared" si="194"/>
        <v>1.2978234889711913E-2</v>
      </c>
      <c r="E969" s="144">
        <f t="shared" si="194"/>
        <v>1.4265863883304914E-2</v>
      </c>
      <c r="F969" s="144">
        <f t="shared" si="194"/>
        <v>1.4716534012070072E-2</v>
      </c>
      <c r="G969" s="144">
        <f t="shared" si="194"/>
        <v>1.4925129807661633E-2</v>
      </c>
      <c r="H969" s="144">
        <f t="shared" si="194"/>
        <v>1.5038441070083161E-2</v>
      </c>
      <c r="I969" s="144">
        <f t="shared" si="194"/>
        <v>1.5106764174334257E-2</v>
      </c>
      <c r="J969" s="144">
        <f t="shared" si="194"/>
        <v>1.5151108491128593E-2</v>
      </c>
      <c r="K969" s="144">
        <f t="shared" si="194"/>
        <v>1.5181510806043056E-2</v>
      </c>
      <c r="L969" s="35"/>
      <c r="M969" s="35"/>
      <c r="N969" s="35"/>
    </row>
    <row r="970" spans="1:14" x14ac:dyDescent="0.3">
      <c r="A970" s="397"/>
      <c r="B970" s="94">
        <v>55</v>
      </c>
      <c r="C970" s="144">
        <f t="shared" si="194"/>
        <v>5.0981753210300532E-3</v>
      </c>
      <c r="D970" s="144">
        <f t="shared" si="194"/>
        <v>1.2746461893585598E-2</v>
      </c>
      <c r="E970" s="144">
        <f t="shared" si="194"/>
        <v>1.4162853544254363E-2</v>
      </c>
      <c r="F970" s="144">
        <f t="shared" si="194"/>
        <v>1.4658590723097947E-2</v>
      </c>
      <c r="G970" s="144">
        <f t="shared" si="194"/>
        <v>1.4888046116268478E-2</v>
      </c>
      <c r="H970" s="144">
        <f t="shared" si="194"/>
        <v>1.5012688512763177E-2</v>
      </c>
      <c r="I970" s="144">
        <f t="shared" si="194"/>
        <v>1.508784393112236E-2</v>
      </c>
      <c r="J970" s="144">
        <f t="shared" si="194"/>
        <v>1.5136622681481339E-2</v>
      </c>
      <c r="K970" s="144">
        <f t="shared" si="194"/>
        <v>1.5170065228924926E-2</v>
      </c>
      <c r="L970" s="35"/>
      <c r="M970" s="35"/>
      <c r="N970" s="35"/>
    </row>
    <row r="971" spans="1:14" x14ac:dyDescent="0.3">
      <c r="A971" s="397"/>
      <c r="B971" s="94">
        <v>60</v>
      </c>
      <c r="C971" s="144">
        <f t="shared" si="194"/>
        <v>4.1711629413060513E-3</v>
      </c>
      <c r="D971" s="144">
        <f t="shared" si="194"/>
        <v>1.2514689028121697E-2</v>
      </c>
      <c r="E971" s="144">
        <f t="shared" si="194"/>
        <v>1.40598432009547E-2</v>
      </c>
      <c r="F971" s="144">
        <f t="shared" si="194"/>
        <v>1.4600647429452577E-2</v>
      </c>
      <c r="G971" s="144">
        <f t="shared" si="194"/>
        <v>1.4850962422330067E-2</v>
      </c>
      <c r="H971" s="144">
        <f t="shared" si="194"/>
        <v>1.4986935954050411E-2</v>
      </c>
      <c r="I971" s="144">
        <f t="shared" si="194"/>
        <v>1.5068923687104866E-2</v>
      </c>
      <c r="J971" s="144">
        <f t="shared" si="194"/>
        <v>1.5122136871341389E-2</v>
      </c>
      <c r="K971" s="144">
        <f t="shared" si="194"/>
        <v>1.5158619651490448E-2</v>
      </c>
      <c r="L971" s="35"/>
      <c r="M971" s="35"/>
      <c r="N971" s="35"/>
    </row>
    <row r="972" spans="1:14" x14ac:dyDescent="0.3">
      <c r="A972" s="397"/>
      <c r="B972" s="94">
        <v>65</v>
      </c>
      <c r="C972" s="144">
        <f t="shared" si="194"/>
        <v>3.2441673904491037E-3</v>
      </c>
      <c r="D972" s="144">
        <f t="shared" si="194"/>
        <v>1.2282916318221128E-2</v>
      </c>
      <c r="E972" s="144">
        <f t="shared" si="194"/>
        <v>1.3956832855592041E-2</v>
      </c>
      <c r="F972" s="144">
        <f t="shared" si="194"/>
        <v>1.4542704131523041E-2</v>
      </c>
      <c r="G972" s="144">
        <f t="shared" si="194"/>
        <v>1.4813878725948399E-2</v>
      </c>
      <c r="H972" s="144">
        <f t="shared" si="194"/>
        <v>1.4961183393979024E-2</v>
      </c>
      <c r="I972" s="144">
        <f t="shared" si="194"/>
        <v>1.5050003442295323E-2</v>
      </c>
      <c r="J972" s="144">
        <f t="shared" si="194"/>
        <v>1.510765106071482E-2</v>
      </c>
      <c r="K972" s="144">
        <f t="shared" si="194"/>
        <v>1.5147174073742619E-2</v>
      </c>
      <c r="L972" s="35"/>
      <c r="M972" s="35"/>
      <c r="N972" s="35"/>
    </row>
    <row r="973" spans="1:14" x14ac:dyDescent="0.3">
      <c r="A973" s="397"/>
      <c r="B973" s="94">
        <v>70</v>
      </c>
      <c r="C973" s="144">
        <f t="shared" si="194"/>
        <v>2.3171902611278557E-3</v>
      </c>
      <c r="D973" s="144">
        <f t="shared" si="194"/>
        <v>1.2051143788784713E-2</v>
      </c>
      <c r="E973" s="144">
        <f t="shared" si="194"/>
        <v>1.3853822510352493E-2</v>
      </c>
      <c r="F973" s="144">
        <f t="shared" si="194"/>
        <v>1.448476082969842E-2</v>
      </c>
      <c r="G973" s="144">
        <f t="shared" si="194"/>
        <v>1.4776795027225465E-2</v>
      </c>
      <c r="H973" s="144">
        <f t="shared" si="194"/>
        <v>1.4935430832583172E-2</v>
      </c>
      <c r="I973" s="144">
        <f t="shared" si="194"/>
        <v>1.5031083196707278E-2</v>
      </c>
      <c r="J973" s="144">
        <f t="shared" si="194"/>
        <v>1.5093165249607715E-2</v>
      </c>
      <c r="K973" s="144">
        <f t="shared" si="194"/>
        <v>1.5135728495684437E-2</v>
      </c>
      <c r="L973" s="35"/>
      <c r="M973" s="35"/>
      <c r="N973" s="35"/>
    </row>
    <row r="974" spans="1:14" x14ac:dyDescent="0.3">
      <c r="A974" s="397"/>
      <c r="B974" s="94">
        <v>75</v>
      </c>
      <c r="C974" s="144">
        <f t="shared" si="194"/>
        <v>1.3902331458210231E-3</v>
      </c>
      <c r="D974" s="144">
        <f t="shared" si="194"/>
        <v>1.1819371464713162E-2</v>
      </c>
      <c r="E974" s="144">
        <f t="shared" si="194"/>
        <v>1.3750812167422173E-2</v>
      </c>
      <c r="F974" s="144">
        <f t="shared" si="194"/>
        <v>1.4426817524367794E-2</v>
      </c>
      <c r="G974" s="144">
        <f t="shared" si="194"/>
        <v>1.473971132626326E-2</v>
      </c>
      <c r="H974" s="144">
        <f t="shared" si="194"/>
        <v>1.4909678269897012E-2</v>
      </c>
      <c r="I974" s="144">
        <f t="shared" si="194"/>
        <v>1.5012162950354275E-2</v>
      </c>
      <c r="J974" s="144">
        <f t="shared" si="194"/>
        <v>1.5078679438026151E-2</v>
      </c>
      <c r="K974" s="144">
        <f t="shared" si="194"/>
        <v>1.5124282917318901E-2</v>
      </c>
      <c r="L974" s="35"/>
      <c r="M974" s="35"/>
      <c r="N974" s="35"/>
    </row>
    <row r="975" spans="1:14" x14ac:dyDescent="0.3">
      <c r="A975" s="397"/>
      <c r="B975" s="94">
        <v>80</v>
      </c>
      <c r="C975" s="144">
        <f t="shared" si="194"/>
        <v>4.6329763680096921E-4</v>
      </c>
      <c r="D975" s="144">
        <f t="shared" si="194"/>
        <v>1.1587599370907042E-2</v>
      </c>
      <c r="E975" s="144">
        <f t="shared" si="194"/>
        <v>1.3647801828987189E-2</v>
      </c>
      <c r="F975" s="144">
        <f t="shared" si="194"/>
        <v>1.4368874215920242E-2</v>
      </c>
      <c r="G975" s="144">
        <f t="shared" si="194"/>
        <v>1.470262762316378E-2</v>
      </c>
      <c r="H975" s="144">
        <f t="shared" si="194"/>
        <v>1.4883925705954702E-2</v>
      </c>
      <c r="I975" s="144">
        <f t="shared" si="194"/>
        <v>1.4993242703249856E-2</v>
      </c>
      <c r="J975" s="144">
        <f t="shared" si="194"/>
        <v>1.5064193625976207E-2</v>
      </c>
      <c r="K975" s="144">
        <f t="shared" si="194"/>
        <v>1.5112837338649009E-2</v>
      </c>
      <c r="L975" s="35"/>
      <c r="M975" s="35"/>
      <c r="N975" s="35"/>
    </row>
    <row r="976" spans="1:14" x14ac:dyDescent="0.3">
      <c r="A976" s="397"/>
      <c r="B976" s="94">
        <v>85</v>
      </c>
      <c r="C976" s="144">
        <f t="shared" si="194"/>
        <v>-4.6361467388265969E-4</v>
      </c>
      <c r="D976" s="144">
        <f t="shared" si="194"/>
        <v>1.1355827532266782E-2</v>
      </c>
      <c r="E976" s="144">
        <f t="shared" si="194"/>
        <v>1.3544791497233657E-2</v>
      </c>
      <c r="F976" s="144">
        <f t="shared" si="194"/>
        <v>1.4310930904744846E-2</v>
      </c>
      <c r="G976" s="144">
        <f t="shared" si="194"/>
        <v>1.466554391802902E-2</v>
      </c>
      <c r="H976" s="144">
        <f t="shared" si="194"/>
        <v>1.4858173140790402E-2</v>
      </c>
      <c r="I976" s="144">
        <f t="shared" si="194"/>
        <v>1.4974322455407574E-2</v>
      </c>
      <c r="J976" s="144">
        <f t="shared" si="194"/>
        <v>1.5049707813463964E-2</v>
      </c>
      <c r="K976" s="144">
        <f t="shared" si="194"/>
        <v>1.510139175967776E-2</v>
      </c>
      <c r="L976" s="35"/>
      <c r="M976" s="35"/>
      <c r="N976" s="35"/>
    </row>
    <row r="977" spans="1:14" x14ac:dyDescent="0.3">
      <c r="A977" s="397"/>
      <c r="B977" s="94">
        <v>90</v>
      </c>
      <c r="C977" s="144">
        <f t="shared" si="194"/>
        <v>-1.390502194419383E-3</v>
      </c>
      <c r="D977" s="144">
        <f t="shared" si="194"/>
        <v>1.1124055973692638E-2</v>
      </c>
      <c r="E977" s="144">
        <f t="shared" si="194"/>
        <v>1.3441781174347687E-2</v>
      </c>
      <c r="F977" s="144">
        <f t="shared" si="194"/>
        <v>1.4252987591230689E-2</v>
      </c>
      <c r="G977" s="144">
        <f t="shared" si="194"/>
        <v>1.4628460210960974E-2</v>
      </c>
      <c r="H977" s="144">
        <f t="shared" si="194"/>
        <v>1.4832420574438267E-2</v>
      </c>
      <c r="I977" s="144">
        <f t="shared" si="194"/>
        <v>1.4955402206840971E-2</v>
      </c>
      <c r="J977" s="144">
        <f t="shared" si="194"/>
        <v>1.5035222000495497E-2</v>
      </c>
      <c r="K977" s="144">
        <f t="shared" si="194"/>
        <v>1.5089946180408157E-2</v>
      </c>
      <c r="L977" s="35"/>
      <c r="M977" s="35"/>
      <c r="N977" s="35"/>
    </row>
    <row r="978" spans="1:14" x14ac:dyDescent="0.3">
      <c r="A978" s="397"/>
      <c r="B978" s="94">
        <v>95</v>
      </c>
      <c r="C978" s="144">
        <f t="shared" si="194"/>
        <v>-2.3173633332542313E-3</v>
      </c>
      <c r="D978" s="144">
        <f t="shared" si="194"/>
        <v>1.089228472008469E-2</v>
      </c>
      <c r="E978" s="144">
        <f t="shared" si="194"/>
        <v>1.3338770862515387E-2</v>
      </c>
      <c r="F978" s="144">
        <f t="shared" si="194"/>
        <v>1.4195044275766849E-2</v>
      </c>
      <c r="G978" s="144">
        <f t="shared" si="194"/>
        <v>1.4591376502061637E-2</v>
      </c>
      <c r="H978" s="144">
        <f t="shared" si="194"/>
        <v>1.4806668006932455E-2</v>
      </c>
      <c r="I978" s="144">
        <f t="shared" si="194"/>
        <v>1.4936481957563596E-2</v>
      </c>
      <c r="J978" s="144">
        <f t="shared" si="194"/>
        <v>1.5020736187076892E-2</v>
      </c>
      <c r="K978" s="144">
        <f t="shared" si="194"/>
        <v>1.5078500600843191E-2</v>
      </c>
      <c r="L978" s="35"/>
      <c r="M978" s="35"/>
      <c r="N978" s="35"/>
    </row>
    <row r="979" spans="1:14" x14ac:dyDescent="0.3">
      <c r="A979" s="397"/>
      <c r="B979" s="94">
        <v>100</v>
      </c>
      <c r="C979" s="144">
        <f t="shared" si="194"/>
        <v>-3.2441964991041261E-3</v>
      </c>
      <c r="D979" s="144">
        <f t="shared" si="194"/>
        <v>1.0660513796342827E-2</v>
      </c>
      <c r="E979" s="144">
        <f t="shared" si="194"/>
        <v>1.3235760563922866E-2</v>
      </c>
      <c r="F979" s="144">
        <f t="shared" si="194"/>
        <v>1.4137100958742406E-2</v>
      </c>
      <c r="G979" s="144">
        <f t="shared" si="194"/>
        <v>1.4554292791433006E-2</v>
      </c>
      <c r="H979" s="144">
        <f t="shared" si="194"/>
        <v>1.4780915438307127E-2</v>
      </c>
      <c r="I979" s="144">
        <f t="shared" si="194"/>
        <v>1.4917561707588988E-2</v>
      </c>
      <c r="J979" s="144">
        <f t="shared" si="194"/>
        <v>1.5006250373214224E-2</v>
      </c>
      <c r="K979" s="144">
        <f t="shared" si="194"/>
        <v>1.5067055020985867E-2</v>
      </c>
      <c r="L979" s="35"/>
      <c r="M979" s="35"/>
      <c r="N979" s="35"/>
    </row>
    <row r="980" spans="1:14" x14ac:dyDescent="0.3">
      <c r="A980" s="7"/>
      <c r="B980" s="37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</row>
    <row r="981" spans="1:14" x14ac:dyDescent="0.3">
      <c r="A981" s="357" t="s">
        <v>741</v>
      </c>
      <c r="B981" s="358"/>
      <c r="C981" s="358"/>
      <c r="D981" s="358"/>
      <c r="E981" s="358"/>
      <c r="F981" s="358"/>
      <c r="G981" s="358"/>
      <c r="H981" s="358"/>
      <c r="I981" s="358"/>
      <c r="J981" s="358"/>
      <c r="K981" s="359"/>
      <c r="L981" s="35"/>
      <c r="M981" s="35"/>
      <c r="N981" s="35"/>
    </row>
    <row r="982" spans="1:14" x14ac:dyDescent="0.3">
      <c r="A982" s="360"/>
      <c r="B982" s="361"/>
      <c r="C982" s="364" t="s">
        <v>230</v>
      </c>
      <c r="D982" s="365"/>
      <c r="E982" s="365"/>
      <c r="F982" s="365"/>
      <c r="G982" s="365"/>
      <c r="H982" s="365"/>
      <c r="I982" s="365"/>
      <c r="J982" s="365"/>
      <c r="K982" s="366"/>
      <c r="L982" s="35"/>
      <c r="M982" s="35"/>
      <c r="N982" s="35"/>
    </row>
    <row r="983" spans="1:14" x14ac:dyDescent="0.3">
      <c r="A983" s="362"/>
      <c r="B983" s="363"/>
      <c r="C983" s="94">
        <v>5</v>
      </c>
      <c r="D983" s="94">
        <v>10</v>
      </c>
      <c r="E983" s="94">
        <v>15</v>
      </c>
      <c r="F983" s="94">
        <v>20</v>
      </c>
      <c r="G983" s="94">
        <v>25</v>
      </c>
      <c r="H983" s="94">
        <v>30</v>
      </c>
      <c r="I983" s="94">
        <v>35</v>
      </c>
      <c r="J983" s="94">
        <v>40</v>
      </c>
      <c r="K983" s="94">
        <v>45</v>
      </c>
      <c r="L983" s="35"/>
      <c r="M983" s="35"/>
      <c r="N983" s="35"/>
    </row>
    <row r="984" spans="1:14" x14ac:dyDescent="0.3">
      <c r="A984" s="397" t="s">
        <v>231</v>
      </c>
      <c r="B984" s="94">
        <v>5</v>
      </c>
      <c r="C984" s="144">
        <f>0.4*ABS(C960)*$D$53</f>
        <v>9.3032712998397198</v>
      </c>
      <c r="D984" s="144">
        <f t="shared" ref="D984:K984" si="195">0.4*ABS(D960)*$D$53</f>
        <v>9.7534628050745535</v>
      </c>
      <c r="E984" s="144">
        <f t="shared" si="195"/>
        <v>9.8368315396347743</v>
      </c>
      <c r="F984" s="144">
        <f t="shared" si="195"/>
        <v>9.866010590631932</v>
      </c>
      <c r="G984" s="144">
        <f t="shared" si="195"/>
        <v>9.8795163216793522</v>
      </c>
      <c r="H984" s="144">
        <f t="shared" si="195"/>
        <v>9.88685276786887</v>
      </c>
      <c r="I984" s="144">
        <f t="shared" si="195"/>
        <v>9.891276413425512</v>
      </c>
      <c r="J984" s="144">
        <f t="shared" si="195"/>
        <v>9.8941475294894907</v>
      </c>
      <c r="K984" s="144">
        <f t="shared" si="195"/>
        <v>9.8961159571913253</v>
      </c>
      <c r="L984" s="35"/>
      <c r="M984" s="35"/>
      <c r="N984" s="35"/>
    </row>
    <row r="985" spans="1:14" x14ac:dyDescent="0.3">
      <c r="A985" s="397"/>
      <c r="B985" s="94">
        <v>10</v>
      </c>
      <c r="C985" s="144">
        <f t="shared" ref="C985:K1003" si="196">0.4*ABS(C961)*$D$53</f>
        <v>8.7030156391431532</v>
      </c>
      <c r="D985" s="144">
        <f t="shared" si="196"/>
        <v>9.6033990251257997</v>
      </c>
      <c r="E985" s="144">
        <f t="shared" si="196"/>
        <v>9.770136553967065</v>
      </c>
      <c r="F985" s="144">
        <f t="shared" si="196"/>
        <v>9.8284946673217917</v>
      </c>
      <c r="G985" s="144">
        <f t="shared" si="196"/>
        <v>9.855506132653181</v>
      </c>
      <c r="H985" s="144">
        <f t="shared" si="196"/>
        <v>9.8701790262176115</v>
      </c>
      <c r="I985" s="144">
        <f t="shared" si="196"/>
        <v>9.8790263178445255</v>
      </c>
      <c r="J985" s="144">
        <f t="shared" si="196"/>
        <v>9.8847685502234199</v>
      </c>
      <c r="K985" s="144">
        <f t="shared" si="196"/>
        <v>9.8887054057612094</v>
      </c>
      <c r="L985" s="35"/>
      <c r="M985" s="35"/>
      <c r="N985" s="35"/>
    </row>
    <row r="986" spans="1:14" x14ac:dyDescent="0.3">
      <c r="A986" s="397"/>
      <c r="B986" s="94">
        <v>15</v>
      </c>
      <c r="C986" s="144">
        <f t="shared" si="196"/>
        <v>8.1027605581476738</v>
      </c>
      <c r="D986" s="144">
        <f t="shared" si="196"/>
        <v>9.4533351846733655</v>
      </c>
      <c r="E986" s="144">
        <f t="shared" si="196"/>
        <v>9.7034415528094797</v>
      </c>
      <c r="F986" s="144">
        <f t="shared" si="196"/>
        <v>9.790978738718696</v>
      </c>
      <c r="G986" s="144">
        <f t="shared" si="196"/>
        <v>9.8314959413847198</v>
      </c>
      <c r="H986" s="144">
        <f t="shared" si="196"/>
        <v>9.8535052834655428</v>
      </c>
      <c r="I986" s="144">
        <f t="shared" si="196"/>
        <v>9.8667762216630148</v>
      </c>
      <c r="J986" s="144">
        <f t="shared" si="196"/>
        <v>9.8753895706029198</v>
      </c>
      <c r="K986" s="144">
        <f t="shared" si="196"/>
        <v>9.8812948541087966</v>
      </c>
      <c r="L986" s="35"/>
      <c r="M986" s="35"/>
      <c r="N986" s="35"/>
    </row>
    <row r="987" spans="1:14" x14ac:dyDescent="0.3">
      <c r="A987" s="397"/>
      <c r="B987" s="94">
        <v>20</v>
      </c>
      <c r="C987" s="144">
        <f t="shared" si="196"/>
        <v>7.502507088687473</v>
      </c>
      <c r="D987" s="144">
        <f t="shared" si="196"/>
        <v>9.3032712998397198</v>
      </c>
      <c r="E987" s="144">
        <f t="shared" si="196"/>
        <v>9.6367465375774302</v>
      </c>
      <c r="F987" s="144">
        <f t="shared" si="196"/>
        <v>9.7534628050745535</v>
      </c>
      <c r="G987" s="144">
        <f t="shared" si="196"/>
        <v>9.8074857479400102</v>
      </c>
      <c r="H987" s="144">
        <f t="shared" si="196"/>
        <v>9.8368315396347743</v>
      </c>
      <c r="I987" s="144">
        <f t="shared" si="196"/>
        <v>9.85452612488975</v>
      </c>
      <c r="J987" s="144">
        <f t="shared" si="196"/>
        <v>9.866010590631932</v>
      </c>
      <c r="K987" s="144">
        <f t="shared" si="196"/>
        <v>9.8738843022360232</v>
      </c>
      <c r="L987" s="35"/>
      <c r="M987" s="35"/>
      <c r="N987" s="35"/>
    </row>
    <row r="988" spans="1:14" x14ac:dyDescent="0.3">
      <c r="A988" s="397"/>
      <c r="B988" s="94">
        <v>25</v>
      </c>
      <c r="C988" s="144">
        <f t="shared" si="196"/>
        <v>6.902256262580126</v>
      </c>
      <c r="D988" s="144">
        <f t="shared" si="196"/>
        <v>9.1532073867473578</v>
      </c>
      <c r="E988" s="144">
        <f t="shared" si="196"/>
        <v>9.5700515096863317</v>
      </c>
      <c r="F988" s="144">
        <f t="shared" si="196"/>
        <v>9.7159468666412803</v>
      </c>
      <c r="G988" s="144">
        <f t="shared" si="196"/>
        <v>9.783475552385088</v>
      </c>
      <c r="H988" s="144">
        <f t="shared" si="196"/>
        <v>9.8201577947474288</v>
      </c>
      <c r="I988" s="144">
        <f t="shared" si="196"/>
        <v>9.8422760275334991</v>
      </c>
      <c r="J988" s="144">
        <f t="shared" si="196"/>
        <v>9.8566316103143876</v>
      </c>
      <c r="K988" s="144">
        <f t="shared" si="196"/>
        <v>9.8664737501448361</v>
      </c>
      <c r="L988" s="35"/>
      <c r="M988" s="35"/>
      <c r="N988" s="35"/>
    </row>
    <row r="989" spans="1:14" x14ac:dyDescent="0.3">
      <c r="A989" s="397"/>
      <c r="B989" s="94">
        <v>30</v>
      </c>
      <c r="C989" s="144">
        <f t="shared" si="196"/>
        <v>6.3020091116159378</v>
      </c>
      <c r="D989" s="144">
        <f t="shared" si="196"/>
        <v>9.0031434615187962</v>
      </c>
      <c r="E989" s="144">
        <f t="shared" si="196"/>
        <v>9.503356470551596</v>
      </c>
      <c r="F989" s="144">
        <f t="shared" si="196"/>
        <v>9.6784309236707902</v>
      </c>
      <c r="G989" s="144">
        <f t="shared" si="196"/>
        <v>9.7594653547859913</v>
      </c>
      <c r="H989" s="144">
        <f t="shared" si="196"/>
        <v>9.8034840488256165</v>
      </c>
      <c r="I989" s="144">
        <f t="shared" si="196"/>
        <v>9.8300259296030372</v>
      </c>
      <c r="J989" s="144">
        <f t="shared" si="196"/>
        <v>9.8472526296542249</v>
      </c>
      <c r="K989" s="144">
        <f t="shared" si="196"/>
        <v>9.8590631978371785</v>
      </c>
      <c r="L989" s="35"/>
      <c r="M989" s="35"/>
      <c r="N989" s="35"/>
    </row>
    <row r="990" spans="1:14" x14ac:dyDescent="0.3">
      <c r="A990" s="397"/>
      <c r="B990" s="94">
        <v>35</v>
      </c>
      <c r="C990" s="144">
        <f t="shared" si="196"/>
        <v>5.7017666675473171</v>
      </c>
      <c r="D990" s="144">
        <f t="shared" si="196"/>
        <v>8.8530795402765534</v>
      </c>
      <c r="E990" s="144">
        <f t="shared" si="196"/>
        <v>9.4366614215886351</v>
      </c>
      <c r="F990" s="144">
        <f t="shared" si="196"/>
        <v>9.640914976414992</v>
      </c>
      <c r="G990" s="144">
        <f t="shared" si="196"/>
        <v>9.735455155208756</v>
      </c>
      <c r="H990" s="144">
        <f t="shared" si="196"/>
        <v>9.7868103018914567</v>
      </c>
      <c r="I990" s="144">
        <f t="shared" si="196"/>
        <v>9.8177758311071308</v>
      </c>
      <c r="J990" s="144">
        <f t="shared" si="196"/>
        <v>9.8378736486553819</v>
      </c>
      <c r="K990" s="144">
        <f t="shared" si="196"/>
        <v>9.8516526453149869</v>
      </c>
      <c r="L990" s="35"/>
      <c r="M990" s="35"/>
      <c r="N990" s="35"/>
    </row>
    <row r="991" spans="1:14" x14ac:dyDescent="0.3">
      <c r="A991" s="397"/>
      <c r="B991" s="94">
        <v>40</v>
      </c>
      <c r="C991" s="144">
        <f t="shared" si="196"/>
        <v>5.1015299620781187</v>
      </c>
      <c r="D991" s="144">
        <f t="shared" si="196"/>
        <v>8.7030156391431532</v>
      </c>
      <c r="E991" s="144">
        <f t="shared" si="196"/>
        <v>9.3699663642128712</v>
      </c>
      <c r="F991" s="144">
        <f t="shared" si="196"/>
        <v>9.6033990251257997</v>
      </c>
      <c r="G991" s="144">
        <f t="shared" si="196"/>
        <v>9.7114449537194218</v>
      </c>
      <c r="H991" s="144">
        <f t="shared" si="196"/>
        <v>9.770136553967065</v>
      </c>
      <c r="I991" s="144">
        <f t="shared" si="196"/>
        <v>9.8055257320545515</v>
      </c>
      <c r="J991" s="144">
        <f t="shared" si="196"/>
        <v>9.8284946673217917</v>
      </c>
      <c r="K991" s="144">
        <f t="shared" si="196"/>
        <v>9.8442420925802043</v>
      </c>
      <c r="L991" s="35"/>
      <c r="M991" s="35"/>
      <c r="N991" s="35"/>
    </row>
    <row r="992" spans="1:14" x14ac:dyDescent="0.3">
      <c r="A992" s="397"/>
      <c r="B992" s="94">
        <v>45</v>
      </c>
      <c r="C992" s="144">
        <f t="shared" si="196"/>
        <v>4.501300026853027</v>
      </c>
      <c r="D992" s="144">
        <f t="shared" si="196"/>
        <v>8.5529517742410999</v>
      </c>
      <c r="E992" s="144">
        <f t="shared" si="196"/>
        <v>9.3032712998397198</v>
      </c>
      <c r="F992" s="144">
        <f t="shared" si="196"/>
        <v>9.5658830700551274</v>
      </c>
      <c r="G992" s="144">
        <f t="shared" si="196"/>
        <v>9.6874347503840248</v>
      </c>
      <c r="H992" s="144">
        <f t="shared" si="196"/>
        <v>9.7534628050745535</v>
      </c>
      <c r="I992" s="144">
        <f t="shared" si="196"/>
        <v>9.7932756324540708</v>
      </c>
      <c r="J992" s="144">
        <f t="shared" si="196"/>
        <v>9.8191156856573905</v>
      </c>
      <c r="K992" s="144">
        <f t="shared" si="196"/>
        <v>9.8368315396347743</v>
      </c>
      <c r="L992" s="35"/>
      <c r="M992" s="35"/>
      <c r="N992" s="35"/>
    </row>
    <row r="993" spans="1:14" x14ac:dyDescent="0.3">
      <c r="A993" s="397"/>
      <c r="B993" s="94">
        <v>50</v>
      </c>
      <c r="C993" s="144">
        <f t="shared" si="196"/>
        <v>3.901077893446891</v>
      </c>
      <c r="D993" s="144">
        <f t="shared" si="196"/>
        <v>8.4028879616928762</v>
      </c>
      <c r="E993" s="144">
        <f t="shared" si="196"/>
        <v>9.2365762298845997</v>
      </c>
      <c r="F993" s="144">
        <f t="shared" si="196"/>
        <v>9.5283671114548891</v>
      </c>
      <c r="G993" s="144">
        <f t="shared" si="196"/>
        <v>9.6634245452685992</v>
      </c>
      <c r="H993" s="144">
        <f t="shared" si="196"/>
        <v>9.7367890552360432</v>
      </c>
      <c r="I993" s="144">
        <f t="shared" si="196"/>
        <v>9.781025532314457</v>
      </c>
      <c r="J993" s="144">
        <f t="shared" si="196"/>
        <v>9.8097367036661183</v>
      </c>
      <c r="K993" s="144">
        <f t="shared" si="196"/>
        <v>9.8294209864806366</v>
      </c>
      <c r="L993" s="35"/>
      <c r="M993" s="35"/>
      <c r="N993" s="35"/>
    </row>
    <row r="994" spans="1:14" x14ac:dyDescent="0.3">
      <c r="A994" s="397"/>
      <c r="B994" s="94">
        <v>55</v>
      </c>
      <c r="C994" s="144">
        <f t="shared" si="196"/>
        <v>3.3008645933541176</v>
      </c>
      <c r="D994" s="144">
        <f t="shared" si="196"/>
        <v>8.2528242176209314</v>
      </c>
      <c r="E994" s="144">
        <f t="shared" si="196"/>
        <v>9.1698811557629298</v>
      </c>
      <c r="F994" s="144">
        <f t="shared" si="196"/>
        <v>9.4908511495769972</v>
      </c>
      <c r="G994" s="144">
        <f t="shared" si="196"/>
        <v>9.6394143384391882</v>
      </c>
      <c r="H994" s="144">
        <f t="shared" si="196"/>
        <v>9.7201153044736461</v>
      </c>
      <c r="I994" s="144">
        <f t="shared" si="196"/>
        <v>9.7687754316444835</v>
      </c>
      <c r="J994" s="144">
        <f t="shared" si="196"/>
        <v>9.800357721351908</v>
      </c>
      <c r="K994" s="144">
        <f t="shared" si="196"/>
        <v>9.8220104331197327</v>
      </c>
      <c r="L994" s="35"/>
      <c r="M994" s="35"/>
      <c r="N994" s="35"/>
    </row>
    <row r="995" spans="1:14" x14ac:dyDescent="0.3">
      <c r="A995" s="397"/>
      <c r="B995" s="94">
        <v>60</v>
      </c>
      <c r="C995" s="144">
        <f t="shared" si="196"/>
        <v>2.7006611579780158</v>
      </c>
      <c r="D995" s="144">
        <f t="shared" si="196"/>
        <v>8.1027605581476738</v>
      </c>
      <c r="E995" s="144">
        <f t="shared" si="196"/>
        <v>9.1031860788901291</v>
      </c>
      <c r="F995" s="144">
        <f t="shared" si="196"/>
        <v>9.4533351846733655</v>
      </c>
      <c r="G995" s="144">
        <f t="shared" si="196"/>
        <v>9.615404129961826</v>
      </c>
      <c r="H995" s="144">
        <f t="shared" si="196"/>
        <v>9.7034415528094797</v>
      </c>
      <c r="I995" s="144">
        <f t="shared" si="196"/>
        <v>9.7565253304529165</v>
      </c>
      <c r="J995" s="144">
        <f t="shared" si="196"/>
        <v>9.790978738718696</v>
      </c>
      <c r="K995" s="144">
        <f t="shared" si="196"/>
        <v>9.8145998795540059</v>
      </c>
      <c r="L995" s="35"/>
      <c r="M995" s="35"/>
      <c r="N995" s="35"/>
    </row>
    <row r="996" spans="1:14" x14ac:dyDescent="0.3">
      <c r="A996" s="397"/>
      <c r="B996" s="94">
        <v>65</v>
      </c>
      <c r="C996" s="144">
        <f t="shared" si="196"/>
        <v>2.1004686186201766</v>
      </c>
      <c r="D996" s="144">
        <f t="shared" si="196"/>
        <v>7.9526969993954513</v>
      </c>
      <c r="E996" s="144">
        <f t="shared" si="196"/>
        <v>9.0364910006816217</v>
      </c>
      <c r="F996" s="144">
        <f t="shared" si="196"/>
        <v>9.4158192169959083</v>
      </c>
      <c r="G996" s="144">
        <f t="shared" si="196"/>
        <v>9.5913939199025506</v>
      </c>
      <c r="H996" s="144">
        <f t="shared" si="196"/>
        <v>9.6867678002656579</v>
      </c>
      <c r="I996" s="144">
        <f t="shared" si="196"/>
        <v>9.7442752287485295</v>
      </c>
      <c r="J996" s="144">
        <f t="shared" si="196"/>
        <v>9.7815997557704168</v>
      </c>
      <c r="K996" s="144">
        <f t="shared" si="196"/>
        <v>9.8071893257853962</v>
      </c>
      <c r="L996" s="35"/>
      <c r="M996" s="35"/>
      <c r="N996" s="35"/>
    </row>
    <row r="997" spans="1:14" x14ac:dyDescent="0.3">
      <c r="A997" s="397"/>
      <c r="B997" s="94">
        <v>70</v>
      </c>
      <c r="C997" s="144">
        <f t="shared" si="196"/>
        <v>1.5002880064698414</v>
      </c>
      <c r="D997" s="144">
        <f t="shared" si="196"/>
        <v>7.8026335574865495</v>
      </c>
      <c r="E997" s="144">
        <f t="shared" si="196"/>
        <v>8.9697959225528248</v>
      </c>
      <c r="F997" s="144">
        <f t="shared" si="196"/>
        <v>9.3783032467965395</v>
      </c>
      <c r="G997" s="144">
        <f t="shared" si="196"/>
        <v>9.5673837083273998</v>
      </c>
      <c r="H997" s="144">
        <f t="shared" si="196"/>
        <v>9.6700940468642997</v>
      </c>
      <c r="I997" s="144">
        <f t="shared" si="196"/>
        <v>9.7320251265400941</v>
      </c>
      <c r="J997" s="144">
        <f t="shared" si="196"/>
        <v>9.7722207725110106</v>
      </c>
      <c r="K997" s="144">
        <f t="shared" si="196"/>
        <v>9.7997787718158449</v>
      </c>
      <c r="L997" s="35"/>
      <c r="M997" s="35"/>
      <c r="N997" s="35"/>
    </row>
    <row r="998" spans="1:14" x14ac:dyDescent="0.3">
      <c r="A998" s="397"/>
      <c r="B998" s="94">
        <v>75</v>
      </c>
      <c r="C998" s="144">
        <f t="shared" si="196"/>
        <v>0.90012035259327949</v>
      </c>
      <c r="D998" s="144">
        <f t="shared" si="196"/>
        <v>7.6525702485431841</v>
      </c>
      <c r="E998" s="144">
        <f t="shared" si="196"/>
        <v>8.903100845919159</v>
      </c>
      <c r="F998" s="144">
        <f t="shared" si="196"/>
        <v>9.3407872743271714</v>
      </c>
      <c r="G998" s="144">
        <f t="shared" si="196"/>
        <v>9.5433734953024096</v>
      </c>
      <c r="H998" s="144">
        <f t="shared" si="196"/>
        <v>9.6534202926275192</v>
      </c>
      <c r="I998" s="144">
        <f t="shared" si="196"/>
        <v>9.7197750238363785</v>
      </c>
      <c r="J998" s="144">
        <f t="shared" si="196"/>
        <v>9.7628417889444119</v>
      </c>
      <c r="K998" s="144">
        <f t="shared" si="196"/>
        <v>9.7923682176472955</v>
      </c>
      <c r="L998" s="35"/>
      <c r="M998" s="35"/>
      <c r="N998" s="35"/>
    </row>
    <row r="999" spans="1:14" x14ac:dyDescent="0.3">
      <c r="A999" s="397"/>
      <c r="B999" s="94">
        <v>80</v>
      </c>
      <c r="C999" s="144">
        <f t="shared" si="196"/>
        <v>0.29996668792315551</v>
      </c>
      <c r="D999" s="144">
        <f t="shared" si="196"/>
        <v>7.502507088687473</v>
      </c>
      <c r="E999" s="144">
        <f t="shared" si="196"/>
        <v>8.8364057721960449</v>
      </c>
      <c r="F999" s="144">
        <f t="shared" si="196"/>
        <v>9.3032712998397198</v>
      </c>
      <c r="G999" s="144">
        <f t="shared" si="196"/>
        <v>9.5193632808936215</v>
      </c>
      <c r="H999" s="144">
        <f t="shared" si="196"/>
        <v>9.6367465375774302</v>
      </c>
      <c r="I999" s="144">
        <f t="shared" si="196"/>
        <v>9.7075249206461525</v>
      </c>
      <c r="J999" s="144">
        <f t="shared" si="196"/>
        <v>9.7534628050745535</v>
      </c>
      <c r="K999" s="144">
        <f t="shared" si="196"/>
        <v>9.7849576632816859</v>
      </c>
      <c r="L999" s="35"/>
      <c r="M999" s="35"/>
      <c r="N999" s="35"/>
    </row>
    <row r="1000" spans="1:14" x14ac:dyDescent="0.3">
      <c r="A1000" s="397"/>
      <c r="B1000" s="94">
        <v>85</v>
      </c>
      <c r="C1000" s="144">
        <f t="shared" si="196"/>
        <v>0.30017195675206687</v>
      </c>
      <c r="D1000" s="144">
        <f t="shared" si="196"/>
        <v>7.3524440940414504</v>
      </c>
      <c r="E1000" s="144">
        <f t="shared" si="196"/>
        <v>8.7697107027989034</v>
      </c>
      <c r="F1000" s="144">
        <f t="shared" si="196"/>
        <v>9.2657553235860988</v>
      </c>
      <c r="G1000" s="144">
        <f t="shared" si="196"/>
        <v>9.4953530651670697</v>
      </c>
      <c r="H1000" s="144">
        <f t="shared" si="196"/>
        <v>9.6200727817361535</v>
      </c>
      <c r="I1000" s="144">
        <f t="shared" si="196"/>
        <v>9.6952748169781877</v>
      </c>
      <c r="J1000" s="144">
        <f t="shared" si="196"/>
        <v>9.7440838209053773</v>
      </c>
      <c r="K1000" s="144">
        <f t="shared" si="196"/>
        <v>9.7775471087209631</v>
      </c>
      <c r="L1000" s="35"/>
      <c r="M1000" s="35"/>
      <c r="N1000" s="35"/>
    </row>
    <row r="1001" spans="1:14" x14ac:dyDescent="0.3">
      <c r="A1001" s="397"/>
      <c r="B1001" s="94">
        <v>90</v>
      </c>
      <c r="C1001" s="144">
        <f t="shared" si="196"/>
        <v>0.90029455079877363</v>
      </c>
      <c r="D1001" s="144">
        <f t="shared" si="196"/>
        <v>7.2023812807270344</v>
      </c>
      <c r="E1001" s="144">
        <f t="shared" si="196"/>
        <v>8.7030156391431532</v>
      </c>
      <c r="F1001" s="144">
        <f t="shared" si="196"/>
        <v>9.2282393458182224</v>
      </c>
      <c r="G1001" s="144">
        <f t="shared" si="196"/>
        <v>9.471342848188792</v>
      </c>
      <c r="H1001" s="144">
        <f t="shared" si="196"/>
        <v>9.6033990251257997</v>
      </c>
      <c r="I1001" s="144">
        <f t="shared" si="196"/>
        <v>9.6830247128412541</v>
      </c>
      <c r="J1001" s="144">
        <f t="shared" si="196"/>
        <v>9.7347048364408142</v>
      </c>
      <c r="K1001" s="144">
        <f t="shared" si="196"/>
        <v>9.770136553967065</v>
      </c>
      <c r="L1001" s="35"/>
      <c r="M1001" s="35"/>
      <c r="N1001" s="35"/>
    </row>
    <row r="1002" spans="1:14" x14ac:dyDescent="0.3">
      <c r="A1002" s="397"/>
      <c r="B1002" s="94">
        <v>95</v>
      </c>
      <c r="C1002" s="144">
        <f t="shared" si="196"/>
        <v>1.5004000637487844</v>
      </c>
      <c r="D1002" s="144">
        <f t="shared" si="196"/>
        <v>7.052318664866033</v>
      </c>
      <c r="E1002" s="144">
        <f t="shared" si="196"/>
        <v>8.6363205826442115</v>
      </c>
      <c r="F1002" s="144">
        <f t="shared" si="196"/>
        <v>9.1907233667880046</v>
      </c>
      <c r="G1002" s="144">
        <f t="shared" si="196"/>
        <v>9.4473326300248264</v>
      </c>
      <c r="H1002" s="144">
        <f t="shared" si="196"/>
        <v>9.586725267768486</v>
      </c>
      <c r="I1002" s="144">
        <f t="shared" si="196"/>
        <v>9.670774608244125</v>
      </c>
      <c r="J1002" s="144">
        <f t="shared" si="196"/>
        <v>9.7253258516848042</v>
      </c>
      <c r="K1002" s="144">
        <f t="shared" si="196"/>
        <v>9.7627259990219333</v>
      </c>
      <c r="L1002" s="35"/>
      <c r="M1002" s="35"/>
      <c r="N1002" s="35"/>
    </row>
    <row r="1003" spans="1:14" x14ac:dyDescent="0.3">
      <c r="A1003" s="397"/>
      <c r="B1003" s="94">
        <v>100</v>
      </c>
      <c r="C1003" s="144">
        <f t="shared" si="196"/>
        <v>2.1004874653099574</v>
      </c>
      <c r="D1003" s="144">
        <f t="shared" si="196"/>
        <v>6.902256262580126</v>
      </c>
      <c r="E1003" s="144">
        <f t="shared" si="196"/>
        <v>8.5696255347174972</v>
      </c>
      <c r="F1003" s="144">
        <f t="shared" si="196"/>
        <v>9.1532073867473578</v>
      </c>
      <c r="G1003" s="144">
        <f t="shared" si="196"/>
        <v>9.4233224107412141</v>
      </c>
      <c r="H1003" s="144">
        <f t="shared" si="196"/>
        <v>9.5700515096863317</v>
      </c>
      <c r="I1003" s="144">
        <f t="shared" si="196"/>
        <v>9.6585245031955651</v>
      </c>
      <c r="J1003" s="144">
        <f t="shared" si="196"/>
        <v>9.7159468666412803</v>
      </c>
      <c r="K1003" s="144">
        <f t="shared" si="196"/>
        <v>9.7553154438875094</v>
      </c>
      <c r="L1003" s="35"/>
      <c r="M1003" s="35"/>
      <c r="N1003" s="35"/>
    </row>
    <row r="1004" spans="1:14" x14ac:dyDescent="0.3">
      <c r="A1004" s="7"/>
      <c r="B1004" s="37"/>
      <c r="C1004" s="35"/>
      <c r="D1004" s="35"/>
      <c r="E1004" s="35"/>
      <c r="F1004" s="35"/>
      <c r="G1004" s="35"/>
      <c r="H1004" s="35"/>
      <c r="I1004" s="35"/>
      <c r="J1004" s="35"/>
      <c r="K1004" s="35"/>
      <c r="L1004" s="35"/>
      <c r="M1004" s="35"/>
      <c r="N1004" s="35"/>
    </row>
    <row r="1005" spans="1:14" x14ac:dyDescent="0.3">
      <c r="A1005" s="370" t="s">
        <v>743</v>
      </c>
      <c r="B1005" s="370"/>
      <c r="C1005" s="370"/>
      <c r="D1005" s="370"/>
      <c r="E1005" s="370"/>
      <c r="F1005" s="370"/>
      <c r="G1005" s="370"/>
      <c r="H1005" s="370"/>
      <c r="I1005" s="370"/>
      <c r="J1005" s="370"/>
      <c r="K1005" s="370"/>
      <c r="L1005" s="35"/>
      <c r="M1005" s="35"/>
      <c r="N1005" s="35"/>
    </row>
    <row r="1006" spans="1:14" x14ac:dyDescent="0.3">
      <c r="A1006" s="7"/>
      <c r="B1006" s="37"/>
      <c r="C1006" s="35"/>
      <c r="D1006" s="35"/>
      <c r="E1006" s="35"/>
      <c r="F1006" s="35"/>
      <c r="G1006" s="35"/>
      <c r="H1006" s="35"/>
      <c r="I1006" s="35"/>
      <c r="J1006" s="35"/>
      <c r="K1006" s="35"/>
      <c r="L1006" s="35"/>
      <c r="M1006" s="35"/>
      <c r="N1006" s="35"/>
    </row>
    <row r="1007" spans="1:14" x14ac:dyDescent="0.3">
      <c r="A1007" s="7"/>
      <c r="B1007" s="37"/>
      <c r="C1007" s="35"/>
      <c r="D1007" s="35"/>
      <c r="E1007" s="35"/>
      <c r="F1007" s="35"/>
      <c r="G1007" s="35"/>
      <c r="H1007" s="35"/>
      <c r="I1007" s="35"/>
      <c r="J1007" s="35"/>
      <c r="K1007" s="35"/>
      <c r="L1007" s="35"/>
      <c r="M1007" s="35"/>
      <c r="N1007" s="35"/>
    </row>
    <row r="1008" spans="1:14" x14ac:dyDescent="0.3">
      <c r="A1008" s="7"/>
      <c r="B1008" s="37"/>
      <c r="C1008" s="35"/>
      <c r="D1008" s="35"/>
      <c r="E1008" s="35"/>
      <c r="F1008" s="35"/>
      <c r="G1008" s="35"/>
      <c r="H1008" s="35"/>
      <c r="I1008" s="35"/>
      <c r="J1008" s="35"/>
      <c r="K1008" s="35"/>
      <c r="L1008" s="35"/>
      <c r="M1008" s="35"/>
      <c r="N1008" s="35"/>
    </row>
    <row r="1009" spans="1:14" x14ac:dyDescent="0.3">
      <c r="A1009" s="7"/>
      <c r="B1009" s="37"/>
      <c r="C1009" s="35"/>
      <c r="D1009" s="35"/>
      <c r="E1009" s="35"/>
      <c r="F1009" s="35"/>
      <c r="G1009" s="35"/>
      <c r="H1009" s="35"/>
      <c r="I1009" s="35"/>
      <c r="J1009" s="35"/>
      <c r="K1009" s="35"/>
      <c r="L1009" s="35"/>
      <c r="M1009" s="35"/>
      <c r="N1009" s="35"/>
    </row>
    <row r="1010" spans="1:14" x14ac:dyDescent="0.3">
      <c r="A1010" s="7"/>
      <c r="B1010" s="37"/>
      <c r="C1010" s="35"/>
      <c r="D1010" s="35"/>
      <c r="E1010" s="35"/>
      <c r="F1010" s="35"/>
      <c r="G1010" s="35"/>
      <c r="H1010" s="35"/>
      <c r="I1010" s="35"/>
      <c r="J1010" s="35"/>
      <c r="K1010" s="35"/>
      <c r="L1010" s="35"/>
      <c r="M1010" s="35"/>
      <c r="N1010" s="35"/>
    </row>
    <row r="1011" spans="1:14" x14ac:dyDescent="0.3">
      <c r="A1011" s="7"/>
      <c r="B1011" s="37"/>
      <c r="C1011" s="35"/>
      <c r="D1011" s="35"/>
      <c r="E1011" s="35"/>
      <c r="F1011" s="35"/>
      <c r="G1011" s="35"/>
      <c r="H1011" s="35"/>
      <c r="I1011" s="35"/>
      <c r="J1011" s="35"/>
      <c r="K1011" s="35"/>
      <c r="L1011" s="35"/>
      <c r="M1011" s="35"/>
      <c r="N1011" s="35"/>
    </row>
    <row r="1012" spans="1:14" x14ac:dyDescent="0.3">
      <c r="A1012" s="7"/>
      <c r="B1012" s="37"/>
      <c r="C1012" s="35"/>
      <c r="D1012" s="35"/>
      <c r="E1012" s="35"/>
      <c r="F1012" s="35"/>
      <c r="G1012" s="35"/>
      <c r="H1012" s="35"/>
      <c r="I1012" s="35"/>
      <c r="J1012" s="35"/>
      <c r="K1012" s="35"/>
      <c r="L1012" s="35"/>
      <c r="M1012" s="35"/>
      <c r="N1012" s="35"/>
    </row>
    <row r="1013" spans="1:14" x14ac:dyDescent="0.3">
      <c r="A1013" s="7"/>
      <c r="B1013" s="37"/>
      <c r="C1013" s="35"/>
      <c r="D1013" s="35"/>
      <c r="E1013" s="35"/>
      <c r="F1013" s="35"/>
      <c r="G1013" s="35"/>
      <c r="H1013" s="35"/>
      <c r="I1013" s="35"/>
      <c r="J1013" s="35"/>
      <c r="K1013" s="35"/>
      <c r="L1013" s="35"/>
      <c r="M1013" s="35"/>
      <c r="N1013" s="35"/>
    </row>
    <row r="1014" spans="1:14" x14ac:dyDescent="0.3">
      <c r="A1014" s="7"/>
      <c r="B1014" s="37"/>
      <c r="C1014" s="35"/>
      <c r="D1014" s="35"/>
      <c r="E1014" s="35"/>
      <c r="F1014" s="35"/>
      <c r="G1014" s="35"/>
      <c r="H1014" s="35"/>
      <c r="I1014" s="35"/>
      <c r="J1014" s="35"/>
      <c r="K1014" s="35"/>
      <c r="L1014" s="35"/>
      <c r="M1014" s="35"/>
      <c r="N1014" s="35"/>
    </row>
    <row r="1015" spans="1:14" x14ac:dyDescent="0.3">
      <c r="A1015" s="7"/>
      <c r="B1015" s="37"/>
      <c r="C1015" s="35"/>
      <c r="D1015" s="35"/>
      <c r="E1015" s="35"/>
      <c r="F1015" s="35"/>
      <c r="G1015" s="35"/>
      <c r="H1015" s="35"/>
      <c r="I1015" s="35"/>
      <c r="J1015" s="35"/>
      <c r="K1015" s="35"/>
      <c r="L1015" s="35"/>
      <c r="M1015" s="35"/>
      <c r="N1015" s="35"/>
    </row>
    <row r="1016" spans="1:14" x14ac:dyDescent="0.3">
      <c r="A1016" s="7"/>
      <c r="B1016" s="37"/>
      <c r="C1016" s="35"/>
      <c r="D1016" s="35"/>
      <c r="E1016" s="35"/>
      <c r="F1016" s="35"/>
      <c r="G1016" s="35"/>
      <c r="H1016" s="35"/>
      <c r="I1016" s="35"/>
      <c r="J1016" s="35"/>
      <c r="K1016" s="35"/>
      <c r="L1016" s="35"/>
      <c r="M1016" s="35"/>
      <c r="N1016" s="35"/>
    </row>
    <row r="1017" spans="1:14" x14ac:dyDescent="0.3">
      <c r="A1017" s="7"/>
      <c r="B1017" s="37"/>
      <c r="C1017" s="35"/>
      <c r="D1017" s="35"/>
      <c r="E1017" s="35"/>
      <c r="F1017" s="35"/>
      <c r="G1017" s="35"/>
      <c r="H1017" s="35"/>
      <c r="I1017" s="35"/>
      <c r="J1017" s="35"/>
      <c r="K1017" s="35"/>
      <c r="L1017" s="35"/>
      <c r="M1017" s="35"/>
      <c r="N1017" s="35"/>
    </row>
    <row r="1018" spans="1:14" x14ac:dyDescent="0.3">
      <c r="A1018" s="7"/>
      <c r="B1018" s="37"/>
      <c r="C1018" s="35"/>
      <c r="D1018" s="35"/>
      <c r="E1018" s="35"/>
      <c r="F1018" s="35"/>
      <c r="G1018" s="35"/>
      <c r="H1018" s="35"/>
      <c r="I1018" s="35"/>
      <c r="J1018" s="35"/>
      <c r="K1018" s="35"/>
      <c r="L1018" s="35"/>
      <c r="M1018" s="35"/>
      <c r="N1018" s="35"/>
    </row>
    <row r="1019" spans="1:14" x14ac:dyDescent="0.3">
      <c r="A1019" s="7"/>
      <c r="B1019" s="37"/>
      <c r="C1019" s="35"/>
      <c r="D1019" s="35"/>
      <c r="E1019" s="35"/>
      <c r="F1019" s="35"/>
      <c r="G1019" s="35"/>
      <c r="H1019" s="35"/>
      <c r="I1019" s="35"/>
      <c r="J1019" s="35"/>
      <c r="K1019" s="35"/>
      <c r="L1019" s="35"/>
      <c r="M1019" s="35"/>
      <c r="N1019" s="35"/>
    </row>
    <row r="1020" spans="1:14" x14ac:dyDescent="0.3">
      <c r="A1020" s="7"/>
      <c r="B1020" s="37"/>
      <c r="C1020" s="35"/>
      <c r="D1020" s="35"/>
      <c r="E1020" s="35"/>
      <c r="F1020" s="35"/>
      <c r="G1020" s="35"/>
      <c r="H1020" s="35"/>
      <c r="I1020" s="35"/>
      <c r="J1020" s="35"/>
      <c r="K1020" s="35"/>
      <c r="L1020" s="35"/>
      <c r="M1020" s="35"/>
      <c r="N1020" s="35"/>
    </row>
    <row r="1021" spans="1:14" x14ac:dyDescent="0.3">
      <c r="A1021" s="7"/>
      <c r="B1021" s="37"/>
      <c r="C1021" s="35"/>
      <c r="D1021" s="35"/>
      <c r="E1021" s="35"/>
      <c r="F1021" s="35"/>
      <c r="G1021" s="35"/>
      <c r="H1021" s="35"/>
      <c r="I1021" s="35"/>
      <c r="J1021" s="35"/>
      <c r="K1021" s="35"/>
      <c r="L1021" s="35"/>
      <c r="M1021" s="35"/>
      <c r="N1021" s="35"/>
    </row>
    <row r="1022" spans="1:14" x14ac:dyDescent="0.3">
      <c r="A1022" s="7"/>
      <c r="B1022" s="37"/>
      <c r="C1022" s="35"/>
      <c r="D1022" s="35"/>
      <c r="E1022" s="35"/>
      <c r="F1022" s="35"/>
      <c r="G1022" s="35"/>
      <c r="H1022" s="35"/>
      <c r="I1022" s="35"/>
      <c r="J1022" s="35"/>
      <c r="K1022" s="35"/>
      <c r="L1022" s="35"/>
      <c r="M1022" s="35"/>
      <c r="N1022" s="35"/>
    </row>
    <row r="1023" spans="1:14" x14ac:dyDescent="0.3">
      <c r="A1023" s="7"/>
      <c r="B1023" s="37"/>
      <c r="C1023" s="35"/>
      <c r="D1023" s="35"/>
      <c r="E1023" s="35"/>
      <c r="F1023" s="35"/>
      <c r="G1023" s="35"/>
      <c r="H1023" s="35"/>
      <c r="I1023" s="35"/>
      <c r="J1023" s="35"/>
      <c r="K1023" s="35"/>
      <c r="L1023" s="35"/>
      <c r="M1023" s="35"/>
      <c r="N1023" s="35"/>
    </row>
    <row r="1024" spans="1:14" x14ac:dyDescent="0.3">
      <c r="A1024" s="7"/>
      <c r="B1024" s="37"/>
      <c r="C1024" s="35"/>
      <c r="D1024" s="35"/>
      <c r="E1024" s="35"/>
      <c r="F1024" s="35"/>
      <c r="G1024" s="35"/>
      <c r="H1024" s="35"/>
      <c r="I1024" s="35"/>
      <c r="J1024" s="35"/>
      <c r="K1024" s="35"/>
      <c r="L1024" s="35"/>
      <c r="M1024" s="35"/>
      <c r="N1024" s="35"/>
    </row>
    <row r="1025" spans="1:14" x14ac:dyDescent="0.3">
      <c r="A1025" s="7"/>
      <c r="B1025" s="37"/>
      <c r="C1025" s="35"/>
      <c r="D1025" s="35"/>
      <c r="E1025" s="35"/>
      <c r="F1025" s="35"/>
      <c r="G1025" s="35"/>
      <c r="H1025" s="35"/>
      <c r="I1025" s="35"/>
      <c r="J1025" s="35"/>
      <c r="K1025" s="35"/>
      <c r="L1025" s="35"/>
      <c r="M1025" s="35"/>
      <c r="N1025" s="35"/>
    </row>
    <row r="1026" spans="1:14" x14ac:dyDescent="0.3">
      <c r="A1026" s="428" t="s">
        <v>744</v>
      </c>
      <c r="B1026" s="428"/>
      <c r="C1026" s="428"/>
      <c r="D1026" s="428"/>
      <c r="E1026" s="428"/>
      <c r="F1026" s="428"/>
      <c r="G1026" s="428"/>
      <c r="H1026" s="428"/>
      <c r="I1026" s="428"/>
      <c r="J1026" s="428"/>
      <c r="K1026" s="428"/>
      <c r="L1026" s="35"/>
      <c r="M1026" s="35"/>
      <c r="N1026" s="35"/>
    </row>
    <row r="1027" spans="1:14" x14ac:dyDescent="0.3">
      <c r="A1027" s="7"/>
      <c r="B1027" s="37"/>
      <c r="C1027" s="35"/>
      <c r="D1027" s="35"/>
      <c r="E1027" s="35"/>
      <c r="F1027" s="35"/>
      <c r="G1027" s="35"/>
      <c r="H1027" s="35"/>
      <c r="I1027" s="35"/>
      <c r="J1027" s="35"/>
      <c r="K1027" s="35"/>
      <c r="L1027" s="35"/>
      <c r="M1027" s="35"/>
      <c r="N1027" s="35"/>
    </row>
    <row r="1028" spans="1:14" x14ac:dyDescent="0.3">
      <c r="A1028" s="367" t="s">
        <v>746</v>
      </c>
      <c r="B1028" s="367"/>
      <c r="C1028" s="367"/>
      <c r="D1028" s="367"/>
      <c r="E1028" s="367"/>
      <c r="F1028" s="367"/>
      <c r="G1028" s="367"/>
      <c r="H1028" s="367"/>
      <c r="I1028" s="367"/>
      <c r="J1028" s="367"/>
      <c r="K1028" s="367"/>
      <c r="L1028" s="35"/>
      <c r="M1028" s="35"/>
      <c r="N1028" s="35"/>
    </row>
    <row r="1029" spans="1:14" x14ac:dyDescent="0.3">
      <c r="A1029" s="7"/>
      <c r="B1029" s="37"/>
      <c r="C1029" s="35"/>
      <c r="D1029" s="35"/>
      <c r="E1029" s="35"/>
      <c r="F1029" s="35"/>
      <c r="G1029" s="35"/>
      <c r="H1029" s="35"/>
      <c r="I1029" s="35"/>
      <c r="J1029" s="35"/>
      <c r="K1029" s="35"/>
      <c r="L1029" s="35"/>
      <c r="M1029" s="35"/>
      <c r="N1029" s="35"/>
    </row>
    <row r="1030" spans="1:14" x14ac:dyDescent="0.3">
      <c r="A1030" s="425" t="s">
        <v>755</v>
      </c>
      <c r="B1030" s="425"/>
      <c r="C1030" s="35"/>
      <c r="D1030" s="78"/>
      <c r="E1030" s="427" t="s">
        <v>756</v>
      </c>
      <c r="F1030" s="427"/>
      <c r="G1030" s="35"/>
      <c r="H1030" s="35"/>
      <c r="I1030" s="35"/>
      <c r="J1030" s="35"/>
      <c r="K1030" s="35"/>
      <c r="L1030" s="35"/>
      <c r="M1030" s="35"/>
      <c r="N1030" s="35"/>
    </row>
    <row r="1031" spans="1:14" x14ac:dyDescent="0.3">
      <c r="A1031" s="426">
        <f>D55</f>
        <v>1079.1000000000001</v>
      </c>
      <c r="B1031" s="403"/>
      <c r="C1031" s="35"/>
      <c r="D1031" s="78"/>
      <c r="E1031" s="426">
        <f>D56</f>
        <v>1079.1000000000001</v>
      </c>
      <c r="F1031" s="426"/>
      <c r="G1031" s="35"/>
      <c r="H1031" s="35"/>
      <c r="I1031" s="35"/>
      <c r="J1031" s="35"/>
      <c r="K1031" s="35"/>
      <c r="L1031" s="35"/>
      <c r="M1031" s="35"/>
      <c r="N1031" s="35"/>
    </row>
    <row r="1032" spans="1:14" x14ac:dyDescent="0.3">
      <c r="A1032" s="7"/>
      <c r="B1032" s="37"/>
      <c r="C1032" s="35"/>
      <c r="D1032" s="35"/>
      <c r="E1032" s="35"/>
      <c r="F1032" s="35"/>
      <c r="G1032" s="35"/>
      <c r="H1032" s="35"/>
      <c r="I1032" s="35"/>
      <c r="J1032" s="35"/>
      <c r="K1032" s="35"/>
      <c r="L1032" s="35"/>
      <c r="M1032" s="35"/>
      <c r="N1032" s="35"/>
    </row>
    <row r="1033" spans="1:14" x14ac:dyDescent="0.3">
      <c r="A1033" s="425" t="s">
        <v>758</v>
      </c>
      <c r="B1033" s="425"/>
      <c r="C1033" s="35"/>
      <c r="D1033" s="35"/>
      <c r="E1033" s="427" t="s">
        <v>757</v>
      </c>
      <c r="F1033" s="427"/>
      <c r="G1033" s="35"/>
      <c r="H1033" s="35"/>
      <c r="I1033" s="35"/>
      <c r="J1033" s="35"/>
      <c r="K1033" s="35"/>
      <c r="L1033" s="35"/>
      <c r="M1033" s="35"/>
      <c r="N1033" s="35"/>
    </row>
    <row r="1034" spans="1:14" x14ac:dyDescent="0.3">
      <c r="A1034" s="426">
        <f>D53</f>
        <v>1618.6499999999999</v>
      </c>
      <c r="B1034" s="403"/>
      <c r="C1034" s="35"/>
      <c r="D1034" s="35"/>
      <c r="E1034" s="426">
        <f>D54</f>
        <v>1618.6499999999999</v>
      </c>
      <c r="F1034" s="426"/>
      <c r="G1034" s="35"/>
      <c r="H1034" s="35"/>
      <c r="I1034" s="35"/>
      <c r="J1034" s="35"/>
      <c r="K1034" s="35"/>
      <c r="L1034" s="35"/>
      <c r="M1034" s="35"/>
      <c r="N1034" s="35"/>
    </row>
    <row r="1035" spans="1:14" x14ac:dyDescent="0.3">
      <c r="A1035" s="7"/>
      <c r="B1035" s="37"/>
      <c r="C1035" s="35"/>
      <c r="D1035" s="35"/>
      <c r="E1035" s="35"/>
      <c r="F1035" s="35"/>
      <c r="G1035" s="35"/>
      <c r="H1035" s="35"/>
      <c r="I1035" s="35"/>
      <c r="J1035" s="35"/>
      <c r="K1035" s="35"/>
      <c r="L1035" s="35"/>
      <c r="M1035" s="35"/>
      <c r="N1035" s="35"/>
    </row>
    <row r="1036" spans="1:14" x14ac:dyDescent="0.3">
      <c r="A1036" s="367" t="s">
        <v>745</v>
      </c>
      <c r="B1036" s="367"/>
      <c r="C1036" s="367"/>
      <c r="D1036" s="367"/>
      <c r="E1036" s="367"/>
      <c r="F1036" s="367"/>
      <c r="G1036" s="367"/>
      <c r="H1036" s="367"/>
      <c r="I1036" s="367"/>
      <c r="J1036" s="367"/>
      <c r="K1036" s="367"/>
      <c r="L1036" s="35"/>
      <c r="M1036" s="35"/>
      <c r="N1036" s="35"/>
    </row>
    <row r="1037" spans="1:14" x14ac:dyDescent="0.3">
      <c r="A1037" s="7"/>
      <c r="B1037" s="37"/>
      <c r="C1037" s="35"/>
      <c r="D1037" s="35"/>
      <c r="E1037" s="35"/>
      <c r="F1037" s="35"/>
      <c r="G1037" s="35"/>
      <c r="H1037" s="35"/>
      <c r="I1037" s="35"/>
      <c r="J1037" s="35"/>
      <c r="K1037" s="35"/>
      <c r="L1037" s="35"/>
      <c r="M1037" s="35"/>
      <c r="N1037" s="35"/>
    </row>
    <row r="1038" spans="1:14" x14ac:dyDescent="0.3">
      <c r="A1038" s="425" t="s">
        <v>749</v>
      </c>
      <c r="B1038" s="425"/>
      <c r="C1038" s="425"/>
      <c r="D1038" s="425"/>
      <c r="E1038" s="425"/>
      <c r="F1038" s="425"/>
      <c r="G1038" s="425"/>
      <c r="H1038" s="425"/>
      <c r="I1038" s="425"/>
      <c r="J1038" s="425"/>
      <c r="K1038" s="425"/>
      <c r="L1038" s="35"/>
      <c r="M1038" s="35"/>
      <c r="N1038" s="35"/>
    </row>
    <row r="1039" spans="1:14" x14ac:dyDescent="0.3">
      <c r="A1039" s="107"/>
      <c r="B1039" s="107"/>
      <c r="C1039" s="107"/>
      <c r="D1039" s="107"/>
      <c r="E1039" s="107"/>
      <c r="F1039" s="107"/>
      <c r="G1039" s="107"/>
      <c r="H1039" s="107"/>
      <c r="I1039" s="107"/>
      <c r="J1039" s="107"/>
      <c r="K1039" s="107"/>
      <c r="L1039" s="35"/>
      <c r="M1039" s="35"/>
      <c r="N1039" s="35"/>
    </row>
    <row r="1040" spans="1:14" x14ac:dyDescent="0.3">
      <c r="A1040" s="429"/>
      <c r="B1040" s="429"/>
      <c r="C1040" s="397" t="s">
        <v>230</v>
      </c>
      <c r="D1040" s="397"/>
      <c r="E1040" s="397"/>
      <c r="F1040" s="397"/>
      <c r="G1040" s="397"/>
      <c r="H1040" s="397"/>
      <c r="I1040" s="397"/>
      <c r="J1040" s="397"/>
      <c r="K1040" s="397"/>
      <c r="L1040" s="35"/>
      <c r="M1040" s="35"/>
      <c r="N1040" s="35"/>
    </row>
    <row r="1041" spans="1:14" x14ac:dyDescent="0.3">
      <c r="A1041" s="429"/>
      <c r="B1041" s="429"/>
      <c r="C1041" s="94">
        <v>5</v>
      </c>
      <c r="D1041" s="94">
        <v>10</v>
      </c>
      <c r="E1041" s="94">
        <v>15</v>
      </c>
      <c r="F1041" s="94">
        <v>20</v>
      </c>
      <c r="G1041" s="94">
        <v>25</v>
      </c>
      <c r="H1041" s="94">
        <v>30</v>
      </c>
      <c r="I1041" s="94">
        <v>35</v>
      </c>
      <c r="J1041" s="94">
        <v>40</v>
      </c>
      <c r="K1041" s="94">
        <v>45</v>
      </c>
      <c r="L1041" s="35"/>
      <c r="M1041" s="35"/>
      <c r="N1041" s="35"/>
    </row>
    <row r="1042" spans="1:14" x14ac:dyDescent="0.3">
      <c r="A1042" s="397" t="s">
        <v>231</v>
      </c>
      <c r="B1042" s="94">
        <v>5</v>
      </c>
      <c r="C1042" s="92">
        <f>(C444*'Środek masy resorowanej'!$D$83*(('40%-60%'!$C$4-'Środek masy resorowanej'!$F$84)/'40%-60%'!$C$4))*('40%-60%'!$B$379/'40%-60%'!$E$4)</f>
        <v>101.34625181874107</v>
      </c>
      <c r="D1042" s="92">
        <f>(D444*'Środek masy resorowanej'!$D$83*(('40%-60%'!$C$4-'Środek masy resorowanej'!$F$84)/'40%-60%'!$C$4))*('40%-60%'!$B$379/'40%-60%'!$E$4)</f>
        <v>405.38500727496427</v>
      </c>
      <c r="E1042" s="92">
        <f>(E444*'Środek masy resorowanej'!$D$83*(('40%-60%'!$C$4-'Środek masy resorowanej'!$F$84)/'40%-60%'!$C$4))*('40%-60%'!$B$379/'40%-60%'!$E$4)</f>
        <v>912.11626636866959</v>
      </c>
      <c r="F1042" s="92">
        <f>(F444*'Środek masy resorowanej'!$D$83*(('40%-60%'!$C$4-'Środek masy resorowanej'!$F$84)/'40%-60%'!$C$4))*('40%-60%'!$B$379/'40%-60%'!$E$4)</f>
        <v>1621.5400290998571</v>
      </c>
      <c r="G1042" s="92">
        <f>(G444*'Środek masy resorowanej'!$D$83*(('40%-60%'!$C$4-'Środek masy resorowanej'!$F$84)/'40%-60%'!$C$4))*('40%-60%'!$B$379/'40%-60%'!$E$4)</f>
        <v>2533.6562954685264</v>
      </c>
      <c r="H1042" s="92">
        <f>(H444*'Środek masy resorowanej'!$D$83*(('40%-60%'!$C$4-'Środek masy resorowanej'!$F$84)/'40%-60%'!$C$4))*('40%-60%'!$B$379/'40%-60%'!$E$4)</f>
        <v>3648.4650654746783</v>
      </c>
      <c r="I1042" s="92">
        <f>(I444*'Środek masy resorowanej'!$D$83*(('40%-60%'!$C$4-'Środek masy resorowanej'!$F$84)/'40%-60%'!$C$4))*('40%-60%'!$B$379/'40%-60%'!$E$4)</f>
        <v>4965.9663391183121</v>
      </c>
      <c r="J1042" s="92">
        <f>(J444*'Środek masy resorowanej'!$D$83*(('40%-60%'!$C$4-'Środek masy resorowanej'!$F$84)/'40%-60%'!$C$4))*('40%-60%'!$B$379/'40%-60%'!$E$4)</f>
        <v>6486.1601163994283</v>
      </c>
      <c r="K1042" s="92">
        <f>(K444*'Środek masy resorowanej'!$D$83*(('40%-60%'!$C$4-'Środek masy resorowanej'!$F$84)/'40%-60%'!$C$4))*('40%-60%'!$B$379/'40%-60%'!$E$4)</f>
        <v>8209.0463973180249</v>
      </c>
      <c r="L1042" s="35"/>
      <c r="M1042" s="35"/>
      <c r="N1042" s="35"/>
    </row>
    <row r="1043" spans="1:14" x14ac:dyDescent="0.3">
      <c r="A1043" s="397"/>
      <c r="B1043" s="94">
        <v>10</v>
      </c>
      <c r="C1043" s="92">
        <f>(C445*'Środek masy resorowanej'!$D$83*(('40%-60%'!$C$4-'Środek masy resorowanej'!$F$84)/'40%-60%'!$C$4))*('40%-60%'!$B$379/'40%-60%'!$E$4)</f>
        <v>50.673125909370533</v>
      </c>
      <c r="D1043" s="92">
        <f>(D445*'Środek masy resorowanej'!$D$83*(('40%-60%'!$C$4-'Środek masy resorowanej'!$F$84)/'40%-60%'!$C$4))*('40%-60%'!$B$379/'40%-60%'!$E$4)</f>
        <v>202.69250363748213</v>
      </c>
      <c r="E1043" s="92">
        <f>(E445*'Środek masy resorowanej'!$D$83*(('40%-60%'!$C$4-'Środek masy resorowanej'!$F$84)/'40%-60%'!$C$4))*('40%-60%'!$B$379/'40%-60%'!$E$4)</f>
        <v>456.05813318433479</v>
      </c>
      <c r="F1043" s="92">
        <f>(F445*'Środek masy resorowanej'!$D$83*(('40%-60%'!$C$4-'Środek masy resorowanej'!$F$84)/'40%-60%'!$C$4))*('40%-60%'!$B$379/'40%-60%'!$E$4)</f>
        <v>810.77001454992853</v>
      </c>
      <c r="G1043" s="92">
        <f>(G445*'Środek masy resorowanej'!$D$83*(('40%-60%'!$C$4-'Środek masy resorowanej'!$F$84)/'40%-60%'!$C$4))*('40%-60%'!$B$379/'40%-60%'!$E$4)</f>
        <v>1266.8281477342632</v>
      </c>
      <c r="H1043" s="92">
        <f>(H445*'Środek masy resorowanej'!$D$83*(('40%-60%'!$C$4-'Środek masy resorowanej'!$F$84)/'40%-60%'!$C$4))*('40%-60%'!$B$379/'40%-60%'!$E$4)</f>
        <v>1824.2325327373392</v>
      </c>
      <c r="I1043" s="92">
        <f>(I445*'Środek masy resorowanej'!$D$83*(('40%-60%'!$C$4-'Środek masy resorowanej'!$F$84)/'40%-60%'!$C$4))*('40%-60%'!$B$379/'40%-60%'!$E$4)</f>
        <v>2482.9831695591561</v>
      </c>
      <c r="J1043" s="92">
        <f>(J445*'Środek masy resorowanej'!$D$83*(('40%-60%'!$C$4-'Środek masy resorowanej'!$F$84)/'40%-60%'!$C$4))*('40%-60%'!$B$379/'40%-60%'!$E$4)</f>
        <v>3243.0800581997141</v>
      </c>
      <c r="K1043" s="92">
        <f>(K445*'Środek masy resorowanej'!$D$83*(('40%-60%'!$C$4-'Środek masy resorowanej'!$F$84)/'40%-60%'!$C$4))*('40%-60%'!$B$379/'40%-60%'!$E$4)</f>
        <v>4104.5231986590125</v>
      </c>
      <c r="L1043" s="35"/>
      <c r="M1043" s="35"/>
      <c r="N1043" s="35"/>
    </row>
    <row r="1044" spans="1:14" x14ac:dyDescent="0.3">
      <c r="A1044" s="397"/>
      <c r="B1044" s="94">
        <v>15</v>
      </c>
      <c r="C1044" s="92">
        <f>(C446*'Środek masy resorowanej'!$D$83*(('40%-60%'!$C$4-'Środek masy resorowanej'!$F$84)/'40%-60%'!$C$4))*('40%-60%'!$B$379/'40%-60%'!$E$4)</f>
        <v>33.782083939580353</v>
      </c>
      <c r="D1044" s="92">
        <f>(D446*'Środek masy resorowanej'!$D$83*(('40%-60%'!$C$4-'Środek masy resorowanej'!$F$84)/'40%-60%'!$C$4))*('40%-60%'!$B$379/'40%-60%'!$E$4)</f>
        <v>135.12833575832141</v>
      </c>
      <c r="E1044" s="92">
        <f>(E446*'Środek masy resorowanej'!$D$83*(('40%-60%'!$C$4-'Środek masy resorowanej'!$F$84)/'40%-60%'!$C$4))*('40%-60%'!$B$379/'40%-60%'!$E$4)</f>
        <v>304.03875545622321</v>
      </c>
      <c r="F1044" s="92">
        <f>(F446*'Środek masy resorowanej'!$D$83*(('40%-60%'!$C$4-'Środek masy resorowanej'!$F$84)/'40%-60%'!$C$4))*('40%-60%'!$B$379/'40%-60%'!$E$4)</f>
        <v>540.51334303328565</v>
      </c>
      <c r="G1044" s="92">
        <f>(G446*'Środek masy resorowanej'!$D$83*(('40%-60%'!$C$4-'Środek masy resorowanej'!$F$84)/'40%-60%'!$C$4))*('40%-60%'!$B$379/'40%-60%'!$E$4)</f>
        <v>844.55209848950892</v>
      </c>
      <c r="H1044" s="92">
        <f>(H446*'Środek masy resorowanej'!$D$83*(('40%-60%'!$C$4-'Środek masy resorowanej'!$F$84)/'40%-60%'!$C$4))*('40%-60%'!$B$379/'40%-60%'!$E$4)</f>
        <v>1216.1550218248929</v>
      </c>
      <c r="I1044" s="92">
        <f>(I446*'Środek masy resorowanej'!$D$83*(('40%-60%'!$C$4-'Środek masy resorowanej'!$F$84)/'40%-60%'!$C$4))*('40%-60%'!$B$379/'40%-60%'!$E$4)</f>
        <v>1655.3221130394375</v>
      </c>
      <c r="J1044" s="92">
        <f>(J446*'Środek masy resorowanej'!$D$83*(('40%-60%'!$C$4-'Środek masy resorowanej'!$F$84)/'40%-60%'!$C$4))*('40%-60%'!$B$379/'40%-60%'!$E$4)</f>
        <v>2162.0533721331426</v>
      </c>
      <c r="K1044" s="92">
        <f>(K446*'Środek masy resorowanej'!$D$83*(('40%-60%'!$C$4-'Środek masy resorowanej'!$F$84)/'40%-60%'!$C$4))*('40%-60%'!$B$379/'40%-60%'!$E$4)</f>
        <v>2736.3487991060088</v>
      </c>
      <c r="L1044" s="35"/>
      <c r="M1044" s="35"/>
      <c r="N1044" s="35"/>
    </row>
    <row r="1045" spans="1:14" x14ac:dyDescent="0.3">
      <c r="A1045" s="397"/>
      <c r="B1045" s="94">
        <v>20</v>
      </c>
      <c r="C1045" s="92">
        <f>(C447*'Środek masy resorowanej'!$D$83*(('40%-60%'!$C$4-'Środek masy resorowanej'!$F$84)/'40%-60%'!$C$4))*('40%-60%'!$B$379/'40%-60%'!$E$4)</f>
        <v>25.336562954685267</v>
      </c>
      <c r="D1045" s="92">
        <f>(D447*'Środek masy resorowanej'!$D$83*(('40%-60%'!$C$4-'Środek masy resorowanej'!$F$84)/'40%-60%'!$C$4))*('40%-60%'!$B$379/'40%-60%'!$E$4)</f>
        <v>101.34625181874107</v>
      </c>
      <c r="E1045" s="92">
        <f>(E447*'Środek masy resorowanej'!$D$83*(('40%-60%'!$C$4-'Środek masy resorowanej'!$F$84)/'40%-60%'!$C$4))*('40%-60%'!$B$379/'40%-60%'!$E$4)</f>
        <v>228.0290665921674</v>
      </c>
      <c r="F1045" s="92">
        <f>(F447*'Środek masy resorowanej'!$D$83*(('40%-60%'!$C$4-'Środek masy resorowanej'!$F$84)/'40%-60%'!$C$4))*('40%-60%'!$B$379/'40%-60%'!$E$4)</f>
        <v>405.38500727496427</v>
      </c>
      <c r="G1045" s="92">
        <f>(G447*'Środek masy resorowanej'!$D$83*(('40%-60%'!$C$4-'Środek masy resorowanej'!$F$84)/'40%-60%'!$C$4))*('40%-60%'!$B$379/'40%-60%'!$E$4)</f>
        <v>633.41407386713161</v>
      </c>
      <c r="H1045" s="92">
        <f>(H447*'Środek masy resorowanej'!$D$83*(('40%-60%'!$C$4-'Środek masy resorowanej'!$F$84)/'40%-60%'!$C$4))*('40%-60%'!$B$379/'40%-60%'!$E$4)</f>
        <v>912.11626636866959</v>
      </c>
      <c r="I1045" s="92">
        <f>(I447*'Środek masy resorowanej'!$D$83*(('40%-60%'!$C$4-'Środek masy resorowanej'!$F$84)/'40%-60%'!$C$4))*('40%-60%'!$B$379/'40%-60%'!$E$4)</f>
        <v>1241.491584779578</v>
      </c>
      <c r="J1045" s="92">
        <f>(J447*'Środek masy resorowanej'!$D$83*(('40%-60%'!$C$4-'Środek masy resorowanej'!$F$84)/'40%-60%'!$C$4))*('40%-60%'!$B$379/'40%-60%'!$E$4)</f>
        <v>1621.5400290998571</v>
      </c>
      <c r="K1045" s="92">
        <f>(K447*'Środek masy resorowanej'!$D$83*(('40%-60%'!$C$4-'Środek masy resorowanej'!$F$84)/'40%-60%'!$C$4))*('40%-60%'!$B$379/'40%-60%'!$E$4)</f>
        <v>2052.2615993295062</v>
      </c>
      <c r="L1045" s="35"/>
      <c r="M1045" s="35"/>
      <c r="N1045" s="35"/>
    </row>
    <row r="1046" spans="1:14" x14ac:dyDescent="0.3">
      <c r="A1046" s="397"/>
      <c r="B1046" s="94">
        <v>25</v>
      </c>
      <c r="C1046" s="92">
        <f>(C448*'Środek masy resorowanej'!$D$83*(('40%-60%'!$C$4-'Środek masy resorowanej'!$F$84)/'40%-60%'!$C$4))*('40%-60%'!$B$379/'40%-60%'!$E$4)</f>
        <v>20.269250363748213</v>
      </c>
      <c r="D1046" s="92">
        <f>(D448*'Środek masy resorowanej'!$D$83*(('40%-60%'!$C$4-'Środek masy resorowanej'!$F$84)/'40%-60%'!$C$4))*('40%-60%'!$B$379/'40%-60%'!$E$4)</f>
        <v>81.077001454992853</v>
      </c>
      <c r="E1046" s="92">
        <f>(E448*'Środek masy resorowanej'!$D$83*(('40%-60%'!$C$4-'Środek masy resorowanej'!$F$84)/'40%-60%'!$C$4))*('40%-60%'!$B$379/'40%-60%'!$E$4)</f>
        <v>182.42325327373391</v>
      </c>
      <c r="F1046" s="92">
        <f>(F448*'Środek masy resorowanej'!$D$83*(('40%-60%'!$C$4-'Środek masy resorowanej'!$F$84)/'40%-60%'!$C$4))*('40%-60%'!$B$379/'40%-60%'!$E$4)</f>
        <v>324.30800581997141</v>
      </c>
      <c r="G1046" s="92">
        <f>(G448*'Środek masy resorowanej'!$D$83*(('40%-60%'!$C$4-'Środek masy resorowanej'!$F$84)/'40%-60%'!$C$4))*('40%-60%'!$B$379/'40%-60%'!$E$4)</f>
        <v>506.73125909370532</v>
      </c>
      <c r="H1046" s="92">
        <f>(H448*'Środek masy resorowanej'!$D$83*(('40%-60%'!$C$4-'Środek masy resorowanej'!$F$84)/'40%-60%'!$C$4))*('40%-60%'!$B$379/'40%-60%'!$E$4)</f>
        <v>729.69301309493562</v>
      </c>
      <c r="I1046" s="92">
        <f>(I448*'Środek masy resorowanej'!$D$83*(('40%-60%'!$C$4-'Środek masy resorowanej'!$F$84)/'40%-60%'!$C$4))*('40%-60%'!$B$379/'40%-60%'!$E$4)</f>
        <v>993.19326782366238</v>
      </c>
      <c r="J1046" s="92">
        <f>(J448*'Środek masy resorowanej'!$D$83*(('40%-60%'!$C$4-'Środek masy resorowanej'!$F$84)/'40%-60%'!$C$4))*('40%-60%'!$B$379/'40%-60%'!$E$4)</f>
        <v>1297.2320232798857</v>
      </c>
      <c r="K1046" s="92">
        <f>(K448*'Środek masy resorowanej'!$D$83*(('40%-60%'!$C$4-'Środek masy resorowanej'!$F$84)/'40%-60%'!$C$4))*('40%-60%'!$B$379/'40%-60%'!$E$4)</f>
        <v>1641.8092794636054</v>
      </c>
      <c r="L1046" s="35"/>
      <c r="M1046" s="35"/>
      <c r="N1046" s="35"/>
    </row>
    <row r="1047" spans="1:14" x14ac:dyDescent="0.3">
      <c r="A1047" s="397"/>
      <c r="B1047" s="94">
        <v>30</v>
      </c>
      <c r="C1047" s="92">
        <f>(C449*'Środek masy resorowanej'!$D$83*(('40%-60%'!$C$4-'Środek masy resorowanej'!$F$84)/'40%-60%'!$C$4))*('40%-60%'!$B$379/'40%-60%'!$E$4)</f>
        <v>16.891041969790177</v>
      </c>
      <c r="D1047" s="92">
        <f>(D449*'Środek masy resorowanej'!$D$83*(('40%-60%'!$C$4-'Środek masy resorowanej'!$F$84)/'40%-60%'!$C$4))*('40%-60%'!$B$379/'40%-60%'!$E$4)</f>
        <v>67.564167879160706</v>
      </c>
      <c r="E1047" s="92">
        <f>(E449*'Środek masy resorowanej'!$D$83*(('40%-60%'!$C$4-'Środek masy resorowanej'!$F$84)/'40%-60%'!$C$4))*('40%-60%'!$B$379/'40%-60%'!$E$4)</f>
        <v>152.01937772811161</v>
      </c>
      <c r="F1047" s="92">
        <f>(F449*'Środek masy resorowanej'!$D$83*(('40%-60%'!$C$4-'Środek masy resorowanej'!$F$84)/'40%-60%'!$C$4))*('40%-60%'!$B$379/'40%-60%'!$E$4)</f>
        <v>270.25667151664283</v>
      </c>
      <c r="G1047" s="92">
        <f>(G449*'Środek masy resorowanej'!$D$83*(('40%-60%'!$C$4-'Środek masy resorowanej'!$F$84)/'40%-60%'!$C$4))*('40%-60%'!$B$379/'40%-60%'!$E$4)</f>
        <v>422.27604924475446</v>
      </c>
      <c r="H1047" s="92">
        <f>(H449*'Środek masy resorowanej'!$D$83*(('40%-60%'!$C$4-'Środek masy resorowanej'!$F$84)/'40%-60%'!$C$4))*('40%-60%'!$B$379/'40%-60%'!$E$4)</f>
        <v>608.07751091244643</v>
      </c>
      <c r="I1047" s="92">
        <f>(I449*'Środek masy resorowanej'!$D$83*(('40%-60%'!$C$4-'Środek masy resorowanej'!$F$84)/'40%-60%'!$C$4))*('40%-60%'!$B$379/'40%-60%'!$E$4)</f>
        <v>827.66105651971873</v>
      </c>
      <c r="J1047" s="92">
        <f>(J449*'Środek masy resorowanej'!$D$83*(('40%-60%'!$C$4-'Środek masy resorowanej'!$F$84)/'40%-60%'!$C$4))*('40%-60%'!$B$379/'40%-60%'!$E$4)</f>
        <v>1081.0266860665713</v>
      </c>
      <c r="K1047" s="92">
        <f>(K449*'Środek masy resorowanej'!$D$83*(('40%-60%'!$C$4-'Środek masy resorowanej'!$F$84)/'40%-60%'!$C$4))*('40%-60%'!$B$379/'40%-60%'!$E$4)</f>
        <v>1368.1743995530044</v>
      </c>
      <c r="L1047" s="35"/>
      <c r="M1047" s="35"/>
      <c r="N1047" s="35"/>
    </row>
    <row r="1048" spans="1:14" x14ac:dyDescent="0.3">
      <c r="A1048" s="397"/>
      <c r="B1048" s="94">
        <v>35</v>
      </c>
      <c r="C1048" s="92">
        <f>(C450*'Środek masy resorowanej'!$D$83*(('40%-60%'!$C$4-'Środek masy resorowanej'!$F$84)/'40%-60%'!$C$4))*('40%-60%'!$B$379/'40%-60%'!$E$4)</f>
        <v>14.478035974105865</v>
      </c>
      <c r="D1048" s="92">
        <f>(D450*'Środek masy resorowanej'!$D$83*(('40%-60%'!$C$4-'Środek masy resorowanej'!$F$84)/'40%-60%'!$C$4))*('40%-60%'!$B$379/'40%-60%'!$E$4)</f>
        <v>57.912143896423459</v>
      </c>
      <c r="E1048" s="92">
        <f>(E450*'Środek masy resorowanej'!$D$83*(('40%-60%'!$C$4-'Środek masy resorowanej'!$F$84)/'40%-60%'!$C$4))*('40%-60%'!$B$379/'40%-60%'!$E$4)</f>
        <v>130.30232376695281</v>
      </c>
      <c r="F1048" s="92">
        <f>(F450*'Środek masy resorowanej'!$D$83*(('40%-60%'!$C$4-'Środek masy resorowanej'!$F$84)/'40%-60%'!$C$4))*('40%-60%'!$B$379/'40%-60%'!$E$4)</f>
        <v>231.64857558569383</v>
      </c>
      <c r="G1048" s="92">
        <f>(G450*'Środek masy resorowanej'!$D$83*(('40%-60%'!$C$4-'Środek masy resorowanej'!$F$84)/'40%-60%'!$C$4))*('40%-60%'!$B$379/'40%-60%'!$E$4)</f>
        <v>361.95089935264673</v>
      </c>
      <c r="H1048" s="92">
        <f>(H450*'Środek masy resorowanej'!$D$83*(('40%-60%'!$C$4-'Środek masy resorowanej'!$F$84)/'40%-60%'!$C$4))*('40%-60%'!$B$379/'40%-60%'!$E$4)</f>
        <v>521.20929506781124</v>
      </c>
      <c r="I1048" s="92">
        <f>(I450*'Środek masy resorowanej'!$D$83*(('40%-60%'!$C$4-'Środek masy resorowanej'!$F$84)/'40%-60%'!$C$4))*('40%-60%'!$B$379/'40%-60%'!$E$4)</f>
        <v>709.42376273118737</v>
      </c>
      <c r="J1048" s="92">
        <f>(J450*'Środek masy resorowanej'!$D$83*(('40%-60%'!$C$4-'Środek masy resorowanej'!$F$84)/'40%-60%'!$C$4))*('40%-60%'!$B$379/'40%-60%'!$E$4)</f>
        <v>926.59430234277534</v>
      </c>
      <c r="K1048" s="92">
        <f>(K450*'Środek masy resorowanej'!$D$83*(('40%-60%'!$C$4-'Środek masy resorowanej'!$F$84)/'40%-60%'!$C$4))*('40%-60%'!$B$379/'40%-60%'!$E$4)</f>
        <v>1172.7209139025751</v>
      </c>
      <c r="L1048" s="35"/>
      <c r="M1048" s="35"/>
      <c r="N1048" s="35"/>
    </row>
    <row r="1049" spans="1:14" x14ac:dyDescent="0.3">
      <c r="A1049" s="397"/>
      <c r="B1049" s="94">
        <v>40</v>
      </c>
      <c r="C1049" s="92">
        <f>(C451*'Środek masy resorowanej'!$D$83*(('40%-60%'!$C$4-'Środek masy resorowanej'!$F$84)/'40%-60%'!$C$4))*('40%-60%'!$B$379/'40%-60%'!$E$4)</f>
        <v>12.668281477342633</v>
      </c>
      <c r="D1049" s="92">
        <f>(D451*'Środek masy resorowanej'!$D$83*(('40%-60%'!$C$4-'Środek masy resorowanej'!$F$84)/'40%-60%'!$C$4))*('40%-60%'!$B$379/'40%-60%'!$E$4)</f>
        <v>50.673125909370533</v>
      </c>
      <c r="E1049" s="92">
        <f>(E451*'Środek masy resorowanej'!$D$83*(('40%-60%'!$C$4-'Środek masy resorowanej'!$F$84)/'40%-60%'!$C$4))*('40%-60%'!$B$379/'40%-60%'!$E$4)</f>
        <v>114.0145332960837</v>
      </c>
      <c r="F1049" s="92">
        <f>(F451*'Środek masy resorowanej'!$D$83*(('40%-60%'!$C$4-'Środek masy resorowanej'!$F$84)/'40%-60%'!$C$4))*('40%-60%'!$B$379/'40%-60%'!$E$4)</f>
        <v>202.69250363748213</v>
      </c>
      <c r="G1049" s="92">
        <f>(G451*'Środek masy resorowanej'!$D$83*(('40%-60%'!$C$4-'Środek masy resorowanej'!$F$84)/'40%-60%'!$C$4))*('40%-60%'!$B$379/'40%-60%'!$E$4)</f>
        <v>316.7070369335658</v>
      </c>
      <c r="H1049" s="92">
        <f>(H451*'Środek masy resorowanej'!$D$83*(('40%-60%'!$C$4-'Środek masy resorowanej'!$F$84)/'40%-60%'!$C$4))*('40%-60%'!$B$379/'40%-60%'!$E$4)</f>
        <v>456.05813318433479</v>
      </c>
      <c r="I1049" s="92">
        <f>(I451*'Środek masy resorowanej'!$D$83*(('40%-60%'!$C$4-'Środek masy resorowanej'!$F$84)/'40%-60%'!$C$4))*('40%-60%'!$B$379/'40%-60%'!$E$4)</f>
        <v>620.74579238978902</v>
      </c>
      <c r="J1049" s="92">
        <f>(J451*'Środek masy resorowanej'!$D$83*(('40%-60%'!$C$4-'Środek masy resorowanej'!$F$84)/'40%-60%'!$C$4))*('40%-60%'!$B$379/'40%-60%'!$E$4)</f>
        <v>810.77001454992853</v>
      </c>
      <c r="K1049" s="92">
        <f>(K451*'Środek masy resorowanej'!$D$83*(('40%-60%'!$C$4-'Środek masy resorowanej'!$F$84)/'40%-60%'!$C$4))*('40%-60%'!$B$379/'40%-60%'!$E$4)</f>
        <v>1026.1307996647531</v>
      </c>
      <c r="L1049" s="35"/>
      <c r="M1049" s="35"/>
      <c r="N1049" s="35"/>
    </row>
    <row r="1050" spans="1:14" x14ac:dyDescent="0.3">
      <c r="A1050" s="397"/>
      <c r="B1050" s="94">
        <v>45</v>
      </c>
      <c r="C1050" s="92">
        <f>(C452*'Środek masy resorowanej'!$D$83*(('40%-60%'!$C$4-'Środek masy resorowanej'!$F$84)/'40%-60%'!$C$4))*('40%-60%'!$B$379/'40%-60%'!$E$4)</f>
        <v>11.260694646526785</v>
      </c>
      <c r="D1050" s="92">
        <f>(D452*'Środek masy resorowanej'!$D$83*(('40%-60%'!$C$4-'Środek masy resorowanej'!$F$84)/'40%-60%'!$C$4))*('40%-60%'!$B$379/'40%-60%'!$E$4)</f>
        <v>45.04277858610714</v>
      </c>
      <c r="E1050" s="92">
        <f>(E452*'Środek masy resorowanej'!$D$83*(('40%-60%'!$C$4-'Środek masy resorowanej'!$F$84)/'40%-60%'!$C$4))*('40%-60%'!$B$379/'40%-60%'!$E$4)</f>
        <v>101.34625181874107</v>
      </c>
      <c r="F1050" s="92">
        <f>(F452*'Środek masy resorowanej'!$D$83*(('40%-60%'!$C$4-'Środek masy resorowanej'!$F$84)/'40%-60%'!$C$4))*('40%-60%'!$B$379/'40%-60%'!$E$4)</f>
        <v>180.17111434442856</v>
      </c>
      <c r="G1050" s="92">
        <f>(G452*'Środek masy resorowanej'!$D$83*(('40%-60%'!$C$4-'Środek masy resorowanej'!$F$84)/'40%-60%'!$C$4))*('40%-60%'!$B$379/'40%-60%'!$E$4)</f>
        <v>281.51736616316964</v>
      </c>
      <c r="H1050" s="92">
        <f>(H452*'Środek masy resorowanej'!$D$83*(('40%-60%'!$C$4-'Środek masy resorowanej'!$F$84)/'40%-60%'!$C$4))*('40%-60%'!$B$379/'40%-60%'!$E$4)</f>
        <v>405.38500727496427</v>
      </c>
      <c r="I1050" s="92">
        <f>(I452*'Środek masy resorowanej'!$D$83*(('40%-60%'!$C$4-'Środek masy resorowanej'!$F$84)/'40%-60%'!$C$4))*('40%-60%'!$B$379/'40%-60%'!$E$4)</f>
        <v>551.77403767981241</v>
      </c>
      <c r="J1050" s="92">
        <f>(J452*'Środek masy resorowanej'!$D$83*(('40%-60%'!$C$4-'Środek masy resorowanej'!$F$84)/'40%-60%'!$C$4))*('40%-60%'!$B$379/'40%-60%'!$E$4)</f>
        <v>720.68445737771424</v>
      </c>
      <c r="K1050" s="92">
        <f>(K452*'Środek masy resorowanej'!$D$83*(('40%-60%'!$C$4-'Środek masy resorowanej'!$F$84)/'40%-60%'!$C$4))*('40%-60%'!$B$379/'40%-60%'!$E$4)</f>
        <v>912.11626636866959</v>
      </c>
      <c r="L1050" s="35"/>
      <c r="M1050" s="35"/>
      <c r="N1050" s="35"/>
    </row>
    <row r="1051" spans="1:14" x14ac:dyDescent="0.3">
      <c r="A1051" s="397"/>
      <c r="B1051" s="94">
        <v>50</v>
      </c>
      <c r="C1051" s="92">
        <f>(C453*'Środek masy resorowanej'!$D$83*(('40%-60%'!$C$4-'Środek masy resorowanej'!$F$84)/'40%-60%'!$C$4))*('40%-60%'!$B$379/'40%-60%'!$E$4)</f>
        <v>10.134625181874107</v>
      </c>
      <c r="D1051" s="92">
        <f>(D453*'Środek masy resorowanej'!$D$83*(('40%-60%'!$C$4-'Środek masy resorowanej'!$F$84)/'40%-60%'!$C$4))*('40%-60%'!$B$379/'40%-60%'!$E$4)</f>
        <v>40.538500727496427</v>
      </c>
      <c r="E1051" s="92">
        <f>(E453*'Środek masy resorowanej'!$D$83*(('40%-60%'!$C$4-'Środek masy resorowanej'!$F$84)/'40%-60%'!$C$4))*('40%-60%'!$B$379/'40%-60%'!$E$4)</f>
        <v>91.211626636866953</v>
      </c>
      <c r="F1051" s="92">
        <f>(F453*'Środek masy resorowanej'!$D$83*(('40%-60%'!$C$4-'Środek masy resorowanej'!$F$84)/'40%-60%'!$C$4))*('40%-60%'!$B$379/'40%-60%'!$E$4)</f>
        <v>162.15400290998571</v>
      </c>
      <c r="G1051" s="92">
        <f>(G453*'Środek masy resorowanej'!$D$83*(('40%-60%'!$C$4-'Środek masy resorowanej'!$F$84)/'40%-60%'!$C$4))*('40%-60%'!$B$379/'40%-60%'!$E$4)</f>
        <v>253.36562954685266</v>
      </c>
      <c r="H1051" s="92">
        <f>(H453*'Środek masy resorowanej'!$D$83*(('40%-60%'!$C$4-'Środek masy resorowanej'!$F$84)/'40%-60%'!$C$4))*('40%-60%'!$B$379/'40%-60%'!$E$4)</f>
        <v>364.84650654746781</v>
      </c>
      <c r="I1051" s="92">
        <f>(I453*'Środek masy resorowanej'!$D$83*(('40%-60%'!$C$4-'Środek masy resorowanej'!$F$84)/'40%-60%'!$C$4))*('40%-60%'!$B$379/'40%-60%'!$E$4)</f>
        <v>496.59663391183119</v>
      </c>
      <c r="J1051" s="92">
        <f>(J453*'Środek masy resorowanej'!$D$83*(('40%-60%'!$C$4-'Środek masy resorowanej'!$F$84)/'40%-60%'!$C$4))*('40%-60%'!$B$379/'40%-60%'!$E$4)</f>
        <v>648.61601163994283</v>
      </c>
      <c r="K1051" s="92">
        <f>(K453*'Środek masy resorowanej'!$D$83*(('40%-60%'!$C$4-'Środek masy resorowanej'!$F$84)/'40%-60%'!$C$4))*('40%-60%'!$B$379/'40%-60%'!$E$4)</f>
        <v>820.90463973180272</v>
      </c>
      <c r="L1051" s="35"/>
      <c r="M1051" s="35"/>
      <c r="N1051" s="35"/>
    </row>
    <row r="1052" spans="1:14" x14ac:dyDescent="0.3">
      <c r="A1052" s="397"/>
      <c r="B1052" s="94">
        <v>55</v>
      </c>
      <c r="C1052" s="92">
        <f>(C454*'Środek masy resorowanej'!$D$83*(('40%-60%'!$C$4-'Środek masy resorowanej'!$F$84)/'40%-60%'!$C$4))*('40%-60%'!$B$379/'40%-60%'!$E$4)</f>
        <v>9.2132956198855513</v>
      </c>
      <c r="D1052" s="92">
        <f>(D454*'Środek masy resorowanej'!$D$83*(('40%-60%'!$C$4-'Środek masy resorowanej'!$F$84)/'40%-60%'!$C$4))*('40%-60%'!$B$379/'40%-60%'!$E$4)</f>
        <v>36.853182479542205</v>
      </c>
      <c r="E1052" s="92">
        <f>(E454*'Środek masy resorowanej'!$D$83*(('40%-60%'!$C$4-'Środek masy resorowanej'!$F$84)/'40%-60%'!$C$4))*('40%-60%'!$B$379/'40%-60%'!$E$4)</f>
        <v>82.919660578969953</v>
      </c>
      <c r="F1052" s="92">
        <f>(F454*'Środek masy resorowanej'!$D$83*(('40%-60%'!$C$4-'Środek masy resorowanej'!$F$84)/'40%-60%'!$C$4))*('40%-60%'!$B$379/'40%-60%'!$E$4)</f>
        <v>147.41272991816882</v>
      </c>
      <c r="G1052" s="92">
        <f>(G454*'Środek masy resorowanej'!$D$83*(('40%-60%'!$C$4-'Środek masy resorowanej'!$F$84)/'40%-60%'!$C$4))*('40%-60%'!$B$379/'40%-60%'!$E$4)</f>
        <v>230.33239049713876</v>
      </c>
      <c r="H1052" s="92">
        <f>(H454*'Środek masy resorowanej'!$D$83*(('40%-60%'!$C$4-'Środek masy resorowanej'!$F$84)/'40%-60%'!$C$4))*('40%-60%'!$B$379/'40%-60%'!$E$4)</f>
        <v>331.67864231587981</v>
      </c>
      <c r="I1052" s="92">
        <f>(I454*'Środek masy resorowanej'!$D$83*(('40%-60%'!$C$4-'Środek masy resorowanej'!$F$84)/'40%-60%'!$C$4))*('40%-60%'!$B$379/'40%-60%'!$E$4)</f>
        <v>451.45148537439206</v>
      </c>
      <c r="J1052" s="92">
        <f>(J454*'Środek masy resorowanej'!$D$83*(('40%-60%'!$C$4-'Środek masy resorowanej'!$F$84)/'40%-60%'!$C$4))*('40%-60%'!$B$379/'40%-60%'!$E$4)</f>
        <v>589.65091967267529</v>
      </c>
      <c r="K1052" s="92">
        <f>(K454*'Środek masy resorowanej'!$D$83*(('40%-60%'!$C$4-'Środek masy resorowanej'!$F$84)/'40%-60%'!$C$4))*('40%-60%'!$B$379/'40%-60%'!$E$4)</f>
        <v>746.27694521072976</v>
      </c>
      <c r="L1052" s="35"/>
      <c r="M1052" s="35"/>
      <c r="N1052" s="35"/>
    </row>
    <row r="1053" spans="1:14" x14ac:dyDescent="0.3">
      <c r="A1053" s="397"/>
      <c r="B1053" s="94">
        <v>60</v>
      </c>
      <c r="C1053" s="92">
        <f>(C455*'Środek masy resorowanej'!$D$83*(('40%-60%'!$C$4-'Środek masy resorowanej'!$F$84)/'40%-60%'!$C$4))*('40%-60%'!$B$379/'40%-60%'!$E$4)</f>
        <v>8.4455209848950883</v>
      </c>
      <c r="D1053" s="92">
        <f>(D455*'Środek masy resorowanej'!$D$83*(('40%-60%'!$C$4-'Środek masy resorowanej'!$F$84)/'40%-60%'!$C$4))*('40%-60%'!$B$379/'40%-60%'!$E$4)</f>
        <v>33.782083939580353</v>
      </c>
      <c r="E1053" s="92">
        <f>(E455*'Środek masy resorowanej'!$D$83*(('40%-60%'!$C$4-'Środek masy resorowanej'!$F$84)/'40%-60%'!$C$4))*('40%-60%'!$B$379/'40%-60%'!$E$4)</f>
        <v>76.009688864055803</v>
      </c>
      <c r="F1053" s="92">
        <f>(F455*'Środek masy resorowanej'!$D$83*(('40%-60%'!$C$4-'Środek masy resorowanej'!$F$84)/'40%-60%'!$C$4))*('40%-60%'!$B$379/'40%-60%'!$E$4)</f>
        <v>135.12833575832141</v>
      </c>
      <c r="G1053" s="92">
        <f>(G455*'Środek masy resorowanej'!$D$83*(('40%-60%'!$C$4-'Środek masy resorowanej'!$F$84)/'40%-60%'!$C$4))*('40%-60%'!$B$379/'40%-60%'!$E$4)</f>
        <v>211.13802462237723</v>
      </c>
      <c r="H1053" s="92">
        <f>(H455*'Środek masy resorowanej'!$D$83*(('40%-60%'!$C$4-'Środek masy resorowanej'!$F$84)/'40%-60%'!$C$4))*('40%-60%'!$B$379/'40%-60%'!$E$4)</f>
        <v>304.03875545622321</v>
      </c>
      <c r="I1053" s="92">
        <f>(I455*'Środek masy resorowanej'!$D$83*(('40%-60%'!$C$4-'Środek masy resorowanej'!$F$84)/'40%-60%'!$C$4))*('40%-60%'!$B$379/'40%-60%'!$E$4)</f>
        <v>413.83052825985936</v>
      </c>
      <c r="J1053" s="92">
        <f>(J455*'Środek masy resorowanej'!$D$83*(('40%-60%'!$C$4-'Środek masy resorowanej'!$F$84)/'40%-60%'!$C$4))*('40%-60%'!$B$379/'40%-60%'!$E$4)</f>
        <v>540.51334303328565</v>
      </c>
      <c r="K1053" s="92">
        <f>(K455*'Środek masy resorowanej'!$D$83*(('40%-60%'!$C$4-'Środek masy resorowanej'!$F$84)/'40%-60%'!$C$4))*('40%-60%'!$B$379/'40%-60%'!$E$4)</f>
        <v>684.08719977650219</v>
      </c>
      <c r="L1053" s="35"/>
      <c r="M1053" s="35"/>
      <c r="N1053" s="35"/>
    </row>
    <row r="1054" spans="1:14" x14ac:dyDescent="0.3">
      <c r="A1054" s="397"/>
      <c r="B1054" s="94">
        <v>65</v>
      </c>
      <c r="C1054" s="92">
        <f>(C456*'Środek masy resorowanej'!$D$83*(('40%-60%'!$C$4-'Środek masy resorowanej'!$F$84)/'40%-60%'!$C$4))*('40%-60%'!$B$379/'40%-60%'!$E$4)</f>
        <v>7.7958655245185442</v>
      </c>
      <c r="D1054" s="92">
        <f>(D456*'Środek masy resorowanej'!$D$83*(('40%-60%'!$C$4-'Środek masy resorowanej'!$F$84)/'40%-60%'!$C$4))*('40%-60%'!$B$379/'40%-60%'!$E$4)</f>
        <v>31.183462098074177</v>
      </c>
      <c r="E1054" s="92">
        <f>(E456*'Środek masy resorowanej'!$D$83*(('40%-60%'!$C$4-'Środek masy resorowanej'!$F$84)/'40%-60%'!$C$4))*('40%-60%'!$B$379/'40%-60%'!$E$4)</f>
        <v>70.162789720666908</v>
      </c>
      <c r="F1054" s="92">
        <f>(F456*'Środek masy resorowanej'!$D$83*(('40%-60%'!$C$4-'Środek masy resorowanej'!$F$84)/'40%-60%'!$C$4))*('40%-60%'!$B$379/'40%-60%'!$E$4)</f>
        <v>124.73384839229671</v>
      </c>
      <c r="G1054" s="92">
        <f>(G456*'Środek masy resorowanej'!$D$83*(('40%-60%'!$C$4-'Środek masy resorowanej'!$F$84)/'40%-60%'!$C$4))*('40%-60%'!$B$379/'40%-60%'!$E$4)</f>
        <v>194.89663811296356</v>
      </c>
      <c r="H1054" s="92">
        <f>(H456*'Środek masy resorowanej'!$D$83*(('40%-60%'!$C$4-'Środek masy resorowanej'!$F$84)/'40%-60%'!$C$4))*('40%-60%'!$B$379/'40%-60%'!$E$4)</f>
        <v>280.65115888266763</v>
      </c>
      <c r="I1054" s="92">
        <f>(I456*'Środek masy resorowanej'!$D$83*(('40%-60%'!$C$4-'Środek masy resorowanej'!$F$84)/'40%-60%'!$C$4))*('40%-60%'!$B$379/'40%-60%'!$E$4)</f>
        <v>381.99741070140863</v>
      </c>
      <c r="J1054" s="92">
        <f>(J456*'Środek masy resorowanej'!$D$83*(('40%-60%'!$C$4-'Środek masy resorowanej'!$F$84)/'40%-60%'!$C$4))*('40%-60%'!$B$379/'40%-60%'!$E$4)</f>
        <v>498.93539356918683</v>
      </c>
      <c r="K1054" s="92">
        <f>(K456*'Środek masy resorowanej'!$D$83*(('40%-60%'!$C$4-'Środek masy resorowanej'!$F$84)/'40%-60%'!$C$4))*('40%-60%'!$B$379/'40%-60%'!$E$4)</f>
        <v>631.46510748600201</v>
      </c>
      <c r="L1054" s="35"/>
      <c r="M1054" s="35"/>
      <c r="N1054" s="35"/>
    </row>
    <row r="1055" spans="1:14" x14ac:dyDescent="0.3">
      <c r="A1055" s="397"/>
      <c r="B1055" s="94">
        <v>70</v>
      </c>
      <c r="C1055" s="92">
        <f>(C457*'Środek masy resorowanej'!$D$83*(('40%-60%'!$C$4-'Środek masy resorowanej'!$F$84)/'40%-60%'!$C$4))*('40%-60%'!$B$379/'40%-60%'!$E$4)</f>
        <v>7.2390179870529323</v>
      </c>
      <c r="D1055" s="92">
        <f>(D457*'Środek masy resorowanej'!$D$83*(('40%-60%'!$C$4-'Środek masy resorowanej'!$F$84)/'40%-60%'!$C$4))*('40%-60%'!$B$379/'40%-60%'!$E$4)</f>
        <v>28.956071948211729</v>
      </c>
      <c r="E1055" s="92">
        <f>(E457*'Środek masy resorowanej'!$D$83*(('40%-60%'!$C$4-'Środek masy resorowanej'!$F$84)/'40%-60%'!$C$4))*('40%-60%'!$B$379/'40%-60%'!$E$4)</f>
        <v>65.151161883476405</v>
      </c>
      <c r="F1055" s="92">
        <f>(F457*'Środek masy resorowanej'!$D$83*(('40%-60%'!$C$4-'Środek masy resorowanej'!$F$84)/'40%-60%'!$C$4))*('40%-60%'!$B$379/'40%-60%'!$E$4)</f>
        <v>115.82428779284692</v>
      </c>
      <c r="G1055" s="92">
        <f>(G457*'Środek masy resorowanej'!$D$83*(('40%-60%'!$C$4-'Środek masy resorowanej'!$F$84)/'40%-60%'!$C$4))*('40%-60%'!$B$379/'40%-60%'!$E$4)</f>
        <v>180.97544967632336</v>
      </c>
      <c r="H1055" s="92">
        <f>(H457*'Środek masy resorowanej'!$D$83*(('40%-60%'!$C$4-'Środek masy resorowanej'!$F$84)/'40%-60%'!$C$4))*('40%-60%'!$B$379/'40%-60%'!$E$4)</f>
        <v>260.60464753390562</v>
      </c>
      <c r="I1055" s="92">
        <f>(I457*'Środek masy resorowanej'!$D$83*(('40%-60%'!$C$4-'Środek masy resorowanej'!$F$84)/'40%-60%'!$C$4))*('40%-60%'!$B$379/'40%-60%'!$E$4)</f>
        <v>354.71188136559368</v>
      </c>
      <c r="J1055" s="92">
        <f>(J457*'Środek masy resorowanej'!$D$83*(('40%-60%'!$C$4-'Środek masy resorowanej'!$F$84)/'40%-60%'!$C$4))*('40%-60%'!$B$379/'40%-60%'!$E$4)</f>
        <v>463.29715117138767</v>
      </c>
      <c r="K1055" s="92">
        <f>(K457*'Środek masy resorowanej'!$D$83*(('40%-60%'!$C$4-'Środek masy resorowanej'!$F$84)/'40%-60%'!$C$4))*('40%-60%'!$B$379/'40%-60%'!$E$4)</f>
        <v>586.36045695128757</v>
      </c>
      <c r="L1055" s="35"/>
      <c r="M1055" s="35"/>
      <c r="N1055" s="35"/>
    </row>
    <row r="1056" spans="1:14" x14ac:dyDescent="0.3">
      <c r="A1056" s="397"/>
      <c r="B1056" s="94">
        <v>75</v>
      </c>
      <c r="C1056" s="92">
        <f>(C458*'Środek masy resorowanej'!$D$83*(('40%-60%'!$C$4-'Środek masy resorowanej'!$F$84)/'40%-60%'!$C$4))*('40%-60%'!$B$379/'40%-60%'!$E$4)</f>
        <v>6.7564167879160708</v>
      </c>
      <c r="D1056" s="92">
        <f>(D458*'Środek masy resorowanej'!$D$83*(('40%-60%'!$C$4-'Środek masy resorowanej'!$F$84)/'40%-60%'!$C$4))*('40%-60%'!$B$379/'40%-60%'!$E$4)</f>
        <v>27.025667151664283</v>
      </c>
      <c r="E1056" s="92">
        <f>(E458*'Środek masy resorowanej'!$D$83*(('40%-60%'!$C$4-'Środek masy resorowanej'!$F$84)/'40%-60%'!$C$4))*('40%-60%'!$B$379/'40%-60%'!$E$4)</f>
        <v>60.80775109124464</v>
      </c>
      <c r="F1056" s="92">
        <f>(F458*'Środek masy resorowanej'!$D$83*(('40%-60%'!$C$4-'Środek masy resorowanej'!$F$84)/'40%-60%'!$C$4))*('40%-60%'!$B$379/'40%-60%'!$E$4)</f>
        <v>108.10266860665713</v>
      </c>
      <c r="G1056" s="92">
        <f>(G458*'Środek masy resorowanej'!$D$83*(('40%-60%'!$C$4-'Środek masy resorowanej'!$F$84)/'40%-60%'!$C$4))*('40%-60%'!$B$379/'40%-60%'!$E$4)</f>
        <v>168.9104196979018</v>
      </c>
      <c r="H1056" s="92">
        <f>(H458*'Środek masy resorowanej'!$D$83*(('40%-60%'!$C$4-'Środek masy resorowanej'!$F$84)/'40%-60%'!$C$4))*('40%-60%'!$B$379/'40%-60%'!$E$4)</f>
        <v>243.23100436497856</v>
      </c>
      <c r="I1056" s="92">
        <f>(I458*'Środek masy resorowanej'!$D$83*(('40%-60%'!$C$4-'Środek masy resorowanej'!$F$84)/'40%-60%'!$C$4))*('40%-60%'!$B$379/'40%-60%'!$E$4)</f>
        <v>331.06442260788742</v>
      </c>
      <c r="J1056" s="92">
        <f>(J458*'Środek masy resorowanej'!$D$83*(('40%-60%'!$C$4-'Środek masy resorowanej'!$F$84)/'40%-60%'!$C$4))*('40%-60%'!$B$379/'40%-60%'!$E$4)</f>
        <v>432.41067442662853</v>
      </c>
      <c r="K1056" s="92">
        <f>(K458*'Środek masy resorowanej'!$D$83*(('40%-60%'!$C$4-'Środek masy resorowanej'!$F$84)/'40%-60%'!$C$4))*('40%-60%'!$B$379/'40%-60%'!$E$4)</f>
        <v>547.26975982120177</v>
      </c>
      <c r="L1056" s="35"/>
      <c r="M1056" s="35"/>
      <c r="N1056" s="35"/>
    </row>
    <row r="1057" spans="1:14" x14ac:dyDescent="0.3">
      <c r="A1057" s="397"/>
      <c r="B1057" s="94">
        <v>80</v>
      </c>
      <c r="C1057" s="92">
        <f>(C459*'Środek masy resorowanej'!$D$83*(('40%-60%'!$C$4-'Środek masy resorowanej'!$F$84)/'40%-60%'!$C$4))*('40%-60%'!$B$379/'40%-60%'!$E$4)</f>
        <v>6.3341407386713167</v>
      </c>
      <c r="D1057" s="92">
        <f>(D459*'Środek masy resorowanej'!$D$83*(('40%-60%'!$C$4-'Środek masy resorowanej'!$F$84)/'40%-60%'!$C$4))*('40%-60%'!$B$379/'40%-60%'!$E$4)</f>
        <v>25.336562954685267</v>
      </c>
      <c r="E1057" s="92">
        <f>(E459*'Środek masy resorowanej'!$D$83*(('40%-60%'!$C$4-'Środek masy resorowanej'!$F$84)/'40%-60%'!$C$4))*('40%-60%'!$B$379/'40%-60%'!$E$4)</f>
        <v>57.007266648041849</v>
      </c>
      <c r="F1057" s="92">
        <f>(F459*'Środek masy resorowanej'!$D$83*(('40%-60%'!$C$4-'Środek masy resorowanej'!$F$84)/'40%-60%'!$C$4))*('40%-60%'!$B$379/'40%-60%'!$E$4)</f>
        <v>101.34625181874107</v>
      </c>
      <c r="G1057" s="92">
        <f>(G459*'Środek masy resorowanej'!$D$83*(('40%-60%'!$C$4-'Środek masy resorowanej'!$F$84)/'40%-60%'!$C$4))*('40%-60%'!$B$379/'40%-60%'!$E$4)</f>
        <v>158.3535184667829</v>
      </c>
      <c r="H1057" s="92">
        <f>(H459*'Środek masy resorowanej'!$D$83*(('40%-60%'!$C$4-'Środek masy resorowanej'!$F$84)/'40%-60%'!$C$4))*('40%-60%'!$B$379/'40%-60%'!$E$4)</f>
        <v>228.0290665921674</v>
      </c>
      <c r="I1057" s="92">
        <f>(I459*'Środek masy resorowanej'!$D$83*(('40%-60%'!$C$4-'Środek masy resorowanej'!$F$84)/'40%-60%'!$C$4))*('40%-60%'!$B$379/'40%-60%'!$E$4)</f>
        <v>310.37289619489451</v>
      </c>
      <c r="J1057" s="92">
        <f>(J459*'Środek masy resorowanej'!$D$83*(('40%-60%'!$C$4-'Środek masy resorowanej'!$F$84)/'40%-60%'!$C$4))*('40%-60%'!$B$379/'40%-60%'!$E$4)</f>
        <v>405.38500727496427</v>
      </c>
      <c r="K1057" s="92">
        <f>(K459*'Środek masy resorowanej'!$D$83*(('40%-60%'!$C$4-'Środek masy resorowanej'!$F$84)/'40%-60%'!$C$4))*('40%-60%'!$B$379/'40%-60%'!$E$4)</f>
        <v>513.06539983237656</v>
      </c>
      <c r="L1057" s="35"/>
      <c r="M1057" s="35"/>
      <c r="N1057" s="35"/>
    </row>
    <row r="1058" spans="1:14" x14ac:dyDescent="0.3">
      <c r="A1058" s="397"/>
      <c r="B1058" s="94">
        <v>85</v>
      </c>
      <c r="C1058" s="92">
        <f>(C460*'Środek masy resorowanej'!$D$83*(('40%-60%'!$C$4-'Środek masy resorowanej'!$F$84)/'40%-60%'!$C$4))*('40%-60%'!$B$379/'40%-60%'!$E$4)</f>
        <v>5.9615442246318278</v>
      </c>
      <c r="D1058" s="92">
        <f>(D460*'Środek masy resorowanej'!$D$83*(('40%-60%'!$C$4-'Środek masy resorowanej'!$F$84)/'40%-60%'!$C$4))*('40%-60%'!$B$379/'40%-60%'!$E$4)</f>
        <v>23.846176898527311</v>
      </c>
      <c r="E1058" s="92">
        <f>(E460*'Środek masy resorowanej'!$D$83*(('40%-60%'!$C$4-'Środek masy resorowanej'!$F$84)/'40%-60%'!$C$4))*('40%-60%'!$B$379/'40%-60%'!$E$4)</f>
        <v>53.653898021686452</v>
      </c>
      <c r="F1058" s="92">
        <f>(F460*'Środek masy resorowanej'!$D$83*(('40%-60%'!$C$4-'Środek masy resorowanej'!$F$84)/'40%-60%'!$C$4))*('40%-60%'!$B$379/'40%-60%'!$E$4)</f>
        <v>95.384707594109244</v>
      </c>
      <c r="G1058" s="92">
        <f>(G460*'Środek masy resorowanej'!$D$83*(('40%-60%'!$C$4-'Środek masy resorowanej'!$F$84)/'40%-60%'!$C$4))*('40%-60%'!$B$379/'40%-60%'!$E$4)</f>
        <v>149.03860561579569</v>
      </c>
      <c r="H1058" s="92">
        <f>(H460*'Środek masy resorowanej'!$D$83*(('40%-60%'!$C$4-'Środek masy resorowanej'!$F$84)/'40%-60%'!$C$4))*('40%-60%'!$B$379/'40%-60%'!$E$4)</f>
        <v>214.61559208674581</v>
      </c>
      <c r="I1058" s="92">
        <f>(I460*'Środek masy resorowanej'!$D$83*(('40%-60%'!$C$4-'Środek masy resorowanej'!$F$84)/'40%-60%'!$C$4))*('40%-60%'!$B$379/'40%-60%'!$E$4)</f>
        <v>292.11566700695954</v>
      </c>
      <c r="J1058" s="92">
        <f>(J460*'Środek masy resorowanej'!$D$83*(('40%-60%'!$C$4-'Środek masy resorowanej'!$F$84)/'40%-60%'!$C$4))*('40%-60%'!$B$379/'40%-60%'!$E$4)</f>
        <v>381.53883037643698</v>
      </c>
      <c r="K1058" s="92">
        <f>(K460*'Środek masy resorowanej'!$D$83*(('40%-60%'!$C$4-'Środek masy resorowanej'!$F$84)/'40%-60%'!$C$4))*('40%-60%'!$B$379/'40%-60%'!$E$4)</f>
        <v>482.88508219517803</v>
      </c>
      <c r="L1058" s="35"/>
      <c r="M1058" s="35"/>
      <c r="N1058" s="35"/>
    </row>
    <row r="1059" spans="1:14" x14ac:dyDescent="0.3">
      <c r="A1059" s="397"/>
      <c r="B1059" s="94">
        <v>90</v>
      </c>
      <c r="C1059" s="92">
        <f>(C461*'Środek masy resorowanej'!$D$83*(('40%-60%'!$C$4-'Środek masy resorowanej'!$F$84)/'40%-60%'!$C$4))*('40%-60%'!$B$379/'40%-60%'!$E$4)</f>
        <v>5.6303473232633925</v>
      </c>
      <c r="D1059" s="92">
        <f>(D461*'Środek masy resorowanej'!$D$83*(('40%-60%'!$C$4-'Środek masy resorowanej'!$F$84)/'40%-60%'!$C$4))*('40%-60%'!$B$379/'40%-60%'!$E$4)</f>
        <v>22.52138929305357</v>
      </c>
      <c r="E1059" s="92">
        <f>(E461*'Środek masy resorowanej'!$D$83*(('40%-60%'!$C$4-'Środek masy resorowanej'!$F$84)/'40%-60%'!$C$4))*('40%-60%'!$B$379/'40%-60%'!$E$4)</f>
        <v>50.673125909370533</v>
      </c>
      <c r="F1059" s="92">
        <f>(F461*'Środek masy resorowanej'!$D$83*(('40%-60%'!$C$4-'Środek masy resorowanej'!$F$84)/'40%-60%'!$C$4))*('40%-60%'!$B$379/'40%-60%'!$E$4)</f>
        <v>90.08555717221428</v>
      </c>
      <c r="G1059" s="92">
        <f>(G461*'Środek masy resorowanej'!$D$83*(('40%-60%'!$C$4-'Środek masy resorowanej'!$F$84)/'40%-60%'!$C$4))*('40%-60%'!$B$379/'40%-60%'!$E$4)</f>
        <v>140.75868308158482</v>
      </c>
      <c r="H1059" s="92">
        <f>(H461*'Środek masy resorowanej'!$D$83*(('40%-60%'!$C$4-'Środek masy resorowanej'!$F$84)/'40%-60%'!$C$4))*('40%-60%'!$B$379/'40%-60%'!$E$4)</f>
        <v>202.69250363748213</v>
      </c>
      <c r="I1059" s="92">
        <f>(I461*'Środek masy resorowanej'!$D$83*(('40%-60%'!$C$4-'Środek masy resorowanej'!$F$84)/'40%-60%'!$C$4))*('40%-60%'!$B$379/'40%-60%'!$E$4)</f>
        <v>275.8870188399062</v>
      </c>
      <c r="J1059" s="92">
        <f>(J461*'Środek masy resorowanej'!$D$83*(('40%-60%'!$C$4-'Środek masy resorowanej'!$F$84)/'40%-60%'!$C$4))*('40%-60%'!$B$379/'40%-60%'!$E$4)</f>
        <v>360.34222868885712</v>
      </c>
      <c r="K1059" s="92">
        <f>(K461*'Środek masy resorowanej'!$D$83*(('40%-60%'!$C$4-'Środek masy resorowanej'!$F$84)/'40%-60%'!$C$4))*('40%-60%'!$B$379/'40%-60%'!$E$4)</f>
        <v>456.05813318433479</v>
      </c>
      <c r="L1059" s="35"/>
      <c r="M1059" s="35"/>
      <c r="N1059" s="35"/>
    </row>
    <row r="1060" spans="1:14" x14ac:dyDescent="0.3">
      <c r="A1060" s="397"/>
      <c r="B1060" s="94">
        <v>95</v>
      </c>
      <c r="C1060" s="92">
        <f>(C462*'Środek masy resorowanej'!$D$83*(('40%-60%'!$C$4-'Środek masy resorowanej'!$F$84)/'40%-60%'!$C$4))*('40%-60%'!$B$379/'40%-60%'!$E$4)</f>
        <v>5.3340132536179503</v>
      </c>
      <c r="D1060" s="92">
        <f>(D462*'Środek masy resorowanej'!$D$83*(('40%-60%'!$C$4-'Środek masy resorowanej'!$F$84)/'40%-60%'!$C$4))*('40%-60%'!$B$379/'40%-60%'!$E$4)</f>
        <v>21.336053014471801</v>
      </c>
      <c r="E1060" s="92">
        <f>(E462*'Środek masy resorowanej'!$D$83*(('40%-60%'!$C$4-'Środek masy resorowanej'!$F$84)/'40%-60%'!$C$4))*('40%-60%'!$B$379/'40%-60%'!$E$4)</f>
        <v>48.006119282561556</v>
      </c>
      <c r="F1060" s="92">
        <f>(F462*'Środek masy resorowanej'!$D$83*(('40%-60%'!$C$4-'Środek masy resorowanej'!$F$84)/'40%-60%'!$C$4))*('40%-60%'!$B$379/'40%-60%'!$E$4)</f>
        <v>85.344212057887205</v>
      </c>
      <c r="G1060" s="92">
        <f>(G462*'Środek masy resorowanej'!$D$83*(('40%-60%'!$C$4-'Środek masy resorowanej'!$F$84)/'40%-60%'!$C$4))*('40%-60%'!$B$379/'40%-60%'!$E$4)</f>
        <v>133.35033134044875</v>
      </c>
      <c r="H1060" s="92">
        <f>(H462*'Środek masy resorowanej'!$D$83*(('40%-60%'!$C$4-'Środek masy resorowanej'!$F$84)/'40%-60%'!$C$4))*('40%-60%'!$B$379/'40%-60%'!$E$4)</f>
        <v>192.02447713024623</v>
      </c>
      <c r="I1060" s="92">
        <f>(I462*'Środek masy resorowanej'!$D$83*(('40%-60%'!$C$4-'Środek masy resorowanej'!$F$84)/'40%-60%'!$C$4))*('40%-60%'!$B$379/'40%-60%'!$E$4)</f>
        <v>261.36664942727958</v>
      </c>
      <c r="J1060" s="92">
        <f>(J462*'Środek masy resorowanej'!$D$83*(('40%-60%'!$C$4-'Środek masy resorowanej'!$F$84)/'40%-60%'!$C$4))*('40%-60%'!$B$379/'40%-60%'!$E$4)</f>
        <v>341.37684823154882</v>
      </c>
      <c r="K1060" s="92">
        <f>(K462*'Środek masy resorowanej'!$D$83*(('40%-60%'!$C$4-'Środek masy resorowanej'!$F$84)/'40%-60%'!$C$4))*('40%-60%'!$B$379/'40%-60%'!$E$4)</f>
        <v>432.05507354305399</v>
      </c>
      <c r="L1060" s="35"/>
      <c r="M1060" s="35"/>
      <c r="N1060" s="35"/>
    </row>
    <row r="1061" spans="1:14" x14ac:dyDescent="0.3">
      <c r="A1061" s="397"/>
      <c r="B1061" s="94">
        <v>100</v>
      </c>
      <c r="C1061" s="92">
        <f>(C463*'Środek masy resorowanej'!$D$83*(('40%-60%'!$C$4-'Środek masy resorowanej'!$F$84)/'40%-60%'!$C$4))*('40%-60%'!$B$379/'40%-60%'!$E$4)</f>
        <v>5.0673125909370533</v>
      </c>
      <c r="D1061" s="92">
        <f>(D463*'Środek masy resorowanej'!$D$83*(('40%-60%'!$C$4-'Środek masy resorowanej'!$F$84)/'40%-60%'!$C$4))*('40%-60%'!$B$379/'40%-60%'!$E$4)</f>
        <v>20.269250363748213</v>
      </c>
      <c r="E1061" s="92">
        <f>(E463*'Środek masy resorowanej'!$D$83*(('40%-60%'!$C$4-'Środek masy resorowanej'!$F$84)/'40%-60%'!$C$4))*('40%-60%'!$B$379/'40%-60%'!$E$4)</f>
        <v>45.605813318433476</v>
      </c>
      <c r="F1061" s="92">
        <f>(F463*'Środek masy resorowanej'!$D$83*(('40%-60%'!$C$4-'Środek masy resorowanej'!$F$84)/'40%-60%'!$C$4))*('40%-60%'!$B$379/'40%-60%'!$E$4)</f>
        <v>81.077001454992853</v>
      </c>
      <c r="G1061" s="92">
        <f>(G463*'Środek masy resorowanej'!$D$83*(('40%-60%'!$C$4-'Środek masy resorowanej'!$F$84)/'40%-60%'!$C$4))*('40%-60%'!$B$379/'40%-60%'!$E$4)</f>
        <v>126.68281477342633</v>
      </c>
      <c r="H1061" s="92">
        <f>(H463*'Środek masy resorowanej'!$D$83*(('40%-60%'!$C$4-'Środek masy resorowanej'!$F$84)/'40%-60%'!$C$4))*('40%-60%'!$B$379/'40%-60%'!$E$4)</f>
        <v>182.42325327373391</v>
      </c>
      <c r="I1061" s="92">
        <f>(I463*'Środek masy resorowanej'!$D$83*(('40%-60%'!$C$4-'Środek masy resorowanej'!$F$84)/'40%-60%'!$C$4))*('40%-60%'!$B$379/'40%-60%'!$E$4)</f>
        <v>248.2983169559156</v>
      </c>
      <c r="J1061" s="92">
        <f>(J463*'Środek masy resorowanej'!$D$83*(('40%-60%'!$C$4-'Środek masy resorowanej'!$F$84)/'40%-60%'!$C$4))*('40%-60%'!$B$379/'40%-60%'!$E$4)</f>
        <v>324.30800581997141</v>
      </c>
      <c r="K1061" s="92">
        <f>(K463*'Środek masy resorowanej'!$D$83*(('40%-60%'!$C$4-'Środek masy resorowanej'!$F$84)/'40%-60%'!$C$4))*('40%-60%'!$B$379/'40%-60%'!$E$4)</f>
        <v>410.45231986590136</v>
      </c>
      <c r="L1061" s="35"/>
      <c r="M1061" s="35"/>
      <c r="N1061" s="35"/>
    </row>
    <row r="1062" spans="1:14" x14ac:dyDescent="0.3">
      <c r="A1062" s="7"/>
      <c r="B1062" s="37"/>
      <c r="C1062" s="35"/>
      <c r="D1062" s="35"/>
      <c r="E1062" s="35"/>
      <c r="F1062" s="35"/>
      <c r="G1062" s="35"/>
      <c r="H1062" s="35"/>
      <c r="I1062" s="35"/>
      <c r="J1062" s="35"/>
      <c r="K1062" s="35"/>
      <c r="L1062" s="35"/>
      <c r="M1062" s="35"/>
      <c r="N1062" s="35"/>
    </row>
    <row r="1063" spans="1:14" x14ac:dyDescent="0.3">
      <c r="A1063" s="425" t="s">
        <v>748</v>
      </c>
      <c r="B1063" s="425"/>
      <c r="C1063" s="425"/>
      <c r="D1063" s="425"/>
      <c r="E1063" s="425"/>
      <c r="F1063" s="425"/>
      <c r="G1063" s="425"/>
      <c r="H1063" s="425"/>
      <c r="I1063" s="425"/>
      <c r="J1063" s="425"/>
      <c r="K1063" s="425"/>
      <c r="L1063" s="35"/>
      <c r="M1063" s="35"/>
      <c r="N1063" s="35"/>
    </row>
    <row r="1064" spans="1:14" x14ac:dyDescent="0.3">
      <c r="A1064" s="107"/>
      <c r="B1064" s="107"/>
      <c r="C1064" s="107"/>
      <c r="D1064" s="107"/>
      <c r="E1064" s="107"/>
      <c r="F1064" s="107"/>
      <c r="G1064" s="107"/>
      <c r="H1064" s="107"/>
      <c r="I1064" s="107"/>
      <c r="J1064" s="107"/>
      <c r="K1064" s="107"/>
      <c r="L1064" s="35"/>
      <c r="M1064" s="35"/>
      <c r="N1064" s="35"/>
    </row>
    <row r="1065" spans="1:14" x14ac:dyDescent="0.3">
      <c r="A1065" s="429"/>
      <c r="B1065" s="429"/>
      <c r="C1065" s="397" t="s">
        <v>230</v>
      </c>
      <c r="D1065" s="397"/>
      <c r="E1065" s="397"/>
      <c r="F1065" s="397"/>
      <c r="G1065" s="397"/>
      <c r="H1065" s="397"/>
      <c r="I1065" s="397"/>
      <c r="J1065" s="397"/>
      <c r="K1065" s="397"/>
      <c r="L1065" s="35"/>
      <c r="M1065" s="35"/>
      <c r="N1065" s="35"/>
    </row>
    <row r="1066" spans="1:14" x14ac:dyDescent="0.3">
      <c r="A1066" s="429"/>
      <c r="B1066" s="429"/>
      <c r="C1066" s="94">
        <v>5</v>
      </c>
      <c r="D1066" s="94">
        <v>10</v>
      </c>
      <c r="E1066" s="94">
        <v>15</v>
      </c>
      <c r="F1066" s="94">
        <v>20</v>
      </c>
      <c r="G1066" s="94">
        <v>25</v>
      </c>
      <c r="H1066" s="94">
        <v>30</v>
      </c>
      <c r="I1066" s="94">
        <v>35</v>
      </c>
      <c r="J1066" s="94">
        <v>40</v>
      </c>
      <c r="K1066" s="94">
        <v>45</v>
      </c>
      <c r="L1066" s="35"/>
      <c r="M1066" s="35"/>
      <c r="N1066" s="35"/>
    </row>
    <row r="1067" spans="1:14" x14ac:dyDescent="0.3">
      <c r="A1067" s="397" t="s">
        <v>231</v>
      </c>
      <c r="B1067" s="94">
        <v>5</v>
      </c>
      <c r="C1067" s="92">
        <f>(C444*'Środek masy resorowanej'!$D$83*(('Środek masy resorowanej'!$F$84)/'40%-60%'!$C$4))*('40%-60%'!$B$424/'40%-60%'!$E$4)</f>
        <v>61.172090949798601</v>
      </c>
      <c r="D1067" s="92">
        <f>(D444*'Środek masy resorowanej'!$D$83*(('Środek masy resorowanej'!$F$84)/'40%-60%'!$C$4))*('40%-60%'!$B$424/'40%-60%'!$E$4)</f>
        <v>244.68836379919441</v>
      </c>
      <c r="E1067" s="92">
        <f>(E444*'Środek masy resorowanej'!$D$83*(('Środek masy resorowanej'!$F$84)/'40%-60%'!$C$4))*('40%-60%'!$B$424/'40%-60%'!$E$4)</f>
        <v>550.54881854818734</v>
      </c>
      <c r="F1067" s="92">
        <f>(F444*'Środek masy resorowanej'!$D$83*(('Środek masy resorowanej'!$F$84)/'40%-60%'!$C$4))*('40%-60%'!$B$424/'40%-60%'!$E$4)</f>
        <v>978.75345519677762</v>
      </c>
      <c r="G1067" s="92">
        <f>(G444*'Środek masy resorowanej'!$D$83*(('Środek masy resorowanej'!$F$84)/'40%-60%'!$C$4))*('40%-60%'!$B$424/'40%-60%'!$E$4)</f>
        <v>1529.3022737449651</v>
      </c>
      <c r="H1067" s="92">
        <f>(H444*'Środek masy resorowanej'!$D$83*(('Środek masy resorowanej'!$F$84)/'40%-60%'!$C$4))*('40%-60%'!$B$424/'40%-60%'!$E$4)</f>
        <v>2202.1952741927494</v>
      </c>
      <c r="I1067" s="92">
        <f>(I444*'Środek masy resorowanej'!$D$83*(('Środek masy resorowanej'!$F$84)/'40%-60%'!$C$4))*('40%-60%'!$B$424/'40%-60%'!$E$4)</f>
        <v>2997.4324565401316</v>
      </c>
      <c r="J1067" s="92">
        <f>(J444*'Środek masy resorowanej'!$D$83*(('Środek masy resorowanej'!$F$84)/'40%-60%'!$C$4))*('40%-60%'!$B$424/'40%-60%'!$E$4)</f>
        <v>3915.0138207871105</v>
      </c>
      <c r="K1067" s="92">
        <f>(K444*'Środek masy resorowanej'!$D$83*(('Środek masy resorowanej'!$F$84)/'40%-60%'!$C$4))*('40%-60%'!$B$424/'40%-60%'!$E$4)</f>
        <v>4954.9393669336869</v>
      </c>
      <c r="L1067" s="35"/>
      <c r="M1067" s="35"/>
      <c r="N1067" s="35"/>
    </row>
    <row r="1068" spans="1:14" x14ac:dyDescent="0.3">
      <c r="A1068" s="397"/>
      <c r="B1068" s="94">
        <v>10</v>
      </c>
      <c r="C1068" s="92">
        <f>(C445*'Środek masy resorowanej'!$D$83*(('Środek masy resorowanej'!$F$84)/'40%-60%'!$C$4))*('40%-60%'!$B$424/'40%-60%'!$E$4)</f>
        <v>30.586045474899301</v>
      </c>
      <c r="D1068" s="92">
        <f>(D445*'Środek masy resorowanej'!$D$83*(('Środek masy resorowanej'!$F$84)/'40%-60%'!$C$4))*('40%-60%'!$B$424/'40%-60%'!$E$4)</f>
        <v>122.3441818995972</v>
      </c>
      <c r="E1068" s="92">
        <f>(E445*'Środek masy resorowanej'!$D$83*(('Środek masy resorowanej'!$F$84)/'40%-60%'!$C$4))*('40%-60%'!$B$424/'40%-60%'!$E$4)</f>
        <v>275.27440927409367</v>
      </c>
      <c r="F1068" s="92">
        <f>(F445*'Środek masy resorowanej'!$D$83*(('Środek masy resorowanej'!$F$84)/'40%-60%'!$C$4))*('40%-60%'!$B$424/'40%-60%'!$E$4)</f>
        <v>489.37672759838881</v>
      </c>
      <c r="G1068" s="92">
        <f>(G445*'Środek masy resorowanej'!$D$83*(('Środek masy resorowanej'!$F$84)/'40%-60%'!$C$4))*('40%-60%'!$B$424/'40%-60%'!$E$4)</f>
        <v>764.65113687248254</v>
      </c>
      <c r="H1068" s="92">
        <f>(H445*'Środek masy resorowanej'!$D$83*(('Środek masy resorowanej'!$F$84)/'40%-60%'!$C$4))*('40%-60%'!$B$424/'40%-60%'!$E$4)</f>
        <v>1101.0976370963747</v>
      </c>
      <c r="I1068" s="92">
        <f>(I445*'Środek masy resorowanej'!$D$83*(('Środek masy resorowanej'!$F$84)/'40%-60%'!$C$4))*('40%-60%'!$B$424/'40%-60%'!$E$4)</f>
        <v>1498.7162282700658</v>
      </c>
      <c r="J1068" s="92">
        <f>(J445*'Środek masy resorowanej'!$D$83*(('Środek masy resorowanej'!$F$84)/'40%-60%'!$C$4))*('40%-60%'!$B$424/'40%-60%'!$E$4)</f>
        <v>1957.5069103935552</v>
      </c>
      <c r="K1068" s="92">
        <f>(K445*'Środek masy resorowanej'!$D$83*(('Środek masy resorowanej'!$F$84)/'40%-60%'!$C$4))*('40%-60%'!$B$424/'40%-60%'!$E$4)</f>
        <v>2477.4696834668434</v>
      </c>
      <c r="L1068" s="35"/>
      <c r="M1068" s="35"/>
      <c r="N1068" s="35"/>
    </row>
    <row r="1069" spans="1:14" x14ac:dyDescent="0.3">
      <c r="A1069" s="397"/>
      <c r="B1069" s="94">
        <v>15</v>
      </c>
      <c r="C1069" s="92">
        <f>(C446*'Środek masy resorowanej'!$D$83*(('Środek masy resorowanej'!$F$84)/'40%-60%'!$C$4))*('40%-60%'!$B$424/'40%-60%'!$E$4)</f>
        <v>20.390696983266203</v>
      </c>
      <c r="D1069" s="92">
        <f>(D446*'Środek masy resorowanej'!$D$83*(('Środek masy resorowanej'!$F$84)/'40%-60%'!$C$4))*('40%-60%'!$B$424/'40%-60%'!$E$4)</f>
        <v>81.562787933064811</v>
      </c>
      <c r="E1069" s="92">
        <f>(E446*'Środek masy resorowanej'!$D$83*(('Środek masy resorowanej'!$F$84)/'40%-60%'!$C$4))*('40%-60%'!$B$424/'40%-60%'!$E$4)</f>
        <v>183.51627284939582</v>
      </c>
      <c r="F1069" s="92">
        <f>(F446*'Środek masy resorowanej'!$D$83*(('Środek masy resorowanej'!$F$84)/'40%-60%'!$C$4))*('40%-60%'!$B$424/'40%-60%'!$E$4)</f>
        <v>326.25115173225925</v>
      </c>
      <c r="G1069" s="92">
        <f>(G446*'Środek masy resorowanej'!$D$83*(('Środek masy resorowanej'!$F$84)/'40%-60%'!$C$4))*('40%-60%'!$B$424/'40%-60%'!$E$4)</f>
        <v>509.76742458165501</v>
      </c>
      <c r="H1069" s="92">
        <f>(H446*'Środek masy resorowanej'!$D$83*(('Środek masy resorowanej'!$F$84)/'40%-60%'!$C$4))*('40%-60%'!$B$424/'40%-60%'!$E$4)</f>
        <v>734.06509139758327</v>
      </c>
      <c r="I1069" s="92">
        <f>(I446*'Środek masy resorowanej'!$D$83*(('Środek masy resorowanej'!$F$84)/'40%-60%'!$C$4))*('40%-60%'!$B$424/'40%-60%'!$E$4)</f>
        <v>999.14415218004387</v>
      </c>
      <c r="J1069" s="92">
        <f>(J446*'Środek masy resorowanej'!$D$83*(('Środek masy resorowanej'!$F$84)/'40%-60%'!$C$4))*('40%-60%'!$B$424/'40%-60%'!$E$4)</f>
        <v>1305.004606929037</v>
      </c>
      <c r="K1069" s="92">
        <f>(K446*'Środek masy resorowanej'!$D$83*(('Środek masy resorowanej'!$F$84)/'40%-60%'!$C$4))*('40%-60%'!$B$424/'40%-60%'!$E$4)</f>
        <v>1651.6464556445624</v>
      </c>
      <c r="L1069" s="35"/>
      <c r="M1069" s="35"/>
      <c r="N1069" s="35"/>
    </row>
    <row r="1070" spans="1:14" x14ac:dyDescent="0.3">
      <c r="A1070" s="397"/>
      <c r="B1070" s="94">
        <v>20</v>
      </c>
      <c r="C1070" s="92">
        <f>(C447*'Środek masy resorowanej'!$D$83*(('Środek masy resorowanej'!$F$84)/'40%-60%'!$C$4))*('40%-60%'!$B$424/'40%-60%'!$E$4)</f>
        <v>15.29302273744965</v>
      </c>
      <c r="D1070" s="92">
        <f>(D447*'Środek masy resorowanej'!$D$83*(('Środek masy resorowanej'!$F$84)/'40%-60%'!$C$4))*('40%-60%'!$B$424/'40%-60%'!$E$4)</f>
        <v>61.172090949798601</v>
      </c>
      <c r="E1070" s="92">
        <f>(E447*'Środek masy resorowanej'!$D$83*(('Środek masy resorowanej'!$F$84)/'40%-60%'!$C$4))*('40%-60%'!$B$424/'40%-60%'!$E$4)</f>
        <v>137.63720463704684</v>
      </c>
      <c r="F1070" s="92">
        <f>(F447*'Środek masy resorowanej'!$D$83*(('Środek masy resorowanej'!$F$84)/'40%-60%'!$C$4))*('40%-60%'!$B$424/'40%-60%'!$E$4)</f>
        <v>244.68836379919441</v>
      </c>
      <c r="G1070" s="92">
        <f>(G447*'Środek masy resorowanej'!$D$83*(('Środek masy resorowanej'!$F$84)/'40%-60%'!$C$4))*('40%-60%'!$B$424/'40%-60%'!$E$4)</f>
        <v>382.32556843624127</v>
      </c>
      <c r="H1070" s="92">
        <f>(H447*'Środek masy resorowanej'!$D$83*(('Środek masy resorowanej'!$F$84)/'40%-60%'!$C$4))*('40%-60%'!$B$424/'40%-60%'!$E$4)</f>
        <v>550.54881854818734</v>
      </c>
      <c r="I1070" s="92">
        <f>(I447*'Środek masy resorowanej'!$D$83*(('Środek masy resorowanej'!$F$84)/'40%-60%'!$C$4))*('40%-60%'!$B$424/'40%-60%'!$E$4)</f>
        <v>749.35811413503291</v>
      </c>
      <c r="J1070" s="92">
        <f>(J447*'Środek masy resorowanej'!$D$83*(('Środek masy resorowanej'!$F$84)/'40%-60%'!$C$4))*('40%-60%'!$B$424/'40%-60%'!$E$4)</f>
        <v>978.75345519677762</v>
      </c>
      <c r="K1070" s="92">
        <f>(K447*'Środek masy resorowanej'!$D$83*(('Środek masy resorowanej'!$F$84)/'40%-60%'!$C$4))*('40%-60%'!$B$424/'40%-60%'!$E$4)</f>
        <v>1238.7348417334217</v>
      </c>
      <c r="L1070" s="35"/>
      <c r="M1070" s="35"/>
      <c r="N1070" s="35"/>
    </row>
    <row r="1071" spans="1:14" x14ac:dyDescent="0.3">
      <c r="A1071" s="397"/>
      <c r="B1071" s="94">
        <v>25</v>
      </c>
      <c r="C1071" s="92">
        <f>(C448*'Środek masy resorowanej'!$D$83*(('Środek masy resorowanej'!$F$84)/'40%-60%'!$C$4))*('40%-60%'!$B$424/'40%-60%'!$E$4)</f>
        <v>12.234418189959721</v>
      </c>
      <c r="D1071" s="92">
        <f>(D448*'Środek masy resorowanej'!$D$83*(('Środek masy resorowanej'!$F$84)/'40%-60%'!$C$4))*('40%-60%'!$B$424/'40%-60%'!$E$4)</f>
        <v>48.937672759838883</v>
      </c>
      <c r="E1071" s="92">
        <f>(E448*'Środek masy resorowanej'!$D$83*(('Środek masy resorowanej'!$F$84)/'40%-60%'!$C$4))*('40%-60%'!$B$424/'40%-60%'!$E$4)</f>
        <v>110.10976370963749</v>
      </c>
      <c r="F1071" s="92">
        <f>(F448*'Środek masy resorowanej'!$D$83*(('Środek masy resorowanej'!$F$84)/'40%-60%'!$C$4))*('40%-60%'!$B$424/'40%-60%'!$E$4)</f>
        <v>195.75069103935553</v>
      </c>
      <c r="G1071" s="92">
        <f>(G448*'Środek masy resorowanej'!$D$83*(('Środek masy resorowanej'!$F$84)/'40%-60%'!$C$4))*('40%-60%'!$B$424/'40%-60%'!$E$4)</f>
        <v>305.86045474899305</v>
      </c>
      <c r="H1071" s="92">
        <f>(H448*'Środek masy resorowanej'!$D$83*(('Środek masy resorowanej'!$F$84)/'40%-60%'!$C$4))*('40%-60%'!$B$424/'40%-60%'!$E$4)</f>
        <v>440.43905483854996</v>
      </c>
      <c r="I1071" s="92">
        <f>(I448*'Środek masy resorowanej'!$D$83*(('Środek masy resorowanej'!$F$84)/'40%-60%'!$C$4))*('40%-60%'!$B$424/'40%-60%'!$E$4)</f>
        <v>599.4864913080263</v>
      </c>
      <c r="J1071" s="92">
        <f>(J448*'Środek masy resorowanej'!$D$83*(('Środek masy resorowanej'!$F$84)/'40%-60%'!$C$4))*('40%-60%'!$B$424/'40%-60%'!$E$4)</f>
        <v>783.00276415742212</v>
      </c>
      <c r="K1071" s="92">
        <f>(K448*'Środek masy resorowanej'!$D$83*(('Środek masy resorowanej'!$F$84)/'40%-60%'!$C$4))*('40%-60%'!$B$424/'40%-60%'!$E$4)</f>
        <v>990.98787338673742</v>
      </c>
      <c r="L1071" s="35"/>
      <c r="M1071" s="35"/>
      <c r="N1071" s="35"/>
    </row>
    <row r="1072" spans="1:14" x14ac:dyDescent="0.3">
      <c r="A1072" s="397"/>
      <c r="B1072" s="94">
        <v>30</v>
      </c>
      <c r="C1072" s="92">
        <f>(C449*'Środek masy resorowanej'!$D$83*(('Środek masy resorowanej'!$F$84)/'40%-60%'!$C$4))*('40%-60%'!$B$424/'40%-60%'!$E$4)</f>
        <v>10.195348491633101</v>
      </c>
      <c r="D1072" s="92">
        <f>(D449*'Środek masy resorowanej'!$D$83*(('Środek masy resorowanej'!$F$84)/'40%-60%'!$C$4))*('40%-60%'!$B$424/'40%-60%'!$E$4)</f>
        <v>40.781393966532406</v>
      </c>
      <c r="E1072" s="92">
        <f>(E449*'Środek masy resorowanej'!$D$83*(('Środek masy resorowanej'!$F$84)/'40%-60%'!$C$4))*('40%-60%'!$B$424/'40%-60%'!$E$4)</f>
        <v>91.758136424697909</v>
      </c>
      <c r="F1072" s="92">
        <f>(F449*'Środek masy resorowanej'!$D$83*(('Środek masy resorowanej'!$F$84)/'40%-60%'!$C$4))*('40%-60%'!$B$424/'40%-60%'!$E$4)</f>
        <v>163.12557586612962</v>
      </c>
      <c r="G1072" s="92">
        <f>(G449*'Środek masy resorowanej'!$D$83*(('Środek masy resorowanej'!$F$84)/'40%-60%'!$C$4))*('40%-60%'!$B$424/'40%-60%'!$E$4)</f>
        <v>254.8837122908275</v>
      </c>
      <c r="H1072" s="92">
        <f>(H449*'Środek masy resorowanej'!$D$83*(('Środek masy resorowanej'!$F$84)/'40%-60%'!$C$4))*('40%-60%'!$B$424/'40%-60%'!$E$4)</f>
        <v>367.03254569879164</v>
      </c>
      <c r="I1072" s="92">
        <f>(I449*'Środek masy resorowanej'!$D$83*(('Środek masy resorowanej'!$F$84)/'40%-60%'!$C$4))*('40%-60%'!$B$424/'40%-60%'!$E$4)</f>
        <v>499.57207609002194</v>
      </c>
      <c r="J1072" s="92">
        <f>(J449*'Środek masy resorowanej'!$D$83*(('Środek masy resorowanej'!$F$84)/'40%-60%'!$C$4))*('40%-60%'!$B$424/'40%-60%'!$E$4)</f>
        <v>652.50230346451849</v>
      </c>
      <c r="K1072" s="92">
        <f>(K449*'Środek masy resorowanej'!$D$83*(('Środek masy resorowanej'!$F$84)/'40%-60%'!$C$4))*('40%-60%'!$B$424/'40%-60%'!$E$4)</f>
        <v>825.82322782228118</v>
      </c>
      <c r="L1072" s="35"/>
      <c r="M1072" s="35"/>
      <c r="N1072" s="35"/>
    </row>
    <row r="1073" spans="1:14" x14ac:dyDescent="0.3">
      <c r="A1073" s="397"/>
      <c r="B1073" s="94">
        <v>35</v>
      </c>
      <c r="C1073" s="92">
        <f>(C450*'Środek masy resorowanej'!$D$83*(('Środek masy resorowanej'!$F$84)/'40%-60%'!$C$4))*('40%-60%'!$B$424/'40%-60%'!$E$4)</f>
        <v>8.7388701356855147</v>
      </c>
      <c r="D1073" s="92">
        <f>(D450*'Środek masy resorowanej'!$D$83*(('Środek masy resorowanej'!$F$84)/'40%-60%'!$C$4))*('40%-60%'!$B$424/'40%-60%'!$E$4)</f>
        <v>34.955480542742059</v>
      </c>
      <c r="E1073" s="92">
        <f>(E450*'Środek masy resorowanej'!$D$83*(('Środek masy resorowanej'!$F$84)/'40%-60%'!$C$4))*('40%-60%'!$B$424/'40%-60%'!$E$4)</f>
        <v>78.649831221169634</v>
      </c>
      <c r="F1073" s="92">
        <f>(F450*'Środek masy resorowanej'!$D$83*(('Środek masy resorowanej'!$F$84)/'40%-60%'!$C$4))*('40%-60%'!$B$424/'40%-60%'!$E$4)</f>
        <v>139.82192217096824</v>
      </c>
      <c r="G1073" s="92">
        <f>(G450*'Środek masy resorowanej'!$D$83*(('Środek masy resorowanej'!$F$84)/'40%-60%'!$C$4))*('40%-60%'!$B$424/'40%-60%'!$E$4)</f>
        <v>218.47175339213788</v>
      </c>
      <c r="H1073" s="92">
        <f>(H450*'Środek masy resorowanej'!$D$83*(('Środek masy resorowanej'!$F$84)/'40%-60%'!$C$4))*('40%-60%'!$B$424/'40%-60%'!$E$4)</f>
        <v>314.59932488467854</v>
      </c>
      <c r="I1073" s="92">
        <f>(I450*'Środek masy resorowanej'!$D$83*(('Środek masy resorowanej'!$F$84)/'40%-60%'!$C$4))*('40%-60%'!$B$424/'40%-60%'!$E$4)</f>
        <v>428.20463664859022</v>
      </c>
      <c r="J1073" s="92">
        <f>(J450*'Środek masy resorowanej'!$D$83*(('Środek masy resorowanej'!$F$84)/'40%-60%'!$C$4))*('40%-60%'!$B$424/'40%-60%'!$E$4)</f>
        <v>559.28768868387294</v>
      </c>
      <c r="K1073" s="92">
        <f>(K450*'Środek masy resorowanej'!$D$83*(('Środek masy resorowanej'!$F$84)/'40%-60%'!$C$4))*('40%-60%'!$B$424/'40%-60%'!$E$4)</f>
        <v>707.8484809905267</v>
      </c>
      <c r="L1073" s="35"/>
      <c r="M1073" s="35"/>
      <c r="N1073" s="35"/>
    </row>
    <row r="1074" spans="1:14" x14ac:dyDescent="0.3">
      <c r="A1074" s="397"/>
      <c r="B1074" s="94">
        <v>40</v>
      </c>
      <c r="C1074" s="92">
        <f>(C451*'Środek masy resorowanej'!$D$83*(('Środek masy resorowanej'!$F$84)/'40%-60%'!$C$4))*('40%-60%'!$B$424/'40%-60%'!$E$4)</f>
        <v>7.6465113687248252</v>
      </c>
      <c r="D1074" s="92">
        <f>(D451*'Środek masy resorowanej'!$D$83*(('Środek masy resorowanej'!$F$84)/'40%-60%'!$C$4))*('40%-60%'!$B$424/'40%-60%'!$E$4)</f>
        <v>30.586045474899301</v>
      </c>
      <c r="E1074" s="92">
        <f>(E451*'Środek masy resorowanej'!$D$83*(('Środek masy resorowanej'!$F$84)/'40%-60%'!$C$4))*('40%-60%'!$B$424/'40%-60%'!$E$4)</f>
        <v>68.818602318523418</v>
      </c>
      <c r="F1074" s="92">
        <f>(F451*'Środek masy resorowanej'!$D$83*(('Środek masy resorowanej'!$F$84)/'40%-60%'!$C$4))*('40%-60%'!$B$424/'40%-60%'!$E$4)</f>
        <v>122.3441818995972</v>
      </c>
      <c r="G1074" s="92">
        <f>(G451*'Środek masy resorowanej'!$D$83*(('Środek masy resorowanej'!$F$84)/'40%-60%'!$C$4))*('40%-60%'!$B$424/'40%-60%'!$E$4)</f>
        <v>191.16278421812063</v>
      </c>
      <c r="H1074" s="92">
        <f>(H451*'Środek masy resorowanej'!$D$83*(('Środek masy resorowanej'!$F$84)/'40%-60%'!$C$4))*('40%-60%'!$B$424/'40%-60%'!$E$4)</f>
        <v>275.27440927409367</v>
      </c>
      <c r="I1074" s="92">
        <f>(I451*'Środek masy resorowanej'!$D$83*(('Środek masy resorowanej'!$F$84)/'40%-60%'!$C$4))*('40%-60%'!$B$424/'40%-60%'!$E$4)</f>
        <v>374.67905706751645</v>
      </c>
      <c r="J1074" s="92">
        <f>(J451*'Środek masy resorowanej'!$D$83*(('Środek masy resorowanej'!$F$84)/'40%-60%'!$C$4))*('40%-60%'!$B$424/'40%-60%'!$E$4)</f>
        <v>489.37672759838881</v>
      </c>
      <c r="K1074" s="92">
        <f>(K451*'Środek masy resorowanej'!$D$83*(('Środek masy resorowanej'!$F$84)/'40%-60%'!$C$4))*('40%-60%'!$B$424/'40%-60%'!$E$4)</f>
        <v>619.36742086671086</v>
      </c>
      <c r="L1074" s="35"/>
      <c r="M1074" s="35"/>
      <c r="N1074" s="35"/>
    </row>
    <row r="1075" spans="1:14" x14ac:dyDescent="0.3">
      <c r="A1075" s="397"/>
      <c r="B1075" s="94">
        <v>45</v>
      </c>
      <c r="C1075" s="92">
        <f>(C452*'Środek masy resorowanej'!$D$83*(('Środek masy resorowanej'!$F$84)/'40%-60%'!$C$4))*('40%-60%'!$B$424/'40%-60%'!$E$4)</f>
        <v>6.796898994422067</v>
      </c>
      <c r="D1075" s="92">
        <f>(D452*'Środek masy resorowanej'!$D$83*(('Środek masy resorowanej'!$F$84)/'40%-60%'!$C$4))*('40%-60%'!$B$424/'40%-60%'!$E$4)</f>
        <v>27.187595977688268</v>
      </c>
      <c r="E1075" s="92">
        <f>(E452*'Środek masy resorowanej'!$D$83*(('Środek masy resorowanej'!$F$84)/'40%-60%'!$C$4))*('40%-60%'!$B$424/'40%-60%'!$E$4)</f>
        <v>61.172090949798601</v>
      </c>
      <c r="F1075" s="92">
        <f>(F452*'Środek masy resorowanej'!$D$83*(('Środek masy resorowanej'!$F$84)/'40%-60%'!$C$4))*('40%-60%'!$B$424/'40%-60%'!$E$4)</f>
        <v>108.75038391075307</v>
      </c>
      <c r="G1075" s="92">
        <f>(G452*'Środek masy resorowanej'!$D$83*(('Środek masy resorowanej'!$F$84)/'40%-60%'!$C$4))*('40%-60%'!$B$424/'40%-60%'!$E$4)</f>
        <v>169.92247486055169</v>
      </c>
      <c r="H1075" s="92">
        <f>(H452*'Środek masy resorowanej'!$D$83*(('Środek masy resorowanej'!$F$84)/'40%-60%'!$C$4))*('40%-60%'!$B$424/'40%-60%'!$E$4)</f>
        <v>244.68836379919441</v>
      </c>
      <c r="I1075" s="92">
        <f>(I452*'Środek masy resorowanej'!$D$83*(('Środek masy resorowanej'!$F$84)/'40%-60%'!$C$4))*('40%-60%'!$B$424/'40%-60%'!$E$4)</f>
        <v>333.04805072668125</v>
      </c>
      <c r="J1075" s="92">
        <f>(J452*'Środek masy resorowanej'!$D$83*(('Środek masy resorowanej'!$F$84)/'40%-60%'!$C$4))*('40%-60%'!$B$424/'40%-60%'!$E$4)</f>
        <v>435.00153564301229</v>
      </c>
      <c r="K1075" s="92">
        <f>(K452*'Środek masy resorowanej'!$D$83*(('Środek masy resorowanej'!$F$84)/'40%-60%'!$C$4))*('40%-60%'!$B$424/'40%-60%'!$E$4)</f>
        <v>550.54881854818734</v>
      </c>
      <c r="L1075" s="35"/>
      <c r="M1075" s="35"/>
      <c r="N1075" s="35"/>
    </row>
    <row r="1076" spans="1:14" x14ac:dyDescent="0.3">
      <c r="A1076" s="397"/>
      <c r="B1076" s="94">
        <v>50</v>
      </c>
      <c r="C1076" s="92">
        <f>(C453*'Środek masy resorowanej'!$D$83*(('Środek masy resorowanej'!$F$84)/'40%-60%'!$C$4))*('40%-60%'!$B$424/'40%-60%'!$E$4)</f>
        <v>6.1172090949798603</v>
      </c>
      <c r="D1076" s="92">
        <f>(D453*'Środek masy resorowanej'!$D$83*(('Środek masy resorowanej'!$F$84)/'40%-60%'!$C$4))*('40%-60%'!$B$424/'40%-60%'!$E$4)</f>
        <v>24.468836379919441</v>
      </c>
      <c r="E1076" s="92">
        <f>(E453*'Środek masy resorowanej'!$D$83*(('Środek masy resorowanej'!$F$84)/'40%-60%'!$C$4))*('40%-60%'!$B$424/'40%-60%'!$E$4)</f>
        <v>55.054881854818746</v>
      </c>
      <c r="F1076" s="92">
        <f>(F453*'Środek masy resorowanej'!$D$83*(('Środek masy resorowanej'!$F$84)/'40%-60%'!$C$4))*('40%-60%'!$B$424/'40%-60%'!$E$4)</f>
        <v>97.875345519677765</v>
      </c>
      <c r="G1076" s="92">
        <f>(G453*'Środek masy resorowanej'!$D$83*(('Środek masy resorowanej'!$F$84)/'40%-60%'!$C$4))*('40%-60%'!$B$424/'40%-60%'!$E$4)</f>
        <v>152.93022737449652</v>
      </c>
      <c r="H1076" s="92">
        <f>(H453*'Środek masy resorowanej'!$D$83*(('Środek masy resorowanej'!$F$84)/'40%-60%'!$C$4))*('40%-60%'!$B$424/'40%-60%'!$E$4)</f>
        <v>220.21952741927498</v>
      </c>
      <c r="I1076" s="92">
        <f>(I453*'Środek masy resorowanej'!$D$83*(('Środek masy resorowanej'!$F$84)/'40%-60%'!$C$4))*('40%-60%'!$B$424/'40%-60%'!$E$4)</f>
        <v>299.74324565401315</v>
      </c>
      <c r="J1076" s="92">
        <f>(J453*'Środek masy resorowanej'!$D$83*(('Środek masy resorowanej'!$F$84)/'40%-60%'!$C$4))*('40%-60%'!$B$424/'40%-60%'!$E$4)</f>
        <v>391.50138207871106</v>
      </c>
      <c r="K1076" s="92">
        <f>(K453*'Środek masy resorowanej'!$D$83*(('Środek masy resorowanej'!$F$84)/'40%-60%'!$C$4))*('40%-60%'!$B$424/'40%-60%'!$E$4)</f>
        <v>495.49393669336871</v>
      </c>
      <c r="L1076" s="35"/>
      <c r="M1076" s="35"/>
      <c r="N1076" s="35"/>
    </row>
    <row r="1077" spans="1:14" x14ac:dyDescent="0.3">
      <c r="A1077" s="397"/>
      <c r="B1077" s="94">
        <v>55</v>
      </c>
      <c r="C1077" s="92">
        <f>(C454*'Środek masy resorowanej'!$D$83*(('Środek masy resorowanej'!$F$84)/'40%-60%'!$C$4))*('40%-60%'!$B$424/'40%-60%'!$E$4)</f>
        <v>5.5610991772544187</v>
      </c>
      <c r="D1077" s="92">
        <f>(D454*'Środek masy resorowanej'!$D$83*(('Środek masy resorowanej'!$F$84)/'40%-60%'!$C$4))*('40%-60%'!$B$424/'40%-60%'!$E$4)</f>
        <v>22.244396709017675</v>
      </c>
      <c r="E1077" s="92">
        <f>(E454*'Środek masy resorowanej'!$D$83*(('Środek masy resorowanej'!$F$84)/'40%-60%'!$C$4))*('40%-60%'!$B$424/'40%-60%'!$E$4)</f>
        <v>50.049892595289762</v>
      </c>
      <c r="F1077" s="92">
        <f>(F454*'Środek masy resorowanej'!$D$83*(('Środek masy resorowanej'!$F$84)/'40%-60%'!$C$4))*('40%-60%'!$B$424/'40%-60%'!$E$4)</f>
        <v>88.977586836070699</v>
      </c>
      <c r="G1077" s="92">
        <f>(G454*'Środek masy resorowanej'!$D$83*(('Środek masy resorowanej'!$F$84)/'40%-60%'!$C$4))*('40%-60%'!$B$424/'40%-60%'!$E$4)</f>
        <v>139.02747943136046</v>
      </c>
      <c r="H1077" s="92">
        <f>(H454*'Środek masy resorowanej'!$D$83*(('Środek masy resorowanej'!$F$84)/'40%-60%'!$C$4))*('40%-60%'!$B$424/'40%-60%'!$E$4)</f>
        <v>200.19957038115905</v>
      </c>
      <c r="I1077" s="92">
        <f>(I454*'Środek masy resorowanej'!$D$83*(('Środek masy resorowanej'!$F$84)/'40%-60%'!$C$4))*('40%-60%'!$B$424/'40%-60%'!$E$4)</f>
        <v>272.49385968546653</v>
      </c>
      <c r="J1077" s="92">
        <f>(J454*'Środek masy resorowanej'!$D$83*(('Środek masy resorowanej'!$F$84)/'40%-60%'!$C$4))*('40%-60%'!$B$424/'40%-60%'!$E$4)</f>
        <v>355.9103473442828</v>
      </c>
      <c r="K1077" s="92">
        <f>(K454*'Środek masy resorowanej'!$D$83*(('Środek masy resorowanej'!$F$84)/'40%-60%'!$C$4))*('40%-60%'!$B$424/'40%-60%'!$E$4)</f>
        <v>450.4490333576079</v>
      </c>
      <c r="L1077" s="35"/>
      <c r="M1077" s="35"/>
      <c r="N1077" s="35"/>
    </row>
    <row r="1078" spans="1:14" x14ac:dyDescent="0.3">
      <c r="A1078" s="397"/>
      <c r="B1078" s="94">
        <v>60</v>
      </c>
      <c r="C1078" s="92">
        <f>(C455*'Środek masy resorowanej'!$D$83*(('Środek masy resorowanej'!$F$84)/'40%-60%'!$C$4))*('40%-60%'!$B$424/'40%-60%'!$E$4)</f>
        <v>5.0976742458165507</v>
      </c>
      <c r="D1078" s="92">
        <f>(D455*'Środek masy resorowanej'!$D$83*(('Środek masy resorowanej'!$F$84)/'40%-60%'!$C$4))*('40%-60%'!$B$424/'40%-60%'!$E$4)</f>
        <v>20.390696983266203</v>
      </c>
      <c r="E1078" s="92">
        <f>(E455*'Środek masy resorowanej'!$D$83*(('Środek masy resorowanej'!$F$84)/'40%-60%'!$C$4))*('40%-60%'!$B$424/'40%-60%'!$E$4)</f>
        <v>45.879068212348955</v>
      </c>
      <c r="F1078" s="92">
        <f>(F455*'Środek masy resorowanej'!$D$83*(('Środek masy resorowanej'!$F$84)/'40%-60%'!$C$4))*('40%-60%'!$B$424/'40%-60%'!$E$4)</f>
        <v>81.562787933064811</v>
      </c>
      <c r="G1078" s="92">
        <f>(G455*'Środek masy resorowanej'!$D$83*(('Środek masy resorowanej'!$F$84)/'40%-60%'!$C$4))*('40%-60%'!$B$424/'40%-60%'!$E$4)</f>
        <v>127.44185614541375</v>
      </c>
      <c r="H1078" s="92">
        <f>(H455*'Środek masy resorowanej'!$D$83*(('Środek masy resorowanej'!$F$84)/'40%-60%'!$C$4))*('40%-60%'!$B$424/'40%-60%'!$E$4)</f>
        <v>183.51627284939582</v>
      </c>
      <c r="I1078" s="92">
        <f>(I455*'Środek masy resorowanej'!$D$83*(('Środek masy resorowanej'!$F$84)/'40%-60%'!$C$4))*('40%-60%'!$B$424/'40%-60%'!$E$4)</f>
        <v>249.78603804501097</v>
      </c>
      <c r="J1078" s="92">
        <f>(J455*'Środek masy resorowanej'!$D$83*(('Środek masy resorowanej'!$F$84)/'40%-60%'!$C$4))*('40%-60%'!$B$424/'40%-60%'!$E$4)</f>
        <v>326.25115173225925</v>
      </c>
      <c r="K1078" s="92">
        <f>(K455*'Środek masy resorowanej'!$D$83*(('Środek masy resorowanej'!$F$84)/'40%-60%'!$C$4))*('40%-60%'!$B$424/'40%-60%'!$E$4)</f>
        <v>412.91161391114059</v>
      </c>
      <c r="L1078" s="35"/>
      <c r="M1078" s="35"/>
      <c r="N1078" s="35"/>
    </row>
    <row r="1079" spans="1:14" x14ac:dyDescent="0.3">
      <c r="A1079" s="397"/>
      <c r="B1079" s="94">
        <v>65</v>
      </c>
      <c r="C1079" s="92">
        <f>(C456*'Środek masy resorowanej'!$D$83*(('Środek masy resorowanej'!$F$84)/'40%-60%'!$C$4))*('40%-60%'!$B$424/'40%-60%'!$E$4)</f>
        <v>4.7055454576768163</v>
      </c>
      <c r="D1079" s="92">
        <f>(D456*'Środek masy resorowanej'!$D$83*(('Środek masy resorowanej'!$F$84)/'40%-60%'!$C$4))*('40%-60%'!$B$424/'40%-60%'!$E$4)</f>
        <v>18.822181830707265</v>
      </c>
      <c r="E1079" s="92">
        <f>(E456*'Środek masy resorowanej'!$D$83*(('Środek masy resorowanej'!$F$84)/'40%-60%'!$C$4))*('40%-60%'!$B$424/'40%-60%'!$E$4)</f>
        <v>42.349909119091343</v>
      </c>
      <c r="F1079" s="92">
        <f>(F456*'Środek masy resorowanej'!$D$83*(('Środek masy resorowanej'!$F$84)/'40%-60%'!$C$4))*('40%-60%'!$B$424/'40%-60%'!$E$4)</f>
        <v>75.288727322829061</v>
      </c>
      <c r="G1079" s="92">
        <f>(G456*'Środek masy resorowanej'!$D$83*(('Środek masy resorowanej'!$F$84)/'40%-60%'!$C$4))*('40%-60%'!$B$424/'40%-60%'!$E$4)</f>
        <v>117.6386364419204</v>
      </c>
      <c r="H1079" s="92">
        <f>(H456*'Środek masy resorowanej'!$D$83*(('Środek masy resorowanej'!$F$84)/'40%-60%'!$C$4))*('40%-60%'!$B$424/'40%-60%'!$E$4)</f>
        <v>169.39963647636537</v>
      </c>
      <c r="I1079" s="92">
        <f>(I456*'Środek masy resorowanej'!$D$83*(('Środek masy resorowanej'!$F$84)/'40%-60%'!$C$4))*('40%-60%'!$B$424/'40%-60%'!$E$4)</f>
        <v>230.57172742616399</v>
      </c>
      <c r="J1079" s="92">
        <f>(J456*'Środek masy resorowanej'!$D$83*(('Środek masy resorowanej'!$F$84)/'40%-60%'!$C$4))*('40%-60%'!$B$424/'40%-60%'!$E$4)</f>
        <v>301.15490929131624</v>
      </c>
      <c r="K1079" s="92">
        <f>(K456*'Środek masy resorowanej'!$D$83*(('Środek masy resorowanej'!$F$84)/'40%-60%'!$C$4))*('40%-60%'!$B$424/'40%-60%'!$E$4)</f>
        <v>381.14918207182205</v>
      </c>
      <c r="L1079" s="35"/>
      <c r="M1079" s="35"/>
      <c r="N1079" s="35"/>
    </row>
    <row r="1080" spans="1:14" x14ac:dyDescent="0.3">
      <c r="A1080" s="397"/>
      <c r="B1080" s="94">
        <v>70</v>
      </c>
      <c r="C1080" s="92">
        <f>(C457*'Środek masy resorowanej'!$D$83*(('Środek masy resorowanej'!$F$84)/'40%-60%'!$C$4))*('40%-60%'!$B$424/'40%-60%'!$E$4)</f>
        <v>4.3694350678427574</v>
      </c>
      <c r="D1080" s="92">
        <f>(D457*'Środek masy resorowanej'!$D$83*(('Środek masy resorowanej'!$F$84)/'40%-60%'!$C$4))*('40%-60%'!$B$424/'40%-60%'!$E$4)</f>
        <v>17.477740271371029</v>
      </c>
      <c r="E1080" s="92">
        <f>(E457*'Środek masy resorowanej'!$D$83*(('Środek masy resorowanej'!$F$84)/'40%-60%'!$C$4))*('40%-60%'!$B$424/'40%-60%'!$E$4)</f>
        <v>39.324915610584817</v>
      </c>
      <c r="F1080" s="92">
        <f>(F457*'Środek masy resorowanej'!$D$83*(('Środek masy resorowanej'!$F$84)/'40%-60%'!$C$4))*('40%-60%'!$B$424/'40%-60%'!$E$4)</f>
        <v>69.910961085484118</v>
      </c>
      <c r="G1080" s="92">
        <f>(G457*'Środek masy resorowanej'!$D$83*(('Środek masy resorowanej'!$F$84)/'40%-60%'!$C$4))*('40%-60%'!$B$424/'40%-60%'!$E$4)</f>
        <v>109.23587669606894</v>
      </c>
      <c r="H1080" s="92">
        <f>(H457*'Środek masy resorowanej'!$D$83*(('Środek masy resorowanej'!$F$84)/'40%-60%'!$C$4))*('40%-60%'!$B$424/'40%-60%'!$E$4)</f>
        <v>157.29966244233927</v>
      </c>
      <c r="I1080" s="92">
        <f>(I457*'Środek masy resorowanej'!$D$83*(('Środek masy resorowanej'!$F$84)/'40%-60%'!$C$4))*('40%-60%'!$B$424/'40%-60%'!$E$4)</f>
        <v>214.10231832429511</v>
      </c>
      <c r="J1080" s="92">
        <f>(J457*'Środek masy resorowanej'!$D$83*(('Środek masy resorowanej'!$F$84)/'40%-60%'!$C$4))*('40%-60%'!$B$424/'40%-60%'!$E$4)</f>
        <v>279.64384434193647</v>
      </c>
      <c r="K1080" s="92">
        <f>(K457*'Środek masy resorowanej'!$D$83*(('Środek masy resorowanej'!$F$84)/'40%-60%'!$C$4))*('40%-60%'!$B$424/'40%-60%'!$E$4)</f>
        <v>353.92424049526335</v>
      </c>
      <c r="L1080" s="35"/>
      <c r="M1080" s="35"/>
      <c r="N1080" s="35"/>
    </row>
    <row r="1081" spans="1:14" x14ac:dyDescent="0.3">
      <c r="A1081" s="397"/>
      <c r="B1081" s="94">
        <v>75</v>
      </c>
      <c r="C1081" s="92">
        <f>(C458*'Środek masy resorowanej'!$D$83*(('Środek masy resorowanej'!$F$84)/'40%-60%'!$C$4))*('40%-60%'!$B$424/'40%-60%'!$E$4)</f>
        <v>4.0781393966532402</v>
      </c>
      <c r="D1081" s="92">
        <f>(D458*'Środek masy resorowanej'!$D$83*(('Środek masy resorowanej'!$F$84)/'40%-60%'!$C$4))*('40%-60%'!$B$424/'40%-60%'!$E$4)</f>
        <v>16.312557586612961</v>
      </c>
      <c r="E1081" s="92">
        <f>(E458*'Środek masy resorowanej'!$D$83*(('Środek masy resorowanej'!$F$84)/'40%-60%'!$C$4))*('40%-60%'!$B$424/'40%-60%'!$E$4)</f>
        <v>36.703254569879164</v>
      </c>
      <c r="F1081" s="92">
        <f>(F458*'Środek masy resorowanej'!$D$83*(('Środek masy resorowanej'!$F$84)/'40%-60%'!$C$4))*('40%-60%'!$B$424/'40%-60%'!$E$4)</f>
        <v>65.250230346451843</v>
      </c>
      <c r="G1081" s="92">
        <f>(G458*'Środek masy resorowanej'!$D$83*(('Środek masy resorowanej'!$F$84)/'40%-60%'!$C$4))*('40%-60%'!$B$424/'40%-60%'!$E$4)</f>
        <v>101.95348491633102</v>
      </c>
      <c r="H1081" s="92">
        <f>(H458*'Środek masy resorowanej'!$D$83*(('Środek masy resorowanej'!$F$84)/'40%-60%'!$C$4))*('40%-60%'!$B$424/'40%-60%'!$E$4)</f>
        <v>146.81301827951665</v>
      </c>
      <c r="I1081" s="92">
        <f>(I458*'Środek masy resorowanej'!$D$83*(('Środek masy resorowanej'!$F$84)/'40%-60%'!$C$4))*('40%-60%'!$B$424/'40%-60%'!$E$4)</f>
        <v>199.82883043600876</v>
      </c>
      <c r="J1081" s="92">
        <f>(J458*'Środek masy resorowanej'!$D$83*(('Środek masy resorowanej'!$F$84)/'40%-60%'!$C$4))*('40%-60%'!$B$424/'40%-60%'!$E$4)</f>
        <v>261.00092138580737</v>
      </c>
      <c r="K1081" s="92">
        <f>(K458*'Środek masy resorowanej'!$D$83*(('Środek masy resorowanej'!$F$84)/'40%-60%'!$C$4))*('40%-60%'!$B$424/'40%-60%'!$E$4)</f>
        <v>330.32929112891247</v>
      </c>
      <c r="L1081" s="35"/>
      <c r="M1081" s="35"/>
      <c r="N1081" s="35"/>
    </row>
    <row r="1082" spans="1:14" x14ac:dyDescent="0.3">
      <c r="A1082" s="397"/>
      <c r="B1082" s="94">
        <v>80</v>
      </c>
      <c r="C1082" s="92">
        <f>(C459*'Środek masy resorowanej'!$D$83*(('Środek masy resorowanej'!$F$84)/'40%-60%'!$C$4))*('40%-60%'!$B$424/'40%-60%'!$E$4)</f>
        <v>3.8232556843624126</v>
      </c>
      <c r="D1082" s="92">
        <f>(D459*'Środek masy resorowanej'!$D$83*(('Środek masy resorowanej'!$F$84)/'40%-60%'!$C$4))*('40%-60%'!$B$424/'40%-60%'!$E$4)</f>
        <v>15.29302273744965</v>
      </c>
      <c r="E1082" s="92">
        <f>(E459*'Środek masy resorowanej'!$D$83*(('Środek masy resorowanej'!$F$84)/'40%-60%'!$C$4))*('40%-60%'!$B$424/'40%-60%'!$E$4)</f>
        <v>34.409301159261709</v>
      </c>
      <c r="F1082" s="92">
        <f>(F459*'Środek masy resorowanej'!$D$83*(('Środek masy resorowanej'!$F$84)/'40%-60%'!$C$4))*('40%-60%'!$B$424/'40%-60%'!$E$4)</f>
        <v>61.172090949798601</v>
      </c>
      <c r="G1082" s="92">
        <f>(G459*'Środek masy resorowanej'!$D$83*(('Środek masy resorowanej'!$F$84)/'40%-60%'!$C$4))*('40%-60%'!$B$424/'40%-60%'!$E$4)</f>
        <v>95.581392109060317</v>
      </c>
      <c r="H1082" s="92">
        <f>(H459*'Środek masy resorowanej'!$D$83*(('Środek masy resorowanej'!$F$84)/'40%-60%'!$C$4))*('40%-60%'!$B$424/'40%-60%'!$E$4)</f>
        <v>137.63720463704684</v>
      </c>
      <c r="I1082" s="92">
        <f>(I459*'Środek masy resorowanej'!$D$83*(('Środek masy resorowanej'!$F$84)/'40%-60%'!$C$4))*('40%-60%'!$B$424/'40%-60%'!$E$4)</f>
        <v>187.33952853375823</v>
      </c>
      <c r="J1082" s="92">
        <f>(J459*'Środek masy resorowanej'!$D$83*(('Środek masy resorowanej'!$F$84)/'40%-60%'!$C$4))*('40%-60%'!$B$424/'40%-60%'!$E$4)</f>
        <v>244.68836379919441</v>
      </c>
      <c r="K1082" s="92">
        <f>(K459*'Środek masy resorowanej'!$D$83*(('Środek masy resorowanej'!$F$84)/'40%-60%'!$C$4))*('40%-60%'!$B$424/'40%-60%'!$E$4)</f>
        <v>309.68371043335543</v>
      </c>
      <c r="L1082" s="35"/>
      <c r="M1082" s="35"/>
      <c r="N1082" s="35"/>
    </row>
    <row r="1083" spans="1:14" x14ac:dyDescent="0.3">
      <c r="A1083" s="397"/>
      <c r="B1083" s="94">
        <v>85</v>
      </c>
      <c r="C1083" s="92">
        <f>(C460*'Środek masy resorowanej'!$D$83*(('Środek masy resorowanej'!$F$84)/'40%-60%'!$C$4))*('40%-60%'!$B$424/'40%-60%'!$E$4)</f>
        <v>3.5983582911646237</v>
      </c>
      <c r="D1083" s="92">
        <f>(D460*'Środek masy resorowanej'!$D$83*(('Środek masy resorowanej'!$F$84)/'40%-60%'!$C$4))*('40%-60%'!$B$424/'40%-60%'!$E$4)</f>
        <v>14.393433164658495</v>
      </c>
      <c r="E1083" s="92">
        <f>(E460*'Środek masy resorowanej'!$D$83*(('Środek masy resorowanej'!$F$84)/'40%-60%'!$C$4))*('40%-60%'!$B$424/'40%-60%'!$E$4)</f>
        <v>32.385224620481615</v>
      </c>
      <c r="F1083" s="92">
        <f>(F460*'Środek masy resorowanej'!$D$83*(('Środek masy resorowanej'!$F$84)/'40%-60%'!$C$4))*('40%-60%'!$B$424/'40%-60%'!$E$4)</f>
        <v>57.573732658633979</v>
      </c>
      <c r="G1083" s="92">
        <f>(G460*'Środek masy resorowanej'!$D$83*(('Środek masy resorowanej'!$F$84)/'40%-60%'!$C$4))*('40%-60%'!$B$424/'40%-60%'!$E$4)</f>
        <v>89.958957279115594</v>
      </c>
      <c r="H1083" s="92">
        <f>(H460*'Środek masy resorowanej'!$D$83*(('Środek masy resorowanej'!$F$84)/'40%-60%'!$C$4))*('40%-60%'!$B$424/'40%-60%'!$E$4)</f>
        <v>129.54089848192646</v>
      </c>
      <c r="I1083" s="92">
        <f>(I460*'Środek masy resorowanej'!$D$83*(('Środek masy resorowanej'!$F$84)/'40%-60%'!$C$4))*('40%-60%'!$B$424/'40%-60%'!$E$4)</f>
        <v>176.31955626706656</v>
      </c>
      <c r="J1083" s="92">
        <f>(J460*'Środek masy resorowanej'!$D$83*(('Środek masy resorowanej'!$F$84)/'40%-60%'!$C$4))*('40%-60%'!$B$424/'40%-60%'!$E$4)</f>
        <v>230.29493063453592</v>
      </c>
      <c r="K1083" s="92">
        <f>(K460*'Środek masy resorowanej'!$D$83*(('Środek masy resorowanej'!$F$84)/'40%-60%'!$C$4))*('40%-60%'!$B$424/'40%-60%'!$E$4)</f>
        <v>291.46702158433453</v>
      </c>
      <c r="L1083" s="35"/>
      <c r="M1083" s="35"/>
      <c r="N1083" s="35"/>
    </row>
    <row r="1084" spans="1:14" x14ac:dyDescent="0.3">
      <c r="A1084" s="397"/>
      <c r="B1084" s="94">
        <v>90</v>
      </c>
      <c r="C1084" s="92">
        <f>(C461*'Środek masy resorowanej'!$D$83*(('Środek masy resorowanej'!$F$84)/'40%-60%'!$C$4))*('40%-60%'!$B$424/'40%-60%'!$E$4)</f>
        <v>3.3984494972110335</v>
      </c>
      <c r="D1084" s="92">
        <f>(D461*'Środek masy resorowanej'!$D$83*(('Środek masy resorowanej'!$F$84)/'40%-60%'!$C$4))*('40%-60%'!$B$424/'40%-60%'!$E$4)</f>
        <v>13.593797988844134</v>
      </c>
      <c r="E1084" s="92">
        <f>(E461*'Środek masy resorowanej'!$D$83*(('Środek masy resorowanej'!$F$84)/'40%-60%'!$C$4))*('40%-60%'!$B$424/'40%-60%'!$E$4)</f>
        <v>30.586045474899301</v>
      </c>
      <c r="F1084" s="92">
        <f>(F461*'Środek masy resorowanej'!$D$83*(('Środek masy resorowanej'!$F$84)/'40%-60%'!$C$4))*('40%-60%'!$B$424/'40%-60%'!$E$4)</f>
        <v>54.375191955376536</v>
      </c>
      <c r="G1084" s="92">
        <f>(G461*'Środek masy resorowanej'!$D$83*(('Środek masy resorowanej'!$F$84)/'40%-60%'!$C$4))*('40%-60%'!$B$424/'40%-60%'!$E$4)</f>
        <v>84.961237430275844</v>
      </c>
      <c r="H1084" s="92">
        <f>(H461*'Środek masy resorowanej'!$D$83*(('Środek masy resorowanej'!$F$84)/'40%-60%'!$C$4))*('40%-60%'!$B$424/'40%-60%'!$E$4)</f>
        <v>122.3441818995972</v>
      </c>
      <c r="I1084" s="92">
        <f>(I461*'Środek masy resorowanej'!$D$83*(('Środek masy resorowanej'!$F$84)/'40%-60%'!$C$4))*('40%-60%'!$B$424/'40%-60%'!$E$4)</f>
        <v>166.52402536334063</v>
      </c>
      <c r="J1084" s="92">
        <f>(J461*'Środek masy resorowanej'!$D$83*(('Środek masy resorowanej'!$F$84)/'40%-60%'!$C$4))*('40%-60%'!$B$424/'40%-60%'!$E$4)</f>
        <v>217.50076782150614</v>
      </c>
      <c r="K1084" s="92">
        <f>(K461*'Środek masy resorowanej'!$D$83*(('Środek masy resorowanej'!$F$84)/'40%-60%'!$C$4))*('40%-60%'!$B$424/'40%-60%'!$E$4)</f>
        <v>275.27440927409367</v>
      </c>
      <c r="L1084" s="35"/>
      <c r="M1084" s="35"/>
      <c r="N1084" s="35"/>
    </row>
    <row r="1085" spans="1:14" x14ac:dyDescent="0.3">
      <c r="A1085" s="397"/>
      <c r="B1085" s="94">
        <v>95</v>
      </c>
      <c r="C1085" s="92">
        <f>(C462*'Środek masy resorowanej'!$D$83*(('Środek masy resorowanej'!$F$84)/'40%-60%'!$C$4))*('40%-60%'!$B$424/'40%-60%'!$E$4)</f>
        <v>3.2195837341999263</v>
      </c>
      <c r="D1085" s="92">
        <f>(D462*'Środek masy resorowanej'!$D$83*(('Środek masy resorowanej'!$F$84)/'40%-60%'!$C$4))*('40%-60%'!$B$424/'40%-60%'!$E$4)</f>
        <v>12.878334936799705</v>
      </c>
      <c r="E1085" s="92">
        <f>(E462*'Środek masy resorowanej'!$D$83*(('Środek masy resorowanej'!$F$84)/'40%-60%'!$C$4))*('40%-60%'!$B$424/'40%-60%'!$E$4)</f>
        <v>28.97625360779934</v>
      </c>
      <c r="F1085" s="92">
        <f>(F462*'Środek masy resorowanej'!$D$83*(('Środek masy resorowanej'!$F$84)/'40%-60%'!$C$4))*('40%-60%'!$B$424/'40%-60%'!$E$4)</f>
        <v>51.51333974719882</v>
      </c>
      <c r="G1085" s="92">
        <f>(G462*'Środek masy resorowanej'!$D$83*(('Środek masy resorowanej'!$F$84)/'40%-60%'!$C$4))*('40%-60%'!$B$424/'40%-60%'!$E$4)</f>
        <v>80.489593354998163</v>
      </c>
      <c r="H1085" s="92">
        <f>(H462*'Środek masy resorowanej'!$D$83*(('Środek masy resorowanej'!$F$84)/'40%-60%'!$C$4))*('40%-60%'!$B$424/'40%-60%'!$E$4)</f>
        <v>115.90501443119736</v>
      </c>
      <c r="I1085" s="92">
        <f>(I462*'Środek masy resorowanej'!$D$83*(('Środek masy resorowanej'!$F$84)/'40%-60%'!$C$4))*('40%-60%'!$B$424/'40%-60%'!$E$4)</f>
        <v>157.75960297579638</v>
      </c>
      <c r="J1085" s="92">
        <f>(J462*'Środek masy resorowanej'!$D$83*(('Środek masy resorowanej'!$F$84)/'40%-60%'!$C$4))*('40%-60%'!$B$424/'40%-60%'!$E$4)</f>
        <v>206.05335898879528</v>
      </c>
      <c r="K1085" s="92">
        <f>(K462*'Środek masy resorowanej'!$D$83*(('Środek masy resorowanej'!$F$84)/'40%-60%'!$C$4))*('40%-60%'!$B$424/'40%-60%'!$E$4)</f>
        <v>260.78628247019401</v>
      </c>
      <c r="L1085" s="35"/>
      <c r="M1085" s="35"/>
      <c r="N1085" s="35"/>
    </row>
    <row r="1086" spans="1:14" x14ac:dyDescent="0.3">
      <c r="A1086" s="397"/>
      <c r="B1086" s="94">
        <v>100</v>
      </c>
      <c r="C1086" s="92">
        <f>(C463*'Środek masy resorowanej'!$D$83*(('Środek masy resorowanej'!$F$84)/'40%-60%'!$C$4))*('40%-60%'!$B$424/'40%-60%'!$E$4)</f>
        <v>3.0586045474899302</v>
      </c>
      <c r="D1086" s="92">
        <f>(D463*'Środek masy resorowanej'!$D$83*(('Środek masy resorowanej'!$F$84)/'40%-60%'!$C$4))*('40%-60%'!$B$424/'40%-60%'!$E$4)</f>
        <v>12.234418189959721</v>
      </c>
      <c r="E1086" s="92">
        <f>(E463*'Środek masy resorowanej'!$D$83*(('Środek masy resorowanej'!$F$84)/'40%-60%'!$C$4))*('40%-60%'!$B$424/'40%-60%'!$E$4)</f>
        <v>27.527440927409373</v>
      </c>
      <c r="F1086" s="92">
        <f>(F463*'Środek masy resorowanej'!$D$83*(('Środek masy resorowanej'!$F$84)/'40%-60%'!$C$4))*('40%-60%'!$B$424/'40%-60%'!$E$4)</f>
        <v>48.937672759838883</v>
      </c>
      <c r="G1086" s="92">
        <f>(G463*'Środek masy resorowanej'!$D$83*(('Środek masy resorowanej'!$F$84)/'40%-60%'!$C$4))*('40%-60%'!$B$424/'40%-60%'!$E$4)</f>
        <v>76.465113687248262</v>
      </c>
      <c r="H1086" s="92">
        <f>(H463*'Środek masy resorowanej'!$D$83*(('Środek masy resorowanej'!$F$84)/'40%-60%'!$C$4))*('40%-60%'!$B$424/'40%-60%'!$E$4)</f>
        <v>110.10976370963749</v>
      </c>
      <c r="I1086" s="92">
        <f>(I463*'Środek masy resorowanej'!$D$83*(('Środek masy resorowanej'!$F$84)/'40%-60%'!$C$4))*('40%-60%'!$B$424/'40%-60%'!$E$4)</f>
        <v>149.87162282700658</v>
      </c>
      <c r="J1086" s="92">
        <f>(J463*'Środek masy resorowanej'!$D$83*(('Środek masy resorowanej'!$F$84)/'40%-60%'!$C$4))*('40%-60%'!$B$424/'40%-60%'!$E$4)</f>
        <v>195.75069103935553</v>
      </c>
      <c r="K1086" s="92">
        <f>(K463*'Środek masy resorowanej'!$D$83*(('Środek masy resorowanej'!$F$84)/'40%-60%'!$C$4))*('40%-60%'!$B$424/'40%-60%'!$E$4)</f>
        <v>247.74696834668435</v>
      </c>
      <c r="L1086" s="35"/>
      <c r="M1086" s="35"/>
      <c r="N1086" s="35"/>
    </row>
    <row r="1087" spans="1:14" x14ac:dyDescent="0.3">
      <c r="A1087" s="7"/>
      <c r="B1087" s="37"/>
      <c r="C1087" s="35"/>
      <c r="D1087" s="35"/>
      <c r="E1087" s="35"/>
      <c r="F1087" s="35"/>
      <c r="G1087" s="35"/>
      <c r="H1087" s="35"/>
      <c r="I1087" s="35"/>
      <c r="J1087" s="35"/>
      <c r="K1087" s="35"/>
      <c r="L1087" s="35"/>
      <c r="M1087" s="35"/>
      <c r="N1087" s="35"/>
    </row>
    <row r="1088" spans="1:14" x14ac:dyDescent="0.3">
      <c r="A1088" s="367" t="s">
        <v>752</v>
      </c>
      <c r="B1088" s="367"/>
      <c r="C1088" s="367"/>
      <c r="D1088" s="367"/>
      <c r="E1088" s="367"/>
      <c r="F1088" s="367"/>
      <c r="G1088" s="367"/>
      <c r="H1088" s="367"/>
      <c r="I1088" s="367"/>
      <c r="J1088" s="367"/>
      <c r="K1088" s="367"/>
      <c r="L1088" s="35"/>
      <c r="M1088" s="35"/>
      <c r="N1088" s="35"/>
    </row>
    <row r="1089" spans="1:14" x14ac:dyDescent="0.3">
      <c r="A1089" s="7"/>
      <c r="B1089" s="37"/>
      <c r="C1089" s="35"/>
      <c r="D1089" s="35"/>
      <c r="E1089" s="35"/>
      <c r="F1089" s="35"/>
      <c r="G1089" s="35"/>
      <c r="H1089" s="35"/>
      <c r="I1089" s="35"/>
      <c r="J1089" s="35"/>
      <c r="K1089" s="35"/>
      <c r="L1089" s="35"/>
      <c r="M1089" s="35"/>
      <c r="N1089" s="35"/>
    </row>
    <row r="1090" spans="1:14" x14ac:dyDescent="0.3">
      <c r="A1090" s="430" t="s">
        <v>751</v>
      </c>
      <c r="B1090" s="431"/>
      <c r="C1090" s="431"/>
      <c r="D1090" s="431"/>
      <c r="E1090" s="431"/>
      <c r="F1090" s="431"/>
      <c r="G1090" s="431"/>
      <c r="H1090" s="431"/>
      <c r="I1090" s="431"/>
      <c r="J1090" s="431"/>
      <c r="K1090" s="432"/>
      <c r="L1090" s="35"/>
      <c r="M1090" s="35"/>
      <c r="N1090" s="35"/>
    </row>
    <row r="1091" spans="1:14" x14ac:dyDescent="0.3">
      <c r="A1091" s="7"/>
      <c r="B1091" s="37"/>
      <c r="C1091" s="35"/>
      <c r="D1091" s="35"/>
      <c r="E1091" s="35"/>
      <c r="F1091" s="35"/>
      <c r="G1091" s="35"/>
      <c r="H1091" s="35"/>
      <c r="I1091" s="35"/>
      <c r="J1091" s="35"/>
      <c r="K1091" s="35"/>
      <c r="L1091" s="35"/>
      <c r="M1091" s="35"/>
      <c r="N1091" s="35"/>
    </row>
    <row r="1092" spans="1:14" x14ac:dyDescent="0.3">
      <c r="A1092" s="429"/>
      <c r="B1092" s="429"/>
      <c r="C1092" s="397" t="s">
        <v>230</v>
      </c>
      <c r="D1092" s="397"/>
      <c r="E1092" s="397"/>
      <c r="F1092" s="397"/>
      <c r="G1092" s="397"/>
      <c r="H1092" s="397"/>
      <c r="I1092" s="397"/>
      <c r="J1092" s="397"/>
      <c r="K1092" s="397"/>
      <c r="L1092" s="35"/>
      <c r="M1092" s="35"/>
      <c r="N1092" s="35"/>
    </row>
    <row r="1093" spans="1:14" x14ac:dyDescent="0.3">
      <c r="A1093" s="429"/>
      <c r="B1093" s="429"/>
      <c r="C1093" s="94">
        <v>5</v>
      </c>
      <c r="D1093" s="94">
        <v>10</v>
      </c>
      <c r="E1093" s="94">
        <v>15</v>
      </c>
      <c r="F1093" s="94">
        <v>20</v>
      </c>
      <c r="G1093" s="94">
        <v>25</v>
      </c>
      <c r="H1093" s="94">
        <v>30</v>
      </c>
      <c r="I1093" s="94">
        <v>35</v>
      </c>
      <c r="J1093" s="94">
        <v>40</v>
      </c>
      <c r="K1093" s="94">
        <v>45</v>
      </c>
      <c r="L1093" s="35"/>
      <c r="M1093" s="35"/>
      <c r="N1093" s="35"/>
    </row>
    <row r="1094" spans="1:14" x14ac:dyDescent="0.3">
      <c r="A1094" s="397" t="s">
        <v>231</v>
      </c>
      <c r="B1094" s="94">
        <v>5</v>
      </c>
      <c r="C1094" s="92">
        <f t="shared" ref="C1094:C1113" si="197">$E$1031-C1042</f>
        <v>977.75374818125908</v>
      </c>
      <c r="D1094" s="92">
        <f t="shared" ref="D1094:K1094" si="198">$E$1031-D1042</f>
        <v>673.71499272503593</v>
      </c>
      <c r="E1094" s="92">
        <f t="shared" si="198"/>
        <v>166.98373363133055</v>
      </c>
      <c r="F1094" s="92">
        <f t="shared" si="198"/>
        <v>-542.44002909985693</v>
      </c>
      <c r="G1094" s="92">
        <f t="shared" si="198"/>
        <v>-1454.5562954685263</v>
      </c>
      <c r="H1094" s="92">
        <f t="shared" si="198"/>
        <v>-2569.365065474678</v>
      </c>
      <c r="I1094" s="92">
        <f t="shared" si="198"/>
        <v>-3886.8663391183118</v>
      </c>
      <c r="J1094" s="92">
        <f t="shared" si="198"/>
        <v>-5407.0601163994279</v>
      </c>
      <c r="K1094" s="92">
        <f t="shared" si="198"/>
        <v>-7129.9463973180245</v>
      </c>
      <c r="L1094" s="35"/>
      <c r="M1094" s="35"/>
      <c r="N1094" s="35"/>
    </row>
    <row r="1095" spans="1:14" x14ac:dyDescent="0.3">
      <c r="A1095" s="397"/>
      <c r="B1095" s="94">
        <v>10</v>
      </c>
      <c r="C1095" s="92">
        <f t="shared" si="197"/>
        <v>1028.4268740906296</v>
      </c>
      <c r="D1095" s="92">
        <f t="shared" ref="D1095:K1104" si="199">$E$1031-D1043</f>
        <v>876.40749636251803</v>
      </c>
      <c r="E1095" s="92">
        <f t="shared" si="199"/>
        <v>623.04186681566534</v>
      </c>
      <c r="F1095" s="92">
        <f t="shared" si="199"/>
        <v>268.3299854500716</v>
      </c>
      <c r="G1095" s="92">
        <f t="shared" si="199"/>
        <v>-187.72814773426308</v>
      </c>
      <c r="H1095" s="92">
        <f t="shared" si="199"/>
        <v>-745.13253273733903</v>
      </c>
      <c r="I1095" s="92">
        <f t="shared" si="199"/>
        <v>-1403.8831695591559</v>
      </c>
      <c r="J1095" s="92">
        <f t="shared" si="199"/>
        <v>-2163.9800581997142</v>
      </c>
      <c r="K1095" s="92">
        <f t="shared" si="199"/>
        <v>-3025.4231986590121</v>
      </c>
      <c r="L1095" s="35"/>
      <c r="M1095" s="35"/>
      <c r="N1095" s="35"/>
    </row>
    <row r="1096" spans="1:14" x14ac:dyDescent="0.3">
      <c r="A1096" s="397"/>
      <c r="B1096" s="94">
        <v>15</v>
      </c>
      <c r="C1096" s="92">
        <f t="shared" si="197"/>
        <v>1045.3179160604197</v>
      </c>
      <c r="D1096" s="92">
        <f t="shared" si="199"/>
        <v>943.9716642416787</v>
      </c>
      <c r="E1096" s="92">
        <f t="shared" si="199"/>
        <v>775.06124454377687</v>
      </c>
      <c r="F1096" s="92">
        <f t="shared" si="199"/>
        <v>538.58665696671449</v>
      </c>
      <c r="G1096" s="92">
        <f t="shared" si="199"/>
        <v>234.54790151049122</v>
      </c>
      <c r="H1096" s="92">
        <f t="shared" si="199"/>
        <v>-137.05502182489272</v>
      </c>
      <c r="I1096" s="92">
        <f t="shared" si="199"/>
        <v>-576.22211303943732</v>
      </c>
      <c r="J1096" s="92">
        <f t="shared" si="199"/>
        <v>-1082.9533721331425</v>
      </c>
      <c r="K1096" s="92">
        <f t="shared" si="199"/>
        <v>-1657.2487991060086</v>
      </c>
      <c r="L1096" s="35"/>
      <c r="M1096" s="35"/>
      <c r="N1096" s="35"/>
    </row>
    <row r="1097" spans="1:14" x14ac:dyDescent="0.3">
      <c r="A1097" s="397"/>
      <c r="B1097" s="94">
        <v>20</v>
      </c>
      <c r="C1097" s="92">
        <f t="shared" si="197"/>
        <v>1053.763437045315</v>
      </c>
      <c r="D1097" s="92">
        <f t="shared" si="199"/>
        <v>977.75374818125908</v>
      </c>
      <c r="E1097" s="92">
        <f t="shared" si="199"/>
        <v>851.07093340783274</v>
      </c>
      <c r="F1097" s="92">
        <f t="shared" si="199"/>
        <v>673.71499272503593</v>
      </c>
      <c r="G1097" s="92">
        <f t="shared" si="199"/>
        <v>445.68592613286853</v>
      </c>
      <c r="H1097" s="92">
        <f t="shared" si="199"/>
        <v>166.98373363133055</v>
      </c>
      <c r="I1097" s="92">
        <f t="shared" si="199"/>
        <v>-162.3915847795779</v>
      </c>
      <c r="J1097" s="92">
        <f t="shared" si="199"/>
        <v>-542.44002909985693</v>
      </c>
      <c r="K1097" s="92">
        <f t="shared" si="199"/>
        <v>-973.16159932950609</v>
      </c>
      <c r="L1097" s="35"/>
      <c r="M1097" s="35"/>
      <c r="N1097" s="35"/>
    </row>
    <row r="1098" spans="1:14" x14ac:dyDescent="0.3">
      <c r="A1098" s="397"/>
      <c r="B1098" s="94">
        <v>25</v>
      </c>
      <c r="C1098" s="92">
        <f t="shared" si="197"/>
        <v>1058.830749636252</v>
      </c>
      <c r="D1098" s="92">
        <f t="shared" si="199"/>
        <v>998.02299854500734</v>
      </c>
      <c r="E1098" s="92">
        <f t="shared" si="199"/>
        <v>896.67674672626617</v>
      </c>
      <c r="F1098" s="92">
        <f t="shared" si="199"/>
        <v>754.79199418002872</v>
      </c>
      <c r="G1098" s="92">
        <f t="shared" si="199"/>
        <v>572.36874090629476</v>
      </c>
      <c r="H1098" s="92">
        <f t="shared" si="199"/>
        <v>349.40698690506451</v>
      </c>
      <c r="I1098" s="92">
        <f t="shared" si="199"/>
        <v>85.906732176337755</v>
      </c>
      <c r="J1098" s="92">
        <f t="shared" si="199"/>
        <v>-218.13202327988552</v>
      </c>
      <c r="K1098" s="92">
        <f t="shared" si="199"/>
        <v>-562.7092794636053</v>
      </c>
      <c r="L1098" s="35"/>
      <c r="M1098" s="35"/>
      <c r="N1098" s="35"/>
    </row>
    <row r="1099" spans="1:14" x14ac:dyDescent="0.3">
      <c r="A1099" s="397"/>
      <c r="B1099" s="94">
        <v>30</v>
      </c>
      <c r="C1099" s="92">
        <f t="shared" si="197"/>
        <v>1062.2089580302099</v>
      </c>
      <c r="D1099" s="92">
        <f t="shared" si="199"/>
        <v>1011.5358321208395</v>
      </c>
      <c r="E1099" s="92">
        <f t="shared" si="199"/>
        <v>927.0806222718885</v>
      </c>
      <c r="F1099" s="92">
        <f t="shared" si="199"/>
        <v>808.84332848335725</v>
      </c>
      <c r="G1099" s="92">
        <f t="shared" si="199"/>
        <v>656.82395075524573</v>
      </c>
      <c r="H1099" s="92">
        <f t="shared" si="199"/>
        <v>471.02248908755371</v>
      </c>
      <c r="I1099" s="92">
        <f t="shared" si="199"/>
        <v>251.43894348028141</v>
      </c>
      <c r="J1099" s="92">
        <f t="shared" si="199"/>
        <v>-1.9266860665711647</v>
      </c>
      <c r="K1099" s="92">
        <f t="shared" si="199"/>
        <v>-289.07439955300424</v>
      </c>
      <c r="L1099" s="35"/>
      <c r="M1099" s="35"/>
      <c r="N1099" s="35"/>
    </row>
    <row r="1100" spans="1:14" x14ac:dyDescent="0.3">
      <c r="A1100" s="397"/>
      <c r="B1100" s="94">
        <v>35</v>
      </c>
      <c r="C1100" s="92">
        <f t="shared" si="197"/>
        <v>1064.6219640258942</v>
      </c>
      <c r="D1100" s="92">
        <f t="shared" si="199"/>
        <v>1021.1878561035767</v>
      </c>
      <c r="E1100" s="92">
        <f t="shared" si="199"/>
        <v>948.79767623304735</v>
      </c>
      <c r="F1100" s="92">
        <f t="shared" si="199"/>
        <v>847.4514244143063</v>
      </c>
      <c r="G1100" s="92">
        <f t="shared" si="199"/>
        <v>717.14910064735341</v>
      </c>
      <c r="H1100" s="92">
        <f t="shared" si="199"/>
        <v>557.8907049321889</v>
      </c>
      <c r="I1100" s="92">
        <f t="shared" si="199"/>
        <v>369.67623726881277</v>
      </c>
      <c r="J1100" s="92">
        <f t="shared" si="199"/>
        <v>152.5056976572248</v>
      </c>
      <c r="K1100" s="92">
        <f t="shared" si="199"/>
        <v>-93.620913902575012</v>
      </c>
      <c r="L1100" s="35"/>
      <c r="M1100" s="35"/>
      <c r="N1100" s="35"/>
    </row>
    <row r="1101" spans="1:14" x14ac:dyDescent="0.3">
      <c r="A1101" s="397"/>
      <c r="B1101" s="94">
        <v>40</v>
      </c>
      <c r="C1101" s="92">
        <f t="shared" si="197"/>
        <v>1066.4317185226575</v>
      </c>
      <c r="D1101" s="92">
        <f t="shared" si="199"/>
        <v>1028.4268740906296</v>
      </c>
      <c r="E1101" s="92">
        <f t="shared" si="199"/>
        <v>965.08546670391638</v>
      </c>
      <c r="F1101" s="92">
        <f t="shared" si="199"/>
        <v>876.40749636251803</v>
      </c>
      <c r="G1101" s="92">
        <f t="shared" si="199"/>
        <v>762.39296306643428</v>
      </c>
      <c r="H1101" s="92">
        <f t="shared" si="199"/>
        <v>623.04186681566534</v>
      </c>
      <c r="I1101" s="92">
        <f t="shared" si="199"/>
        <v>458.35420761021112</v>
      </c>
      <c r="J1101" s="92">
        <f t="shared" si="199"/>
        <v>268.3299854500716</v>
      </c>
      <c r="K1101" s="92">
        <f t="shared" si="199"/>
        <v>52.969200335247024</v>
      </c>
      <c r="L1101" s="35"/>
      <c r="M1101" s="35"/>
      <c r="N1101" s="35"/>
    </row>
    <row r="1102" spans="1:14" x14ac:dyDescent="0.3">
      <c r="A1102" s="397"/>
      <c r="B1102" s="94">
        <v>45</v>
      </c>
      <c r="C1102" s="92">
        <f t="shared" si="197"/>
        <v>1067.8393053534733</v>
      </c>
      <c r="D1102" s="92">
        <f t="shared" si="199"/>
        <v>1034.0572214138931</v>
      </c>
      <c r="E1102" s="92">
        <f t="shared" si="199"/>
        <v>977.75374818125908</v>
      </c>
      <c r="F1102" s="92">
        <f t="shared" si="199"/>
        <v>898.92888565557155</v>
      </c>
      <c r="G1102" s="92">
        <f t="shared" si="199"/>
        <v>797.5826338368305</v>
      </c>
      <c r="H1102" s="92">
        <f t="shared" si="199"/>
        <v>673.71499272503593</v>
      </c>
      <c r="I1102" s="92">
        <f t="shared" si="199"/>
        <v>527.32596232018773</v>
      </c>
      <c r="J1102" s="92">
        <f t="shared" si="199"/>
        <v>358.4155426222859</v>
      </c>
      <c r="K1102" s="92">
        <f t="shared" si="199"/>
        <v>166.98373363133055</v>
      </c>
      <c r="L1102" s="35"/>
      <c r="M1102" s="35"/>
      <c r="N1102" s="35"/>
    </row>
    <row r="1103" spans="1:14" x14ac:dyDescent="0.3">
      <c r="A1103" s="397"/>
      <c r="B1103" s="94">
        <v>50</v>
      </c>
      <c r="C1103" s="92">
        <f t="shared" si="197"/>
        <v>1068.9653748181261</v>
      </c>
      <c r="D1103" s="92">
        <f t="shared" si="199"/>
        <v>1038.5614992725036</v>
      </c>
      <c r="E1103" s="92">
        <f t="shared" si="199"/>
        <v>987.88837336313316</v>
      </c>
      <c r="F1103" s="92">
        <f t="shared" si="199"/>
        <v>916.94599709001443</v>
      </c>
      <c r="G1103" s="92">
        <f t="shared" si="199"/>
        <v>825.73437045314745</v>
      </c>
      <c r="H1103" s="92">
        <f t="shared" si="199"/>
        <v>714.25349345253233</v>
      </c>
      <c r="I1103" s="92">
        <f t="shared" si="199"/>
        <v>582.50336608816895</v>
      </c>
      <c r="J1103" s="92">
        <f t="shared" si="199"/>
        <v>430.48398836005731</v>
      </c>
      <c r="K1103" s="92">
        <f t="shared" si="199"/>
        <v>258.19536026819742</v>
      </c>
      <c r="L1103" s="35"/>
      <c r="M1103" s="35"/>
      <c r="N1103" s="35"/>
    </row>
    <row r="1104" spans="1:14" x14ac:dyDescent="0.3">
      <c r="A1104" s="397"/>
      <c r="B1104" s="94">
        <v>55</v>
      </c>
      <c r="C1104" s="92">
        <f t="shared" si="197"/>
        <v>1069.8867043801147</v>
      </c>
      <c r="D1104" s="92">
        <f t="shared" si="199"/>
        <v>1042.2468175204579</v>
      </c>
      <c r="E1104" s="92">
        <f t="shared" si="199"/>
        <v>996.18033942103023</v>
      </c>
      <c r="F1104" s="92">
        <f t="shared" si="199"/>
        <v>931.68727008183134</v>
      </c>
      <c r="G1104" s="92">
        <f t="shared" si="199"/>
        <v>848.76760950286143</v>
      </c>
      <c r="H1104" s="92">
        <f t="shared" si="199"/>
        <v>747.42135768412027</v>
      </c>
      <c r="I1104" s="92">
        <f t="shared" si="199"/>
        <v>627.64851462560807</v>
      </c>
      <c r="J1104" s="92">
        <f t="shared" si="199"/>
        <v>489.44908032732485</v>
      </c>
      <c r="K1104" s="92">
        <f t="shared" si="199"/>
        <v>332.82305478927037</v>
      </c>
      <c r="L1104" s="35"/>
      <c r="M1104" s="35"/>
      <c r="N1104" s="35"/>
    </row>
    <row r="1105" spans="1:14" x14ac:dyDescent="0.3">
      <c r="A1105" s="397"/>
      <c r="B1105" s="94">
        <v>60</v>
      </c>
      <c r="C1105" s="92">
        <f t="shared" si="197"/>
        <v>1070.6544790151052</v>
      </c>
      <c r="D1105" s="92">
        <f t="shared" ref="D1105:K1113" si="200">$E$1031-D1053</f>
        <v>1045.3179160604197</v>
      </c>
      <c r="E1105" s="92">
        <f t="shared" si="200"/>
        <v>1003.0903111359444</v>
      </c>
      <c r="F1105" s="92">
        <f t="shared" si="200"/>
        <v>943.9716642416787</v>
      </c>
      <c r="G1105" s="92">
        <f t="shared" si="200"/>
        <v>867.96197537762293</v>
      </c>
      <c r="H1105" s="92">
        <f t="shared" si="200"/>
        <v>775.06124454377687</v>
      </c>
      <c r="I1105" s="92">
        <f t="shared" si="200"/>
        <v>665.26947174014072</v>
      </c>
      <c r="J1105" s="92">
        <f t="shared" si="200"/>
        <v>538.58665696671449</v>
      </c>
      <c r="K1105" s="92">
        <f t="shared" si="200"/>
        <v>395.01280022349795</v>
      </c>
      <c r="L1105" s="35"/>
      <c r="M1105" s="35"/>
      <c r="N1105" s="35"/>
    </row>
    <row r="1106" spans="1:14" x14ac:dyDescent="0.3">
      <c r="A1106" s="397"/>
      <c r="B1106" s="94">
        <v>65</v>
      </c>
      <c r="C1106" s="92">
        <f t="shared" si="197"/>
        <v>1071.3041344754815</v>
      </c>
      <c r="D1106" s="92">
        <f t="shared" si="200"/>
        <v>1047.9165379019259</v>
      </c>
      <c r="E1106" s="92">
        <f t="shared" si="200"/>
        <v>1008.9372102793333</v>
      </c>
      <c r="F1106" s="92">
        <f t="shared" si="200"/>
        <v>954.36615160770339</v>
      </c>
      <c r="G1106" s="92">
        <f t="shared" si="200"/>
        <v>884.20336188703664</v>
      </c>
      <c r="H1106" s="92">
        <f t="shared" si="200"/>
        <v>798.44884111733245</v>
      </c>
      <c r="I1106" s="92">
        <f t="shared" si="200"/>
        <v>697.10258929859151</v>
      </c>
      <c r="J1106" s="92">
        <f t="shared" si="200"/>
        <v>580.16460643081336</v>
      </c>
      <c r="K1106" s="92">
        <f t="shared" si="200"/>
        <v>447.63489251399812</v>
      </c>
      <c r="L1106" s="35"/>
      <c r="M1106" s="35"/>
      <c r="N1106" s="35"/>
    </row>
    <row r="1107" spans="1:14" x14ac:dyDescent="0.3">
      <c r="A1107" s="397"/>
      <c r="B1107" s="94">
        <v>70</v>
      </c>
      <c r="C1107" s="92">
        <f t="shared" si="197"/>
        <v>1071.8609820129473</v>
      </c>
      <c r="D1107" s="92">
        <f t="shared" si="200"/>
        <v>1050.1439280517884</v>
      </c>
      <c r="E1107" s="92">
        <f t="shared" si="200"/>
        <v>1013.9488381165237</v>
      </c>
      <c r="F1107" s="92">
        <f t="shared" si="200"/>
        <v>963.27571220715322</v>
      </c>
      <c r="G1107" s="92">
        <f t="shared" si="200"/>
        <v>898.12455032367677</v>
      </c>
      <c r="H1107" s="92">
        <f t="shared" si="200"/>
        <v>818.49535246609457</v>
      </c>
      <c r="I1107" s="92">
        <f t="shared" si="200"/>
        <v>724.38811863440651</v>
      </c>
      <c r="J1107" s="92">
        <f t="shared" si="200"/>
        <v>615.80284882861247</v>
      </c>
      <c r="K1107" s="92">
        <f t="shared" si="200"/>
        <v>492.73954304871256</v>
      </c>
      <c r="L1107" s="35"/>
      <c r="M1107" s="35"/>
      <c r="N1107" s="35"/>
    </row>
    <row r="1108" spans="1:14" x14ac:dyDescent="0.3">
      <c r="A1108" s="397"/>
      <c r="B1108" s="94">
        <v>75</v>
      </c>
      <c r="C1108" s="92">
        <f t="shared" si="197"/>
        <v>1072.343583212084</v>
      </c>
      <c r="D1108" s="92">
        <f t="shared" si="200"/>
        <v>1052.0743328483359</v>
      </c>
      <c r="E1108" s="92">
        <f t="shared" si="200"/>
        <v>1018.2922489087555</v>
      </c>
      <c r="F1108" s="92">
        <f t="shared" si="200"/>
        <v>970.99733139334296</v>
      </c>
      <c r="G1108" s="92">
        <f t="shared" si="200"/>
        <v>910.18958030209831</v>
      </c>
      <c r="H1108" s="92">
        <f t="shared" si="200"/>
        <v>835.86899563502152</v>
      </c>
      <c r="I1108" s="92">
        <f t="shared" si="200"/>
        <v>748.03557739211271</v>
      </c>
      <c r="J1108" s="92">
        <f t="shared" si="200"/>
        <v>646.68932557337166</v>
      </c>
      <c r="K1108" s="92">
        <f t="shared" si="200"/>
        <v>531.83024017879836</v>
      </c>
      <c r="L1108" s="35"/>
      <c r="M1108" s="35"/>
      <c r="N1108" s="35"/>
    </row>
    <row r="1109" spans="1:14" x14ac:dyDescent="0.3">
      <c r="A1109" s="397"/>
      <c r="B1109" s="94">
        <v>80</v>
      </c>
      <c r="C1109" s="92">
        <f t="shared" si="197"/>
        <v>1072.7658592613288</v>
      </c>
      <c r="D1109" s="92">
        <f t="shared" si="200"/>
        <v>1053.763437045315</v>
      </c>
      <c r="E1109" s="92">
        <f t="shared" si="200"/>
        <v>1022.0927333519583</v>
      </c>
      <c r="F1109" s="92">
        <f t="shared" si="200"/>
        <v>977.75374818125908</v>
      </c>
      <c r="G1109" s="92">
        <f t="shared" si="200"/>
        <v>920.74648153321721</v>
      </c>
      <c r="H1109" s="92">
        <f t="shared" si="200"/>
        <v>851.07093340783274</v>
      </c>
      <c r="I1109" s="92">
        <f t="shared" si="200"/>
        <v>768.72710380510557</v>
      </c>
      <c r="J1109" s="92">
        <f t="shared" si="200"/>
        <v>673.71499272503593</v>
      </c>
      <c r="K1109" s="92">
        <f t="shared" si="200"/>
        <v>566.03460016762358</v>
      </c>
      <c r="L1109" s="35"/>
      <c r="M1109" s="35"/>
      <c r="N1109" s="35"/>
    </row>
    <row r="1110" spans="1:14" x14ac:dyDescent="0.3">
      <c r="A1110" s="397"/>
      <c r="B1110" s="94">
        <v>85</v>
      </c>
      <c r="C1110" s="92">
        <f t="shared" si="197"/>
        <v>1073.1384557753684</v>
      </c>
      <c r="D1110" s="92">
        <f t="shared" si="200"/>
        <v>1055.2538231014728</v>
      </c>
      <c r="E1110" s="92">
        <f t="shared" si="200"/>
        <v>1025.4461019783137</v>
      </c>
      <c r="F1110" s="92">
        <f t="shared" si="200"/>
        <v>983.71529240589086</v>
      </c>
      <c r="G1110" s="92">
        <f t="shared" si="200"/>
        <v>930.0613943842045</v>
      </c>
      <c r="H1110" s="92">
        <f t="shared" si="200"/>
        <v>864.48440791325436</v>
      </c>
      <c r="I1110" s="92">
        <f t="shared" si="200"/>
        <v>786.98433299304065</v>
      </c>
      <c r="J1110" s="92">
        <f t="shared" si="200"/>
        <v>697.56116962356316</v>
      </c>
      <c r="K1110" s="92">
        <f t="shared" si="200"/>
        <v>596.21491780482211</v>
      </c>
      <c r="L1110" s="35"/>
      <c r="M1110" s="35"/>
      <c r="N1110" s="35"/>
    </row>
    <row r="1111" spans="1:14" x14ac:dyDescent="0.3">
      <c r="A1111" s="397"/>
      <c r="B1111" s="94">
        <v>90</v>
      </c>
      <c r="C1111" s="92">
        <f t="shared" si="197"/>
        <v>1073.4696526767368</v>
      </c>
      <c r="D1111" s="92">
        <f t="shared" si="200"/>
        <v>1056.5786107069466</v>
      </c>
      <c r="E1111" s="92">
        <f t="shared" si="200"/>
        <v>1028.4268740906296</v>
      </c>
      <c r="F1111" s="92">
        <f t="shared" si="200"/>
        <v>989.01444282778584</v>
      </c>
      <c r="G1111" s="92">
        <f t="shared" si="200"/>
        <v>938.34131691841526</v>
      </c>
      <c r="H1111" s="92">
        <f t="shared" si="200"/>
        <v>876.40749636251803</v>
      </c>
      <c r="I1111" s="92">
        <f t="shared" si="200"/>
        <v>803.21298116009393</v>
      </c>
      <c r="J1111" s="92">
        <f t="shared" si="200"/>
        <v>718.75777131114296</v>
      </c>
      <c r="K1111" s="92">
        <f t="shared" si="200"/>
        <v>623.04186681566534</v>
      </c>
      <c r="L1111" s="35"/>
      <c r="M1111" s="35"/>
      <c r="N1111" s="35"/>
    </row>
    <row r="1112" spans="1:14" x14ac:dyDescent="0.3">
      <c r="A1112" s="397"/>
      <c r="B1112" s="94">
        <v>95</v>
      </c>
      <c r="C1112" s="92">
        <f t="shared" si="197"/>
        <v>1073.7659867463822</v>
      </c>
      <c r="D1112" s="92">
        <f t="shared" si="200"/>
        <v>1057.7639469855283</v>
      </c>
      <c r="E1112" s="92">
        <f t="shared" si="200"/>
        <v>1031.0938807174387</v>
      </c>
      <c r="F1112" s="92">
        <f t="shared" si="200"/>
        <v>993.75578794211287</v>
      </c>
      <c r="G1112" s="92">
        <f t="shared" si="200"/>
        <v>945.74966865955139</v>
      </c>
      <c r="H1112" s="92">
        <f t="shared" si="200"/>
        <v>887.07552286975397</v>
      </c>
      <c r="I1112" s="92">
        <f t="shared" si="200"/>
        <v>817.73335057272061</v>
      </c>
      <c r="J1112" s="92">
        <f t="shared" si="200"/>
        <v>737.72315176845132</v>
      </c>
      <c r="K1112" s="92">
        <f t="shared" si="200"/>
        <v>647.04492645694609</v>
      </c>
      <c r="L1112" s="35"/>
      <c r="M1112" s="35"/>
      <c r="N1112" s="35"/>
    </row>
    <row r="1113" spans="1:14" x14ac:dyDescent="0.3">
      <c r="A1113" s="397"/>
      <c r="B1113" s="94">
        <v>100</v>
      </c>
      <c r="C1113" s="92">
        <f t="shared" si="197"/>
        <v>1074.0326874090631</v>
      </c>
      <c r="D1113" s="92">
        <f t="shared" si="200"/>
        <v>1058.830749636252</v>
      </c>
      <c r="E1113" s="92">
        <f t="shared" si="200"/>
        <v>1033.4941866815666</v>
      </c>
      <c r="F1113" s="92">
        <f t="shared" si="200"/>
        <v>998.02299854500734</v>
      </c>
      <c r="G1113" s="92">
        <f t="shared" si="200"/>
        <v>952.41718522657379</v>
      </c>
      <c r="H1113" s="92">
        <f t="shared" si="200"/>
        <v>896.67674672626617</v>
      </c>
      <c r="I1113" s="92">
        <f t="shared" si="200"/>
        <v>830.80168304408448</v>
      </c>
      <c r="J1113" s="92">
        <f t="shared" si="200"/>
        <v>754.79199418002872</v>
      </c>
      <c r="K1113" s="92">
        <f t="shared" si="200"/>
        <v>668.64768013409878</v>
      </c>
      <c r="L1113" s="35"/>
      <c r="M1113" s="35"/>
      <c r="N1113" s="35"/>
    </row>
    <row r="1114" spans="1:14" x14ac:dyDescent="0.3">
      <c r="A1114" s="7"/>
      <c r="B1114" s="37"/>
      <c r="C1114" s="35"/>
      <c r="D1114" s="35"/>
      <c r="E1114" s="35"/>
      <c r="F1114" s="35"/>
      <c r="G1114" s="35"/>
      <c r="H1114" s="35"/>
      <c r="I1114" s="35"/>
      <c r="J1114" s="35"/>
      <c r="K1114" s="35"/>
      <c r="L1114" s="35"/>
      <c r="M1114" s="35"/>
      <c r="N1114" s="35"/>
    </row>
    <row r="1115" spans="1:14" x14ac:dyDescent="0.3">
      <c r="A1115" s="430" t="s">
        <v>750</v>
      </c>
      <c r="B1115" s="431"/>
      <c r="C1115" s="431"/>
      <c r="D1115" s="431"/>
      <c r="E1115" s="431"/>
      <c r="F1115" s="431"/>
      <c r="G1115" s="431"/>
      <c r="H1115" s="431"/>
      <c r="I1115" s="431"/>
      <c r="J1115" s="431"/>
      <c r="K1115" s="432"/>
      <c r="L1115" s="35"/>
      <c r="M1115" s="35"/>
      <c r="N1115" s="35"/>
    </row>
    <row r="1116" spans="1:14" x14ac:dyDescent="0.3">
      <c r="A1116" s="7"/>
      <c r="B1116" s="37"/>
      <c r="C1116" s="35"/>
      <c r="D1116" s="35"/>
      <c r="E1116" s="35"/>
      <c r="F1116" s="35"/>
      <c r="G1116" s="35"/>
      <c r="H1116" s="35"/>
      <c r="I1116" s="35"/>
      <c r="J1116" s="35"/>
      <c r="K1116" s="35"/>
      <c r="L1116" s="35"/>
      <c r="M1116" s="35"/>
      <c r="N1116" s="35"/>
    </row>
    <row r="1117" spans="1:14" x14ac:dyDescent="0.3">
      <c r="A1117" s="429"/>
      <c r="B1117" s="429"/>
      <c r="C1117" s="397" t="s">
        <v>230</v>
      </c>
      <c r="D1117" s="397"/>
      <c r="E1117" s="397"/>
      <c r="F1117" s="397"/>
      <c r="G1117" s="397"/>
      <c r="H1117" s="397"/>
      <c r="I1117" s="397"/>
      <c r="J1117" s="397"/>
      <c r="K1117" s="397"/>
      <c r="L1117" s="35"/>
      <c r="M1117" s="35"/>
      <c r="N1117" s="35"/>
    </row>
    <row r="1118" spans="1:14" x14ac:dyDescent="0.3">
      <c r="A1118" s="429"/>
      <c r="B1118" s="429"/>
      <c r="C1118" s="94">
        <v>5</v>
      </c>
      <c r="D1118" s="94">
        <v>10</v>
      </c>
      <c r="E1118" s="94">
        <v>15</v>
      </c>
      <c r="F1118" s="94">
        <v>20</v>
      </c>
      <c r="G1118" s="94">
        <v>25</v>
      </c>
      <c r="H1118" s="94">
        <v>30</v>
      </c>
      <c r="I1118" s="94">
        <v>35</v>
      </c>
      <c r="J1118" s="94">
        <v>40</v>
      </c>
      <c r="K1118" s="94">
        <v>45</v>
      </c>
      <c r="L1118" s="35"/>
      <c r="M1118" s="35"/>
      <c r="N1118" s="35"/>
    </row>
    <row r="1119" spans="1:14" x14ac:dyDescent="0.3">
      <c r="A1119" s="397" t="s">
        <v>231</v>
      </c>
      <c r="B1119" s="94">
        <v>5</v>
      </c>
      <c r="C1119" s="92">
        <f>$A$1031+C1042</f>
        <v>1180.4462518187413</v>
      </c>
      <c r="D1119" s="92">
        <f t="shared" ref="D1119:K1119" si="201">$A$1031+D1042</f>
        <v>1484.4850072749643</v>
      </c>
      <c r="E1119" s="92">
        <f t="shared" si="201"/>
        <v>1991.2162663686697</v>
      </c>
      <c r="F1119" s="92">
        <f t="shared" si="201"/>
        <v>2700.6400290998572</v>
      </c>
      <c r="G1119" s="92">
        <f t="shared" si="201"/>
        <v>3612.7562954685263</v>
      </c>
      <c r="H1119" s="92">
        <f t="shared" si="201"/>
        <v>4727.5650654746787</v>
      </c>
      <c r="I1119" s="92">
        <f t="shared" si="201"/>
        <v>6045.0663391183125</v>
      </c>
      <c r="J1119" s="92">
        <f t="shared" si="201"/>
        <v>7565.2601163994286</v>
      </c>
      <c r="K1119" s="92">
        <f t="shared" si="201"/>
        <v>9288.1463973180253</v>
      </c>
      <c r="L1119" s="35"/>
      <c r="M1119" s="35"/>
      <c r="N1119" s="35"/>
    </row>
    <row r="1120" spans="1:14" x14ac:dyDescent="0.3">
      <c r="A1120" s="397"/>
      <c r="B1120" s="94">
        <v>10</v>
      </c>
      <c r="C1120" s="92">
        <f t="shared" ref="C1120:K1138" si="202">$A$1031+C1043</f>
        <v>1129.7731259093707</v>
      </c>
      <c r="D1120" s="92">
        <f t="shared" si="202"/>
        <v>1281.7925036374822</v>
      </c>
      <c r="E1120" s="92">
        <f t="shared" si="202"/>
        <v>1535.1581331843349</v>
      </c>
      <c r="F1120" s="92">
        <f t="shared" si="202"/>
        <v>1889.8700145499288</v>
      </c>
      <c r="G1120" s="92">
        <f t="shared" si="202"/>
        <v>2345.9281477342633</v>
      </c>
      <c r="H1120" s="92">
        <f t="shared" si="202"/>
        <v>2903.3325327373395</v>
      </c>
      <c r="I1120" s="92">
        <f t="shared" si="202"/>
        <v>3562.083169559156</v>
      </c>
      <c r="J1120" s="92">
        <f t="shared" si="202"/>
        <v>4322.180058199714</v>
      </c>
      <c r="K1120" s="92">
        <f t="shared" si="202"/>
        <v>5183.6231986590128</v>
      </c>
      <c r="L1120" s="35"/>
      <c r="M1120" s="35"/>
      <c r="N1120" s="35"/>
    </row>
    <row r="1121" spans="1:14" x14ac:dyDescent="0.3">
      <c r="A1121" s="397"/>
      <c r="B1121" s="94">
        <v>15</v>
      </c>
      <c r="C1121" s="92">
        <f t="shared" si="202"/>
        <v>1112.8820839395805</v>
      </c>
      <c r="D1121" s="92">
        <f t="shared" si="202"/>
        <v>1214.2283357583215</v>
      </c>
      <c r="E1121" s="92">
        <f t="shared" si="202"/>
        <v>1383.1387554562234</v>
      </c>
      <c r="F1121" s="92">
        <f t="shared" si="202"/>
        <v>1619.6133430332857</v>
      </c>
      <c r="G1121" s="92">
        <f t="shared" si="202"/>
        <v>1923.6520984895092</v>
      </c>
      <c r="H1121" s="92">
        <f t="shared" si="202"/>
        <v>2295.255021824893</v>
      </c>
      <c r="I1121" s="92">
        <f t="shared" si="202"/>
        <v>2734.4221130394376</v>
      </c>
      <c r="J1121" s="92">
        <f t="shared" si="202"/>
        <v>3241.1533721331425</v>
      </c>
      <c r="K1121" s="92">
        <f t="shared" si="202"/>
        <v>3815.4487991060087</v>
      </c>
      <c r="L1121" s="35"/>
      <c r="M1121" s="35"/>
      <c r="N1121" s="35"/>
    </row>
    <row r="1122" spans="1:14" x14ac:dyDescent="0.3">
      <c r="A1122" s="397"/>
      <c r="B1122" s="94">
        <v>20</v>
      </c>
      <c r="C1122" s="92">
        <f t="shared" si="202"/>
        <v>1104.4365629546853</v>
      </c>
      <c r="D1122" s="92">
        <f t="shared" si="202"/>
        <v>1180.4462518187413</v>
      </c>
      <c r="E1122" s="92">
        <f t="shared" si="202"/>
        <v>1307.1290665921674</v>
      </c>
      <c r="F1122" s="92">
        <f t="shared" si="202"/>
        <v>1484.4850072749643</v>
      </c>
      <c r="G1122" s="92">
        <f t="shared" si="202"/>
        <v>1712.5140738671316</v>
      </c>
      <c r="H1122" s="92">
        <f t="shared" si="202"/>
        <v>1991.2162663686697</v>
      </c>
      <c r="I1122" s="92">
        <f t="shared" si="202"/>
        <v>2320.5915847795782</v>
      </c>
      <c r="J1122" s="92">
        <f t="shared" si="202"/>
        <v>2700.6400290998572</v>
      </c>
      <c r="K1122" s="92">
        <f t="shared" si="202"/>
        <v>3131.3615993295061</v>
      </c>
      <c r="L1122" s="35"/>
      <c r="M1122" s="35"/>
      <c r="N1122" s="35"/>
    </row>
    <row r="1123" spans="1:14" x14ac:dyDescent="0.3">
      <c r="A1123" s="397"/>
      <c r="B1123" s="94">
        <v>25</v>
      </c>
      <c r="C1123" s="92">
        <f t="shared" si="202"/>
        <v>1099.3692503637483</v>
      </c>
      <c r="D1123" s="92">
        <f t="shared" si="202"/>
        <v>1160.1770014549929</v>
      </c>
      <c r="E1123" s="92">
        <f t="shared" si="202"/>
        <v>1261.5232532737341</v>
      </c>
      <c r="F1123" s="92">
        <f t="shared" si="202"/>
        <v>1403.4080058199715</v>
      </c>
      <c r="G1123" s="92">
        <f t="shared" si="202"/>
        <v>1585.8312590937055</v>
      </c>
      <c r="H1123" s="92">
        <f t="shared" si="202"/>
        <v>1808.7930130949358</v>
      </c>
      <c r="I1123" s="92">
        <f t="shared" si="202"/>
        <v>2072.2932678236625</v>
      </c>
      <c r="J1123" s="92">
        <f t="shared" si="202"/>
        <v>2376.332023279886</v>
      </c>
      <c r="K1123" s="92">
        <f t="shared" si="202"/>
        <v>2720.9092794636053</v>
      </c>
      <c r="L1123" s="35"/>
      <c r="M1123" s="35"/>
      <c r="N1123" s="35"/>
    </row>
    <row r="1124" spans="1:14" x14ac:dyDescent="0.3">
      <c r="A1124" s="397"/>
      <c r="B1124" s="94">
        <v>30</v>
      </c>
      <c r="C1124" s="92">
        <f t="shared" si="202"/>
        <v>1095.9910419697903</v>
      </c>
      <c r="D1124" s="92">
        <f t="shared" si="202"/>
        <v>1146.6641678791609</v>
      </c>
      <c r="E1124" s="92">
        <f t="shared" si="202"/>
        <v>1231.1193777281117</v>
      </c>
      <c r="F1124" s="92">
        <f t="shared" si="202"/>
        <v>1349.356671516643</v>
      </c>
      <c r="G1124" s="92">
        <f t="shared" si="202"/>
        <v>1501.3760492447545</v>
      </c>
      <c r="H1124" s="92">
        <f t="shared" si="202"/>
        <v>1687.1775109124465</v>
      </c>
      <c r="I1124" s="92">
        <f t="shared" si="202"/>
        <v>1906.7610565197187</v>
      </c>
      <c r="J1124" s="92">
        <f t="shared" si="202"/>
        <v>2160.1266860665714</v>
      </c>
      <c r="K1124" s="92">
        <f t="shared" si="202"/>
        <v>2447.2743995530045</v>
      </c>
      <c r="L1124" s="35"/>
      <c r="M1124" s="35"/>
      <c r="N1124" s="35"/>
    </row>
    <row r="1125" spans="1:14" x14ac:dyDescent="0.3">
      <c r="A1125" s="397"/>
      <c r="B1125" s="94">
        <v>35</v>
      </c>
      <c r="C1125" s="92">
        <f t="shared" si="202"/>
        <v>1093.5780359741061</v>
      </c>
      <c r="D1125" s="92">
        <f t="shared" si="202"/>
        <v>1137.0121438964236</v>
      </c>
      <c r="E1125" s="92">
        <f t="shared" si="202"/>
        <v>1209.402323766953</v>
      </c>
      <c r="F1125" s="92">
        <f t="shared" si="202"/>
        <v>1310.748575585694</v>
      </c>
      <c r="G1125" s="92">
        <f t="shared" si="202"/>
        <v>1441.0508993526469</v>
      </c>
      <c r="H1125" s="92">
        <f t="shared" si="202"/>
        <v>1600.3092950678115</v>
      </c>
      <c r="I1125" s="92">
        <f t="shared" si="202"/>
        <v>1788.5237627311876</v>
      </c>
      <c r="J1125" s="92">
        <f t="shared" si="202"/>
        <v>2005.6943023427755</v>
      </c>
      <c r="K1125" s="92">
        <f t="shared" si="202"/>
        <v>2251.8209139025753</v>
      </c>
      <c r="L1125" s="35"/>
      <c r="M1125" s="35"/>
      <c r="N1125" s="35"/>
    </row>
    <row r="1126" spans="1:14" x14ac:dyDescent="0.3">
      <c r="A1126" s="397"/>
      <c r="B1126" s="94">
        <v>40</v>
      </c>
      <c r="C1126" s="92">
        <f t="shared" si="202"/>
        <v>1091.7682814773427</v>
      </c>
      <c r="D1126" s="92">
        <f t="shared" si="202"/>
        <v>1129.7731259093707</v>
      </c>
      <c r="E1126" s="92">
        <f t="shared" si="202"/>
        <v>1193.1145332960839</v>
      </c>
      <c r="F1126" s="92">
        <f t="shared" si="202"/>
        <v>1281.7925036374822</v>
      </c>
      <c r="G1126" s="92">
        <f t="shared" si="202"/>
        <v>1395.807036933566</v>
      </c>
      <c r="H1126" s="92">
        <f t="shared" si="202"/>
        <v>1535.1581331843349</v>
      </c>
      <c r="I1126" s="92">
        <f t="shared" si="202"/>
        <v>1699.845792389789</v>
      </c>
      <c r="J1126" s="92">
        <f t="shared" si="202"/>
        <v>1889.8700145499288</v>
      </c>
      <c r="K1126" s="92">
        <f t="shared" si="202"/>
        <v>2105.2307996647532</v>
      </c>
      <c r="L1126" s="35"/>
      <c r="M1126" s="35"/>
      <c r="N1126" s="35"/>
    </row>
    <row r="1127" spans="1:14" x14ac:dyDescent="0.3">
      <c r="A1127" s="397"/>
      <c r="B1127" s="94">
        <v>45</v>
      </c>
      <c r="C1127" s="92">
        <f t="shared" si="202"/>
        <v>1090.360694646527</v>
      </c>
      <c r="D1127" s="92">
        <f t="shared" si="202"/>
        <v>1124.1427785861072</v>
      </c>
      <c r="E1127" s="92">
        <f t="shared" si="202"/>
        <v>1180.4462518187413</v>
      </c>
      <c r="F1127" s="92">
        <f t="shared" si="202"/>
        <v>1259.2711143444287</v>
      </c>
      <c r="G1127" s="92">
        <f t="shared" si="202"/>
        <v>1360.6173661631697</v>
      </c>
      <c r="H1127" s="92">
        <f t="shared" si="202"/>
        <v>1484.4850072749643</v>
      </c>
      <c r="I1127" s="92">
        <f t="shared" si="202"/>
        <v>1630.8740376798125</v>
      </c>
      <c r="J1127" s="92">
        <f t="shared" si="202"/>
        <v>1799.7844573777143</v>
      </c>
      <c r="K1127" s="92">
        <f t="shared" si="202"/>
        <v>1991.2162663686697</v>
      </c>
      <c r="L1127" s="35"/>
      <c r="M1127" s="35"/>
      <c r="N1127" s="35"/>
    </row>
    <row r="1128" spans="1:14" x14ac:dyDescent="0.3">
      <c r="A1128" s="397"/>
      <c r="B1128" s="94">
        <v>50</v>
      </c>
      <c r="C1128" s="92">
        <f t="shared" si="202"/>
        <v>1089.2346251818742</v>
      </c>
      <c r="D1128" s="92">
        <f t="shared" si="202"/>
        <v>1119.6385007274966</v>
      </c>
      <c r="E1128" s="92">
        <f t="shared" si="202"/>
        <v>1170.311626636867</v>
      </c>
      <c r="F1128" s="92">
        <f t="shared" si="202"/>
        <v>1241.254002909986</v>
      </c>
      <c r="G1128" s="92">
        <f t="shared" si="202"/>
        <v>1332.4656295468528</v>
      </c>
      <c r="H1128" s="92">
        <f t="shared" si="202"/>
        <v>1443.9465065474678</v>
      </c>
      <c r="I1128" s="92">
        <f t="shared" si="202"/>
        <v>1575.6966339118312</v>
      </c>
      <c r="J1128" s="92">
        <f t="shared" si="202"/>
        <v>1727.716011639943</v>
      </c>
      <c r="K1128" s="92">
        <f t="shared" si="202"/>
        <v>1900.0046397318029</v>
      </c>
      <c r="L1128" s="35"/>
      <c r="M1128" s="35"/>
      <c r="N1128" s="35"/>
    </row>
    <row r="1129" spans="1:14" x14ac:dyDescent="0.3">
      <c r="A1129" s="397"/>
      <c r="B1129" s="94">
        <v>55</v>
      </c>
      <c r="C1129" s="92">
        <f t="shared" si="202"/>
        <v>1088.3132956198856</v>
      </c>
      <c r="D1129" s="92">
        <f t="shared" si="202"/>
        <v>1115.9531824795424</v>
      </c>
      <c r="E1129" s="92">
        <f t="shared" si="202"/>
        <v>1162.0196605789702</v>
      </c>
      <c r="F1129" s="92">
        <f t="shared" si="202"/>
        <v>1226.512729918169</v>
      </c>
      <c r="G1129" s="92">
        <f t="shared" si="202"/>
        <v>1309.4323904971388</v>
      </c>
      <c r="H1129" s="92">
        <f t="shared" si="202"/>
        <v>1410.77864231588</v>
      </c>
      <c r="I1129" s="92">
        <f t="shared" si="202"/>
        <v>1530.5514853743921</v>
      </c>
      <c r="J1129" s="92">
        <f t="shared" si="202"/>
        <v>1668.7509196726755</v>
      </c>
      <c r="K1129" s="92">
        <f t="shared" si="202"/>
        <v>1825.3769452107299</v>
      </c>
      <c r="L1129" s="35"/>
      <c r="M1129" s="35"/>
      <c r="N1129" s="35"/>
    </row>
    <row r="1130" spans="1:14" x14ac:dyDescent="0.3">
      <c r="A1130" s="397"/>
      <c r="B1130" s="94">
        <v>60</v>
      </c>
      <c r="C1130" s="92">
        <f t="shared" si="202"/>
        <v>1087.5455209848951</v>
      </c>
      <c r="D1130" s="92">
        <f t="shared" si="202"/>
        <v>1112.8820839395805</v>
      </c>
      <c r="E1130" s="92">
        <f t="shared" si="202"/>
        <v>1155.1096888640559</v>
      </c>
      <c r="F1130" s="92">
        <f t="shared" si="202"/>
        <v>1214.2283357583215</v>
      </c>
      <c r="G1130" s="92">
        <f t="shared" si="202"/>
        <v>1290.2380246223775</v>
      </c>
      <c r="H1130" s="92">
        <f t="shared" si="202"/>
        <v>1383.1387554562234</v>
      </c>
      <c r="I1130" s="92">
        <f t="shared" si="202"/>
        <v>1492.9305282598596</v>
      </c>
      <c r="J1130" s="92">
        <f t="shared" si="202"/>
        <v>1619.6133430332857</v>
      </c>
      <c r="K1130" s="92">
        <f t="shared" si="202"/>
        <v>1763.1871997765024</v>
      </c>
      <c r="L1130" s="35"/>
      <c r="M1130" s="35"/>
      <c r="N1130" s="35"/>
    </row>
    <row r="1131" spans="1:14" x14ac:dyDescent="0.3">
      <c r="A1131" s="397"/>
      <c r="B1131" s="94">
        <v>65</v>
      </c>
      <c r="C1131" s="92">
        <f t="shared" si="202"/>
        <v>1086.8958655245187</v>
      </c>
      <c r="D1131" s="92">
        <f t="shared" si="202"/>
        <v>1110.2834620980743</v>
      </c>
      <c r="E1131" s="92">
        <f t="shared" si="202"/>
        <v>1149.2627897206671</v>
      </c>
      <c r="F1131" s="92">
        <f t="shared" si="202"/>
        <v>1203.8338483922969</v>
      </c>
      <c r="G1131" s="92">
        <f t="shared" si="202"/>
        <v>1273.9966381129636</v>
      </c>
      <c r="H1131" s="92">
        <f t="shared" si="202"/>
        <v>1359.7511588826678</v>
      </c>
      <c r="I1131" s="92">
        <f t="shared" si="202"/>
        <v>1461.0974107014088</v>
      </c>
      <c r="J1131" s="92">
        <f t="shared" si="202"/>
        <v>1578.0353935691869</v>
      </c>
      <c r="K1131" s="92">
        <f t="shared" si="202"/>
        <v>1710.565107486002</v>
      </c>
      <c r="L1131" s="35"/>
      <c r="M1131" s="35"/>
      <c r="N1131" s="35"/>
    </row>
    <row r="1132" spans="1:14" x14ac:dyDescent="0.3">
      <c r="A1132" s="397"/>
      <c r="B1132" s="94">
        <v>70</v>
      </c>
      <c r="C1132" s="92">
        <f t="shared" si="202"/>
        <v>1086.339017987053</v>
      </c>
      <c r="D1132" s="92">
        <f t="shared" si="202"/>
        <v>1108.0560719482119</v>
      </c>
      <c r="E1132" s="92">
        <f t="shared" si="202"/>
        <v>1144.2511618834765</v>
      </c>
      <c r="F1132" s="92">
        <f t="shared" si="202"/>
        <v>1194.9242877928471</v>
      </c>
      <c r="G1132" s="92">
        <f t="shared" si="202"/>
        <v>1260.0754496763234</v>
      </c>
      <c r="H1132" s="92">
        <f t="shared" si="202"/>
        <v>1339.7046475339057</v>
      </c>
      <c r="I1132" s="92">
        <f t="shared" si="202"/>
        <v>1433.8118813655938</v>
      </c>
      <c r="J1132" s="92">
        <f t="shared" si="202"/>
        <v>1542.3971511713878</v>
      </c>
      <c r="K1132" s="92">
        <f t="shared" si="202"/>
        <v>1665.4604569512876</v>
      </c>
      <c r="L1132" s="35"/>
      <c r="M1132" s="35"/>
      <c r="N1132" s="35"/>
    </row>
    <row r="1133" spans="1:14" x14ac:dyDescent="0.3">
      <c r="A1133" s="397"/>
      <c r="B1133" s="94">
        <v>75</v>
      </c>
      <c r="C1133" s="92">
        <f t="shared" si="202"/>
        <v>1085.8564167879163</v>
      </c>
      <c r="D1133" s="92">
        <f t="shared" si="202"/>
        <v>1106.1256671516644</v>
      </c>
      <c r="E1133" s="92">
        <f t="shared" si="202"/>
        <v>1139.9077510912448</v>
      </c>
      <c r="F1133" s="92">
        <f t="shared" si="202"/>
        <v>1187.2026686066572</v>
      </c>
      <c r="G1133" s="92">
        <f t="shared" si="202"/>
        <v>1248.0104196979019</v>
      </c>
      <c r="H1133" s="92">
        <f t="shared" si="202"/>
        <v>1322.3310043649788</v>
      </c>
      <c r="I1133" s="92">
        <f t="shared" si="202"/>
        <v>1410.1644226078874</v>
      </c>
      <c r="J1133" s="92">
        <f t="shared" si="202"/>
        <v>1511.5106744266286</v>
      </c>
      <c r="K1133" s="92">
        <f t="shared" si="202"/>
        <v>1626.369759821202</v>
      </c>
      <c r="L1133" s="35"/>
      <c r="M1133" s="35"/>
      <c r="N1133" s="35"/>
    </row>
    <row r="1134" spans="1:14" x14ac:dyDescent="0.3">
      <c r="A1134" s="397"/>
      <c r="B1134" s="94">
        <v>80</v>
      </c>
      <c r="C1134" s="92">
        <f t="shared" si="202"/>
        <v>1085.4341407386714</v>
      </c>
      <c r="D1134" s="92">
        <f t="shared" si="202"/>
        <v>1104.4365629546853</v>
      </c>
      <c r="E1134" s="92">
        <f t="shared" si="202"/>
        <v>1136.107266648042</v>
      </c>
      <c r="F1134" s="92">
        <f t="shared" si="202"/>
        <v>1180.4462518187413</v>
      </c>
      <c r="G1134" s="92">
        <f t="shared" si="202"/>
        <v>1237.453518466783</v>
      </c>
      <c r="H1134" s="92">
        <f t="shared" si="202"/>
        <v>1307.1290665921674</v>
      </c>
      <c r="I1134" s="92">
        <f t="shared" si="202"/>
        <v>1389.4728961948947</v>
      </c>
      <c r="J1134" s="92">
        <f t="shared" si="202"/>
        <v>1484.4850072749643</v>
      </c>
      <c r="K1134" s="92">
        <f t="shared" si="202"/>
        <v>1592.1653998323768</v>
      </c>
      <c r="L1134" s="35"/>
      <c r="M1134" s="35"/>
      <c r="N1134" s="35"/>
    </row>
    <row r="1135" spans="1:14" x14ac:dyDescent="0.3">
      <c r="A1135" s="397"/>
      <c r="B1135" s="94">
        <v>85</v>
      </c>
      <c r="C1135" s="92">
        <f t="shared" si="202"/>
        <v>1085.0615442246319</v>
      </c>
      <c r="D1135" s="92">
        <f t="shared" si="202"/>
        <v>1102.9461768985275</v>
      </c>
      <c r="E1135" s="92">
        <f t="shared" si="202"/>
        <v>1132.7538980216866</v>
      </c>
      <c r="F1135" s="92">
        <f t="shared" si="202"/>
        <v>1174.4847075941093</v>
      </c>
      <c r="G1135" s="92">
        <f t="shared" si="202"/>
        <v>1228.1386056157958</v>
      </c>
      <c r="H1135" s="92">
        <f t="shared" si="202"/>
        <v>1293.715592086746</v>
      </c>
      <c r="I1135" s="92">
        <f t="shared" si="202"/>
        <v>1371.2156670069596</v>
      </c>
      <c r="J1135" s="92">
        <f t="shared" si="202"/>
        <v>1460.638830376437</v>
      </c>
      <c r="K1135" s="92">
        <f t="shared" si="202"/>
        <v>1561.9850821951782</v>
      </c>
      <c r="L1135" s="35"/>
      <c r="M1135" s="35"/>
      <c r="N1135" s="35"/>
    </row>
    <row r="1136" spans="1:14" x14ac:dyDescent="0.3">
      <c r="A1136" s="397"/>
      <c r="B1136" s="94">
        <v>90</v>
      </c>
      <c r="C1136" s="92">
        <f t="shared" si="202"/>
        <v>1084.7303473232635</v>
      </c>
      <c r="D1136" s="92">
        <f t="shared" si="202"/>
        <v>1101.6213892930537</v>
      </c>
      <c r="E1136" s="92">
        <f t="shared" si="202"/>
        <v>1129.7731259093707</v>
      </c>
      <c r="F1136" s="92">
        <f t="shared" si="202"/>
        <v>1169.1855571722144</v>
      </c>
      <c r="G1136" s="92">
        <f t="shared" si="202"/>
        <v>1219.858683081585</v>
      </c>
      <c r="H1136" s="92">
        <f t="shared" si="202"/>
        <v>1281.7925036374822</v>
      </c>
      <c r="I1136" s="92">
        <f t="shared" si="202"/>
        <v>1354.9870188399063</v>
      </c>
      <c r="J1136" s="92">
        <f t="shared" si="202"/>
        <v>1439.4422286888573</v>
      </c>
      <c r="K1136" s="92">
        <f t="shared" si="202"/>
        <v>1535.1581331843349</v>
      </c>
      <c r="L1136" s="35"/>
      <c r="M1136" s="35"/>
      <c r="N1136" s="35"/>
    </row>
    <row r="1137" spans="1:14" x14ac:dyDescent="0.3">
      <c r="A1137" s="397"/>
      <c r="B1137" s="94">
        <v>95</v>
      </c>
      <c r="C1137" s="92">
        <f t="shared" si="202"/>
        <v>1084.4340132536181</v>
      </c>
      <c r="D1137" s="92">
        <f t="shared" si="202"/>
        <v>1100.436053014472</v>
      </c>
      <c r="E1137" s="92">
        <f t="shared" si="202"/>
        <v>1127.1061192825616</v>
      </c>
      <c r="F1137" s="92">
        <f t="shared" si="202"/>
        <v>1164.4442120578874</v>
      </c>
      <c r="G1137" s="92">
        <f t="shared" si="202"/>
        <v>1212.4503313404489</v>
      </c>
      <c r="H1137" s="92">
        <f t="shared" si="202"/>
        <v>1271.1244771302463</v>
      </c>
      <c r="I1137" s="92">
        <f t="shared" si="202"/>
        <v>1340.4666494272797</v>
      </c>
      <c r="J1137" s="92">
        <f t="shared" si="202"/>
        <v>1420.476848231549</v>
      </c>
      <c r="K1137" s="92">
        <f t="shared" si="202"/>
        <v>1511.1550735430542</v>
      </c>
      <c r="L1137" s="35"/>
      <c r="M1137" s="35"/>
      <c r="N1137" s="35"/>
    </row>
    <row r="1138" spans="1:14" x14ac:dyDescent="0.3">
      <c r="A1138" s="397"/>
      <c r="B1138" s="94">
        <v>100</v>
      </c>
      <c r="C1138" s="92">
        <f t="shared" si="202"/>
        <v>1084.1673125909372</v>
      </c>
      <c r="D1138" s="92">
        <f t="shared" si="202"/>
        <v>1099.3692503637483</v>
      </c>
      <c r="E1138" s="92">
        <f t="shared" si="202"/>
        <v>1124.7058133184337</v>
      </c>
      <c r="F1138" s="92">
        <f t="shared" si="202"/>
        <v>1160.1770014549929</v>
      </c>
      <c r="G1138" s="92">
        <f t="shared" si="202"/>
        <v>1205.7828147734265</v>
      </c>
      <c r="H1138" s="92">
        <f t="shared" si="202"/>
        <v>1261.5232532737341</v>
      </c>
      <c r="I1138" s="92">
        <f t="shared" si="202"/>
        <v>1327.3983169559158</v>
      </c>
      <c r="J1138" s="92">
        <f t="shared" si="202"/>
        <v>1403.4080058199715</v>
      </c>
      <c r="K1138" s="92">
        <f t="shared" si="202"/>
        <v>1489.5523198659016</v>
      </c>
      <c r="L1138" s="35"/>
      <c r="M1138" s="35"/>
      <c r="N1138" s="35"/>
    </row>
    <row r="1139" spans="1:14" x14ac:dyDescent="0.3">
      <c r="A1139" s="7"/>
      <c r="B1139" s="37"/>
      <c r="C1139" s="35"/>
      <c r="D1139" s="35"/>
      <c r="E1139" s="35"/>
      <c r="F1139" s="35"/>
      <c r="G1139" s="35"/>
      <c r="H1139" s="35"/>
      <c r="I1139" s="35"/>
      <c r="J1139" s="35"/>
      <c r="K1139" s="35"/>
      <c r="L1139" s="35"/>
      <c r="M1139" s="35"/>
      <c r="N1139" s="35"/>
    </row>
    <row r="1140" spans="1:14" x14ac:dyDescent="0.3">
      <c r="A1140" s="430" t="s">
        <v>754</v>
      </c>
      <c r="B1140" s="431"/>
      <c r="C1140" s="431"/>
      <c r="D1140" s="431"/>
      <c r="E1140" s="431"/>
      <c r="F1140" s="431"/>
      <c r="G1140" s="431"/>
      <c r="H1140" s="431"/>
      <c r="I1140" s="431"/>
      <c r="J1140" s="431"/>
      <c r="K1140" s="432"/>
      <c r="L1140" s="35"/>
      <c r="M1140" s="35"/>
      <c r="N1140" s="35"/>
    </row>
    <row r="1141" spans="1:14" x14ac:dyDescent="0.3">
      <c r="A1141" s="7"/>
      <c r="B1141" s="37"/>
      <c r="C1141" s="35"/>
      <c r="D1141" s="35"/>
      <c r="E1141" s="35"/>
      <c r="F1141" s="35"/>
      <c r="G1141" s="35"/>
      <c r="H1141" s="35"/>
      <c r="I1141" s="35"/>
      <c r="J1141" s="35"/>
      <c r="K1141" s="35"/>
      <c r="L1141" s="35"/>
      <c r="M1141" s="35"/>
      <c r="N1141" s="35"/>
    </row>
    <row r="1142" spans="1:14" x14ac:dyDescent="0.3">
      <c r="A1142" s="429"/>
      <c r="B1142" s="429"/>
      <c r="C1142" s="397" t="s">
        <v>230</v>
      </c>
      <c r="D1142" s="397"/>
      <c r="E1142" s="397"/>
      <c r="F1142" s="397"/>
      <c r="G1142" s="397"/>
      <c r="H1142" s="397"/>
      <c r="I1142" s="397"/>
      <c r="J1142" s="397"/>
      <c r="K1142" s="397"/>
      <c r="L1142" s="35"/>
      <c r="M1142" s="35"/>
      <c r="N1142" s="35"/>
    </row>
    <row r="1143" spans="1:14" x14ac:dyDescent="0.3">
      <c r="A1143" s="429"/>
      <c r="B1143" s="429"/>
      <c r="C1143" s="94">
        <v>5</v>
      </c>
      <c r="D1143" s="94">
        <v>10</v>
      </c>
      <c r="E1143" s="94">
        <v>15</v>
      </c>
      <c r="F1143" s="94">
        <v>20</v>
      </c>
      <c r="G1143" s="94">
        <v>25</v>
      </c>
      <c r="H1143" s="94">
        <v>30</v>
      </c>
      <c r="I1143" s="94">
        <v>35</v>
      </c>
      <c r="J1143" s="94">
        <v>40</v>
      </c>
      <c r="K1143" s="94">
        <v>45</v>
      </c>
      <c r="L1143" s="35"/>
      <c r="M1143" s="35"/>
      <c r="N1143" s="35"/>
    </row>
    <row r="1144" spans="1:14" x14ac:dyDescent="0.3">
      <c r="A1144" s="397" t="s">
        <v>231</v>
      </c>
      <c r="B1144" s="94">
        <v>5</v>
      </c>
      <c r="C1144" s="92">
        <f>$E$1034-C1067</f>
        <v>1557.4779090502013</v>
      </c>
      <c r="D1144" s="92">
        <f t="shared" ref="D1144:K1144" si="203">$E$1034-D1067</f>
        <v>1373.9616362008055</v>
      </c>
      <c r="E1144" s="92">
        <f t="shared" si="203"/>
        <v>1068.1011814518124</v>
      </c>
      <c r="F1144" s="92">
        <f t="shared" si="203"/>
        <v>639.89654480322224</v>
      </c>
      <c r="G1144" s="92">
        <f t="shared" si="203"/>
        <v>89.347726255034786</v>
      </c>
      <c r="H1144" s="92">
        <f t="shared" si="203"/>
        <v>-583.5452741927495</v>
      </c>
      <c r="I1144" s="92">
        <f t="shared" si="203"/>
        <v>-1378.7824565401318</v>
      </c>
      <c r="J1144" s="92">
        <f t="shared" si="203"/>
        <v>-2296.3638207871109</v>
      </c>
      <c r="K1144" s="92">
        <f t="shared" si="203"/>
        <v>-3336.2893669336872</v>
      </c>
      <c r="L1144" s="35"/>
      <c r="M1144" s="35"/>
      <c r="N1144" s="35"/>
    </row>
    <row r="1145" spans="1:14" x14ac:dyDescent="0.3">
      <c r="A1145" s="397"/>
      <c r="B1145" s="94">
        <v>10</v>
      </c>
      <c r="C1145" s="92">
        <f t="shared" ref="C1145:K1163" si="204">$E$1034-C1068</f>
        <v>1588.0639545251006</v>
      </c>
      <c r="D1145" s="92">
        <f t="shared" si="204"/>
        <v>1496.3058181004026</v>
      </c>
      <c r="E1145" s="92">
        <f t="shared" si="204"/>
        <v>1343.3755907259062</v>
      </c>
      <c r="F1145" s="92">
        <f t="shared" si="204"/>
        <v>1129.2732724016109</v>
      </c>
      <c r="G1145" s="92">
        <f t="shared" si="204"/>
        <v>853.99886312751732</v>
      </c>
      <c r="H1145" s="92">
        <f t="shared" si="204"/>
        <v>517.55236290362518</v>
      </c>
      <c r="I1145" s="92">
        <f t="shared" si="204"/>
        <v>119.93377172993405</v>
      </c>
      <c r="J1145" s="92">
        <f t="shared" si="204"/>
        <v>-338.85691039355538</v>
      </c>
      <c r="K1145" s="92">
        <f t="shared" si="204"/>
        <v>-858.81968346684357</v>
      </c>
      <c r="L1145" s="35"/>
      <c r="M1145" s="35"/>
      <c r="N1145" s="35"/>
    </row>
    <row r="1146" spans="1:14" x14ac:dyDescent="0.3">
      <c r="A1146" s="397"/>
      <c r="B1146" s="94">
        <v>15</v>
      </c>
      <c r="C1146" s="92">
        <f t="shared" si="204"/>
        <v>1598.2593030167336</v>
      </c>
      <c r="D1146" s="92">
        <f t="shared" si="204"/>
        <v>1537.0872120669351</v>
      </c>
      <c r="E1146" s="92">
        <f t="shared" si="204"/>
        <v>1435.133727150604</v>
      </c>
      <c r="F1146" s="92">
        <f t="shared" si="204"/>
        <v>1292.3988482677405</v>
      </c>
      <c r="G1146" s="92">
        <f t="shared" si="204"/>
        <v>1108.8825754183449</v>
      </c>
      <c r="H1146" s="92">
        <f t="shared" si="204"/>
        <v>884.58490860241659</v>
      </c>
      <c r="I1146" s="92">
        <f t="shared" si="204"/>
        <v>619.50584781995599</v>
      </c>
      <c r="J1146" s="92">
        <f t="shared" si="204"/>
        <v>313.64539307096288</v>
      </c>
      <c r="K1146" s="92">
        <f t="shared" si="204"/>
        <v>-32.996455644562502</v>
      </c>
      <c r="L1146" s="35"/>
      <c r="M1146" s="35"/>
      <c r="N1146" s="35"/>
    </row>
    <row r="1147" spans="1:14" x14ac:dyDescent="0.3">
      <c r="A1147" s="397"/>
      <c r="B1147" s="94">
        <v>20</v>
      </c>
      <c r="C1147" s="92">
        <f t="shared" si="204"/>
        <v>1603.3569772625501</v>
      </c>
      <c r="D1147" s="92">
        <f t="shared" si="204"/>
        <v>1557.4779090502013</v>
      </c>
      <c r="E1147" s="92">
        <f t="shared" si="204"/>
        <v>1481.0127953629531</v>
      </c>
      <c r="F1147" s="92">
        <f t="shared" si="204"/>
        <v>1373.9616362008055</v>
      </c>
      <c r="G1147" s="92">
        <f t="shared" si="204"/>
        <v>1236.3244315637585</v>
      </c>
      <c r="H1147" s="92">
        <f t="shared" si="204"/>
        <v>1068.1011814518124</v>
      </c>
      <c r="I1147" s="92">
        <f t="shared" si="204"/>
        <v>869.29188586496696</v>
      </c>
      <c r="J1147" s="92">
        <f t="shared" si="204"/>
        <v>639.89654480322224</v>
      </c>
      <c r="K1147" s="92">
        <f t="shared" si="204"/>
        <v>379.91515826657815</v>
      </c>
      <c r="L1147" s="35"/>
      <c r="M1147" s="35"/>
      <c r="N1147" s="35"/>
    </row>
    <row r="1148" spans="1:14" x14ac:dyDescent="0.3">
      <c r="A1148" s="397"/>
      <c r="B1148" s="94">
        <v>25</v>
      </c>
      <c r="C1148" s="92">
        <f t="shared" si="204"/>
        <v>1606.4155818100401</v>
      </c>
      <c r="D1148" s="92">
        <f t="shared" si="204"/>
        <v>1569.7123272401609</v>
      </c>
      <c r="E1148" s="92">
        <f t="shared" si="204"/>
        <v>1508.5402362903624</v>
      </c>
      <c r="F1148" s="92">
        <f t="shared" si="204"/>
        <v>1422.8993089606442</v>
      </c>
      <c r="G1148" s="92">
        <f t="shared" si="204"/>
        <v>1312.7895452510068</v>
      </c>
      <c r="H1148" s="92">
        <f t="shared" si="204"/>
        <v>1178.2109451614499</v>
      </c>
      <c r="I1148" s="92">
        <f t="shared" si="204"/>
        <v>1019.1635086919736</v>
      </c>
      <c r="J1148" s="92">
        <f t="shared" si="204"/>
        <v>835.64723584257774</v>
      </c>
      <c r="K1148" s="92">
        <f t="shared" si="204"/>
        <v>627.66212661326244</v>
      </c>
      <c r="L1148" s="35"/>
      <c r="M1148" s="35"/>
      <c r="N1148" s="35"/>
    </row>
    <row r="1149" spans="1:14" x14ac:dyDescent="0.3">
      <c r="A1149" s="397"/>
      <c r="B1149" s="94">
        <v>30</v>
      </c>
      <c r="C1149" s="92">
        <f t="shared" si="204"/>
        <v>1608.4546515083669</v>
      </c>
      <c r="D1149" s="92">
        <f t="shared" si="204"/>
        <v>1577.8686060334674</v>
      </c>
      <c r="E1149" s="92">
        <f t="shared" si="204"/>
        <v>1526.8918635753021</v>
      </c>
      <c r="F1149" s="92">
        <f t="shared" si="204"/>
        <v>1455.5244241338703</v>
      </c>
      <c r="G1149" s="92">
        <f t="shared" si="204"/>
        <v>1363.7662877091723</v>
      </c>
      <c r="H1149" s="92">
        <f t="shared" si="204"/>
        <v>1251.6174543012082</v>
      </c>
      <c r="I1149" s="92">
        <f t="shared" si="204"/>
        <v>1119.0779239099779</v>
      </c>
      <c r="J1149" s="92">
        <f t="shared" si="204"/>
        <v>966.14769653548137</v>
      </c>
      <c r="K1149" s="92">
        <f t="shared" si="204"/>
        <v>792.82677217771868</v>
      </c>
      <c r="L1149" s="35"/>
      <c r="M1149" s="35"/>
      <c r="N1149" s="35"/>
    </row>
    <row r="1150" spans="1:14" x14ac:dyDescent="0.3">
      <c r="A1150" s="397"/>
      <c r="B1150" s="94">
        <v>35</v>
      </c>
      <c r="C1150" s="92">
        <f t="shared" si="204"/>
        <v>1609.9111298643143</v>
      </c>
      <c r="D1150" s="92">
        <f t="shared" si="204"/>
        <v>1583.6945194572579</v>
      </c>
      <c r="E1150" s="92">
        <f t="shared" si="204"/>
        <v>1540.0001687788301</v>
      </c>
      <c r="F1150" s="92">
        <f t="shared" si="204"/>
        <v>1478.8280778290316</v>
      </c>
      <c r="G1150" s="92">
        <f t="shared" si="204"/>
        <v>1400.1782466078621</v>
      </c>
      <c r="H1150" s="92">
        <f t="shared" si="204"/>
        <v>1304.0506751153214</v>
      </c>
      <c r="I1150" s="92">
        <f t="shared" si="204"/>
        <v>1190.4453633514097</v>
      </c>
      <c r="J1150" s="92">
        <f t="shared" si="204"/>
        <v>1059.362311316127</v>
      </c>
      <c r="K1150" s="92">
        <f t="shared" si="204"/>
        <v>910.80151900947317</v>
      </c>
      <c r="L1150" s="35"/>
      <c r="M1150" s="35"/>
      <c r="N1150" s="35"/>
    </row>
    <row r="1151" spans="1:14" x14ac:dyDescent="0.3">
      <c r="A1151" s="397"/>
      <c r="B1151" s="94">
        <v>40</v>
      </c>
      <c r="C1151" s="92">
        <f t="shared" si="204"/>
        <v>1611.0034886312751</v>
      </c>
      <c r="D1151" s="92">
        <f t="shared" si="204"/>
        <v>1588.0639545251006</v>
      </c>
      <c r="E1151" s="92">
        <f t="shared" si="204"/>
        <v>1549.8313976814763</v>
      </c>
      <c r="F1151" s="92">
        <f t="shared" si="204"/>
        <v>1496.3058181004026</v>
      </c>
      <c r="G1151" s="92">
        <f t="shared" si="204"/>
        <v>1427.4872157818793</v>
      </c>
      <c r="H1151" s="92">
        <f t="shared" si="204"/>
        <v>1343.3755907259062</v>
      </c>
      <c r="I1151" s="92">
        <f t="shared" si="204"/>
        <v>1243.9709429324835</v>
      </c>
      <c r="J1151" s="92">
        <f t="shared" si="204"/>
        <v>1129.2732724016109</v>
      </c>
      <c r="K1151" s="92">
        <f t="shared" si="204"/>
        <v>999.282579133289</v>
      </c>
      <c r="L1151" s="35"/>
      <c r="M1151" s="35"/>
      <c r="N1151" s="35"/>
    </row>
    <row r="1152" spans="1:14" x14ac:dyDescent="0.3">
      <c r="A1152" s="397"/>
      <c r="B1152" s="94">
        <v>45</v>
      </c>
      <c r="C1152" s="92">
        <f t="shared" si="204"/>
        <v>1611.8531010055779</v>
      </c>
      <c r="D1152" s="92">
        <f t="shared" si="204"/>
        <v>1591.4624040223116</v>
      </c>
      <c r="E1152" s="92">
        <f t="shared" si="204"/>
        <v>1557.4779090502013</v>
      </c>
      <c r="F1152" s="92">
        <f t="shared" si="204"/>
        <v>1509.8996160892468</v>
      </c>
      <c r="G1152" s="92">
        <f t="shared" si="204"/>
        <v>1448.7275251394481</v>
      </c>
      <c r="H1152" s="92">
        <f t="shared" si="204"/>
        <v>1373.9616362008055</v>
      </c>
      <c r="I1152" s="92">
        <f t="shared" si="204"/>
        <v>1285.6019492733185</v>
      </c>
      <c r="J1152" s="92">
        <f t="shared" si="204"/>
        <v>1183.6484643569875</v>
      </c>
      <c r="K1152" s="92">
        <f t="shared" si="204"/>
        <v>1068.1011814518124</v>
      </c>
      <c r="L1152" s="35"/>
      <c r="M1152" s="35"/>
      <c r="N1152" s="35"/>
    </row>
    <row r="1153" spans="1:14" x14ac:dyDescent="0.3">
      <c r="A1153" s="397"/>
      <c r="B1153" s="94">
        <v>50</v>
      </c>
      <c r="C1153" s="92">
        <f t="shared" si="204"/>
        <v>1612.53279090502</v>
      </c>
      <c r="D1153" s="92">
        <f t="shared" si="204"/>
        <v>1594.1811636200805</v>
      </c>
      <c r="E1153" s="92">
        <f t="shared" si="204"/>
        <v>1563.595118145181</v>
      </c>
      <c r="F1153" s="92">
        <f t="shared" si="204"/>
        <v>1520.7746544803222</v>
      </c>
      <c r="G1153" s="92">
        <f t="shared" si="204"/>
        <v>1465.7197726255033</v>
      </c>
      <c r="H1153" s="92">
        <f t="shared" si="204"/>
        <v>1398.4304725807249</v>
      </c>
      <c r="I1153" s="92">
        <f t="shared" si="204"/>
        <v>1318.9067543459867</v>
      </c>
      <c r="J1153" s="92">
        <f t="shared" si="204"/>
        <v>1227.1486179212889</v>
      </c>
      <c r="K1153" s="92">
        <f t="shared" si="204"/>
        <v>1123.156063306631</v>
      </c>
      <c r="L1153" s="35"/>
      <c r="M1153" s="35"/>
      <c r="N1153" s="35"/>
    </row>
    <row r="1154" spans="1:14" x14ac:dyDescent="0.3">
      <c r="A1154" s="397"/>
      <c r="B1154" s="94">
        <v>55</v>
      </c>
      <c r="C1154" s="92">
        <f t="shared" si="204"/>
        <v>1613.0889008227455</v>
      </c>
      <c r="D1154" s="92">
        <f t="shared" si="204"/>
        <v>1596.4056032909823</v>
      </c>
      <c r="E1154" s="92">
        <f t="shared" si="204"/>
        <v>1568.6001074047101</v>
      </c>
      <c r="F1154" s="92">
        <f t="shared" si="204"/>
        <v>1529.6724131639291</v>
      </c>
      <c r="G1154" s="92">
        <f t="shared" si="204"/>
        <v>1479.6225205686394</v>
      </c>
      <c r="H1154" s="92">
        <f t="shared" si="204"/>
        <v>1418.4504296188409</v>
      </c>
      <c r="I1154" s="92">
        <f t="shared" si="204"/>
        <v>1346.1561403145333</v>
      </c>
      <c r="J1154" s="92">
        <f t="shared" si="204"/>
        <v>1262.739652655717</v>
      </c>
      <c r="K1154" s="92">
        <f t="shared" si="204"/>
        <v>1168.2009666423919</v>
      </c>
      <c r="L1154" s="35"/>
      <c r="M1154" s="35"/>
      <c r="N1154" s="35"/>
    </row>
    <row r="1155" spans="1:14" x14ac:dyDescent="0.3">
      <c r="A1155" s="397"/>
      <c r="B1155" s="94">
        <v>60</v>
      </c>
      <c r="C1155" s="92">
        <f t="shared" si="204"/>
        <v>1613.5523257541834</v>
      </c>
      <c r="D1155" s="92">
        <f t="shared" si="204"/>
        <v>1598.2593030167336</v>
      </c>
      <c r="E1155" s="92">
        <f t="shared" si="204"/>
        <v>1572.7709317876509</v>
      </c>
      <c r="F1155" s="92">
        <f t="shared" si="204"/>
        <v>1537.0872120669351</v>
      </c>
      <c r="G1155" s="92">
        <f t="shared" si="204"/>
        <v>1491.2081438545861</v>
      </c>
      <c r="H1155" s="92">
        <f t="shared" si="204"/>
        <v>1435.133727150604</v>
      </c>
      <c r="I1155" s="92">
        <f t="shared" si="204"/>
        <v>1368.863961954989</v>
      </c>
      <c r="J1155" s="92">
        <f t="shared" si="204"/>
        <v>1292.3988482677405</v>
      </c>
      <c r="K1155" s="92">
        <f t="shared" si="204"/>
        <v>1205.7383860888592</v>
      </c>
      <c r="L1155" s="35"/>
      <c r="M1155" s="35"/>
      <c r="N1155" s="35"/>
    </row>
    <row r="1156" spans="1:14" x14ac:dyDescent="0.3">
      <c r="A1156" s="397"/>
      <c r="B1156" s="94">
        <v>65</v>
      </c>
      <c r="C1156" s="92">
        <f t="shared" si="204"/>
        <v>1613.944454542323</v>
      </c>
      <c r="D1156" s="92">
        <f t="shared" si="204"/>
        <v>1599.8278181692926</v>
      </c>
      <c r="E1156" s="92">
        <f t="shared" si="204"/>
        <v>1576.3000908809086</v>
      </c>
      <c r="F1156" s="92">
        <f t="shared" si="204"/>
        <v>1543.3612726771707</v>
      </c>
      <c r="G1156" s="92">
        <f t="shared" si="204"/>
        <v>1501.0113635580794</v>
      </c>
      <c r="H1156" s="92">
        <f t="shared" si="204"/>
        <v>1449.2503635236344</v>
      </c>
      <c r="I1156" s="92">
        <f t="shared" si="204"/>
        <v>1388.0782725738359</v>
      </c>
      <c r="J1156" s="92">
        <f t="shared" si="204"/>
        <v>1317.4950907086836</v>
      </c>
      <c r="K1156" s="92">
        <f t="shared" si="204"/>
        <v>1237.5008179281779</v>
      </c>
      <c r="L1156" s="35"/>
      <c r="M1156" s="35"/>
      <c r="N1156" s="35"/>
    </row>
    <row r="1157" spans="1:14" x14ac:dyDescent="0.3">
      <c r="A1157" s="397"/>
      <c r="B1157" s="94">
        <v>70</v>
      </c>
      <c r="C1157" s="92">
        <f t="shared" si="204"/>
        <v>1614.2805649321572</v>
      </c>
      <c r="D1157" s="92">
        <f t="shared" si="204"/>
        <v>1601.1722597286289</v>
      </c>
      <c r="E1157" s="92">
        <f t="shared" si="204"/>
        <v>1579.325084389415</v>
      </c>
      <c r="F1157" s="92">
        <f t="shared" si="204"/>
        <v>1548.7390389145157</v>
      </c>
      <c r="G1157" s="92">
        <f t="shared" si="204"/>
        <v>1509.4141233039309</v>
      </c>
      <c r="H1157" s="92">
        <f t="shared" si="204"/>
        <v>1461.3503375576606</v>
      </c>
      <c r="I1157" s="92">
        <f t="shared" si="204"/>
        <v>1404.5476816757048</v>
      </c>
      <c r="J1157" s="92">
        <f t="shared" si="204"/>
        <v>1339.0061556580633</v>
      </c>
      <c r="K1157" s="92">
        <f t="shared" si="204"/>
        <v>1264.7257595047365</v>
      </c>
      <c r="L1157" s="35"/>
      <c r="M1157" s="35"/>
      <c r="N1157" s="35"/>
    </row>
    <row r="1158" spans="1:14" x14ac:dyDescent="0.3">
      <c r="A1158" s="397"/>
      <c r="B1158" s="94">
        <v>75</v>
      </c>
      <c r="C1158" s="92">
        <f t="shared" si="204"/>
        <v>1614.5718606033465</v>
      </c>
      <c r="D1158" s="92">
        <f t="shared" si="204"/>
        <v>1602.337442413387</v>
      </c>
      <c r="E1158" s="92">
        <f t="shared" si="204"/>
        <v>1581.9467454301207</v>
      </c>
      <c r="F1158" s="92">
        <f t="shared" si="204"/>
        <v>1553.399769653548</v>
      </c>
      <c r="G1158" s="92">
        <f t="shared" si="204"/>
        <v>1516.6965150836688</v>
      </c>
      <c r="H1158" s="92">
        <f t="shared" si="204"/>
        <v>1471.8369817204832</v>
      </c>
      <c r="I1158" s="92">
        <f t="shared" si="204"/>
        <v>1418.8211695639911</v>
      </c>
      <c r="J1158" s="92">
        <f t="shared" si="204"/>
        <v>1357.6490786141926</v>
      </c>
      <c r="K1158" s="92">
        <f t="shared" si="204"/>
        <v>1288.3207088710874</v>
      </c>
      <c r="L1158" s="35"/>
      <c r="M1158" s="35"/>
      <c r="N1158" s="35"/>
    </row>
    <row r="1159" spans="1:14" x14ac:dyDescent="0.3">
      <c r="A1159" s="397"/>
      <c r="B1159" s="94">
        <v>80</v>
      </c>
      <c r="C1159" s="92">
        <f t="shared" si="204"/>
        <v>1614.8267443156374</v>
      </c>
      <c r="D1159" s="92">
        <f t="shared" si="204"/>
        <v>1603.3569772625501</v>
      </c>
      <c r="E1159" s="92">
        <f t="shared" si="204"/>
        <v>1584.2406988407381</v>
      </c>
      <c r="F1159" s="92">
        <f t="shared" si="204"/>
        <v>1557.4779090502013</v>
      </c>
      <c r="G1159" s="92">
        <f t="shared" si="204"/>
        <v>1523.0686078909396</v>
      </c>
      <c r="H1159" s="92">
        <f t="shared" si="204"/>
        <v>1481.0127953629531</v>
      </c>
      <c r="I1159" s="92">
        <f t="shared" si="204"/>
        <v>1431.3104714662416</v>
      </c>
      <c r="J1159" s="92">
        <f t="shared" si="204"/>
        <v>1373.9616362008055</v>
      </c>
      <c r="K1159" s="92">
        <f t="shared" si="204"/>
        <v>1308.9662895666445</v>
      </c>
      <c r="L1159" s="35"/>
      <c r="M1159" s="35"/>
      <c r="N1159" s="35"/>
    </row>
    <row r="1160" spans="1:14" x14ac:dyDescent="0.3">
      <c r="A1160" s="397"/>
      <c r="B1160" s="94">
        <v>85</v>
      </c>
      <c r="C1160" s="92">
        <f t="shared" si="204"/>
        <v>1615.0516417088352</v>
      </c>
      <c r="D1160" s="92">
        <f t="shared" si="204"/>
        <v>1604.2565668353413</v>
      </c>
      <c r="E1160" s="92">
        <f t="shared" si="204"/>
        <v>1586.2647753795181</v>
      </c>
      <c r="F1160" s="92">
        <f t="shared" si="204"/>
        <v>1561.0762673413658</v>
      </c>
      <c r="G1160" s="92">
        <f t="shared" si="204"/>
        <v>1528.6910427208843</v>
      </c>
      <c r="H1160" s="92">
        <f t="shared" si="204"/>
        <v>1489.1091015180734</v>
      </c>
      <c r="I1160" s="92">
        <f t="shared" si="204"/>
        <v>1442.3304437329334</v>
      </c>
      <c r="J1160" s="92">
        <f t="shared" si="204"/>
        <v>1388.355069365464</v>
      </c>
      <c r="K1160" s="92">
        <f t="shared" si="204"/>
        <v>1327.1829784156653</v>
      </c>
      <c r="L1160" s="35"/>
      <c r="M1160" s="35"/>
      <c r="N1160" s="35"/>
    </row>
    <row r="1161" spans="1:14" x14ac:dyDescent="0.3">
      <c r="A1161" s="397"/>
      <c r="B1161" s="94">
        <v>90</v>
      </c>
      <c r="C1161" s="92">
        <f t="shared" si="204"/>
        <v>1615.2515505027889</v>
      </c>
      <c r="D1161" s="92">
        <f t="shared" si="204"/>
        <v>1605.0562020111556</v>
      </c>
      <c r="E1161" s="92">
        <f t="shared" si="204"/>
        <v>1588.0639545251006</v>
      </c>
      <c r="F1161" s="92">
        <f t="shared" si="204"/>
        <v>1564.2748080446233</v>
      </c>
      <c r="G1161" s="92">
        <f t="shared" si="204"/>
        <v>1533.6887625697241</v>
      </c>
      <c r="H1161" s="92">
        <f t="shared" si="204"/>
        <v>1496.3058181004026</v>
      </c>
      <c r="I1161" s="92">
        <f t="shared" si="204"/>
        <v>1452.1259746366593</v>
      </c>
      <c r="J1161" s="92">
        <f t="shared" si="204"/>
        <v>1401.1492321784938</v>
      </c>
      <c r="K1161" s="92">
        <f t="shared" si="204"/>
        <v>1343.3755907259062</v>
      </c>
      <c r="L1161" s="35"/>
      <c r="M1161" s="35"/>
      <c r="N1161" s="35"/>
    </row>
    <row r="1162" spans="1:14" x14ac:dyDescent="0.3">
      <c r="A1162" s="397"/>
      <c r="B1162" s="94">
        <v>95</v>
      </c>
      <c r="C1162" s="92">
        <f t="shared" si="204"/>
        <v>1615.4304162658</v>
      </c>
      <c r="D1162" s="92">
        <f t="shared" si="204"/>
        <v>1605.7716650632001</v>
      </c>
      <c r="E1162" s="92">
        <f t="shared" si="204"/>
        <v>1589.6737463922004</v>
      </c>
      <c r="F1162" s="92">
        <f t="shared" si="204"/>
        <v>1567.136660252801</v>
      </c>
      <c r="G1162" s="92">
        <f t="shared" si="204"/>
        <v>1538.1604066450018</v>
      </c>
      <c r="H1162" s="92">
        <f t="shared" si="204"/>
        <v>1502.7449855688026</v>
      </c>
      <c r="I1162" s="92">
        <f t="shared" si="204"/>
        <v>1460.8903970242036</v>
      </c>
      <c r="J1162" s="92">
        <f t="shared" si="204"/>
        <v>1412.5966410112046</v>
      </c>
      <c r="K1162" s="92">
        <f t="shared" si="204"/>
        <v>1357.8637175298059</v>
      </c>
      <c r="L1162" s="35"/>
      <c r="M1162" s="35"/>
      <c r="N1162" s="35"/>
    </row>
    <row r="1163" spans="1:14" x14ac:dyDescent="0.3">
      <c r="A1163" s="397"/>
      <c r="B1163" s="94">
        <v>100</v>
      </c>
      <c r="C1163" s="92">
        <f t="shared" si="204"/>
        <v>1615.5913954525099</v>
      </c>
      <c r="D1163" s="92">
        <f t="shared" si="204"/>
        <v>1606.4155818100401</v>
      </c>
      <c r="E1163" s="92">
        <f t="shared" si="204"/>
        <v>1591.1225590725905</v>
      </c>
      <c r="F1163" s="92">
        <f t="shared" si="204"/>
        <v>1569.7123272401609</v>
      </c>
      <c r="G1163" s="92">
        <f t="shared" si="204"/>
        <v>1542.1848863127516</v>
      </c>
      <c r="H1163" s="92">
        <f t="shared" si="204"/>
        <v>1508.5402362903624</v>
      </c>
      <c r="I1163" s="92">
        <f t="shared" si="204"/>
        <v>1468.7783771729933</v>
      </c>
      <c r="J1163" s="92">
        <f t="shared" si="204"/>
        <v>1422.8993089606442</v>
      </c>
      <c r="K1163" s="92">
        <f t="shared" si="204"/>
        <v>1370.9030316533156</v>
      </c>
      <c r="L1163" s="35"/>
      <c r="M1163" s="35"/>
      <c r="N1163" s="35"/>
    </row>
    <row r="1164" spans="1:14" x14ac:dyDescent="0.3">
      <c r="A1164" s="7"/>
      <c r="B1164" s="37"/>
      <c r="C1164" s="35"/>
      <c r="D1164" s="35"/>
      <c r="E1164" s="35"/>
      <c r="F1164" s="35"/>
      <c r="G1164" s="35"/>
      <c r="H1164" s="35"/>
      <c r="I1164" s="35"/>
      <c r="J1164" s="35"/>
      <c r="K1164" s="35"/>
      <c r="L1164" s="35"/>
      <c r="M1164" s="35"/>
      <c r="N1164" s="35"/>
    </row>
    <row r="1165" spans="1:14" x14ac:dyDescent="0.3">
      <c r="A1165" s="430" t="s">
        <v>753</v>
      </c>
      <c r="B1165" s="431"/>
      <c r="C1165" s="431"/>
      <c r="D1165" s="431"/>
      <c r="E1165" s="431"/>
      <c r="F1165" s="431"/>
      <c r="G1165" s="431"/>
      <c r="H1165" s="431"/>
      <c r="I1165" s="431"/>
      <c r="J1165" s="431"/>
      <c r="K1165" s="432"/>
      <c r="L1165" s="35"/>
      <c r="M1165" s="35"/>
      <c r="N1165" s="35"/>
    </row>
    <row r="1166" spans="1:14" x14ac:dyDescent="0.3">
      <c r="A1166" s="7"/>
      <c r="B1166" s="37"/>
      <c r="C1166" s="35"/>
      <c r="D1166" s="35"/>
      <c r="E1166" s="35"/>
      <c r="F1166" s="35"/>
      <c r="G1166" s="35"/>
      <c r="H1166" s="35"/>
      <c r="I1166" s="35"/>
      <c r="J1166" s="35"/>
      <c r="K1166" s="35"/>
      <c r="L1166" s="35"/>
      <c r="M1166" s="35"/>
      <c r="N1166" s="35"/>
    </row>
    <row r="1167" spans="1:14" x14ac:dyDescent="0.3">
      <c r="A1167" s="429"/>
      <c r="B1167" s="429"/>
      <c r="C1167" s="397" t="s">
        <v>230</v>
      </c>
      <c r="D1167" s="397"/>
      <c r="E1167" s="397"/>
      <c r="F1167" s="397"/>
      <c r="G1167" s="397"/>
      <c r="H1167" s="397"/>
      <c r="I1167" s="397"/>
      <c r="J1167" s="397"/>
      <c r="K1167" s="397"/>
      <c r="L1167" s="35"/>
      <c r="M1167" s="35"/>
      <c r="N1167" s="35"/>
    </row>
    <row r="1168" spans="1:14" x14ac:dyDescent="0.3">
      <c r="A1168" s="429"/>
      <c r="B1168" s="429"/>
      <c r="C1168" s="94">
        <v>5</v>
      </c>
      <c r="D1168" s="94">
        <v>10</v>
      </c>
      <c r="E1168" s="94">
        <v>15</v>
      </c>
      <c r="F1168" s="94">
        <v>20</v>
      </c>
      <c r="G1168" s="94">
        <v>25</v>
      </c>
      <c r="H1168" s="94">
        <v>30</v>
      </c>
      <c r="I1168" s="94">
        <v>35</v>
      </c>
      <c r="J1168" s="94">
        <v>40</v>
      </c>
      <c r="K1168" s="94">
        <v>45</v>
      </c>
      <c r="L1168" s="35"/>
      <c r="M1168" s="35"/>
      <c r="N1168" s="35"/>
    </row>
    <row r="1169" spans="1:14" x14ac:dyDescent="0.3">
      <c r="A1169" s="397" t="s">
        <v>231</v>
      </c>
      <c r="B1169" s="94">
        <v>5</v>
      </c>
      <c r="C1169" s="92">
        <f>$A$1034+C1067</f>
        <v>1679.8220909497984</v>
      </c>
      <c r="D1169" s="92">
        <f t="shared" ref="D1169:K1169" si="205">$A$1034+D1067</f>
        <v>1863.3383637991942</v>
      </c>
      <c r="E1169" s="92">
        <f t="shared" si="205"/>
        <v>2169.1988185481873</v>
      </c>
      <c r="F1169" s="92">
        <f t="shared" si="205"/>
        <v>2597.4034551967775</v>
      </c>
      <c r="G1169" s="92">
        <f t="shared" si="205"/>
        <v>3147.9522737449652</v>
      </c>
      <c r="H1169" s="92">
        <f t="shared" si="205"/>
        <v>3820.8452741927495</v>
      </c>
      <c r="I1169" s="92">
        <f t="shared" si="205"/>
        <v>4616.0824565401317</v>
      </c>
      <c r="J1169" s="92">
        <f t="shared" si="205"/>
        <v>5533.6638207871101</v>
      </c>
      <c r="K1169" s="92">
        <f t="shared" si="205"/>
        <v>6573.5893669336865</v>
      </c>
      <c r="L1169" s="35"/>
      <c r="M1169" s="35"/>
      <c r="N1169" s="35"/>
    </row>
    <row r="1170" spans="1:14" x14ac:dyDescent="0.3">
      <c r="A1170" s="397"/>
      <c r="B1170" s="94">
        <v>10</v>
      </c>
      <c r="C1170" s="92">
        <f t="shared" ref="C1170:K1188" si="206">$A$1034+C1068</f>
        <v>1649.2360454748991</v>
      </c>
      <c r="D1170" s="92">
        <f t="shared" si="206"/>
        <v>1740.9941818995972</v>
      </c>
      <c r="E1170" s="92">
        <f t="shared" si="206"/>
        <v>1893.9244092740935</v>
      </c>
      <c r="F1170" s="92">
        <f t="shared" si="206"/>
        <v>2108.0267275983888</v>
      </c>
      <c r="G1170" s="92">
        <f t="shared" si="206"/>
        <v>2383.3011368724824</v>
      </c>
      <c r="H1170" s="92">
        <f t="shared" si="206"/>
        <v>2719.7476370963745</v>
      </c>
      <c r="I1170" s="92">
        <f t="shared" si="206"/>
        <v>3117.3662282700657</v>
      </c>
      <c r="J1170" s="92">
        <f t="shared" si="206"/>
        <v>3576.1569103935553</v>
      </c>
      <c r="K1170" s="92">
        <f t="shared" si="206"/>
        <v>4096.1196834668435</v>
      </c>
      <c r="L1170" s="35"/>
      <c r="M1170" s="35"/>
      <c r="N1170" s="35"/>
    </row>
    <row r="1171" spans="1:14" x14ac:dyDescent="0.3">
      <c r="A1171" s="397"/>
      <c r="B1171" s="94">
        <v>15</v>
      </c>
      <c r="C1171" s="92">
        <f t="shared" si="206"/>
        <v>1639.0406969832661</v>
      </c>
      <c r="D1171" s="92">
        <f t="shared" si="206"/>
        <v>1700.2127879330646</v>
      </c>
      <c r="E1171" s="92">
        <f t="shared" si="206"/>
        <v>1802.1662728493957</v>
      </c>
      <c r="F1171" s="92">
        <f t="shared" si="206"/>
        <v>1944.9011517322592</v>
      </c>
      <c r="G1171" s="92">
        <f t="shared" si="206"/>
        <v>2128.4174245816548</v>
      </c>
      <c r="H1171" s="92">
        <f t="shared" si="206"/>
        <v>2352.7150913975829</v>
      </c>
      <c r="I1171" s="92">
        <f t="shared" si="206"/>
        <v>2617.794152180044</v>
      </c>
      <c r="J1171" s="92">
        <f t="shared" si="206"/>
        <v>2923.6546069290371</v>
      </c>
      <c r="K1171" s="92">
        <f t="shared" si="206"/>
        <v>3270.2964556445622</v>
      </c>
      <c r="L1171" s="35"/>
      <c r="M1171" s="35"/>
      <c r="N1171" s="35"/>
    </row>
    <row r="1172" spans="1:14" x14ac:dyDescent="0.3">
      <c r="A1172" s="397"/>
      <c r="B1172" s="94">
        <v>20</v>
      </c>
      <c r="C1172" s="92">
        <f t="shared" si="206"/>
        <v>1633.9430227374496</v>
      </c>
      <c r="D1172" s="92">
        <f t="shared" si="206"/>
        <v>1679.8220909497984</v>
      </c>
      <c r="E1172" s="92">
        <f t="shared" si="206"/>
        <v>1756.2872046370467</v>
      </c>
      <c r="F1172" s="92">
        <f t="shared" si="206"/>
        <v>1863.3383637991942</v>
      </c>
      <c r="G1172" s="92">
        <f t="shared" si="206"/>
        <v>2000.9755684362412</v>
      </c>
      <c r="H1172" s="92">
        <f t="shared" si="206"/>
        <v>2169.1988185481873</v>
      </c>
      <c r="I1172" s="92">
        <f t="shared" si="206"/>
        <v>2368.0081141350329</v>
      </c>
      <c r="J1172" s="92">
        <f t="shared" si="206"/>
        <v>2597.4034551967775</v>
      </c>
      <c r="K1172" s="92">
        <f t="shared" si="206"/>
        <v>2857.3848417334216</v>
      </c>
      <c r="L1172" s="35"/>
      <c r="M1172" s="35"/>
      <c r="N1172" s="35"/>
    </row>
    <row r="1173" spans="1:14" x14ac:dyDescent="0.3">
      <c r="A1173" s="397"/>
      <c r="B1173" s="94">
        <v>25</v>
      </c>
      <c r="C1173" s="92">
        <f t="shared" si="206"/>
        <v>1630.8844181899597</v>
      </c>
      <c r="D1173" s="92">
        <f t="shared" si="206"/>
        <v>1667.5876727598388</v>
      </c>
      <c r="E1173" s="92">
        <f t="shared" si="206"/>
        <v>1728.7597637096374</v>
      </c>
      <c r="F1173" s="92">
        <f t="shared" si="206"/>
        <v>1814.4006910393555</v>
      </c>
      <c r="G1173" s="92">
        <f t="shared" si="206"/>
        <v>1924.510454748993</v>
      </c>
      <c r="H1173" s="92">
        <f t="shared" si="206"/>
        <v>2059.0890548385496</v>
      </c>
      <c r="I1173" s="92">
        <f t="shared" si="206"/>
        <v>2218.1364913080261</v>
      </c>
      <c r="J1173" s="92">
        <f t="shared" si="206"/>
        <v>2401.6527641574221</v>
      </c>
      <c r="K1173" s="92">
        <f t="shared" si="206"/>
        <v>2609.6378733867373</v>
      </c>
      <c r="L1173" s="35"/>
      <c r="M1173" s="35"/>
      <c r="N1173" s="35"/>
    </row>
    <row r="1174" spans="1:14" x14ac:dyDescent="0.3">
      <c r="A1174" s="397"/>
      <c r="B1174" s="94">
        <v>30</v>
      </c>
      <c r="C1174" s="92">
        <f t="shared" si="206"/>
        <v>1628.8453484916329</v>
      </c>
      <c r="D1174" s="92">
        <f t="shared" si="206"/>
        <v>1659.4313939665324</v>
      </c>
      <c r="E1174" s="92">
        <f t="shared" si="206"/>
        <v>1710.4081364246977</v>
      </c>
      <c r="F1174" s="92">
        <f t="shared" si="206"/>
        <v>1781.7755758661294</v>
      </c>
      <c r="G1174" s="92">
        <f t="shared" si="206"/>
        <v>1873.5337122908275</v>
      </c>
      <c r="H1174" s="92">
        <f t="shared" si="206"/>
        <v>1985.6825456987915</v>
      </c>
      <c r="I1174" s="92">
        <f t="shared" si="206"/>
        <v>2118.2220760900218</v>
      </c>
      <c r="J1174" s="92">
        <f t="shared" si="206"/>
        <v>2271.1523034645184</v>
      </c>
      <c r="K1174" s="92">
        <f t="shared" si="206"/>
        <v>2444.4732278222809</v>
      </c>
      <c r="L1174" s="35"/>
      <c r="M1174" s="35"/>
      <c r="N1174" s="35"/>
    </row>
    <row r="1175" spans="1:14" x14ac:dyDescent="0.3">
      <c r="A1175" s="397"/>
      <c r="B1175" s="94">
        <v>35</v>
      </c>
      <c r="C1175" s="92">
        <f t="shared" si="206"/>
        <v>1627.3888701356855</v>
      </c>
      <c r="D1175" s="92">
        <f t="shared" si="206"/>
        <v>1653.6054805427418</v>
      </c>
      <c r="E1175" s="92">
        <f t="shared" si="206"/>
        <v>1697.2998312211696</v>
      </c>
      <c r="F1175" s="92">
        <f t="shared" si="206"/>
        <v>1758.4719221709681</v>
      </c>
      <c r="G1175" s="92">
        <f t="shared" si="206"/>
        <v>1837.1217533921376</v>
      </c>
      <c r="H1175" s="92">
        <f t="shared" si="206"/>
        <v>1933.2493248846783</v>
      </c>
      <c r="I1175" s="92">
        <f t="shared" si="206"/>
        <v>2046.85463664859</v>
      </c>
      <c r="J1175" s="92">
        <f t="shared" si="206"/>
        <v>2177.9376886838727</v>
      </c>
      <c r="K1175" s="92">
        <f t="shared" si="206"/>
        <v>2326.4984809905263</v>
      </c>
      <c r="L1175" s="35"/>
      <c r="M1175" s="35"/>
      <c r="N1175" s="35"/>
    </row>
    <row r="1176" spans="1:14" x14ac:dyDescent="0.3">
      <c r="A1176" s="397"/>
      <c r="B1176" s="94">
        <v>40</v>
      </c>
      <c r="C1176" s="92">
        <f t="shared" si="206"/>
        <v>1626.2965113687246</v>
      </c>
      <c r="D1176" s="92">
        <f t="shared" si="206"/>
        <v>1649.2360454748991</v>
      </c>
      <c r="E1176" s="92">
        <f t="shared" si="206"/>
        <v>1687.4686023185234</v>
      </c>
      <c r="F1176" s="92">
        <f t="shared" si="206"/>
        <v>1740.9941818995972</v>
      </c>
      <c r="G1176" s="92">
        <f t="shared" si="206"/>
        <v>1809.8127842181204</v>
      </c>
      <c r="H1176" s="92">
        <f t="shared" si="206"/>
        <v>1893.9244092740935</v>
      </c>
      <c r="I1176" s="92">
        <f t="shared" si="206"/>
        <v>1993.3290570675163</v>
      </c>
      <c r="J1176" s="92">
        <f t="shared" si="206"/>
        <v>2108.0267275983888</v>
      </c>
      <c r="K1176" s="92">
        <f t="shared" si="206"/>
        <v>2238.0174208667108</v>
      </c>
      <c r="L1176" s="35"/>
      <c r="M1176" s="35"/>
      <c r="N1176" s="35"/>
    </row>
    <row r="1177" spans="1:14" x14ac:dyDescent="0.3">
      <c r="A1177" s="397"/>
      <c r="B1177" s="94">
        <v>45</v>
      </c>
      <c r="C1177" s="92">
        <f t="shared" si="206"/>
        <v>1625.4468989944219</v>
      </c>
      <c r="D1177" s="92">
        <f t="shared" si="206"/>
        <v>1645.8375959776881</v>
      </c>
      <c r="E1177" s="92">
        <f t="shared" si="206"/>
        <v>1679.8220909497984</v>
      </c>
      <c r="F1177" s="92">
        <f t="shared" si="206"/>
        <v>1727.4003839107529</v>
      </c>
      <c r="G1177" s="92">
        <f t="shared" si="206"/>
        <v>1788.5724748605517</v>
      </c>
      <c r="H1177" s="92">
        <f t="shared" si="206"/>
        <v>1863.3383637991942</v>
      </c>
      <c r="I1177" s="92">
        <f t="shared" si="206"/>
        <v>1951.6980507266812</v>
      </c>
      <c r="J1177" s="92">
        <f t="shared" si="206"/>
        <v>2053.6515356430123</v>
      </c>
      <c r="K1177" s="92">
        <f t="shared" si="206"/>
        <v>2169.1988185481873</v>
      </c>
      <c r="L1177" s="35"/>
      <c r="M1177" s="35"/>
      <c r="N1177" s="35"/>
    </row>
    <row r="1178" spans="1:14" x14ac:dyDescent="0.3">
      <c r="A1178" s="397"/>
      <c r="B1178" s="94">
        <v>50</v>
      </c>
      <c r="C1178" s="92">
        <f t="shared" si="206"/>
        <v>1624.7672090949798</v>
      </c>
      <c r="D1178" s="92">
        <f t="shared" si="206"/>
        <v>1643.1188363799192</v>
      </c>
      <c r="E1178" s="92">
        <f t="shared" si="206"/>
        <v>1673.7048818548187</v>
      </c>
      <c r="F1178" s="92">
        <f t="shared" si="206"/>
        <v>1716.5253455196776</v>
      </c>
      <c r="G1178" s="92">
        <f t="shared" si="206"/>
        <v>1771.5802273744964</v>
      </c>
      <c r="H1178" s="92">
        <f t="shared" si="206"/>
        <v>1838.8695274192748</v>
      </c>
      <c r="I1178" s="92">
        <f t="shared" si="206"/>
        <v>1918.3932456540131</v>
      </c>
      <c r="J1178" s="92">
        <f t="shared" si="206"/>
        <v>2010.1513820787109</v>
      </c>
      <c r="K1178" s="92">
        <f t="shared" si="206"/>
        <v>2114.1439366933687</v>
      </c>
      <c r="L1178" s="35"/>
      <c r="M1178" s="35"/>
      <c r="N1178" s="35"/>
    </row>
    <row r="1179" spans="1:14" x14ac:dyDescent="0.3">
      <c r="A1179" s="397"/>
      <c r="B1179" s="94">
        <v>55</v>
      </c>
      <c r="C1179" s="92">
        <f t="shared" si="206"/>
        <v>1624.2110991772543</v>
      </c>
      <c r="D1179" s="92">
        <f t="shared" si="206"/>
        <v>1640.8943967090174</v>
      </c>
      <c r="E1179" s="92">
        <f t="shared" si="206"/>
        <v>1668.6998925952896</v>
      </c>
      <c r="F1179" s="92">
        <f t="shared" si="206"/>
        <v>1707.6275868360706</v>
      </c>
      <c r="G1179" s="92">
        <f t="shared" si="206"/>
        <v>1757.6774794313603</v>
      </c>
      <c r="H1179" s="92">
        <f t="shared" si="206"/>
        <v>1818.8495703811589</v>
      </c>
      <c r="I1179" s="92">
        <f t="shared" si="206"/>
        <v>1891.1438596854664</v>
      </c>
      <c r="J1179" s="92">
        <f t="shared" si="206"/>
        <v>1974.5603473442827</v>
      </c>
      <c r="K1179" s="92">
        <f t="shared" si="206"/>
        <v>2069.0990333576078</v>
      </c>
      <c r="L1179" s="35"/>
      <c r="M1179" s="35"/>
      <c r="N1179" s="35"/>
    </row>
    <row r="1180" spans="1:14" x14ac:dyDescent="0.3">
      <c r="A1180" s="397"/>
      <c r="B1180" s="94">
        <v>60</v>
      </c>
      <c r="C1180" s="92">
        <f t="shared" si="206"/>
        <v>1623.7476742458164</v>
      </c>
      <c r="D1180" s="92">
        <f t="shared" si="206"/>
        <v>1639.0406969832661</v>
      </c>
      <c r="E1180" s="92">
        <f t="shared" si="206"/>
        <v>1664.5290682123489</v>
      </c>
      <c r="F1180" s="92">
        <f t="shared" si="206"/>
        <v>1700.2127879330646</v>
      </c>
      <c r="G1180" s="92">
        <f t="shared" si="206"/>
        <v>1746.0918561454137</v>
      </c>
      <c r="H1180" s="92">
        <f t="shared" si="206"/>
        <v>1802.1662728493957</v>
      </c>
      <c r="I1180" s="92">
        <f t="shared" si="206"/>
        <v>1868.4360380450107</v>
      </c>
      <c r="J1180" s="92">
        <f t="shared" si="206"/>
        <v>1944.9011517322592</v>
      </c>
      <c r="K1180" s="92">
        <f t="shared" si="206"/>
        <v>2031.5616139111405</v>
      </c>
      <c r="L1180" s="35"/>
      <c r="M1180" s="35"/>
      <c r="N1180" s="35"/>
    </row>
    <row r="1181" spans="1:14" x14ac:dyDescent="0.3">
      <c r="A1181" s="397"/>
      <c r="B1181" s="94">
        <v>65</v>
      </c>
      <c r="C1181" s="92">
        <f t="shared" si="206"/>
        <v>1623.3555454576767</v>
      </c>
      <c r="D1181" s="92">
        <f t="shared" si="206"/>
        <v>1637.4721818307071</v>
      </c>
      <c r="E1181" s="92">
        <f t="shared" si="206"/>
        <v>1660.9999091190912</v>
      </c>
      <c r="F1181" s="92">
        <f t="shared" si="206"/>
        <v>1693.938727322829</v>
      </c>
      <c r="G1181" s="92">
        <f t="shared" si="206"/>
        <v>1736.2886364419203</v>
      </c>
      <c r="H1181" s="92">
        <f t="shared" si="206"/>
        <v>1788.0496364763653</v>
      </c>
      <c r="I1181" s="92">
        <f t="shared" si="206"/>
        <v>1849.2217274261639</v>
      </c>
      <c r="J1181" s="92">
        <f t="shared" si="206"/>
        <v>1919.8049092913161</v>
      </c>
      <c r="K1181" s="92">
        <f t="shared" si="206"/>
        <v>1999.7991820718219</v>
      </c>
      <c r="L1181" s="35"/>
      <c r="M1181" s="35"/>
      <c r="N1181" s="35"/>
    </row>
    <row r="1182" spans="1:14" x14ac:dyDescent="0.3">
      <c r="A1182" s="397"/>
      <c r="B1182" s="94">
        <v>70</v>
      </c>
      <c r="C1182" s="92">
        <f t="shared" si="206"/>
        <v>1623.0194350678426</v>
      </c>
      <c r="D1182" s="92">
        <f t="shared" si="206"/>
        <v>1636.1277402713708</v>
      </c>
      <c r="E1182" s="92">
        <f t="shared" si="206"/>
        <v>1657.9749156105847</v>
      </c>
      <c r="F1182" s="92">
        <f t="shared" si="206"/>
        <v>1688.560961085484</v>
      </c>
      <c r="G1182" s="92">
        <f t="shared" si="206"/>
        <v>1727.8858766960689</v>
      </c>
      <c r="H1182" s="92">
        <f t="shared" si="206"/>
        <v>1775.9496624423391</v>
      </c>
      <c r="I1182" s="92">
        <f t="shared" si="206"/>
        <v>1832.7523183242949</v>
      </c>
      <c r="J1182" s="92">
        <f t="shared" si="206"/>
        <v>1898.2938443419364</v>
      </c>
      <c r="K1182" s="92">
        <f t="shared" si="206"/>
        <v>1972.5742404952632</v>
      </c>
      <c r="L1182" s="35"/>
      <c r="M1182" s="35"/>
      <c r="N1182" s="35"/>
    </row>
    <row r="1183" spans="1:14" x14ac:dyDescent="0.3">
      <c r="A1183" s="397"/>
      <c r="B1183" s="94">
        <v>75</v>
      </c>
      <c r="C1183" s="92">
        <f t="shared" si="206"/>
        <v>1622.7281393966532</v>
      </c>
      <c r="D1183" s="92">
        <f t="shared" si="206"/>
        <v>1634.9625575866128</v>
      </c>
      <c r="E1183" s="92">
        <f t="shared" si="206"/>
        <v>1655.353254569879</v>
      </c>
      <c r="F1183" s="92">
        <f t="shared" si="206"/>
        <v>1683.9002303464517</v>
      </c>
      <c r="G1183" s="92">
        <f t="shared" si="206"/>
        <v>1720.6034849163309</v>
      </c>
      <c r="H1183" s="92">
        <f t="shared" si="206"/>
        <v>1765.4630182795165</v>
      </c>
      <c r="I1183" s="92">
        <f t="shared" si="206"/>
        <v>1818.4788304360086</v>
      </c>
      <c r="J1183" s="92">
        <f t="shared" si="206"/>
        <v>1879.6509213858071</v>
      </c>
      <c r="K1183" s="92">
        <f t="shared" si="206"/>
        <v>1948.9792911289123</v>
      </c>
      <c r="L1183" s="35"/>
      <c r="M1183" s="35"/>
      <c r="N1183" s="35"/>
    </row>
    <row r="1184" spans="1:14" x14ac:dyDescent="0.3">
      <c r="A1184" s="397"/>
      <c r="B1184" s="94">
        <v>80</v>
      </c>
      <c r="C1184" s="92">
        <f t="shared" si="206"/>
        <v>1622.4732556843624</v>
      </c>
      <c r="D1184" s="92">
        <f t="shared" si="206"/>
        <v>1633.9430227374496</v>
      </c>
      <c r="E1184" s="92">
        <f t="shared" si="206"/>
        <v>1653.0593011592616</v>
      </c>
      <c r="F1184" s="92">
        <f t="shared" si="206"/>
        <v>1679.8220909497984</v>
      </c>
      <c r="G1184" s="92">
        <f t="shared" si="206"/>
        <v>1714.2313921090602</v>
      </c>
      <c r="H1184" s="92">
        <f t="shared" si="206"/>
        <v>1756.2872046370467</v>
      </c>
      <c r="I1184" s="92">
        <f t="shared" si="206"/>
        <v>1805.9895285337582</v>
      </c>
      <c r="J1184" s="92">
        <f t="shared" si="206"/>
        <v>1863.3383637991942</v>
      </c>
      <c r="K1184" s="92">
        <f t="shared" si="206"/>
        <v>1928.3337104333552</v>
      </c>
      <c r="L1184" s="35"/>
      <c r="M1184" s="35"/>
      <c r="N1184" s="35"/>
    </row>
    <row r="1185" spans="1:14" x14ac:dyDescent="0.3">
      <c r="A1185" s="397"/>
      <c r="B1185" s="94">
        <v>85</v>
      </c>
      <c r="C1185" s="92">
        <f t="shared" si="206"/>
        <v>1622.2483582911645</v>
      </c>
      <c r="D1185" s="92">
        <f t="shared" si="206"/>
        <v>1633.0434331646584</v>
      </c>
      <c r="E1185" s="92">
        <f t="shared" si="206"/>
        <v>1651.0352246204816</v>
      </c>
      <c r="F1185" s="92">
        <f t="shared" si="206"/>
        <v>1676.2237326586339</v>
      </c>
      <c r="G1185" s="92">
        <f t="shared" si="206"/>
        <v>1708.6089572791154</v>
      </c>
      <c r="H1185" s="92">
        <f t="shared" si="206"/>
        <v>1748.1908984819263</v>
      </c>
      <c r="I1185" s="92">
        <f t="shared" si="206"/>
        <v>1794.9695562670663</v>
      </c>
      <c r="J1185" s="92">
        <f t="shared" si="206"/>
        <v>1848.9449306345357</v>
      </c>
      <c r="K1185" s="92">
        <f t="shared" si="206"/>
        <v>1910.1170215843345</v>
      </c>
      <c r="L1185" s="35"/>
      <c r="M1185" s="35"/>
      <c r="N1185" s="35"/>
    </row>
    <row r="1186" spans="1:14" x14ac:dyDescent="0.3">
      <c r="A1186" s="397"/>
      <c r="B1186" s="94">
        <v>90</v>
      </c>
      <c r="C1186" s="92">
        <f t="shared" si="206"/>
        <v>1622.0484494972109</v>
      </c>
      <c r="D1186" s="92">
        <f t="shared" si="206"/>
        <v>1632.2437979888441</v>
      </c>
      <c r="E1186" s="92">
        <f t="shared" si="206"/>
        <v>1649.2360454748991</v>
      </c>
      <c r="F1186" s="92">
        <f t="shared" si="206"/>
        <v>1673.0251919553764</v>
      </c>
      <c r="G1186" s="92">
        <f t="shared" si="206"/>
        <v>1703.6112374302757</v>
      </c>
      <c r="H1186" s="92">
        <f t="shared" si="206"/>
        <v>1740.9941818995972</v>
      </c>
      <c r="I1186" s="92">
        <f t="shared" si="206"/>
        <v>1785.1740253633404</v>
      </c>
      <c r="J1186" s="92">
        <f t="shared" si="206"/>
        <v>1836.150767821506</v>
      </c>
      <c r="K1186" s="92">
        <f t="shared" si="206"/>
        <v>1893.9244092740935</v>
      </c>
      <c r="L1186" s="35"/>
      <c r="M1186" s="35"/>
      <c r="N1186" s="35"/>
    </row>
    <row r="1187" spans="1:14" x14ac:dyDescent="0.3">
      <c r="A1187" s="397"/>
      <c r="B1187" s="94">
        <v>95</v>
      </c>
      <c r="C1187" s="92">
        <f t="shared" si="206"/>
        <v>1621.8695837341998</v>
      </c>
      <c r="D1187" s="92">
        <f t="shared" si="206"/>
        <v>1631.5283349367996</v>
      </c>
      <c r="E1187" s="92">
        <f t="shared" si="206"/>
        <v>1647.6262536077993</v>
      </c>
      <c r="F1187" s="92">
        <f t="shared" si="206"/>
        <v>1670.1633397471987</v>
      </c>
      <c r="G1187" s="92">
        <f t="shared" si="206"/>
        <v>1699.1395933549979</v>
      </c>
      <c r="H1187" s="92">
        <f t="shared" si="206"/>
        <v>1734.5550144311972</v>
      </c>
      <c r="I1187" s="92">
        <f t="shared" si="206"/>
        <v>1776.4096029757961</v>
      </c>
      <c r="J1187" s="92">
        <f t="shared" si="206"/>
        <v>1824.7033589887951</v>
      </c>
      <c r="K1187" s="92">
        <f t="shared" si="206"/>
        <v>1879.4362824701939</v>
      </c>
      <c r="L1187" s="35"/>
      <c r="M1187" s="35"/>
      <c r="N1187" s="35"/>
    </row>
    <row r="1188" spans="1:14" x14ac:dyDescent="0.3">
      <c r="A1188" s="397"/>
      <c r="B1188" s="94">
        <v>100</v>
      </c>
      <c r="C1188" s="92">
        <f t="shared" si="206"/>
        <v>1621.7086045474898</v>
      </c>
      <c r="D1188" s="92">
        <f t="shared" si="206"/>
        <v>1630.8844181899597</v>
      </c>
      <c r="E1188" s="92">
        <f t="shared" si="206"/>
        <v>1646.1774409274092</v>
      </c>
      <c r="F1188" s="92">
        <f t="shared" si="206"/>
        <v>1667.5876727598388</v>
      </c>
      <c r="G1188" s="92">
        <f t="shared" si="206"/>
        <v>1695.1151136872481</v>
      </c>
      <c r="H1188" s="92">
        <f t="shared" si="206"/>
        <v>1728.7597637096374</v>
      </c>
      <c r="I1188" s="92">
        <f t="shared" si="206"/>
        <v>1768.5216228270065</v>
      </c>
      <c r="J1188" s="92">
        <f t="shared" si="206"/>
        <v>1814.4006910393555</v>
      </c>
      <c r="K1188" s="92">
        <f t="shared" si="206"/>
        <v>1866.3969683466842</v>
      </c>
      <c r="L1188" s="35"/>
      <c r="M1188" s="35"/>
      <c r="N1188" s="35"/>
    </row>
    <row r="1189" spans="1:14" x14ac:dyDescent="0.3">
      <c r="A1189" s="7"/>
      <c r="B1189" s="37"/>
      <c r="C1189" s="35"/>
      <c r="D1189" s="35"/>
      <c r="E1189" s="35"/>
      <c r="F1189" s="35"/>
      <c r="G1189" s="35"/>
      <c r="H1189" s="35"/>
      <c r="I1189" s="35"/>
      <c r="J1189" s="35"/>
      <c r="K1189" s="35"/>
      <c r="L1189" s="35"/>
      <c r="M1189" s="35"/>
      <c r="N1189" s="35"/>
    </row>
    <row r="1190" spans="1:14" x14ac:dyDescent="0.3">
      <c r="A1190" s="367" t="s">
        <v>759</v>
      </c>
      <c r="B1190" s="367"/>
      <c r="C1190" s="367"/>
      <c r="D1190" s="367"/>
      <c r="E1190" s="367"/>
      <c r="F1190" s="367"/>
      <c r="G1190" s="367"/>
      <c r="H1190" s="367"/>
      <c r="I1190" s="367"/>
      <c r="J1190" s="367"/>
      <c r="K1190" s="367"/>
      <c r="L1190" s="35"/>
      <c r="M1190" s="35"/>
      <c r="N1190" s="35"/>
    </row>
    <row r="1191" spans="1:14" x14ac:dyDescent="0.3">
      <c r="A1191" s="7"/>
      <c r="B1191" s="37"/>
      <c r="C1191" s="35"/>
      <c r="D1191" s="35"/>
      <c r="E1191" s="35"/>
      <c r="F1191" s="35"/>
      <c r="G1191" s="35"/>
      <c r="H1191" s="35"/>
      <c r="I1191" s="35"/>
      <c r="J1191" s="35"/>
      <c r="K1191" s="35"/>
      <c r="L1191" s="35"/>
      <c r="M1191" s="35"/>
      <c r="N1191" s="35"/>
    </row>
    <row r="1192" spans="1:14" x14ac:dyDescent="0.3">
      <c r="A1192" s="430" t="s">
        <v>280</v>
      </c>
      <c r="B1192" s="431"/>
      <c r="C1192" s="432"/>
      <c r="D1192" s="35"/>
      <c r="E1192" s="497" t="s">
        <v>281</v>
      </c>
      <c r="F1192" s="498"/>
      <c r="G1192" s="499"/>
      <c r="H1192" s="35"/>
      <c r="I1192" s="35"/>
      <c r="J1192" s="35"/>
      <c r="K1192" s="35"/>
      <c r="L1192" s="35"/>
      <c r="M1192" s="35"/>
      <c r="N1192" s="35"/>
    </row>
    <row r="1193" spans="1:14" x14ac:dyDescent="0.3">
      <c r="A1193" s="426">
        <f>'Dynamika od Tomka'!V166</f>
        <v>10861.072925965176</v>
      </c>
      <c r="B1193" s="426"/>
      <c r="C1193" s="356" t="s">
        <v>760</v>
      </c>
      <c r="D1193" s="35"/>
      <c r="E1193" s="426">
        <f>'Dynamika od Tomka'!V167</f>
        <v>10859.271957692081</v>
      </c>
      <c r="F1193" s="426"/>
      <c r="G1193" s="356" t="s">
        <v>760</v>
      </c>
      <c r="H1193" s="35"/>
      <c r="I1193" s="35"/>
      <c r="J1193" s="35"/>
      <c r="K1193" s="35"/>
      <c r="L1193" s="35"/>
      <c r="M1193" s="35"/>
      <c r="N1193" s="35"/>
    </row>
    <row r="1194" spans="1:14" x14ac:dyDescent="0.3">
      <c r="A1194" s="422">
        <f>A1193/1000</f>
        <v>10.861072925965177</v>
      </c>
      <c r="B1194" s="422"/>
      <c r="C1194" s="356" t="s">
        <v>761</v>
      </c>
      <c r="D1194" s="35"/>
      <c r="E1194" s="422">
        <f>E1193/1000</f>
        <v>10.85927195769208</v>
      </c>
      <c r="F1194" s="422"/>
      <c r="G1194" s="356" t="s">
        <v>761</v>
      </c>
      <c r="H1194" s="35"/>
      <c r="I1194" s="35"/>
      <c r="J1194" s="35"/>
      <c r="K1194" s="35"/>
      <c r="L1194" s="35"/>
      <c r="M1194" s="35"/>
      <c r="N1194" s="35"/>
    </row>
    <row r="1195" spans="1:14" x14ac:dyDescent="0.3">
      <c r="A1195" s="7"/>
      <c r="B1195" s="37"/>
      <c r="C1195" s="35"/>
      <c r="D1195" s="35"/>
      <c r="E1195" s="35"/>
      <c r="F1195" s="35"/>
      <c r="G1195" s="35"/>
      <c r="H1195" s="35"/>
      <c r="I1195" s="35"/>
      <c r="J1195" s="35"/>
      <c r="K1195" s="35"/>
      <c r="L1195" s="35"/>
      <c r="M1195" s="35"/>
      <c r="N1195" s="35"/>
    </row>
    <row r="1196" spans="1:14" x14ac:dyDescent="0.3">
      <c r="A1196" s="367" t="s">
        <v>762</v>
      </c>
      <c r="B1196" s="367"/>
      <c r="C1196" s="367"/>
      <c r="D1196" s="367"/>
      <c r="E1196" s="367"/>
      <c r="F1196" s="367"/>
      <c r="G1196" s="367"/>
      <c r="H1196" s="367"/>
      <c r="I1196" s="367"/>
      <c r="J1196" s="367"/>
      <c r="K1196" s="367"/>
      <c r="L1196" s="35"/>
      <c r="M1196" s="35"/>
      <c r="N1196" s="35"/>
    </row>
    <row r="1197" spans="1:14" x14ac:dyDescent="0.3">
      <c r="A1197" s="7"/>
      <c r="B1197" s="37"/>
      <c r="C1197" s="35"/>
      <c r="D1197" s="35"/>
      <c r="E1197" s="35"/>
      <c r="F1197" s="35"/>
      <c r="G1197" s="35"/>
      <c r="H1197" s="35"/>
      <c r="I1197" s="35"/>
      <c r="J1197" s="35"/>
      <c r="K1197" s="35"/>
      <c r="L1197" s="35"/>
      <c r="M1197" s="35"/>
      <c r="N1197" s="35"/>
    </row>
    <row r="1198" spans="1:14" x14ac:dyDescent="0.3">
      <c r="A1198" s="425" t="s">
        <v>763</v>
      </c>
      <c r="B1198" s="425"/>
      <c r="C1198" s="425"/>
      <c r="D1198" s="425"/>
      <c r="E1198" s="425"/>
      <c r="F1198" s="425"/>
      <c r="G1198" s="425"/>
      <c r="H1198" s="425"/>
      <c r="I1198" s="425"/>
      <c r="J1198" s="425"/>
      <c r="K1198" s="425"/>
      <c r="L1198" s="35"/>
      <c r="M1198" s="35"/>
      <c r="N1198" s="35"/>
    </row>
    <row r="1199" spans="1:14" x14ac:dyDescent="0.3">
      <c r="A1199" s="7"/>
      <c r="B1199" s="37"/>
      <c r="C1199" s="35"/>
      <c r="D1199" s="35"/>
      <c r="E1199" s="35"/>
      <c r="F1199" s="35"/>
      <c r="G1199" s="35"/>
      <c r="H1199" s="35"/>
      <c r="I1199" s="35"/>
      <c r="J1199" s="35"/>
      <c r="K1199" s="35"/>
      <c r="L1199" s="35"/>
      <c r="M1199" s="35"/>
      <c r="N1199" s="35"/>
    </row>
    <row r="1200" spans="1:14" x14ac:dyDescent="0.3">
      <c r="A1200" s="429"/>
      <c r="B1200" s="429"/>
      <c r="C1200" s="397" t="s">
        <v>230</v>
      </c>
      <c r="D1200" s="397"/>
      <c r="E1200" s="397"/>
      <c r="F1200" s="397"/>
      <c r="G1200" s="397"/>
      <c r="H1200" s="397"/>
      <c r="I1200" s="397"/>
      <c r="J1200" s="397"/>
      <c r="K1200" s="397"/>
      <c r="L1200" s="35"/>
      <c r="M1200" s="35"/>
      <c r="N1200" s="35"/>
    </row>
    <row r="1201" spans="1:14" x14ac:dyDescent="0.3">
      <c r="A1201" s="429"/>
      <c r="B1201" s="429"/>
      <c r="C1201" s="94">
        <v>5</v>
      </c>
      <c r="D1201" s="94">
        <v>10</v>
      </c>
      <c r="E1201" s="94">
        <v>15</v>
      </c>
      <c r="F1201" s="94">
        <v>20</v>
      </c>
      <c r="G1201" s="94">
        <v>25</v>
      </c>
      <c r="H1201" s="94">
        <v>30</v>
      </c>
      <c r="I1201" s="94">
        <v>35</v>
      </c>
      <c r="J1201" s="94">
        <v>40</v>
      </c>
      <c r="K1201" s="94">
        <v>45</v>
      </c>
      <c r="L1201" s="35"/>
      <c r="M1201" s="35"/>
      <c r="N1201" s="35"/>
    </row>
    <row r="1202" spans="1:14" x14ac:dyDescent="0.3">
      <c r="A1202" s="397" t="s">
        <v>231</v>
      </c>
      <c r="B1202" s="94">
        <v>5</v>
      </c>
      <c r="C1202" s="92">
        <f>((C1119-C1094)*$B$379)/($E$4*$A$1194)</f>
        <v>1.9786815955154389</v>
      </c>
      <c r="D1202" s="92">
        <f t="shared" ref="D1202:K1202" si="207">((D1119-D1094)*$B$379)/($E$4*$A$1194)</f>
        <v>7.9147263820617502</v>
      </c>
      <c r="E1202" s="92">
        <f t="shared" si="207"/>
        <v>17.808134359638942</v>
      </c>
      <c r="F1202" s="92">
        <f t="shared" si="207"/>
        <v>31.658905528247008</v>
      </c>
      <c r="G1202" s="92">
        <f t="shared" si="207"/>
        <v>49.467039887885946</v>
      </c>
      <c r="H1202" s="92">
        <f t="shared" si="207"/>
        <v>71.232537438555767</v>
      </c>
      <c r="I1202" s="92">
        <f t="shared" si="207"/>
        <v>96.955398180256466</v>
      </c>
      <c r="J1202" s="92">
        <f t="shared" si="207"/>
        <v>126.63562211298803</v>
      </c>
      <c r="K1202" s="92">
        <f t="shared" si="207"/>
        <v>160.27320923675046</v>
      </c>
      <c r="L1202" s="35"/>
      <c r="M1202" s="35"/>
      <c r="N1202" s="35"/>
    </row>
    <row r="1203" spans="1:14" x14ac:dyDescent="0.3">
      <c r="A1203" s="397"/>
      <c r="B1203" s="94">
        <v>10</v>
      </c>
      <c r="C1203" s="92">
        <f t="shared" ref="C1203:K1221" si="208">((C1120-C1095)*$B$379)/($E$4*$A$1194)</f>
        <v>0.98934079775771988</v>
      </c>
      <c r="D1203" s="92">
        <f t="shared" si="208"/>
        <v>3.9573631910308751</v>
      </c>
      <c r="E1203" s="92">
        <f t="shared" si="208"/>
        <v>8.9040671798194708</v>
      </c>
      <c r="F1203" s="92">
        <f t="shared" si="208"/>
        <v>15.829452764123504</v>
      </c>
      <c r="G1203" s="92">
        <f t="shared" si="208"/>
        <v>24.733519943942973</v>
      </c>
      <c r="H1203" s="92">
        <f t="shared" si="208"/>
        <v>35.616268719277883</v>
      </c>
      <c r="I1203" s="92">
        <f t="shared" si="208"/>
        <v>48.477699090128233</v>
      </c>
      <c r="J1203" s="92">
        <f t="shared" si="208"/>
        <v>63.317811056494016</v>
      </c>
      <c r="K1203" s="92">
        <f t="shared" si="208"/>
        <v>80.13660461837523</v>
      </c>
      <c r="L1203" s="35"/>
      <c r="M1203" s="35"/>
      <c r="N1203" s="35"/>
    </row>
    <row r="1204" spans="1:14" x14ac:dyDescent="0.3">
      <c r="A1204" s="397"/>
      <c r="B1204" s="94">
        <v>15</v>
      </c>
      <c r="C1204" s="92">
        <f t="shared" si="208"/>
        <v>0.65956053183847996</v>
      </c>
      <c r="D1204" s="92">
        <f t="shared" si="208"/>
        <v>2.6382421273539163</v>
      </c>
      <c r="E1204" s="92">
        <f t="shared" si="208"/>
        <v>5.9360447865463151</v>
      </c>
      <c r="F1204" s="92">
        <f t="shared" si="208"/>
        <v>10.552968509415665</v>
      </c>
      <c r="G1204" s="92">
        <f t="shared" si="208"/>
        <v>16.489013295961986</v>
      </c>
      <c r="H1204" s="92">
        <f t="shared" si="208"/>
        <v>23.744179146185257</v>
      </c>
      <c r="I1204" s="92">
        <f t="shared" si="208"/>
        <v>32.318466060085484</v>
      </c>
      <c r="J1204" s="92">
        <f t="shared" si="208"/>
        <v>42.211874037662675</v>
      </c>
      <c r="K1204" s="92">
        <f t="shared" si="208"/>
        <v>53.424403078916825</v>
      </c>
      <c r="L1204" s="35"/>
      <c r="M1204" s="35"/>
      <c r="N1204" s="35"/>
    </row>
    <row r="1205" spans="1:14" x14ac:dyDescent="0.3">
      <c r="A1205" s="397"/>
      <c r="B1205" s="94">
        <v>20</v>
      </c>
      <c r="C1205" s="92">
        <f t="shared" si="208"/>
        <v>0.49467039887885778</v>
      </c>
      <c r="D1205" s="92">
        <f t="shared" si="208"/>
        <v>1.9786815955154389</v>
      </c>
      <c r="E1205" s="92">
        <f t="shared" si="208"/>
        <v>4.4520335899097336</v>
      </c>
      <c r="F1205" s="92">
        <f t="shared" si="208"/>
        <v>7.9147263820617502</v>
      </c>
      <c r="G1205" s="92">
        <f t="shared" si="208"/>
        <v>12.366759971971485</v>
      </c>
      <c r="H1205" s="92">
        <f t="shared" si="208"/>
        <v>17.808134359638942</v>
      </c>
      <c r="I1205" s="92">
        <f t="shared" si="208"/>
        <v>24.238849545064117</v>
      </c>
      <c r="J1205" s="92">
        <f t="shared" si="208"/>
        <v>31.658905528247008</v>
      </c>
      <c r="K1205" s="92">
        <f t="shared" si="208"/>
        <v>40.068302309187615</v>
      </c>
      <c r="L1205" s="35"/>
      <c r="M1205" s="35"/>
      <c r="N1205" s="35"/>
    </row>
    <row r="1206" spans="1:14" x14ac:dyDescent="0.3">
      <c r="A1206" s="397"/>
      <c r="B1206" s="94">
        <v>25</v>
      </c>
      <c r="C1206" s="92">
        <f t="shared" si="208"/>
        <v>0.39573631910308615</v>
      </c>
      <c r="D1206" s="92">
        <f t="shared" si="208"/>
        <v>1.5829452764123493</v>
      </c>
      <c r="E1206" s="92">
        <f t="shared" si="208"/>
        <v>3.561626871927789</v>
      </c>
      <c r="F1206" s="92">
        <f t="shared" si="208"/>
        <v>6.3317811056494016</v>
      </c>
      <c r="G1206" s="92">
        <f t="shared" si="208"/>
        <v>9.8934079775771906</v>
      </c>
      <c r="H1206" s="92">
        <f t="shared" si="208"/>
        <v>14.246507487711153</v>
      </c>
      <c r="I1206" s="92">
        <f t="shared" si="208"/>
        <v>19.391079636051288</v>
      </c>
      <c r="J1206" s="92">
        <f t="shared" si="208"/>
        <v>25.327124422597606</v>
      </c>
      <c r="K1206" s="92">
        <f t="shared" si="208"/>
        <v>32.054641847350098</v>
      </c>
      <c r="L1206" s="35"/>
      <c r="M1206" s="35"/>
      <c r="N1206" s="35"/>
    </row>
    <row r="1207" spans="1:14" x14ac:dyDescent="0.3">
      <c r="A1207" s="397"/>
      <c r="B1207" s="94">
        <v>30</v>
      </c>
      <c r="C1207" s="92">
        <f t="shared" si="208"/>
        <v>0.32978026591923998</v>
      </c>
      <c r="D1207" s="92">
        <f t="shared" si="208"/>
        <v>1.3191210636769588</v>
      </c>
      <c r="E1207" s="92">
        <f t="shared" si="208"/>
        <v>2.9680223932731566</v>
      </c>
      <c r="F1207" s="92">
        <f t="shared" si="208"/>
        <v>5.2764842547078352</v>
      </c>
      <c r="G1207" s="92">
        <f t="shared" si="208"/>
        <v>8.244506647980991</v>
      </c>
      <c r="H1207" s="92">
        <f t="shared" si="208"/>
        <v>11.872089573092627</v>
      </c>
      <c r="I1207" s="92">
        <f t="shared" si="208"/>
        <v>16.159233030042742</v>
      </c>
      <c r="J1207" s="92">
        <f t="shared" si="208"/>
        <v>21.105937018831337</v>
      </c>
      <c r="K1207" s="92">
        <f t="shared" si="208"/>
        <v>26.712201539458412</v>
      </c>
      <c r="L1207" s="35"/>
      <c r="M1207" s="35"/>
      <c r="N1207" s="35"/>
    </row>
    <row r="1208" spans="1:14" x14ac:dyDescent="0.3">
      <c r="A1208" s="397"/>
      <c r="B1208" s="94">
        <v>35</v>
      </c>
      <c r="C1208" s="92">
        <f t="shared" si="208"/>
        <v>0.28266879935935041</v>
      </c>
      <c r="D1208" s="92">
        <f t="shared" si="208"/>
        <v>1.130675197437393</v>
      </c>
      <c r="E1208" s="92">
        <f t="shared" si="208"/>
        <v>2.5440191942341355</v>
      </c>
      <c r="F1208" s="92">
        <f t="shared" si="208"/>
        <v>4.5227007897495719</v>
      </c>
      <c r="G1208" s="92">
        <f t="shared" si="208"/>
        <v>7.0667199839837078</v>
      </c>
      <c r="H1208" s="92">
        <f t="shared" si="208"/>
        <v>10.176076776936542</v>
      </c>
      <c r="I1208" s="92">
        <f t="shared" si="208"/>
        <v>13.850771168608066</v>
      </c>
      <c r="J1208" s="92">
        <f t="shared" si="208"/>
        <v>18.090803158998288</v>
      </c>
      <c r="K1208" s="92">
        <f t="shared" si="208"/>
        <v>22.896172748107212</v>
      </c>
      <c r="L1208" s="35"/>
      <c r="M1208" s="35"/>
      <c r="N1208" s="35"/>
    </row>
    <row r="1209" spans="1:14" x14ac:dyDescent="0.3">
      <c r="A1209" s="397"/>
      <c r="B1209" s="94">
        <v>40</v>
      </c>
      <c r="C1209" s="92">
        <f t="shared" si="208"/>
        <v>0.24733519943942889</v>
      </c>
      <c r="D1209" s="92">
        <f t="shared" si="208"/>
        <v>0.98934079775771988</v>
      </c>
      <c r="E1209" s="92">
        <f t="shared" si="208"/>
        <v>2.2260167949548686</v>
      </c>
      <c r="F1209" s="92">
        <f t="shared" si="208"/>
        <v>3.9573631910308751</v>
      </c>
      <c r="G1209" s="92">
        <f t="shared" si="208"/>
        <v>6.1833799859857441</v>
      </c>
      <c r="H1209" s="92">
        <f t="shared" si="208"/>
        <v>8.9040671798194708</v>
      </c>
      <c r="I1209" s="92">
        <f t="shared" si="208"/>
        <v>12.119424772532055</v>
      </c>
      <c r="J1209" s="92">
        <f t="shared" si="208"/>
        <v>15.829452764123504</v>
      </c>
      <c r="K1209" s="92">
        <f t="shared" si="208"/>
        <v>20.034151154593808</v>
      </c>
      <c r="L1209" s="35"/>
      <c r="M1209" s="35"/>
      <c r="N1209" s="35"/>
    </row>
    <row r="1210" spans="1:14" x14ac:dyDescent="0.3">
      <c r="A1210" s="397"/>
      <c r="B1210" s="94">
        <v>45</v>
      </c>
      <c r="C1210" s="92">
        <f t="shared" si="208"/>
        <v>0.21985351061282812</v>
      </c>
      <c r="D1210" s="92">
        <f t="shared" si="208"/>
        <v>0.87941404245130361</v>
      </c>
      <c r="E1210" s="92">
        <f t="shared" si="208"/>
        <v>1.9786815955154389</v>
      </c>
      <c r="F1210" s="92">
        <f t="shared" si="208"/>
        <v>3.5176561698052233</v>
      </c>
      <c r="G1210" s="92">
        <f t="shared" si="208"/>
        <v>5.4963377653206598</v>
      </c>
      <c r="H1210" s="92">
        <f t="shared" si="208"/>
        <v>7.9147263820617502</v>
      </c>
      <c r="I1210" s="92">
        <f t="shared" si="208"/>
        <v>10.772822020028494</v>
      </c>
      <c r="J1210" s="92">
        <f t="shared" si="208"/>
        <v>14.07062467922089</v>
      </c>
      <c r="K1210" s="92">
        <f t="shared" si="208"/>
        <v>17.808134359638942</v>
      </c>
      <c r="L1210" s="35"/>
      <c r="M1210" s="35"/>
      <c r="N1210" s="35"/>
    </row>
    <row r="1211" spans="1:14" x14ac:dyDescent="0.3">
      <c r="A1211" s="397"/>
      <c r="B1211" s="94">
        <v>50</v>
      </c>
      <c r="C1211" s="92">
        <f t="shared" si="208"/>
        <v>0.19786815955154308</v>
      </c>
      <c r="D1211" s="92">
        <f t="shared" si="208"/>
        <v>0.79147263820617686</v>
      </c>
      <c r="E1211" s="92">
        <f t="shared" si="208"/>
        <v>1.7808134359638936</v>
      </c>
      <c r="F1211" s="92">
        <f t="shared" si="208"/>
        <v>3.1658905528247017</v>
      </c>
      <c r="G1211" s="92">
        <f t="shared" si="208"/>
        <v>4.9467039887885953</v>
      </c>
      <c r="H1211" s="92">
        <f t="shared" si="208"/>
        <v>7.1232537438555754</v>
      </c>
      <c r="I1211" s="92">
        <f t="shared" si="208"/>
        <v>9.6955398180256438</v>
      </c>
      <c r="J1211" s="92">
        <f t="shared" si="208"/>
        <v>12.663562211298803</v>
      </c>
      <c r="K1211" s="92">
        <f t="shared" si="208"/>
        <v>16.027320923675049</v>
      </c>
      <c r="L1211" s="35"/>
      <c r="M1211" s="35"/>
      <c r="N1211" s="35"/>
    </row>
    <row r="1212" spans="1:14" x14ac:dyDescent="0.3">
      <c r="A1212" s="397"/>
      <c r="B1212" s="94">
        <v>55</v>
      </c>
      <c r="C1212" s="92">
        <f t="shared" si="208"/>
        <v>0.17988014504685615</v>
      </c>
      <c r="D1212" s="92">
        <f t="shared" si="208"/>
        <v>0.71952058018743348</v>
      </c>
      <c r="E1212" s="92">
        <f t="shared" si="208"/>
        <v>1.618921305421722</v>
      </c>
      <c r="F1212" s="92">
        <f t="shared" si="208"/>
        <v>2.8780823207497281</v>
      </c>
      <c r="G1212" s="92">
        <f t="shared" si="208"/>
        <v>4.4970036261714483</v>
      </c>
      <c r="H1212" s="92">
        <f t="shared" si="208"/>
        <v>6.4756852216868879</v>
      </c>
      <c r="I1212" s="92">
        <f t="shared" si="208"/>
        <v>8.8141271072960414</v>
      </c>
      <c r="J1212" s="92">
        <f t="shared" si="208"/>
        <v>11.512329282998913</v>
      </c>
      <c r="K1212" s="92">
        <f t="shared" si="208"/>
        <v>14.570291748795499</v>
      </c>
      <c r="L1212" s="35"/>
      <c r="M1212" s="35"/>
      <c r="N1212" s="35"/>
    </row>
    <row r="1213" spans="1:14" x14ac:dyDescent="0.3">
      <c r="A1213" s="397"/>
      <c r="B1213" s="94">
        <v>60</v>
      </c>
      <c r="C1213" s="92">
        <f t="shared" si="208"/>
        <v>0.16489013295961777</v>
      </c>
      <c r="D1213" s="92">
        <f t="shared" si="208"/>
        <v>0.65956053183847996</v>
      </c>
      <c r="E1213" s="92">
        <f t="shared" si="208"/>
        <v>1.4840111966365777</v>
      </c>
      <c r="F1213" s="92">
        <f t="shared" si="208"/>
        <v>2.6382421273539163</v>
      </c>
      <c r="G1213" s="92">
        <f t="shared" si="208"/>
        <v>4.1222533239904964</v>
      </c>
      <c r="H1213" s="92">
        <f t="shared" si="208"/>
        <v>5.9360447865463151</v>
      </c>
      <c r="I1213" s="92">
        <f t="shared" si="208"/>
        <v>8.0796165150213728</v>
      </c>
      <c r="J1213" s="92">
        <f t="shared" si="208"/>
        <v>10.552968509415665</v>
      </c>
      <c r="K1213" s="92">
        <f t="shared" si="208"/>
        <v>13.356100769729208</v>
      </c>
      <c r="L1213" s="35"/>
      <c r="M1213" s="35"/>
      <c r="N1213" s="35"/>
    </row>
    <row r="1214" spans="1:14" x14ac:dyDescent="0.3">
      <c r="A1214" s="397"/>
      <c r="B1214" s="94">
        <v>65</v>
      </c>
      <c r="C1214" s="92">
        <f t="shared" si="208"/>
        <v>0.15220627657811178</v>
      </c>
      <c r="D1214" s="92">
        <f t="shared" si="208"/>
        <v>0.60882510631244269</v>
      </c>
      <c r="E1214" s="92">
        <f t="shared" si="208"/>
        <v>1.3698564892029961</v>
      </c>
      <c r="F1214" s="92">
        <f t="shared" si="208"/>
        <v>2.4353004252497708</v>
      </c>
      <c r="G1214" s="92">
        <f t="shared" si="208"/>
        <v>3.8051569144527635</v>
      </c>
      <c r="H1214" s="92">
        <f t="shared" si="208"/>
        <v>5.4794259568119843</v>
      </c>
      <c r="I1214" s="92">
        <f t="shared" si="208"/>
        <v>7.4581075523274194</v>
      </c>
      <c r="J1214" s="92">
        <f t="shared" si="208"/>
        <v>9.7412017009990777</v>
      </c>
      <c r="K1214" s="92">
        <f t="shared" si="208"/>
        <v>12.328708402826956</v>
      </c>
      <c r="L1214" s="35"/>
      <c r="M1214" s="35"/>
      <c r="N1214" s="35"/>
    </row>
    <row r="1215" spans="1:14" x14ac:dyDescent="0.3">
      <c r="A1215" s="397"/>
      <c r="B1215" s="94">
        <v>70</v>
      </c>
      <c r="C1215" s="92">
        <f t="shared" si="208"/>
        <v>0.14133439967967301</v>
      </c>
      <c r="D1215" s="92">
        <f t="shared" si="208"/>
        <v>0.56533759871869649</v>
      </c>
      <c r="E1215" s="92">
        <f t="shared" si="208"/>
        <v>1.2720095971170671</v>
      </c>
      <c r="F1215" s="92">
        <f t="shared" si="208"/>
        <v>2.261350394874786</v>
      </c>
      <c r="G1215" s="92">
        <f t="shared" si="208"/>
        <v>3.533359991991853</v>
      </c>
      <c r="H1215" s="92">
        <f t="shared" si="208"/>
        <v>5.0880383884682683</v>
      </c>
      <c r="I1215" s="92">
        <f t="shared" si="208"/>
        <v>6.9253855843040304</v>
      </c>
      <c r="J1215" s="92">
        <f t="shared" si="208"/>
        <v>9.0454015794991438</v>
      </c>
      <c r="K1215" s="92">
        <f t="shared" si="208"/>
        <v>11.448086374053602</v>
      </c>
      <c r="L1215" s="35"/>
      <c r="M1215" s="35"/>
      <c r="N1215" s="35"/>
    </row>
    <row r="1216" spans="1:14" x14ac:dyDescent="0.3">
      <c r="A1216" s="397"/>
      <c r="B1216" s="94">
        <v>75</v>
      </c>
      <c r="C1216" s="92">
        <f t="shared" si="208"/>
        <v>0.13191210636769687</v>
      </c>
      <c r="D1216" s="92">
        <f t="shared" si="208"/>
        <v>0.52764842547078306</v>
      </c>
      <c r="E1216" s="92">
        <f t="shared" si="208"/>
        <v>1.187208957309263</v>
      </c>
      <c r="F1216" s="92">
        <f t="shared" si="208"/>
        <v>2.1105937018831336</v>
      </c>
      <c r="G1216" s="92">
        <f t="shared" si="208"/>
        <v>3.2978026591923966</v>
      </c>
      <c r="H1216" s="92">
        <f t="shared" si="208"/>
        <v>4.7488358292370521</v>
      </c>
      <c r="I1216" s="92">
        <f t="shared" si="208"/>
        <v>6.4636932120170947</v>
      </c>
      <c r="J1216" s="92">
        <f t="shared" si="208"/>
        <v>8.4423748075325342</v>
      </c>
      <c r="K1216" s="92">
        <f t="shared" si="208"/>
        <v>10.684880615783367</v>
      </c>
      <c r="L1216" s="35"/>
      <c r="M1216" s="35"/>
      <c r="N1216" s="35"/>
    </row>
    <row r="1217" spans="1:14" x14ac:dyDescent="0.3">
      <c r="A1217" s="397"/>
      <c r="B1217" s="94">
        <v>80</v>
      </c>
      <c r="C1217" s="92">
        <f t="shared" si="208"/>
        <v>0.12366759971971444</v>
      </c>
      <c r="D1217" s="92">
        <f t="shared" si="208"/>
        <v>0.49467039887885778</v>
      </c>
      <c r="E1217" s="92">
        <f t="shared" si="208"/>
        <v>1.1130083974774343</v>
      </c>
      <c r="F1217" s="92">
        <f t="shared" si="208"/>
        <v>1.9786815955154389</v>
      </c>
      <c r="G1217" s="92">
        <f t="shared" si="208"/>
        <v>3.0916899929928712</v>
      </c>
      <c r="H1217" s="92">
        <f t="shared" si="208"/>
        <v>4.4520335899097336</v>
      </c>
      <c r="I1217" s="92">
        <f t="shared" si="208"/>
        <v>6.05971238626603</v>
      </c>
      <c r="J1217" s="92">
        <f t="shared" si="208"/>
        <v>7.9147263820617502</v>
      </c>
      <c r="K1217" s="92">
        <f t="shared" si="208"/>
        <v>10.017075577296906</v>
      </c>
      <c r="L1217" s="35"/>
      <c r="M1217" s="35"/>
      <c r="N1217" s="35"/>
    </row>
    <row r="1218" spans="1:14" x14ac:dyDescent="0.3">
      <c r="A1218" s="397"/>
      <c r="B1218" s="94">
        <v>85</v>
      </c>
      <c r="C1218" s="92">
        <f t="shared" si="208"/>
        <v>0.11639303503031895</v>
      </c>
      <c r="D1218" s="92">
        <f t="shared" si="208"/>
        <v>0.46557214012128023</v>
      </c>
      <c r="E1218" s="92">
        <f t="shared" si="208"/>
        <v>1.0475373152728795</v>
      </c>
      <c r="F1218" s="92">
        <f t="shared" si="208"/>
        <v>1.8622885604851176</v>
      </c>
      <c r="G1218" s="92">
        <f t="shared" si="208"/>
        <v>2.909825875757996</v>
      </c>
      <c r="H1218" s="92">
        <f t="shared" si="208"/>
        <v>4.1901492610915163</v>
      </c>
      <c r="I1218" s="92">
        <f t="shared" si="208"/>
        <v>5.7032587164856725</v>
      </c>
      <c r="J1218" s="92">
        <f t="shared" si="208"/>
        <v>7.4491542419404713</v>
      </c>
      <c r="K1218" s="92">
        <f t="shared" si="208"/>
        <v>9.427835837455909</v>
      </c>
      <c r="L1218" s="35"/>
      <c r="M1218" s="35"/>
      <c r="N1218" s="35"/>
    </row>
    <row r="1219" spans="1:14" x14ac:dyDescent="0.3">
      <c r="A1219" s="397"/>
      <c r="B1219" s="94">
        <v>90</v>
      </c>
      <c r="C1219" s="92">
        <f t="shared" si="208"/>
        <v>0.10992675530641184</v>
      </c>
      <c r="D1219" s="92">
        <f t="shared" si="208"/>
        <v>0.43970702122565181</v>
      </c>
      <c r="E1219" s="92">
        <f t="shared" si="208"/>
        <v>0.98934079775771988</v>
      </c>
      <c r="F1219" s="92">
        <f t="shared" si="208"/>
        <v>1.7588280849026117</v>
      </c>
      <c r="G1219" s="92">
        <f t="shared" si="208"/>
        <v>2.7481688826603317</v>
      </c>
      <c r="H1219" s="92">
        <f t="shared" si="208"/>
        <v>3.9573631910308751</v>
      </c>
      <c r="I1219" s="92">
        <f t="shared" si="208"/>
        <v>5.386411010014247</v>
      </c>
      <c r="J1219" s="92">
        <f t="shared" si="208"/>
        <v>7.0353123396104467</v>
      </c>
      <c r="K1219" s="92">
        <f t="shared" si="208"/>
        <v>8.9040671798194708</v>
      </c>
      <c r="L1219" s="35"/>
      <c r="M1219" s="35"/>
      <c r="N1219" s="35"/>
    </row>
    <row r="1220" spans="1:14" x14ac:dyDescent="0.3">
      <c r="A1220" s="397"/>
      <c r="B1220" s="94">
        <v>95</v>
      </c>
      <c r="C1220" s="92">
        <f t="shared" si="208"/>
        <v>0.10414113660607602</v>
      </c>
      <c r="D1220" s="92">
        <f t="shared" si="208"/>
        <v>0.41656454642430407</v>
      </c>
      <c r="E1220" s="92">
        <f t="shared" si="208"/>
        <v>0.93727022945467964</v>
      </c>
      <c r="F1220" s="92">
        <f t="shared" si="208"/>
        <v>1.6662581856972116</v>
      </c>
      <c r="G1220" s="92">
        <f t="shared" si="208"/>
        <v>2.6035284151518914</v>
      </c>
      <c r="H1220" s="92">
        <f t="shared" si="208"/>
        <v>3.749080917818723</v>
      </c>
      <c r="I1220" s="92">
        <f t="shared" si="208"/>
        <v>5.1029156936977067</v>
      </c>
      <c r="J1220" s="92">
        <f t="shared" si="208"/>
        <v>6.6650327427888429</v>
      </c>
      <c r="K1220" s="92">
        <f t="shared" si="208"/>
        <v>8.4354320650921313</v>
      </c>
      <c r="L1220" s="35"/>
      <c r="M1220" s="35"/>
      <c r="N1220" s="35"/>
    </row>
    <row r="1221" spans="1:14" x14ac:dyDescent="0.3">
      <c r="A1221" s="397"/>
      <c r="B1221" s="94">
        <v>100</v>
      </c>
      <c r="C1221" s="92">
        <f t="shared" si="208"/>
        <v>9.8934079775771538E-2</v>
      </c>
      <c r="D1221" s="92">
        <f t="shared" si="208"/>
        <v>0.39573631910308615</v>
      </c>
      <c r="E1221" s="92">
        <f t="shared" si="208"/>
        <v>0.89040671798194837</v>
      </c>
      <c r="F1221" s="92">
        <f t="shared" si="208"/>
        <v>1.5829452764123493</v>
      </c>
      <c r="G1221" s="92">
        <f t="shared" si="208"/>
        <v>2.4733519943942976</v>
      </c>
      <c r="H1221" s="92">
        <f t="shared" si="208"/>
        <v>3.561626871927789</v>
      </c>
      <c r="I1221" s="92">
        <f t="shared" si="208"/>
        <v>4.8477699090128237</v>
      </c>
      <c r="J1221" s="92">
        <f t="shared" si="208"/>
        <v>6.3317811056494016</v>
      </c>
      <c r="K1221" s="92">
        <f t="shared" si="208"/>
        <v>8.0136604618375262</v>
      </c>
      <c r="L1221" s="35"/>
      <c r="M1221" s="35"/>
      <c r="N1221" s="35"/>
    </row>
    <row r="1222" spans="1:14" x14ac:dyDescent="0.3">
      <c r="A1222" s="7"/>
      <c r="B1222" s="37"/>
      <c r="C1222" s="35"/>
      <c r="D1222" s="35"/>
      <c r="E1222" s="35"/>
      <c r="F1222" s="35"/>
      <c r="G1222" s="35"/>
      <c r="H1222" s="35"/>
      <c r="I1222" s="35"/>
      <c r="J1222" s="35"/>
      <c r="K1222" s="35"/>
      <c r="L1222" s="35"/>
      <c r="M1222" s="35"/>
      <c r="N1222" s="35"/>
    </row>
    <row r="1223" spans="1:14" x14ac:dyDescent="0.3">
      <c r="A1223" s="425" t="s">
        <v>764</v>
      </c>
      <c r="B1223" s="425"/>
      <c r="C1223" s="425"/>
      <c r="D1223" s="425"/>
      <c r="E1223" s="425"/>
      <c r="F1223" s="425"/>
      <c r="G1223" s="425"/>
      <c r="H1223" s="425"/>
      <c r="I1223" s="425"/>
      <c r="J1223" s="425"/>
      <c r="K1223" s="425"/>
      <c r="L1223" s="35"/>
      <c r="M1223" s="35"/>
      <c r="N1223" s="35"/>
    </row>
    <row r="1224" spans="1:14" x14ac:dyDescent="0.3">
      <c r="A1224" s="7"/>
      <c r="B1224" s="37"/>
      <c r="C1224" s="35"/>
      <c r="D1224" s="35"/>
      <c r="E1224" s="35"/>
      <c r="F1224" s="35"/>
      <c r="G1224" s="35"/>
      <c r="H1224" s="35"/>
      <c r="I1224" s="35"/>
      <c r="J1224" s="35"/>
      <c r="K1224" s="35"/>
      <c r="L1224" s="35"/>
      <c r="M1224" s="35"/>
      <c r="N1224" s="35"/>
    </row>
    <row r="1225" spans="1:14" x14ac:dyDescent="0.3">
      <c r="A1225" s="429"/>
      <c r="B1225" s="429"/>
      <c r="C1225" s="397" t="s">
        <v>230</v>
      </c>
      <c r="D1225" s="397"/>
      <c r="E1225" s="397"/>
      <c r="F1225" s="397"/>
      <c r="G1225" s="397"/>
      <c r="H1225" s="397"/>
      <c r="I1225" s="397"/>
      <c r="J1225" s="397"/>
      <c r="K1225" s="397"/>
      <c r="L1225" s="35"/>
      <c r="M1225" s="35"/>
      <c r="N1225" s="35"/>
    </row>
    <row r="1226" spans="1:14" x14ac:dyDescent="0.3">
      <c r="A1226" s="429"/>
      <c r="B1226" s="429"/>
      <c r="C1226" s="94">
        <v>5</v>
      </c>
      <c r="D1226" s="94">
        <v>10</v>
      </c>
      <c r="E1226" s="94">
        <v>15</v>
      </c>
      <c r="F1226" s="94">
        <v>20</v>
      </c>
      <c r="G1226" s="94">
        <v>25</v>
      </c>
      <c r="H1226" s="94">
        <v>30</v>
      </c>
      <c r="I1226" s="94">
        <v>35</v>
      </c>
      <c r="J1226" s="94">
        <v>40</v>
      </c>
      <c r="K1226" s="94">
        <v>45</v>
      </c>
      <c r="L1226" s="35"/>
      <c r="M1226" s="35"/>
      <c r="N1226" s="35"/>
    </row>
    <row r="1227" spans="1:14" x14ac:dyDescent="0.3">
      <c r="A1227" s="397" t="s">
        <v>231</v>
      </c>
      <c r="B1227" s="94">
        <v>5</v>
      </c>
      <c r="C1227" s="92">
        <f>((C1169-C1144)*$B$424)/($E$4*$E$1194)</f>
        <v>0.62702528127777757</v>
      </c>
      <c r="D1227" s="92">
        <f t="shared" ref="D1227:K1227" si="209">((D1169-D1144)*$B$424)/($E$4*$E$1194)</f>
        <v>2.5081011251111125</v>
      </c>
      <c r="E1227" s="92">
        <f t="shared" si="209"/>
        <v>5.6432275315000044</v>
      </c>
      <c r="F1227" s="92">
        <f t="shared" si="209"/>
        <v>10.032404500444452</v>
      </c>
      <c r="G1227" s="92">
        <f t="shared" si="209"/>
        <v>15.675632031944458</v>
      </c>
      <c r="H1227" s="92">
        <f t="shared" si="209"/>
        <v>22.572910126000014</v>
      </c>
      <c r="I1227" s="92">
        <f t="shared" si="209"/>
        <v>30.724238782611135</v>
      </c>
      <c r="J1227" s="92">
        <f t="shared" si="209"/>
        <v>40.129618001777807</v>
      </c>
      <c r="K1227" s="92">
        <f t="shared" si="209"/>
        <v>50.789047783500045</v>
      </c>
      <c r="L1227" s="35"/>
      <c r="M1227" s="35"/>
      <c r="N1227" s="35"/>
    </row>
    <row r="1228" spans="1:14" x14ac:dyDescent="0.3">
      <c r="A1228" s="397"/>
      <c r="B1228" s="94">
        <v>10</v>
      </c>
      <c r="C1228" s="92">
        <f t="shared" ref="C1228:K1246" si="210">((C1170-C1145)*$B$424)/($E$4*$E$1194)</f>
        <v>0.31351264063888878</v>
      </c>
      <c r="D1228" s="92">
        <f t="shared" si="210"/>
        <v>1.2540505625555574</v>
      </c>
      <c r="E1228" s="92">
        <f t="shared" si="210"/>
        <v>2.8216137657500013</v>
      </c>
      <c r="F1228" s="92">
        <f t="shared" si="210"/>
        <v>5.0162022502222277</v>
      </c>
      <c r="G1228" s="92">
        <f t="shared" si="210"/>
        <v>7.837816015972229</v>
      </c>
      <c r="H1228" s="92">
        <f t="shared" si="210"/>
        <v>11.286455063000007</v>
      </c>
      <c r="I1228" s="92">
        <f t="shared" si="210"/>
        <v>15.362119391305567</v>
      </c>
      <c r="J1228" s="92">
        <f t="shared" si="210"/>
        <v>20.064809000888904</v>
      </c>
      <c r="K1228" s="92">
        <f t="shared" si="210"/>
        <v>25.394523891750023</v>
      </c>
      <c r="L1228" s="35"/>
      <c r="M1228" s="35"/>
      <c r="N1228" s="35"/>
    </row>
    <row r="1229" spans="1:14" x14ac:dyDescent="0.3">
      <c r="A1229" s="397"/>
      <c r="B1229" s="94">
        <v>15</v>
      </c>
      <c r="C1229" s="92">
        <f t="shared" si="210"/>
        <v>0.20900842709259329</v>
      </c>
      <c r="D1229" s="92">
        <f t="shared" si="210"/>
        <v>0.83603370837037083</v>
      </c>
      <c r="E1229" s="92">
        <f t="shared" si="210"/>
        <v>1.881075843833335</v>
      </c>
      <c r="F1229" s="92">
        <f t="shared" si="210"/>
        <v>3.3441348334814855</v>
      </c>
      <c r="G1229" s="92">
        <f t="shared" si="210"/>
        <v>5.2252106773148181</v>
      </c>
      <c r="H1229" s="92">
        <f t="shared" si="210"/>
        <v>7.5243033753333384</v>
      </c>
      <c r="I1229" s="92">
        <f t="shared" si="210"/>
        <v>10.241412927537047</v>
      </c>
      <c r="J1229" s="92">
        <f t="shared" si="210"/>
        <v>13.376539333925937</v>
      </c>
      <c r="K1229" s="92">
        <f t="shared" si="210"/>
        <v>16.929682594500015</v>
      </c>
      <c r="L1229" s="35"/>
      <c r="M1229" s="35"/>
      <c r="N1229" s="35"/>
    </row>
    <row r="1230" spans="1:14" x14ac:dyDescent="0.3">
      <c r="A1230" s="397"/>
      <c r="B1230" s="94">
        <v>20</v>
      </c>
      <c r="C1230" s="92">
        <f t="shared" si="210"/>
        <v>0.15675632031944556</v>
      </c>
      <c r="D1230" s="92">
        <f t="shared" si="210"/>
        <v>0.62702528127777757</v>
      </c>
      <c r="E1230" s="92">
        <f t="shared" si="210"/>
        <v>1.4108068828750007</v>
      </c>
      <c r="F1230" s="92">
        <f t="shared" si="210"/>
        <v>2.5081011251111125</v>
      </c>
      <c r="G1230" s="92">
        <f t="shared" si="210"/>
        <v>3.9189080079861158</v>
      </c>
      <c r="H1230" s="92">
        <f t="shared" si="210"/>
        <v>5.6432275315000044</v>
      </c>
      <c r="I1230" s="92">
        <f t="shared" si="210"/>
        <v>7.6810596956527855</v>
      </c>
      <c r="J1230" s="92">
        <f t="shared" si="210"/>
        <v>10.032404500444452</v>
      </c>
      <c r="K1230" s="92">
        <f t="shared" si="210"/>
        <v>12.697261945875011</v>
      </c>
      <c r="L1230" s="35"/>
      <c r="M1230" s="35"/>
      <c r="N1230" s="35"/>
    </row>
    <row r="1231" spans="1:14" x14ac:dyDescent="0.3">
      <c r="A1231" s="397"/>
      <c r="B1231" s="94">
        <v>25</v>
      </c>
      <c r="C1231" s="92">
        <f t="shared" si="210"/>
        <v>0.12540505625555645</v>
      </c>
      <c r="D1231" s="92">
        <f t="shared" si="210"/>
        <v>0.50162022502222348</v>
      </c>
      <c r="E1231" s="92">
        <f t="shared" si="210"/>
        <v>1.1286455063000012</v>
      </c>
      <c r="F1231" s="92">
        <f t="shared" si="210"/>
        <v>2.0064809000888912</v>
      </c>
      <c r="G1231" s="92">
        <f t="shared" si="210"/>
        <v>3.1351264063888928</v>
      </c>
      <c r="H1231" s="92">
        <f t="shared" si="210"/>
        <v>4.5145820252000028</v>
      </c>
      <c r="I1231" s="92">
        <f t="shared" si="210"/>
        <v>6.1448477565222266</v>
      </c>
      <c r="J1231" s="92">
        <f t="shared" si="210"/>
        <v>8.0259236003555632</v>
      </c>
      <c r="K1231" s="92">
        <f t="shared" si="210"/>
        <v>10.157809556700009</v>
      </c>
      <c r="L1231" s="35"/>
      <c r="M1231" s="35"/>
      <c r="N1231" s="35"/>
    </row>
    <row r="1232" spans="1:14" x14ac:dyDescent="0.3">
      <c r="A1232" s="397"/>
      <c r="B1232" s="94">
        <v>30</v>
      </c>
      <c r="C1232" s="92">
        <f t="shared" si="210"/>
        <v>0.10450421354629549</v>
      </c>
      <c r="D1232" s="92">
        <f t="shared" si="210"/>
        <v>0.41801685418518658</v>
      </c>
      <c r="E1232" s="92">
        <f t="shared" si="210"/>
        <v>0.9405379219166663</v>
      </c>
      <c r="F1232" s="92">
        <f t="shared" si="210"/>
        <v>1.6720674167407417</v>
      </c>
      <c r="G1232" s="92">
        <f t="shared" si="210"/>
        <v>2.6126053386574104</v>
      </c>
      <c r="H1232" s="92">
        <f t="shared" si="210"/>
        <v>3.7621516876666701</v>
      </c>
      <c r="I1232" s="92">
        <f t="shared" si="210"/>
        <v>5.1207064637685225</v>
      </c>
      <c r="J1232" s="92">
        <f t="shared" si="210"/>
        <v>6.6882696669629684</v>
      </c>
      <c r="K1232" s="92">
        <f t="shared" si="210"/>
        <v>8.4648412972500058</v>
      </c>
      <c r="L1232" s="35"/>
      <c r="M1232" s="35"/>
      <c r="N1232" s="35"/>
    </row>
    <row r="1233" spans="1:14" x14ac:dyDescent="0.3">
      <c r="A1233" s="397"/>
      <c r="B1233" s="94">
        <v>35</v>
      </c>
      <c r="C1233" s="92">
        <f t="shared" si="210"/>
        <v>8.9575040182540644E-2</v>
      </c>
      <c r="D1233" s="92">
        <f t="shared" si="210"/>
        <v>0.35830016073015797</v>
      </c>
      <c r="E1233" s="92">
        <f t="shared" si="210"/>
        <v>0.80617536164285886</v>
      </c>
      <c r="F1233" s="92">
        <f t="shared" si="210"/>
        <v>1.4332006429206363</v>
      </c>
      <c r="G1233" s="92">
        <f t="shared" si="210"/>
        <v>2.2393760045634932</v>
      </c>
      <c r="H1233" s="92">
        <f t="shared" si="210"/>
        <v>3.2247014465714305</v>
      </c>
      <c r="I1233" s="92">
        <f t="shared" si="210"/>
        <v>4.3891769689444482</v>
      </c>
      <c r="J1233" s="92">
        <f t="shared" si="210"/>
        <v>5.7328025716825435</v>
      </c>
      <c r="K1233" s="92">
        <f t="shared" si="210"/>
        <v>7.2555782547857186</v>
      </c>
      <c r="L1233" s="35"/>
      <c r="M1233" s="35"/>
      <c r="N1233" s="35"/>
    </row>
    <row r="1234" spans="1:14" x14ac:dyDescent="0.3">
      <c r="A1234" s="397"/>
      <c r="B1234" s="94">
        <v>40</v>
      </c>
      <c r="C1234" s="92">
        <f t="shared" si="210"/>
        <v>7.8378160159721613E-2</v>
      </c>
      <c r="D1234" s="92">
        <f t="shared" si="210"/>
        <v>0.31351264063888878</v>
      </c>
      <c r="E1234" s="92">
        <f t="shared" si="210"/>
        <v>0.70540344143750144</v>
      </c>
      <c r="F1234" s="92">
        <f t="shared" si="210"/>
        <v>1.2540505625555574</v>
      </c>
      <c r="G1234" s="92">
        <f t="shared" si="210"/>
        <v>1.9594540039930566</v>
      </c>
      <c r="H1234" s="92">
        <f t="shared" si="210"/>
        <v>2.8216137657500013</v>
      </c>
      <c r="I1234" s="92">
        <f t="shared" si="210"/>
        <v>3.8405298478263914</v>
      </c>
      <c r="J1234" s="92">
        <f t="shared" si="210"/>
        <v>5.0162022502222277</v>
      </c>
      <c r="K1234" s="92">
        <f t="shared" si="210"/>
        <v>6.3486309729375066</v>
      </c>
      <c r="L1234" s="35"/>
      <c r="M1234" s="35"/>
      <c r="N1234" s="35"/>
    </row>
    <row r="1235" spans="1:14" x14ac:dyDescent="0.3">
      <c r="A1235" s="397"/>
      <c r="B1235" s="94">
        <v>45</v>
      </c>
      <c r="C1235" s="92">
        <f t="shared" si="210"/>
        <v>6.966947569753032E-2</v>
      </c>
      <c r="D1235" s="92">
        <f t="shared" si="210"/>
        <v>0.27867790279012367</v>
      </c>
      <c r="E1235" s="92">
        <f t="shared" si="210"/>
        <v>0.62702528127777757</v>
      </c>
      <c r="F1235" s="92">
        <f t="shared" si="210"/>
        <v>1.1147116111604947</v>
      </c>
      <c r="G1235" s="92">
        <f t="shared" si="210"/>
        <v>1.7417368924382746</v>
      </c>
      <c r="H1235" s="92">
        <f t="shared" si="210"/>
        <v>2.5081011251111125</v>
      </c>
      <c r="I1235" s="92">
        <f t="shared" si="210"/>
        <v>3.413804309179016</v>
      </c>
      <c r="J1235" s="92">
        <f t="shared" si="210"/>
        <v>4.4588464446419804</v>
      </c>
      <c r="K1235" s="92">
        <f t="shared" si="210"/>
        <v>5.6432275315000044</v>
      </c>
      <c r="L1235" s="35"/>
      <c r="M1235" s="35"/>
      <c r="N1235" s="35"/>
    </row>
    <row r="1236" spans="1:14" x14ac:dyDescent="0.3">
      <c r="A1236" s="397"/>
      <c r="B1236" s="94">
        <v>50</v>
      </c>
      <c r="C1236" s="92">
        <f t="shared" si="210"/>
        <v>6.2702528127778226E-2</v>
      </c>
      <c r="D1236" s="92">
        <f t="shared" si="210"/>
        <v>0.25081011251111052</v>
      </c>
      <c r="E1236" s="92">
        <f t="shared" si="210"/>
        <v>0.56432275315000158</v>
      </c>
      <c r="F1236" s="92">
        <f t="shared" si="210"/>
        <v>1.0032404500444445</v>
      </c>
      <c r="G1236" s="92">
        <f t="shared" si="210"/>
        <v>1.5675632031944464</v>
      </c>
      <c r="H1236" s="92">
        <f t="shared" si="210"/>
        <v>2.2572910126000023</v>
      </c>
      <c r="I1236" s="92">
        <f t="shared" si="210"/>
        <v>3.0724238782611142</v>
      </c>
      <c r="J1236" s="92">
        <f t="shared" si="210"/>
        <v>4.0129618001777807</v>
      </c>
      <c r="K1236" s="92">
        <f t="shared" si="210"/>
        <v>5.0789047783500054</v>
      </c>
      <c r="L1236" s="35"/>
      <c r="M1236" s="35"/>
      <c r="N1236" s="35"/>
    </row>
    <row r="1237" spans="1:14" x14ac:dyDescent="0.3">
      <c r="A1237" s="397"/>
      <c r="B1237" s="94">
        <v>55</v>
      </c>
      <c r="C1237" s="92">
        <f t="shared" si="210"/>
        <v>5.7002298297979564E-2</v>
      </c>
      <c r="D1237" s="92">
        <f t="shared" si="210"/>
        <v>0.22800919319191826</v>
      </c>
      <c r="E1237" s="92">
        <f t="shared" si="210"/>
        <v>0.5130206846818185</v>
      </c>
      <c r="F1237" s="92">
        <f t="shared" si="210"/>
        <v>0.91203677276767781</v>
      </c>
      <c r="G1237" s="92">
        <f t="shared" si="210"/>
        <v>1.4250574574494961</v>
      </c>
      <c r="H1237" s="92">
        <f t="shared" si="210"/>
        <v>2.052082738727274</v>
      </c>
      <c r="I1237" s="92">
        <f t="shared" si="210"/>
        <v>2.7931126166010127</v>
      </c>
      <c r="J1237" s="92">
        <f t="shared" si="210"/>
        <v>3.6481470910707112</v>
      </c>
      <c r="K1237" s="92">
        <f t="shared" si="210"/>
        <v>4.6171861621363677</v>
      </c>
      <c r="L1237" s="35"/>
      <c r="M1237" s="35"/>
      <c r="N1237" s="35"/>
    </row>
    <row r="1238" spans="1:14" x14ac:dyDescent="0.3">
      <c r="A1238" s="397"/>
      <c r="B1238" s="94">
        <v>60</v>
      </c>
      <c r="C1238" s="92">
        <f t="shared" si="210"/>
        <v>5.2252106773147747E-2</v>
      </c>
      <c r="D1238" s="92">
        <f t="shared" si="210"/>
        <v>0.20900842709259329</v>
      </c>
      <c r="E1238" s="92">
        <f t="shared" si="210"/>
        <v>0.47026896095833437</v>
      </c>
      <c r="F1238" s="92">
        <f t="shared" si="210"/>
        <v>0.83603370837037083</v>
      </c>
      <c r="G1238" s="92">
        <f t="shared" si="210"/>
        <v>1.3063026693287052</v>
      </c>
      <c r="H1238" s="92">
        <f t="shared" si="210"/>
        <v>1.881075843833335</v>
      </c>
      <c r="I1238" s="92">
        <f t="shared" si="210"/>
        <v>2.5603532318842603</v>
      </c>
      <c r="J1238" s="92">
        <f t="shared" si="210"/>
        <v>3.3441348334814855</v>
      </c>
      <c r="K1238" s="92">
        <f t="shared" si="210"/>
        <v>4.2324206486250038</v>
      </c>
      <c r="L1238" s="35"/>
      <c r="M1238" s="35"/>
      <c r="N1238" s="35"/>
    </row>
    <row r="1239" spans="1:14" x14ac:dyDescent="0.3">
      <c r="A1239" s="397"/>
      <c r="B1239" s="94">
        <v>65</v>
      </c>
      <c r="C1239" s="92">
        <f t="shared" si="210"/>
        <v>4.8232713944444963E-2</v>
      </c>
      <c r="D1239" s="92">
        <f t="shared" si="210"/>
        <v>0.19293085577777752</v>
      </c>
      <c r="E1239" s="92">
        <f t="shared" si="210"/>
        <v>0.43409442550000005</v>
      </c>
      <c r="F1239" s="92">
        <f t="shared" si="210"/>
        <v>0.77172342311111253</v>
      </c>
      <c r="G1239" s="92">
        <f t="shared" si="210"/>
        <v>1.2058178486111124</v>
      </c>
      <c r="H1239" s="92">
        <f t="shared" si="210"/>
        <v>1.7363777020000024</v>
      </c>
      <c r="I1239" s="92">
        <f t="shared" si="210"/>
        <v>2.3634029832777799</v>
      </c>
      <c r="J1239" s="92">
        <f t="shared" si="210"/>
        <v>3.0868936924444474</v>
      </c>
      <c r="K1239" s="92">
        <f t="shared" si="210"/>
        <v>3.9068498295000027</v>
      </c>
      <c r="L1239" s="35"/>
      <c r="M1239" s="35"/>
      <c r="N1239" s="35"/>
    </row>
    <row r="1240" spans="1:14" x14ac:dyDescent="0.3">
      <c r="A1240" s="397"/>
      <c r="B1240" s="94">
        <v>70</v>
      </c>
      <c r="C1240" s="92">
        <f t="shared" si="210"/>
        <v>4.4787520091269156E-2</v>
      </c>
      <c r="D1240" s="92">
        <f t="shared" si="210"/>
        <v>0.17915008036507898</v>
      </c>
      <c r="E1240" s="92">
        <f t="shared" si="210"/>
        <v>0.40308768082142943</v>
      </c>
      <c r="F1240" s="92">
        <f t="shared" si="210"/>
        <v>0.71660032146031816</v>
      </c>
      <c r="G1240" s="92">
        <f t="shared" si="210"/>
        <v>1.1196880022817477</v>
      </c>
      <c r="H1240" s="92">
        <f t="shared" si="210"/>
        <v>1.6123507232857153</v>
      </c>
      <c r="I1240" s="92">
        <f t="shared" si="210"/>
        <v>2.1945884844722241</v>
      </c>
      <c r="J1240" s="92">
        <f t="shared" si="210"/>
        <v>2.8664012858412726</v>
      </c>
      <c r="K1240" s="92">
        <f t="shared" si="210"/>
        <v>3.6277891273928602</v>
      </c>
      <c r="L1240" s="35"/>
      <c r="M1240" s="35"/>
      <c r="N1240" s="35"/>
    </row>
    <row r="1241" spans="1:14" x14ac:dyDescent="0.3">
      <c r="A1241" s="397"/>
      <c r="B1241" s="94">
        <v>75</v>
      </c>
      <c r="C1241" s="92">
        <f t="shared" si="210"/>
        <v>4.1801685418519592E-2</v>
      </c>
      <c r="D1241" s="92">
        <f t="shared" si="210"/>
        <v>0.16720674167407371</v>
      </c>
      <c r="E1241" s="92">
        <f t="shared" si="210"/>
        <v>0.376215168766667</v>
      </c>
      <c r="F1241" s="92">
        <f t="shared" si="210"/>
        <v>0.66882696669629715</v>
      </c>
      <c r="G1241" s="92">
        <f t="shared" si="210"/>
        <v>1.045042135462964</v>
      </c>
      <c r="H1241" s="92">
        <f t="shared" si="210"/>
        <v>1.504860675066668</v>
      </c>
      <c r="I1241" s="92">
        <f t="shared" si="210"/>
        <v>2.0482825855074087</v>
      </c>
      <c r="J1241" s="92">
        <f t="shared" si="210"/>
        <v>2.675307866785186</v>
      </c>
      <c r="K1241" s="92">
        <f t="shared" si="210"/>
        <v>3.385936518900003</v>
      </c>
      <c r="L1241" s="35"/>
      <c r="M1241" s="35"/>
      <c r="N1241" s="35"/>
    </row>
    <row r="1242" spans="1:14" x14ac:dyDescent="0.3">
      <c r="A1242" s="397"/>
      <c r="B1242" s="94">
        <v>80</v>
      </c>
      <c r="C1242" s="92">
        <f t="shared" si="210"/>
        <v>3.9189080079861972E-2</v>
      </c>
      <c r="D1242" s="92">
        <f t="shared" si="210"/>
        <v>0.15675632031944556</v>
      </c>
      <c r="E1242" s="92">
        <f t="shared" si="210"/>
        <v>0.35270172071875072</v>
      </c>
      <c r="F1242" s="92">
        <f t="shared" si="210"/>
        <v>0.62702528127777757</v>
      </c>
      <c r="G1242" s="92">
        <f t="shared" si="210"/>
        <v>0.97972700199652829</v>
      </c>
      <c r="H1242" s="92">
        <f t="shared" si="210"/>
        <v>1.4108068828750007</v>
      </c>
      <c r="I1242" s="92">
        <f t="shared" si="210"/>
        <v>1.9202649239131968</v>
      </c>
      <c r="J1242" s="92">
        <f t="shared" si="210"/>
        <v>2.5081011251111125</v>
      </c>
      <c r="K1242" s="92">
        <f t="shared" si="210"/>
        <v>3.1743154864687524</v>
      </c>
      <c r="L1242" s="35"/>
      <c r="M1242" s="35"/>
      <c r="N1242" s="35"/>
    </row>
    <row r="1243" spans="1:14" x14ac:dyDescent="0.3">
      <c r="A1243" s="397"/>
      <c r="B1243" s="94">
        <v>85</v>
      </c>
      <c r="C1243" s="92">
        <f t="shared" si="210"/>
        <v>3.688384007516407E-2</v>
      </c>
      <c r="D1243" s="92">
        <f t="shared" si="210"/>
        <v>0.14753536030065395</v>
      </c>
      <c r="E1243" s="92">
        <f t="shared" si="210"/>
        <v>0.33195456067647194</v>
      </c>
      <c r="F1243" s="92">
        <f t="shared" si="210"/>
        <v>0.5901414412026158</v>
      </c>
      <c r="G1243" s="92">
        <f t="shared" si="210"/>
        <v>0.92209600187908547</v>
      </c>
      <c r="H1243" s="92">
        <f t="shared" si="210"/>
        <v>1.3278182427058833</v>
      </c>
      <c r="I1243" s="92">
        <f t="shared" si="210"/>
        <v>1.8073081636830068</v>
      </c>
      <c r="J1243" s="92">
        <f t="shared" si="210"/>
        <v>2.3605657648104588</v>
      </c>
      <c r="K1243" s="92">
        <f t="shared" si="210"/>
        <v>2.9875910460882387</v>
      </c>
      <c r="L1243" s="35"/>
      <c r="M1243" s="35"/>
      <c r="N1243" s="35"/>
    </row>
    <row r="1244" spans="1:14" x14ac:dyDescent="0.3">
      <c r="A1244" s="397"/>
      <c r="B1244" s="94">
        <v>90</v>
      </c>
      <c r="C1244" s="92">
        <f t="shared" si="210"/>
        <v>3.483473784876516E-2</v>
      </c>
      <c r="D1244" s="92">
        <f t="shared" si="210"/>
        <v>0.13933895139506297</v>
      </c>
      <c r="E1244" s="92">
        <f t="shared" si="210"/>
        <v>0.31351264063888878</v>
      </c>
      <c r="F1244" s="92">
        <f t="shared" si="210"/>
        <v>0.55735580558024733</v>
      </c>
      <c r="G1244" s="92">
        <f t="shared" si="210"/>
        <v>0.87086844621913606</v>
      </c>
      <c r="H1244" s="92">
        <f t="shared" si="210"/>
        <v>1.2540505625555574</v>
      </c>
      <c r="I1244" s="92">
        <f t="shared" si="210"/>
        <v>1.7069021545895069</v>
      </c>
      <c r="J1244" s="92">
        <f t="shared" si="210"/>
        <v>2.2294232223209893</v>
      </c>
      <c r="K1244" s="92">
        <f t="shared" si="210"/>
        <v>2.8216137657500013</v>
      </c>
      <c r="L1244" s="35"/>
      <c r="M1244" s="35"/>
      <c r="N1244" s="35"/>
    </row>
    <row r="1245" spans="1:14" x14ac:dyDescent="0.3">
      <c r="A1245" s="397"/>
      <c r="B1245" s="94">
        <v>95</v>
      </c>
      <c r="C1245" s="92">
        <f t="shared" si="210"/>
        <v>3.3001330593566872E-2</v>
      </c>
      <c r="D1245" s="92">
        <f t="shared" si="210"/>
        <v>0.13200532237426982</v>
      </c>
      <c r="E1245" s="92">
        <f t="shared" si="210"/>
        <v>0.29701197534210649</v>
      </c>
      <c r="F1245" s="92">
        <f t="shared" si="210"/>
        <v>0.52802128949707694</v>
      </c>
      <c r="G1245" s="92">
        <f t="shared" si="210"/>
        <v>0.82503326483918116</v>
      </c>
      <c r="H1245" s="92">
        <f t="shared" si="210"/>
        <v>1.1880479013684213</v>
      </c>
      <c r="I1245" s="92">
        <f t="shared" si="210"/>
        <v>1.6170651990847953</v>
      </c>
      <c r="J1245" s="92">
        <f t="shared" si="210"/>
        <v>2.1120851579883055</v>
      </c>
      <c r="K1245" s="92">
        <f t="shared" si="210"/>
        <v>2.6731077780789492</v>
      </c>
      <c r="L1245" s="35"/>
      <c r="M1245" s="35"/>
      <c r="N1245" s="35"/>
    </row>
    <row r="1246" spans="1:14" x14ac:dyDescent="0.3">
      <c r="A1246" s="397"/>
      <c r="B1246" s="94">
        <v>100</v>
      </c>
      <c r="C1246" s="92">
        <f t="shared" si="210"/>
        <v>3.1351264063889113E-2</v>
      </c>
      <c r="D1246" s="92">
        <f t="shared" si="210"/>
        <v>0.12540505625555645</v>
      </c>
      <c r="E1246" s="92">
        <f t="shared" si="210"/>
        <v>0.28216137657499968</v>
      </c>
      <c r="F1246" s="92">
        <f t="shared" si="210"/>
        <v>0.50162022502222348</v>
      </c>
      <c r="G1246" s="92">
        <f t="shared" si="210"/>
        <v>0.78378160159722321</v>
      </c>
      <c r="H1246" s="92">
        <f t="shared" si="210"/>
        <v>1.1286455063000012</v>
      </c>
      <c r="I1246" s="92">
        <f t="shared" si="210"/>
        <v>1.5362119391305571</v>
      </c>
      <c r="J1246" s="92">
        <f t="shared" si="210"/>
        <v>2.0064809000888912</v>
      </c>
      <c r="K1246" s="92">
        <f t="shared" si="210"/>
        <v>2.5394523891750018</v>
      </c>
      <c r="L1246" s="35"/>
      <c r="M1246" s="35"/>
      <c r="N1246" s="35"/>
    </row>
    <row r="1247" spans="1:14" x14ac:dyDescent="0.3">
      <c r="A1247" s="7"/>
      <c r="B1247" s="37"/>
      <c r="C1247" s="35"/>
      <c r="D1247" s="35"/>
      <c r="E1247" s="35"/>
      <c r="F1247" s="35"/>
      <c r="G1247" s="35"/>
      <c r="H1247" s="35"/>
      <c r="I1247" s="35"/>
      <c r="J1247" s="35"/>
      <c r="K1247" s="35"/>
      <c r="L1247" s="35"/>
      <c r="M1247" s="35"/>
      <c r="N1247" s="35"/>
    </row>
    <row r="1248" spans="1:14" x14ac:dyDescent="0.3">
      <c r="A1248" s="415" t="s">
        <v>259</v>
      </c>
      <c r="B1248" s="416"/>
      <c r="C1248" s="416"/>
      <c r="D1248" s="416"/>
      <c r="E1248" s="416"/>
      <c r="F1248" s="416"/>
      <c r="G1248" s="369"/>
      <c r="H1248" s="35"/>
      <c r="I1248" s="35"/>
      <c r="J1248" s="35"/>
      <c r="K1248" s="35"/>
      <c r="L1248" s="35"/>
      <c r="M1248" s="35"/>
      <c r="N1248" s="35"/>
    </row>
    <row r="1249" spans="1:14" x14ac:dyDescent="0.3">
      <c r="A1249" s="7"/>
      <c r="B1249" s="37"/>
      <c r="C1249" s="35"/>
      <c r="D1249" s="35"/>
      <c r="E1249" s="35"/>
      <c r="F1249" s="35"/>
      <c r="G1249" s="35"/>
      <c r="H1249" s="35"/>
      <c r="I1249" s="35"/>
      <c r="J1249" s="35"/>
      <c r="K1249" s="35"/>
      <c r="L1249" s="35"/>
      <c r="M1249" s="35"/>
      <c r="N1249" s="35"/>
    </row>
    <row r="1250" spans="1:14" x14ac:dyDescent="0.3">
      <c r="A1250" s="355" t="s">
        <v>240</v>
      </c>
      <c r="B1250" s="96">
        <v>3</v>
      </c>
      <c r="C1250" s="35"/>
      <c r="D1250" s="35"/>
      <c r="E1250" s="35"/>
      <c r="F1250" s="35"/>
      <c r="G1250" s="35"/>
      <c r="H1250" s="35"/>
      <c r="I1250" s="35"/>
      <c r="J1250" s="35"/>
      <c r="K1250" s="35"/>
      <c r="L1250" s="35"/>
      <c r="M1250" s="35"/>
      <c r="N1250" s="35"/>
    </row>
    <row r="1251" spans="1:14" x14ac:dyDescent="0.3">
      <c r="A1251" s="280" t="s">
        <v>189</v>
      </c>
      <c r="B1251" s="105">
        <f>RADIANS(B1250)</f>
        <v>5.235987755982989E-2</v>
      </c>
      <c r="C1251" s="35"/>
      <c r="D1251" s="35"/>
      <c r="E1251" s="35"/>
      <c r="F1251" s="35"/>
      <c r="G1251" s="35"/>
      <c r="H1251" s="35"/>
      <c r="I1251" s="35"/>
      <c r="J1251" s="35"/>
      <c r="K1251" s="35"/>
      <c r="L1251" s="35"/>
      <c r="M1251" s="35"/>
      <c r="N1251" s="35"/>
    </row>
    <row r="1252" spans="1:14" x14ac:dyDescent="0.3">
      <c r="A1252" s="277" t="s">
        <v>241</v>
      </c>
      <c r="B1252" s="96">
        <v>1.5</v>
      </c>
      <c r="C1252" s="35"/>
      <c r="D1252" s="35" t="s">
        <v>694</v>
      </c>
      <c r="E1252" s="35"/>
      <c r="F1252" s="35"/>
      <c r="G1252" s="35"/>
      <c r="H1252" s="35"/>
      <c r="I1252" s="35"/>
      <c r="J1252" s="35"/>
      <c r="K1252" s="35"/>
      <c r="L1252" s="35"/>
      <c r="M1252" s="35"/>
      <c r="N1252" s="35"/>
    </row>
    <row r="1253" spans="1:14" x14ac:dyDescent="0.3">
      <c r="A1253" s="280" t="s">
        <v>189</v>
      </c>
      <c r="B1253" s="105">
        <f>RADIANS(B1252)</f>
        <v>2.6179938779914945E-2</v>
      </c>
      <c r="C1253" s="35"/>
      <c r="D1253" s="35"/>
      <c r="E1253" s="35"/>
      <c r="F1253" s="35"/>
      <c r="G1253" s="35"/>
      <c r="H1253" s="35"/>
      <c r="I1253" s="35"/>
      <c r="J1253" s="35"/>
      <c r="K1253" s="35"/>
      <c r="L1253" s="35"/>
      <c r="M1253" s="35"/>
      <c r="N1253" s="35"/>
    </row>
    <row r="1254" spans="1:14" x14ac:dyDescent="0.3">
      <c r="A1254" s="277" t="s">
        <v>242</v>
      </c>
      <c r="B1254" s="96">
        <v>1</v>
      </c>
      <c r="C1254" s="35"/>
      <c r="D1254" s="35"/>
      <c r="E1254" s="35"/>
      <c r="F1254" s="35"/>
      <c r="G1254" s="35"/>
      <c r="H1254" s="35"/>
      <c r="I1254" s="35"/>
      <c r="J1254" s="35"/>
      <c r="K1254" s="35"/>
      <c r="L1254" s="35"/>
      <c r="M1254" s="35"/>
      <c r="N1254" s="35"/>
    </row>
    <row r="1255" spans="1:14" x14ac:dyDescent="0.3">
      <c r="A1255" s="280" t="s">
        <v>189</v>
      </c>
      <c r="B1255" s="105">
        <f>RADIANS(B1254)</f>
        <v>1.7453292519943295E-2</v>
      </c>
      <c r="C1255" s="35"/>
      <c r="D1255" s="35"/>
      <c r="E1255" s="35"/>
      <c r="F1255" s="35"/>
      <c r="G1255" s="35"/>
      <c r="H1255" s="35"/>
      <c r="I1255" s="35"/>
      <c r="J1255" s="35"/>
      <c r="K1255" s="35"/>
      <c r="L1255" s="35"/>
      <c r="M1255" s="35"/>
      <c r="N1255" s="35"/>
    </row>
    <row r="1256" spans="1:14" x14ac:dyDescent="0.3">
      <c r="A1256" s="277" t="s">
        <v>243</v>
      </c>
      <c r="B1256" s="96">
        <v>3</v>
      </c>
      <c r="C1256" s="35"/>
      <c r="D1256" s="35"/>
      <c r="E1256" s="35"/>
      <c r="F1256" s="35"/>
      <c r="G1256" s="35"/>
      <c r="H1256" s="35"/>
      <c r="I1256" s="35"/>
      <c r="J1256" s="35"/>
      <c r="K1256" s="35"/>
      <c r="L1256" s="35"/>
      <c r="M1256" s="35"/>
      <c r="N1256" s="35"/>
    </row>
    <row r="1257" spans="1:14" x14ac:dyDescent="0.3">
      <c r="A1257" s="280" t="s">
        <v>189</v>
      </c>
      <c r="B1257" s="105">
        <f>RADIANS(B1256)</f>
        <v>5.235987755982989E-2</v>
      </c>
      <c r="C1257" s="35"/>
      <c r="D1257" s="35"/>
      <c r="E1257" s="35"/>
      <c r="F1257" s="35"/>
      <c r="G1257" s="35"/>
      <c r="H1257" s="35"/>
      <c r="I1257" s="35"/>
      <c r="J1257" s="35"/>
      <c r="K1257" s="35"/>
      <c r="L1257" s="35"/>
      <c r="M1257" s="35"/>
      <c r="N1257" s="35"/>
    </row>
    <row r="1258" spans="1:14" x14ac:dyDescent="0.3">
      <c r="A1258" s="7"/>
      <c r="B1258" s="37"/>
      <c r="C1258" s="35"/>
      <c r="D1258" s="35"/>
      <c r="E1258" s="35"/>
      <c r="F1258" s="35"/>
      <c r="G1258" s="35"/>
      <c r="H1258" s="35"/>
      <c r="I1258" s="35"/>
      <c r="J1258" s="35"/>
      <c r="K1258" s="35"/>
      <c r="L1258" s="35"/>
      <c r="M1258" s="35"/>
      <c r="N1258" s="35"/>
    </row>
    <row r="1259" spans="1:14" x14ac:dyDescent="0.3">
      <c r="A1259" s="367" t="s">
        <v>244</v>
      </c>
      <c r="B1259" s="367"/>
      <c r="C1259" s="35"/>
      <c r="D1259" s="35"/>
      <c r="E1259" s="35"/>
      <c r="F1259" s="420" t="s">
        <v>257</v>
      </c>
      <c r="G1259" s="421"/>
      <c r="H1259" s="35"/>
      <c r="I1259" s="35"/>
      <c r="J1259" s="35"/>
      <c r="K1259" s="35"/>
      <c r="L1259" s="35"/>
      <c r="M1259" s="35"/>
      <c r="N1259" s="35"/>
    </row>
    <row r="1260" spans="1:14" x14ac:dyDescent="0.3">
      <c r="A1260" s="7"/>
      <c r="B1260" s="37"/>
      <c r="C1260" s="35"/>
      <c r="D1260" s="35"/>
      <c r="E1260" s="35"/>
      <c r="F1260" s="35"/>
      <c r="G1260" s="35"/>
      <c r="H1260" s="35"/>
      <c r="I1260" s="35"/>
      <c r="J1260" s="35"/>
      <c r="K1260" s="35"/>
      <c r="L1260" s="35"/>
      <c r="M1260" s="35"/>
      <c r="N1260" s="35"/>
    </row>
    <row r="1261" spans="1:14" x14ac:dyDescent="0.3">
      <c r="A1261" s="376" t="s">
        <v>191</v>
      </c>
      <c r="B1261" s="376"/>
      <c r="C1261" s="35"/>
      <c r="D1261" s="35"/>
      <c r="E1261" s="35"/>
      <c r="F1261" s="413" t="s">
        <v>191</v>
      </c>
      <c r="G1261" s="414"/>
      <c r="H1261" s="35"/>
      <c r="I1261" s="35"/>
      <c r="J1261" s="35"/>
      <c r="K1261" s="35"/>
      <c r="L1261" s="35"/>
      <c r="M1261" s="35"/>
      <c r="N1261" s="35"/>
    </row>
    <row r="1262" spans="1:14" x14ac:dyDescent="0.3">
      <c r="A1262" s="403" t="s">
        <v>190</v>
      </c>
      <c r="B1262" s="403"/>
      <c r="C1262" s="35"/>
      <c r="D1262" s="35"/>
      <c r="E1262" s="35"/>
      <c r="F1262" s="411" t="s">
        <v>190</v>
      </c>
      <c r="G1262" s="412"/>
      <c r="H1262" s="35"/>
      <c r="I1262" s="35"/>
      <c r="J1262" s="35"/>
      <c r="K1262" s="35"/>
      <c r="L1262" s="35"/>
      <c r="M1262" s="35"/>
      <c r="N1262" s="35"/>
    </row>
    <row r="1263" spans="1:14" x14ac:dyDescent="0.3">
      <c r="A1263" s="376" t="s">
        <v>192</v>
      </c>
      <c r="B1263" s="376"/>
      <c r="C1263" s="35"/>
      <c r="D1263" s="35"/>
      <c r="E1263" s="35"/>
      <c r="F1263" s="413" t="s">
        <v>192</v>
      </c>
      <c r="G1263" s="414"/>
      <c r="H1263" s="35"/>
      <c r="I1263" s="35"/>
      <c r="J1263" s="35"/>
      <c r="K1263" s="35"/>
      <c r="L1263" s="35"/>
      <c r="M1263" s="35"/>
      <c r="N1263" s="35"/>
    </row>
    <row r="1264" spans="1:14" x14ac:dyDescent="0.3">
      <c r="A1264" s="403" t="s">
        <v>193</v>
      </c>
      <c r="B1264" s="403"/>
      <c r="C1264" s="35"/>
      <c r="D1264" s="35"/>
      <c r="E1264" s="35"/>
      <c r="F1264" s="411" t="s">
        <v>193</v>
      </c>
      <c r="G1264" s="412"/>
      <c r="H1264" s="35"/>
      <c r="I1264" s="35"/>
      <c r="J1264" s="35"/>
      <c r="K1264" s="35"/>
      <c r="L1264" s="35"/>
      <c r="M1264" s="35"/>
      <c r="N1264" s="35"/>
    </row>
    <row r="1265" spans="1:14" x14ac:dyDescent="0.3">
      <c r="A1265" s="277" t="s">
        <v>194</v>
      </c>
      <c r="B1265" s="100">
        <f>(-TAN(B1251))</f>
        <v>-5.240777928304121E-2</v>
      </c>
      <c r="C1265" s="35"/>
      <c r="D1265" s="35"/>
      <c r="E1265" s="35"/>
      <c r="F1265" s="277" t="s">
        <v>194</v>
      </c>
      <c r="G1265" s="100">
        <f>TAN(B1255)</f>
        <v>1.7455064928217585E-2</v>
      </c>
      <c r="H1265" s="35"/>
      <c r="I1265" s="35"/>
      <c r="J1265" s="35"/>
      <c r="K1265" s="35"/>
      <c r="L1265" s="35"/>
      <c r="M1265" s="35"/>
      <c r="N1265" s="35"/>
    </row>
    <row r="1266" spans="1:14" x14ac:dyDescent="0.3">
      <c r="A1266" s="277" t="s">
        <v>195</v>
      </c>
      <c r="B1266" s="100">
        <f>TAN(B1253)</f>
        <v>2.6185921569186931E-2</v>
      </c>
      <c r="C1266" s="35"/>
      <c r="D1266" s="35"/>
      <c r="E1266" s="35"/>
      <c r="F1266" s="277" t="s">
        <v>195</v>
      </c>
      <c r="G1266" s="100">
        <f>(-TAN(B1257))</f>
        <v>-5.240777928304121E-2</v>
      </c>
      <c r="H1266" s="35"/>
      <c r="I1266" s="35"/>
      <c r="J1266" s="35"/>
      <c r="K1266" s="35"/>
      <c r="L1266" s="35"/>
      <c r="M1266" s="35"/>
      <c r="N1266" s="35"/>
    </row>
    <row r="1267" spans="1:14" x14ac:dyDescent="0.3">
      <c r="A1267" s="277" t="s">
        <v>250</v>
      </c>
      <c r="B1267" s="96">
        <v>9.7000000000000003E-2</v>
      </c>
      <c r="C1267" s="35"/>
      <c r="D1267" s="35"/>
      <c r="E1267" s="35"/>
      <c r="F1267" s="277" t="s">
        <v>250</v>
      </c>
      <c r="G1267" s="96">
        <v>9.7000000000000003E-2</v>
      </c>
      <c r="H1267" s="35"/>
      <c r="I1267" s="35"/>
      <c r="J1267" s="35"/>
      <c r="K1267" s="35"/>
      <c r="L1267" s="35"/>
      <c r="M1267" s="35"/>
      <c r="N1267" s="35"/>
    </row>
    <row r="1268" spans="1:14" x14ac:dyDescent="0.3">
      <c r="A1268" s="277" t="s">
        <v>249</v>
      </c>
      <c r="B1268" s="96">
        <v>0.104</v>
      </c>
      <c r="C1268" s="35"/>
      <c r="D1268" s="35"/>
      <c r="E1268" s="35"/>
      <c r="F1268" s="277" t="s">
        <v>249</v>
      </c>
      <c r="G1268" s="96">
        <v>0.104</v>
      </c>
      <c r="H1268" s="35"/>
      <c r="I1268" s="35"/>
      <c r="J1268" s="35"/>
      <c r="K1268" s="35"/>
      <c r="L1268" s="35"/>
      <c r="M1268" s="35"/>
      <c r="N1268" s="35"/>
    </row>
    <row r="1269" spans="1:14" x14ac:dyDescent="0.3">
      <c r="A1269" s="277" t="s">
        <v>246</v>
      </c>
      <c r="B1269" s="96">
        <v>0.129</v>
      </c>
      <c r="C1269" s="35"/>
      <c r="D1269" s="35"/>
      <c r="E1269" s="35"/>
      <c r="F1269" s="277" t="s">
        <v>246</v>
      </c>
      <c r="G1269" s="96">
        <v>0.129</v>
      </c>
      <c r="H1269" s="35"/>
      <c r="I1269" s="35"/>
      <c r="J1269" s="35"/>
      <c r="K1269" s="35"/>
      <c r="L1269" s="35"/>
      <c r="M1269" s="35"/>
      <c r="N1269" s="35"/>
    </row>
    <row r="1270" spans="1:14" x14ac:dyDescent="0.3">
      <c r="A1270" s="277" t="s">
        <v>245</v>
      </c>
      <c r="B1270" s="100">
        <f>((0.5*C4)+B1269)*(TAN(B1251))</f>
        <v>7.4890716595465895E-2</v>
      </c>
      <c r="C1270" s="35"/>
      <c r="D1270" s="35"/>
      <c r="E1270" s="35"/>
      <c r="F1270" s="277" t="s">
        <v>245</v>
      </c>
      <c r="G1270" s="100">
        <f>((0.5*C4)+G1269)*(TAN(B1255))</f>
        <v>2.494328778242293E-2</v>
      </c>
      <c r="H1270" s="35"/>
      <c r="I1270" s="35"/>
      <c r="J1270" s="35"/>
      <c r="K1270" s="35"/>
      <c r="L1270" s="35"/>
      <c r="M1270" s="35"/>
      <c r="N1270" s="35"/>
    </row>
    <row r="1271" spans="1:14" x14ac:dyDescent="0.3">
      <c r="A1271" s="277" t="s">
        <v>247</v>
      </c>
      <c r="B1271" s="96">
        <v>0.20499999999999999</v>
      </c>
      <c r="C1271" s="35"/>
      <c r="D1271" s="35"/>
      <c r="E1271" s="35"/>
      <c r="F1271" s="277" t="s">
        <v>247</v>
      </c>
      <c r="G1271" s="96">
        <v>0.20499999999999999</v>
      </c>
      <c r="H1271" s="35"/>
      <c r="I1271" s="35"/>
      <c r="J1271" s="35"/>
      <c r="K1271" s="35"/>
      <c r="L1271" s="35"/>
      <c r="M1271" s="35"/>
      <c r="N1271" s="35"/>
    </row>
    <row r="1272" spans="1:14" x14ac:dyDescent="0.3">
      <c r="A1272" s="277" t="s">
        <v>248</v>
      </c>
      <c r="B1272" s="100">
        <f>(B1271+(0.5*C4))*(TAN(B1253))</f>
        <v>3.9409811961626337E-2</v>
      </c>
      <c r="C1272" s="35"/>
      <c r="D1272" s="35"/>
      <c r="E1272" s="35"/>
      <c r="F1272" s="277" t="s">
        <v>248</v>
      </c>
      <c r="G1272" s="100">
        <f>(G1271+(0.5*C4))*(TAN(B1257))</f>
        <v>7.8873707820977024E-2</v>
      </c>
      <c r="H1272" s="35"/>
      <c r="I1272" s="35"/>
      <c r="J1272" s="35"/>
      <c r="K1272" s="35"/>
      <c r="L1272" s="35"/>
      <c r="M1272" s="35"/>
      <c r="N1272" s="35"/>
    </row>
    <row r="1273" spans="1:14" x14ac:dyDescent="0.3">
      <c r="A1273" s="277" t="s">
        <v>204</v>
      </c>
      <c r="B1273" s="100">
        <f>B1268+B1267-B1270</f>
        <v>0.12610928340453412</v>
      </c>
      <c r="C1273" s="35"/>
      <c r="D1273" s="35"/>
      <c r="E1273" s="35"/>
      <c r="F1273" s="277" t="s">
        <v>204</v>
      </c>
      <c r="G1273" s="100">
        <f>G1268+G1267-G1270</f>
        <v>0.17605671221757707</v>
      </c>
      <c r="H1273" s="35"/>
      <c r="I1273" s="35"/>
      <c r="J1273" s="35"/>
      <c r="K1273" s="35"/>
      <c r="L1273" s="35"/>
      <c r="M1273" s="35"/>
      <c r="N1273" s="35"/>
    </row>
    <row r="1274" spans="1:14" x14ac:dyDescent="0.3">
      <c r="A1274" s="277" t="s">
        <v>199</v>
      </c>
      <c r="B1274" s="100">
        <f>B1272</f>
        <v>3.9409811961626337E-2</v>
      </c>
      <c r="C1274" s="35"/>
      <c r="D1274" s="35"/>
      <c r="E1274" s="35"/>
      <c r="F1274" s="277" t="s">
        <v>199</v>
      </c>
      <c r="G1274" s="100">
        <f>G1272</f>
        <v>7.8873707820977024E-2</v>
      </c>
      <c r="H1274" s="35"/>
      <c r="I1274" s="35"/>
      <c r="J1274" s="35"/>
      <c r="K1274" s="35"/>
      <c r="L1274" s="35"/>
      <c r="M1274" s="35"/>
      <c r="N1274" s="35"/>
    </row>
    <row r="1275" spans="1:14" x14ac:dyDescent="0.3">
      <c r="A1275" s="277" t="s">
        <v>205</v>
      </c>
      <c r="B1275" s="100">
        <f>(B1268+B1267-B1270-B1272)/(-B1265+B1266)</f>
        <v>1.1031351177357089</v>
      </c>
      <c r="C1275" s="35"/>
      <c r="D1275" s="35"/>
      <c r="E1275" s="35"/>
      <c r="F1275" s="277" t="s">
        <v>205</v>
      </c>
      <c r="G1275" s="100">
        <f>(G1268+G1267-G1270-G1272)/(-G1265+G1266)</f>
        <v>-1.391054221937023</v>
      </c>
      <c r="H1275" s="35"/>
      <c r="I1275" s="35"/>
      <c r="J1275" s="35"/>
      <c r="K1275" s="35"/>
      <c r="L1275" s="35"/>
      <c r="M1275" s="35"/>
      <c r="N1275" s="35"/>
    </row>
    <row r="1276" spans="1:14" x14ac:dyDescent="0.3">
      <c r="A1276" s="7"/>
      <c r="B1276" s="37"/>
      <c r="C1276" s="35"/>
      <c r="D1276" s="35"/>
      <c r="E1276" s="35"/>
      <c r="F1276" s="7"/>
      <c r="G1276" s="37"/>
      <c r="H1276" s="35"/>
      <c r="I1276" s="35"/>
      <c r="J1276" s="35"/>
      <c r="K1276" s="35"/>
      <c r="L1276" s="35"/>
      <c r="M1276" s="35"/>
      <c r="N1276" s="35"/>
    </row>
    <row r="1277" spans="1:14" x14ac:dyDescent="0.3">
      <c r="A1277" s="357" t="s">
        <v>251</v>
      </c>
      <c r="B1277" s="358"/>
      <c r="C1277" s="358"/>
      <c r="D1277" s="358"/>
      <c r="E1277" s="358"/>
      <c r="F1277" s="358"/>
      <c r="G1277" s="359"/>
      <c r="H1277" s="35"/>
      <c r="I1277" s="35"/>
      <c r="J1277" s="35"/>
      <c r="K1277" s="35"/>
      <c r="L1277" s="35"/>
      <c r="M1277" s="35"/>
      <c r="N1277" s="35"/>
    </row>
    <row r="1278" spans="1:14" x14ac:dyDescent="0.3">
      <c r="A1278" s="7"/>
      <c r="B1278" s="37"/>
      <c r="C1278" s="35"/>
      <c r="D1278" s="35"/>
      <c r="E1278" s="35"/>
      <c r="F1278" s="7"/>
      <c r="G1278" s="37"/>
      <c r="H1278" s="35"/>
      <c r="I1278" s="35"/>
      <c r="J1278" s="35"/>
      <c r="K1278" s="35"/>
      <c r="L1278" s="35"/>
      <c r="M1278" s="35"/>
      <c r="N1278" s="35"/>
    </row>
    <row r="1279" spans="1:14" x14ac:dyDescent="0.3">
      <c r="A1279" s="277" t="s">
        <v>253</v>
      </c>
      <c r="B1279" s="100">
        <f>(0.5*C4)+ABS(B1275)</f>
        <v>2.403135117735709</v>
      </c>
      <c r="C1279" s="35"/>
      <c r="D1279" s="35"/>
      <c r="E1279" s="35"/>
      <c r="F1279" s="277" t="s">
        <v>253</v>
      </c>
      <c r="G1279" s="100">
        <f>(0.5*C4)+ABS(G1275)</f>
        <v>2.6910542219370228</v>
      </c>
      <c r="H1279" s="35"/>
      <c r="I1279" s="35"/>
      <c r="J1279" s="35"/>
      <c r="K1279" s="35"/>
      <c r="L1279" s="35"/>
      <c r="M1279" s="35"/>
      <c r="N1279" s="35"/>
    </row>
    <row r="1280" spans="1:14" x14ac:dyDescent="0.3">
      <c r="A1280" s="7"/>
      <c r="B1280" s="37"/>
      <c r="C1280" s="35"/>
      <c r="D1280" s="35"/>
      <c r="E1280" s="35"/>
      <c r="F1280" s="7"/>
      <c r="G1280" s="37"/>
      <c r="H1280" s="35"/>
      <c r="I1280" s="35"/>
      <c r="J1280" s="35"/>
      <c r="K1280" s="35"/>
      <c r="L1280" s="35"/>
      <c r="M1280" s="35"/>
      <c r="N1280" s="35"/>
    </row>
    <row r="1281" spans="1:14" x14ac:dyDescent="0.3">
      <c r="A1281" s="357" t="s">
        <v>255</v>
      </c>
      <c r="B1281" s="358"/>
      <c r="C1281" s="358"/>
      <c r="D1281" s="358"/>
      <c r="E1281" s="358"/>
      <c r="F1281" s="358"/>
      <c r="G1281" s="359"/>
      <c r="H1281" s="35"/>
      <c r="I1281" s="35"/>
      <c r="J1281" s="35"/>
      <c r="K1281" s="35"/>
      <c r="L1281" s="35"/>
      <c r="M1281" s="35"/>
      <c r="N1281" s="35"/>
    </row>
    <row r="1282" spans="1:14" x14ac:dyDescent="0.3">
      <c r="A1282" s="7"/>
      <c r="B1282" s="37"/>
      <c r="C1282" s="35"/>
      <c r="D1282" s="35"/>
      <c r="E1282" s="35"/>
      <c r="F1282" s="7"/>
      <c r="G1282" s="37"/>
      <c r="H1282" s="35"/>
      <c r="I1282" s="35"/>
      <c r="J1282" s="35"/>
      <c r="K1282" s="35"/>
      <c r="L1282" s="35"/>
      <c r="M1282" s="35"/>
      <c r="N1282" s="35"/>
    </row>
    <row r="1283" spans="1:14" x14ac:dyDescent="0.3">
      <c r="A1283" s="277" t="s">
        <v>212</v>
      </c>
      <c r="B1283" s="100">
        <f>C127</f>
        <v>0.51639999999999997</v>
      </c>
      <c r="C1283" s="35"/>
      <c r="D1283" s="35"/>
      <c r="E1283" s="35"/>
      <c r="F1283" s="7"/>
      <c r="G1283" s="99"/>
      <c r="H1283" s="35"/>
      <c r="I1283" s="35"/>
      <c r="J1283" s="35"/>
      <c r="K1283" s="35"/>
      <c r="L1283" s="35"/>
      <c r="M1283" s="35"/>
      <c r="N1283" s="35"/>
    </row>
    <row r="1284" spans="1:14" x14ac:dyDescent="0.3">
      <c r="A1284" s="284"/>
      <c r="B1284" s="99"/>
      <c r="C1284" s="35"/>
      <c r="D1284" s="35"/>
      <c r="E1284" s="35"/>
      <c r="F1284" s="7"/>
      <c r="G1284" s="99"/>
      <c r="H1284" s="35"/>
      <c r="I1284" s="35"/>
      <c r="J1284" s="35"/>
      <c r="K1284" s="35"/>
      <c r="L1284" s="35"/>
      <c r="M1284" s="35"/>
      <c r="N1284" s="35"/>
    </row>
    <row r="1285" spans="1:14" x14ac:dyDescent="0.3">
      <c r="A1285" s="404" t="s">
        <v>256</v>
      </c>
      <c r="B1285" s="404"/>
      <c r="C1285" s="35"/>
      <c r="D1285" s="35"/>
      <c r="E1285" s="35"/>
      <c r="F1285" s="409" t="s">
        <v>258</v>
      </c>
      <c r="G1285" s="410"/>
      <c r="H1285" s="35"/>
      <c r="I1285" s="35"/>
      <c r="J1285" s="35"/>
      <c r="K1285" s="35"/>
      <c r="L1285" s="35"/>
      <c r="M1285" s="35"/>
      <c r="N1285" s="35"/>
    </row>
    <row r="1286" spans="1:14" x14ac:dyDescent="0.3">
      <c r="A1286" s="277" t="s">
        <v>229</v>
      </c>
      <c r="B1286" s="100">
        <f>(B1279+B1271)*TAN(B1253)</f>
        <v>6.8296421634869403E-2</v>
      </c>
      <c r="C1286" s="35"/>
      <c r="D1286" s="35"/>
      <c r="E1286" s="35"/>
      <c r="F1286" s="277" t="s">
        <v>229</v>
      </c>
      <c r="G1286" s="100">
        <f>(G1279+G1271)*TAN(B1257)</f>
        <v>0.15177577045499513</v>
      </c>
      <c r="H1286" s="35"/>
      <c r="I1286" s="35"/>
      <c r="J1286" s="35"/>
      <c r="K1286" s="35"/>
      <c r="L1286" s="35"/>
      <c r="M1286" s="35"/>
      <c r="N1286" s="35"/>
    </row>
    <row r="1287" spans="1:14" x14ac:dyDescent="0.3">
      <c r="A1287" s="277" t="s">
        <v>213</v>
      </c>
      <c r="B1287" s="100">
        <f>(0.5*B1283)-B1268+B1286</f>
        <v>0.22249642163486941</v>
      </c>
      <c r="C1287" s="35"/>
      <c r="D1287" s="35"/>
      <c r="E1287" s="35"/>
      <c r="F1287" s="277" t="s">
        <v>213</v>
      </c>
      <c r="G1287" s="100">
        <f>(0.5*B1283)-G1268+G1286</f>
        <v>0.30597577045499513</v>
      </c>
      <c r="H1287" s="35"/>
      <c r="I1287" s="35"/>
      <c r="J1287" s="35"/>
      <c r="K1287" s="35"/>
      <c r="L1287" s="35"/>
      <c r="M1287" s="35"/>
      <c r="N1287" s="35"/>
    </row>
    <row r="1288" spans="1:14" x14ac:dyDescent="0.3">
      <c r="A1288" s="277" t="s">
        <v>214</v>
      </c>
      <c r="B1288" s="100">
        <f>ABS(B1275)</f>
        <v>1.1031351177357089</v>
      </c>
      <c r="C1288" s="35"/>
      <c r="D1288" s="35"/>
      <c r="E1288" s="35"/>
      <c r="F1288" s="277" t="s">
        <v>214</v>
      </c>
      <c r="G1288" s="100">
        <f>ABS(G1275)</f>
        <v>1.391054221937023</v>
      </c>
      <c r="H1288" s="35"/>
      <c r="I1288" s="35"/>
      <c r="J1288" s="35"/>
      <c r="K1288" s="35"/>
      <c r="L1288" s="35"/>
      <c r="M1288" s="35"/>
      <c r="N1288" s="35"/>
    </row>
    <row r="1289" spans="1:14" x14ac:dyDescent="0.3">
      <c r="A1289" s="284"/>
      <c r="B1289" s="37"/>
      <c r="C1289" s="35"/>
      <c r="D1289" s="35"/>
      <c r="E1289" s="35"/>
      <c r="F1289" s="35"/>
      <c r="G1289" s="35"/>
      <c r="H1289" s="35"/>
      <c r="I1289" s="35"/>
      <c r="J1289" s="35"/>
      <c r="K1289" s="35"/>
      <c r="L1289" s="35"/>
      <c r="M1289" s="35"/>
      <c r="N1289" s="35"/>
    </row>
    <row r="1290" spans="1:14" x14ac:dyDescent="0.3">
      <c r="A1290" s="415" t="s">
        <v>260</v>
      </c>
      <c r="B1290" s="416"/>
      <c r="C1290" s="416"/>
      <c r="D1290" s="416"/>
      <c r="E1290" s="416"/>
      <c r="F1290" s="416"/>
      <c r="G1290" s="369"/>
      <c r="H1290" s="35"/>
      <c r="I1290" s="35"/>
      <c r="J1290" s="35"/>
      <c r="K1290" s="35"/>
      <c r="L1290" s="35"/>
      <c r="M1290" s="35"/>
      <c r="N1290" s="35"/>
    </row>
    <row r="1291" spans="1:14" x14ac:dyDescent="0.3">
      <c r="A1291" s="284"/>
      <c r="B1291" s="37"/>
      <c r="C1291" s="35"/>
      <c r="D1291" s="35"/>
      <c r="E1291" s="35"/>
      <c r="F1291" s="35"/>
      <c r="G1291" s="35"/>
      <c r="H1291" s="35"/>
      <c r="I1291" s="35"/>
      <c r="J1291" s="35"/>
      <c r="K1291" s="35"/>
      <c r="L1291" s="35"/>
      <c r="M1291" s="35"/>
      <c r="N1291" s="35"/>
    </row>
    <row r="1292" spans="1:14" x14ac:dyDescent="0.3">
      <c r="A1292" s="277" t="s">
        <v>261</v>
      </c>
      <c r="B1292" s="100">
        <f>ATAN(B1287/B1279)</f>
        <v>9.2322696524158906E-2</v>
      </c>
      <c r="C1292" s="35"/>
      <c r="D1292" s="35"/>
      <c r="E1292" s="35"/>
      <c r="F1292" s="285" t="s">
        <v>261</v>
      </c>
      <c r="G1292" s="278">
        <f>ATAN(G1287/G1279)</f>
        <v>0.11321487211057603</v>
      </c>
      <c r="H1292" s="35"/>
      <c r="I1292" s="35"/>
      <c r="J1292" s="35"/>
      <c r="K1292" s="35"/>
      <c r="L1292" s="35"/>
      <c r="M1292" s="35"/>
      <c r="N1292" s="35"/>
    </row>
    <row r="1293" spans="1:14" x14ac:dyDescent="0.3">
      <c r="A1293" s="280" t="s">
        <v>219</v>
      </c>
      <c r="B1293" s="100">
        <f>DEGREES(B1292)</f>
        <v>5.2897008641014205</v>
      </c>
      <c r="C1293" s="35"/>
      <c r="D1293" s="35"/>
      <c r="E1293" s="35"/>
      <c r="F1293" s="26" t="s">
        <v>219</v>
      </c>
      <c r="G1293" s="278">
        <f>DEGREES(G1292)</f>
        <v>6.4867343500493773</v>
      </c>
      <c r="H1293" s="35"/>
      <c r="I1293" s="35"/>
      <c r="J1293" s="35"/>
      <c r="K1293" s="35"/>
      <c r="L1293" s="35"/>
      <c r="M1293" s="35"/>
      <c r="N1293" s="35"/>
    </row>
    <row r="1294" spans="1:14" x14ac:dyDescent="0.3">
      <c r="A1294" s="376" t="s">
        <v>262</v>
      </c>
      <c r="B1294" s="376"/>
      <c r="C1294" s="35"/>
      <c r="D1294" s="35"/>
      <c r="E1294" s="35"/>
      <c r="F1294" s="413" t="s">
        <v>262</v>
      </c>
      <c r="G1294" s="414"/>
      <c r="H1294" s="35"/>
      <c r="I1294" s="35"/>
      <c r="J1294" s="35"/>
      <c r="K1294" s="35"/>
      <c r="L1294" s="35"/>
      <c r="M1294" s="35"/>
      <c r="N1294" s="35"/>
    </row>
    <row r="1295" spans="1:14" x14ac:dyDescent="0.3">
      <c r="A1295" s="403" t="s">
        <v>263</v>
      </c>
      <c r="B1295" s="403"/>
      <c r="C1295" s="35"/>
      <c r="D1295" s="35"/>
      <c r="E1295" s="35"/>
      <c r="F1295" s="280" t="s">
        <v>263</v>
      </c>
      <c r="G1295" s="280"/>
      <c r="H1295" s="35"/>
      <c r="I1295" s="35"/>
      <c r="J1295" s="35"/>
      <c r="K1295" s="35"/>
      <c r="L1295" s="35"/>
      <c r="M1295" s="35"/>
      <c r="N1295" s="35"/>
    </row>
    <row r="1296" spans="1:14" x14ac:dyDescent="0.3">
      <c r="A1296" s="280" t="s">
        <v>265</v>
      </c>
      <c r="B1296" s="100">
        <f>TAN(B1292)</f>
        <v>9.2585897477338197E-2</v>
      </c>
      <c r="C1296" s="35"/>
      <c r="D1296" s="35"/>
      <c r="E1296" s="35"/>
      <c r="F1296" s="280" t="s">
        <v>265</v>
      </c>
      <c r="G1296" s="100">
        <f>(-TAN(G1292))</f>
        <v>-0.11370107965894256</v>
      </c>
      <c r="H1296" s="35"/>
      <c r="I1296" s="35"/>
      <c r="J1296" s="35"/>
      <c r="K1296" s="35"/>
      <c r="L1296" s="35"/>
      <c r="M1296" s="35"/>
      <c r="N1296" s="35"/>
    </row>
    <row r="1297" spans="1:14" x14ac:dyDescent="0.3">
      <c r="A1297" s="280" t="s">
        <v>264</v>
      </c>
      <c r="B1297" s="100">
        <f>TAN(B1292)*(0.5*C4)</f>
        <v>0.12036166672053966</v>
      </c>
      <c r="C1297" s="35"/>
      <c r="D1297" s="35"/>
      <c r="E1297" s="35"/>
      <c r="F1297" s="280" t="s">
        <v>264</v>
      </c>
      <c r="G1297" s="100">
        <f>TAN(G1292)*(0.5*C4)</f>
        <v>0.14781140355662534</v>
      </c>
      <c r="H1297" s="35"/>
      <c r="I1297" s="35"/>
      <c r="J1297" s="35"/>
      <c r="K1297" s="35"/>
      <c r="L1297" s="35"/>
      <c r="M1297" s="35"/>
      <c r="N1297" s="35"/>
    </row>
    <row r="1298" spans="1:14" x14ac:dyDescent="0.3">
      <c r="A1298" s="7"/>
      <c r="B1298" s="37"/>
      <c r="C1298" s="35"/>
      <c r="D1298" s="35"/>
      <c r="E1298" s="35"/>
      <c r="F1298" s="35"/>
      <c r="G1298" s="35"/>
      <c r="H1298" s="35"/>
      <c r="I1298" s="35"/>
      <c r="J1298" s="35"/>
      <c r="K1298" s="35"/>
      <c r="L1298" s="35"/>
      <c r="M1298" s="35"/>
      <c r="N1298" s="35"/>
    </row>
    <row r="1299" spans="1:14" x14ac:dyDescent="0.3">
      <c r="A1299" s="280" t="s">
        <v>266</v>
      </c>
      <c r="B1299" s="97">
        <f>(G1297-B1297)/(B1296-G1296)</f>
        <v>0.13306577670170314</v>
      </c>
      <c r="C1299" s="35"/>
      <c r="D1299" s="35"/>
      <c r="E1299" s="35"/>
      <c r="F1299" s="35"/>
      <c r="G1299" s="35"/>
      <c r="H1299" s="35"/>
      <c r="I1299" s="35"/>
      <c r="J1299" s="35"/>
      <c r="K1299" s="35"/>
      <c r="L1299" s="35"/>
      <c r="M1299" s="35"/>
      <c r="N1299" s="35"/>
    </row>
    <row r="1300" spans="1:14" x14ac:dyDescent="0.3">
      <c r="A1300" s="280" t="s">
        <v>267</v>
      </c>
      <c r="B1300" s="106">
        <f>((0.5*C4)+B1299)*TAN(B1292)</f>
        <v>0.13268168107998593</v>
      </c>
      <c r="C1300" s="35"/>
      <c r="D1300" s="35"/>
      <c r="E1300" s="35"/>
      <c r="F1300" s="26" t="s">
        <v>683</v>
      </c>
      <c r="G1300" s="299">
        <f>($C$4/2)+B1299</f>
        <v>1.4330657767017032</v>
      </c>
      <c r="H1300" s="35"/>
      <c r="I1300" s="35"/>
      <c r="J1300" s="35"/>
      <c r="K1300" s="35"/>
      <c r="L1300" s="35"/>
      <c r="M1300" s="35"/>
      <c r="N1300" s="35"/>
    </row>
    <row r="1301" spans="1:14" x14ac:dyDescent="0.3">
      <c r="A1301" s="7"/>
      <c r="B1301" s="37"/>
      <c r="C1301" s="35"/>
      <c r="D1301" s="35"/>
      <c r="E1301" s="35"/>
      <c r="F1301" s="35"/>
      <c r="G1301" s="35"/>
      <c r="H1301" s="35"/>
      <c r="I1301" s="35"/>
      <c r="J1301" s="35"/>
      <c r="K1301" s="35"/>
      <c r="L1301" s="35"/>
      <c r="M1301" s="35"/>
      <c r="N1301" s="35"/>
    </row>
    <row r="1302" spans="1:14" x14ac:dyDescent="0.3">
      <c r="A1302" s="415" t="s">
        <v>511</v>
      </c>
      <c r="B1302" s="416"/>
      <c r="C1302" s="416"/>
      <c r="D1302" s="416"/>
      <c r="E1302" s="416"/>
      <c r="F1302" s="416"/>
      <c r="G1302" s="369"/>
      <c r="H1302" s="35"/>
      <c r="I1302" s="35"/>
      <c r="J1302" s="35"/>
      <c r="K1302" s="35"/>
      <c r="L1302" s="35"/>
      <c r="M1302" s="35"/>
      <c r="N1302" s="35"/>
    </row>
    <row r="1303" spans="1:14" x14ac:dyDescent="0.3">
      <c r="A1303" s="284"/>
      <c r="B1303" s="284"/>
      <c r="C1303" s="284"/>
      <c r="D1303" s="284"/>
      <c r="E1303" s="284"/>
      <c r="F1303" s="107"/>
      <c r="G1303" s="107"/>
      <c r="H1303" s="35"/>
      <c r="I1303" s="35"/>
      <c r="J1303" s="35"/>
      <c r="K1303" s="35"/>
      <c r="L1303" s="35"/>
      <c r="M1303" s="35"/>
      <c r="N1303" s="35"/>
    </row>
    <row r="1304" spans="1:14" x14ac:dyDescent="0.3">
      <c r="A1304" s="376" t="s">
        <v>280</v>
      </c>
      <c r="B1304" s="376"/>
      <c r="C1304" s="284"/>
      <c r="D1304" s="284"/>
      <c r="E1304" s="284"/>
      <c r="F1304" s="413" t="s">
        <v>281</v>
      </c>
      <c r="G1304" s="414"/>
      <c r="H1304" s="35"/>
      <c r="I1304" s="35"/>
      <c r="J1304" s="35"/>
      <c r="K1304" s="35"/>
      <c r="L1304" s="35"/>
      <c r="M1304" s="35"/>
      <c r="N1304" s="35"/>
    </row>
    <row r="1305" spans="1:14" x14ac:dyDescent="0.3">
      <c r="A1305" s="422">
        <f>DEGREES(ATAN(1/(B1279*1000)))</f>
        <v>2.3842095179394594E-2</v>
      </c>
      <c r="B1305" s="422"/>
      <c r="C1305" s="35"/>
      <c r="D1305" s="35"/>
      <c r="E1305" s="35"/>
      <c r="F1305" s="423">
        <f>DEGREES(ATAN(1/(1000*G1279)))</f>
        <v>2.1291201198673563E-2</v>
      </c>
      <c r="G1305" s="424"/>
      <c r="H1305" s="35"/>
      <c r="I1305" s="35"/>
      <c r="J1305" s="35"/>
      <c r="K1305" s="35"/>
      <c r="L1305" s="35"/>
      <c r="M1305" s="35"/>
      <c r="N1305" s="35"/>
    </row>
    <row r="1306" spans="1:14" x14ac:dyDescent="0.3">
      <c r="A1306" s="7"/>
      <c r="B1306" s="37"/>
      <c r="C1306" s="35"/>
      <c r="D1306" s="35"/>
      <c r="E1306" s="35"/>
      <c r="F1306" s="35"/>
      <c r="G1306" s="35"/>
      <c r="H1306" s="35"/>
      <c r="I1306" s="35"/>
      <c r="J1306" s="35"/>
      <c r="K1306" s="35"/>
      <c r="L1306" s="35"/>
      <c r="M1306" s="35"/>
      <c r="N1306" s="35"/>
    </row>
    <row r="1307" spans="1:14" x14ac:dyDescent="0.3">
      <c r="A1307" s="370" t="s">
        <v>141</v>
      </c>
      <c r="B1307" s="370"/>
      <c r="C1307" s="370"/>
      <c r="D1307" s="107"/>
      <c r="E1307" s="107"/>
      <c r="F1307" s="107"/>
      <c r="G1307" s="7"/>
      <c r="H1307" s="7"/>
      <c r="I1307" s="7"/>
      <c r="J1307" s="7"/>
      <c r="K1307" s="7"/>
      <c r="L1307" s="7"/>
      <c r="M1307" s="7"/>
      <c r="N1307" s="7"/>
    </row>
    <row r="1308" spans="1:14" x14ac:dyDescent="0.3">
      <c r="A1308" s="7"/>
      <c r="B1308" s="37"/>
      <c r="C1308" s="60"/>
      <c r="D1308" s="60"/>
      <c r="E1308" s="60"/>
      <c r="F1308" s="60"/>
      <c r="G1308" s="60"/>
      <c r="H1308" s="60"/>
      <c r="I1308" s="60"/>
      <c r="J1308" s="60"/>
      <c r="K1308" s="60"/>
      <c r="L1308" s="60"/>
      <c r="M1308" s="60"/>
      <c r="N1308" s="60"/>
    </row>
    <row r="1309" spans="1:14" x14ac:dyDescent="0.3">
      <c r="B1309" s="367" t="s">
        <v>80</v>
      </c>
      <c r="C1309" s="367"/>
      <c r="D1309" s="107"/>
      <c r="E1309" s="107"/>
      <c r="F1309" s="107"/>
      <c r="G1309" s="35"/>
      <c r="H1309" s="35"/>
      <c r="I1309" s="35"/>
      <c r="J1309" s="35"/>
      <c r="K1309" s="35"/>
      <c r="L1309" s="35"/>
      <c r="M1309" s="35"/>
      <c r="N1309" s="35"/>
    </row>
    <row r="1310" spans="1:14" x14ac:dyDescent="0.3">
      <c r="A1310" t="s">
        <v>160</v>
      </c>
      <c r="B1310" s="29" t="s">
        <v>146</v>
      </c>
      <c r="C1310" s="26">
        <f>(C66/(C66+C69))*100</f>
        <v>59.230769230769234</v>
      </c>
      <c r="D1310" s="35"/>
      <c r="E1310" s="35"/>
      <c r="F1310" s="35"/>
      <c r="G1310" s="35"/>
      <c r="H1310" s="35"/>
      <c r="I1310" s="35"/>
      <c r="J1310" s="35"/>
      <c r="K1310" s="35"/>
      <c r="L1310" s="35"/>
      <c r="M1310" s="35"/>
      <c r="N1310" s="35"/>
    </row>
    <row r="1311" spans="1:14" x14ac:dyDescent="0.3">
      <c r="A1311" t="s">
        <v>161</v>
      </c>
      <c r="B1311" s="29" t="s">
        <v>152</v>
      </c>
      <c r="C1311" s="26">
        <f>100-C1310</f>
        <v>40.769230769230766</v>
      </c>
      <c r="D1311" s="35"/>
      <c r="E1311" s="35"/>
      <c r="F1311" s="35"/>
      <c r="G1311" s="35"/>
      <c r="H1311" s="35"/>
      <c r="I1311" s="35"/>
      <c r="J1311" s="35"/>
      <c r="K1311" s="35"/>
      <c r="L1311" s="35"/>
      <c r="M1311" s="35"/>
      <c r="N1311" s="35"/>
    </row>
    <row r="1312" spans="1:14" x14ac:dyDescent="0.3">
      <c r="A1312" t="s">
        <v>149</v>
      </c>
      <c r="B1312" s="29" t="s">
        <v>143</v>
      </c>
      <c r="C1312" s="26">
        <f>B1287</f>
        <v>0.22249642163486941</v>
      </c>
      <c r="D1312" s="35"/>
      <c r="E1312" s="35"/>
      <c r="F1312" s="35"/>
      <c r="G1312" s="35"/>
      <c r="H1312" s="35"/>
      <c r="I1312" s="35"/>
      <c r="J1312" s="35"/>
      <c r="K1312" s="35"/>
      <c r="L1312" s="35"/>
      <c r="M1312" s="35"/>
      <c r="N1312" s="35"/>
    </row>
    <row r="1313" spans="1:14" x14ac:dyDescent="0.3">
      <c r="A1313" t="s">
        <v>148</v>
      </c>
      <c r="B1313" s="29" t="s">
        <v>142</v>
      </c>
      <c r="C1313" s="26">
        <f>B1279</f>
        <v>2.403135117735709</v>
      </c>
      <c r="D1313" s="35"/>
      <c r="E1313" s="35"/>
      <c r="F1313" s="35"/>
      <c r="G1313" s="35"/>
      <c r="H1313" s="35"/>
      <c r="I1313" s="35"/>
      <c r="J1313" s="35"/>
      <c r="K1313" s="35"/>
      <c r="L1313" s="35"/>
      <c r="M1313" s="35"/>
      <c r="N1313" s="35"/>
    </row>
    <row r="1314" spans="1:14" x14ac:dyDescent="0.3">
      <c r="A1314" t="s">
        <v>147</v>
      </c>
      <c r="B1314" s="69" t="s">
        <v>150</v>
      </c>
      <c r="C1314" s="26">
        <f>ATAN(C1312/C1313)</f>
        <v>9.2322696524158906E-2</v>
      </c>
      <c r="D1314" s="35"/>
      <c r="E1314" s="35"/>
      <c r="F1314" s="35"/>
      <c r="G1314" s="35"/>
      <c r="H1314" s="35"/>
      <c r="I1314" s="35"/>
      <c r="J1314" s="35"/>
      <c r="K1314" s="35"/>
      <c r="L1314" s="35"/>
      <c r="M1314" s="35"/>
      <c r="N1314" s="35"/>
    </row>
    <row r="1315" spans="1:14" x14ac:dyDescent="0.3">
      <c r="B1315" s="69" t="s">
        <v>151</v>
      </c>
      <c r="C1315" s="26">
        <f>DEGREES(C1314)</f>
        <v>5.2897008641014205</v>
      </c>
      <c r="D1315" s="35"/>
      <c r="E1315" s="35"/>
      <c r="F1315" s="35"/>
      <c r="G1315" s="35"/>
      <c r="H1315" s="35"/>
      <c r="I1315" s="35"/>
      <c r="J1315" s="35"/>
      <c r="K1315" s="35"/>
      <c r="L1315" s="35"/>
      <c r="M1315" s="35"/>
      <c r="N1315" s="35"/>
    </row>
    <row r="1316" spans="1:14" x14ac:dyDescent="0.3">
      <c r="A1316" s="7" t="s">
        <v>144</v>
      </c>
      <c r="B1316" s="69" t="s">
        <v>145</v>
      </c>
      <c r="C1316" s="34">
        <f>(C1310*$C$4*TAN(C1314))/C47</f>
        <v>28.516456423020166</v>
      </c>
      <c r="D1316" s="35"/>
      <c r="E1316" s="35"/>
      <c r="F1316" s="35"/>
      <c r="G1316" s="46"/>
      <c r="H1316" s="46"/>
      <c r="I1316" s="46"/>
      <c r="J1316" s="46"/>
      <c r="K1316" s="46"/>
      <c r="L1316" s="46"/>
      <c r="M1316" s="46"/>
      <c r="N1316" s="46"/>
    </row>
    <row r="1317" spans="1:14" x14ac:dyDescent="0.3">
      <c r="A1317" s="7" t="s">
        <v>155</v>
      </c>
      <c r="B1317" s="69" t="s">
        <v>157</v>
      </c>
      <c r="C1317" s="16">
        <f>ATAN(G1287/G1279)</f>
        <v>0.11321487211057603</v>
      </c>
      <c r="D1317" s="35"/>
      <c r="E1317" s="35"/>
      <c r="F1317" s="35"/>
      <c r="G1317" s="46"/>
      <c r="H1317" s="46"/>
      <c r="I1317" s="46"/>
      <c r="J1317" s="46"/>
      <c r="K1317" s="46"/>
      <c r="L1317" s="46"/>
      <c r="M1317" s="46"/>
      <c r="N1317" s="46"/>
    </row>
    <row r="1318" spans="1:14" x14ac:dyDescent="0.3">
      <c r="A1318" s="7"/>
      <c r="B1318" s="69" t="s">
        <v>156</v>
      </c>
      <c r="C1318" s="16">
        <f>DEGREES(C1317)</f>
        <v>6.4867343500493773</v>
      </c>
      <c r="D1318" s="35"/>
      <c r="E1318" s="35"/>
      <c r="F1318" s="35"/>
      <c r="G1318" s="46"/>
      <c r="H1318" s="46"/>
      <c r="I1318" s="46"/>
      <c r="J1318" s="46"/>
      <c r="K1318" s="46"/>
      <c r="L1318" s="46"/>
      <c r="M1318" s="46"/>
      <c r="N1318" s="46"/>
    </row>
    <row r="1319" spans="1:14" x14ac:dyDescent="0.3">
      <c r="A1319" s="7" t="s">
        <v>153</v>
      </c>
      <c r="B1319" s="69" t="s">
        <v>154</v>
      </c>
      <c r="C1319" s="34">
        <f>(C1311*$C$4*TAN(C1317))/C47</f>
        <v>24.104628887695824</v>
      </c>
      <c r="D1319" s="35"/>
      <c r="E1319" s="35"/>
      <c r="F1319" s="35"/>
      <c r="G1319" s="46"/>
      <c r="H1319" s="46"/>
      <c r="I1319" s="46"/>
      <c r="J1319" s="46"/>
      <c r="K1319" s="46"/>
      <c r="L1319" s="46"/>
      <c r="M1319" s="46"/>
      <c r="N1319" s="46"/>
    </row>
    <row r="1320" spans="1:14" x14ac:dyDescent="0.3">
      <c r="A1320" s="7" t="s">
        <v>158</v>
      </c>
      <c r="B1320" s="69" t="s">
        <v>159</v>
      </c>
      <c r="C1320" s="34">
        <f>(($C$4*TAN(B1257))/C47)*100</f>
        <v>27.252045227181434</v>
      </c>
      <c r="D1320" s="35"/>
      <c r="E1320" s="35"/>
      <c r="F1320" s="35"/>
      <c r="G1320" s="46"/>
      <c r="H1320" s="46"/>
      <c r="I1320" s="46"/>
      <c r="J1320" s="46"/>
      <c r="K1320" s="46"/>
      <c r="L1320" s="46"/>
      <c r="M1320" s="46"/>
      <c r="N1320" s="46"/>
    </row>
    <row r="1321" spans="1:14" x14ac:dyDescent="0.3">
      <c r="A1321" s="7"/>
      <c r="B1321" s="36"/>
      <c r="C1321" s="35"/>
      <c r="D1321" s="35"/>
      <c r="E1321" s="35"/>
      <c r="F1321" s="35"/>
      <c r="G1321" s="46"/>
      <c r="H1321" s="46"/>
      <c r="I1321" s="46"/>
      <c r="J1321" s="46"/>
      <c r="K1321" s="46"/>
      <c r="L1321" s="46"/>
      <c r="M1321" s="46"/>
      <c r="N1321" s="46"/>
    </row>
    <row r="1322" spans="1:14" x14ac:dyDescent="0.3">
      <c r="B1322" s="367" t="s">
        <v>81</v>
      </c>
      <c r="C1322" s="367"/>
      <c r="D1322" s="107"/>
      <c r="E1322" s="107"/>
      <c r="F1322" s="107"/>
    </row>
    <row r="1323" spans="1:14" x14ac:dyDescent="0.3">
      <c r="A1323" t="s">
        <v>160</v>
      </c>
      <c r="B1323" s="29" t="s">
        <v>146</v>
      </c>
      <c r="C1323" s="26">
        <f>(C82/(C82+C85))*100</f>
        <v>51.538461538461533</v>
      </c>
      <c r="D1323" s="35"/>
      <c r="E1323" s="35"/>
      <c r="F1323" s="35"/>
    </row>
    <row r="1324" spans="1:14" x14ac:dyDescent="0.3">
      <c r="A1324" t="s">
        <v>161</v>
      </c>
      <c r="B1324" s="29" t="s">
        <v>152</v>
      </c>
      <c r="C1324" s="26">
        <f>100-C1323</f>
        <v>48.461538461538467</v>
      </c>
      <c r="D1324" s="35"/>
      <c r="E1324" s="35"/>
      <c r="F1324" s="35"/>
    </row>
    <row r="1325" spans="1:14" x14ac:dyDescent="0.3">
      <c r="A1325" t="s">
        <v>149</v>
      </c>
      <c r="B1325" s="29" t="s">
        <v>143</v>
      </c>
      <c r="C1325" s="26">
        <f>B1287</f>
        <v>0.22249642163486941</v>
      </c>
      <c r="D1325" s="35"/>
      <c r="E1325" s="35"/>
      <c r="F1325" s="35"/>
    </row>
    <row r="1326" spans="1:14" x14ac:dyDescent="0.3">
      <c r="A1326" t="s">
        <v>148</v>
      </c>
      <c r="B1326" s="29" t="s">
        <v>142</v>
      </c>
      <c r="C1326" s="26">
        <f>B1279</f>
        <v>2.403135117735709</v>
      </c>
      <c r="D1326" s="35"/>
      <c r="E1326" s="35"/>
      <c r="F1326" s="35"/>
    </row>
    <row r="1327" spans="1:14" x14ac:dyDescent="0.3">
      <c r="A1327" t="s">
        <v>147</v>
      </c>
      <c r="B1327" s="69" t="s">
        <v>150</v>
      </c>
      <c r="C1327" s="26">
        <f>ATAN(C1325/C1326)</f>
        <v>9.2322696524158906E-2</v>
      </c>
      <c r="D1327" s="35"/>
      <c r="E1327" s="35"/>
      <c r="F1327" s="35"/>
    </row>
    <row r="1328" spans="1:14" x14ac:dyDescent="0.3">
      <c r="B1328" s="69" t="s">
        <v>151</v>
      </c>
      <c r="C1328" s="26">
        <f>DEGREES(C1327)</f>
        <v>5.2897008641014205</v>
      </c>
      <c r="D1328" s="35"/>
      <c r="E1328" s="35"/>
      <c r="F1328" s="35"/>
    </row>
    <row r="1329" spans="1:6" x14ac:dyDescent="0.3">
      <c r="A1329" s="7" t="s">
        <v>144</v>
      </c>
      <c r="B1329" s="69" t="s">
        <v>145</v>
      </c>
      <c r="C1329" s="34">
        <f>(C1323*$C$4*TAN(C1327))/C47</f>
        <v>24.813020523926635</v>
      </c>
      <c r="D1329" s="35"/>
      <c r="E1329" s="35"/>
      <c r="F1329" s="35"/>
    </row>
    <row r="1330" spans="1:6" x14ac:dyDescent="0.3">
      <c r="A1330" s="7" t="s">
        <v>155</v>
      </c>
      <c r="B1330" s="69" t="s">
        <v>157</v>
      </c>
      <c r="C1330" s="16">
        <f>ATAN(G1287/G1279)</f>
        <v>0.11321487211057603</v>
      </c>
      <c r="D1330" s="35"/>
      <c r="E1330" s="35"/>
      <c r="F1330" s="35"/>
    </row>
    <row r="1331" spans="1:6" x14ac:dyDescent="0.3">
      <c r="A1331" s="7"/>
      <c r="B1331" s="69" t="s">
        <v>156</v>
      </c>
      <c r="C1331" s="16">
        <f>DEGREES(C1330)</f>
        <v>6.4867343500493773</v>
      </c>
      <c r="D1331" s="35"/>
      <c r="E1331" s="35"/>
      <c r="F1331" s="35"/>
    </row>
    <row r="1332" spans="1:6" x14ac:dyDescent="0.3">
      <c r="A1332" s="7" t="s">
        <v>153</v>
      </c>
      <c r="B1332" s="69" t="s">
        <v>154</v>
      </c>
      <c r="C1332" s="34">
        <f>(C1324*$C$4*TAN(C1330))/C47</f>
        <v>28.65267207405353</v>
      </c>
      <c r="D1332" s="35"/>
      <c r="E1332" s="35"/>
      <c r="F1332" s="35"/>
    </row>
    <row r="1333" spans="1:6" x14ac:dyDescent="0.3">
      <c r="A1333" s="7" t="s">
        <v>158</v>
      </c>
      <c r="B1333" s="69" t="s">
        <v>159</v>
      </c>
      <c r="C1333" s="34">
        <f>(($C$4*TAN(B1257))/C47)*100</f>
        <v>27.252045227181434</v>
      </c>
      <c r="D1333" s="35"/>
      <c r="E1333" s="35"/>
      <c r="F1333" s="35"/>
    </row>
    <row r="1334" spans="1:6" x14ac:dyDescent="0.3">
      <c r="D1334" s="7"/>
      <c r="E1334" s="7"/>
      <c r="F1334" s="7"/>
    </row>
    <row r="1335" spans="1:6" x14ac:dyDescent="0.3">
      <c r="B1335" s="367" t="s">
        <v>82</v>
      </c>
      <c r="C1335" s="367"/>
      <c r="D1335" s="107"/>
      <c r="E1335" s="107"/>
      <c r="F1335" s="107"/>
    </row>
    <row r="1336" spans="1:6" x14ac:dyDescent="0.3">
      <c r="A1336" t="s">
        <v>160</v>
      </c>
      <c r="B1336" s="29" t="s">
        <v>146</v>
      </c>
      <c r="C1336" s="26">
        <f>(C98/(C98+C101))*100</f>
        <v>42.884615384615387</v>
      </c>
      <c r="D1336" s="35"/>
      <c r="E1336" s="35"/>
      <c r="F1336" s="35"/>
    </row>
    <row r="1337" spans="1:6" x14ac:dyDescent="0.3">
      <c r="A1337" t="s">
        <v>161</v>
      </c>
      <c r="B1337" s="29" t="s">
        <v>152</v>
      </c>
      <c r="C1337" s="26">
        <f>100-C1336</f>
        <v>57.115384615384613</v>
      </c>
      <c r="D1337" s="35"/>
      <c r="E1337" s="35"/>
      <c r="F1337" s="35"/>
    </row>
    <row r="1338" spans="1:6" x14ac:dyDescent="0.3">
      <c r="A1338" t="s">
        <v>149</v>
      </c>
      <c r="B1338" s="29" t="s">
        <v>143</v>
      </c>
      <c r="C1338" s="26">
        <f>B1287</f>
        <v>0.22249642163486941</v>
      </c>
      <c r="D1338" s="35"/>
      <c r="E1338" s="35"/>
      <c r="F1338" s="35"/>
    </row>
    <row r="1339" spans="1:6" x14ac:dyDescent="0.3">
      <c r="A1339" t="s">
        <v>148</v>
      </c>
      <c r="B1339" s="29" t="s">
        <v>142</v>
      </c>
      <c r="C1339" s="26">
        <f>B1279</f>
        <v>2.403135117735709</v>
      </c>
      <c r="D1339" s="35"/>
      <c r="E1339" s="35"/>
      <c r="F1339" s="35"/>
    </row>
    <row r="1340" spans="1:6" x14ac:dyDescent="0.3">
      <c r="A1340" t="s">
        <v>147</v>
      </c>
      <c r="B1340" s="69" t="s">
        <v>150</v>
      </c>
      <c r="C1340" s="26">
        <f>ATAN(C1338/C1339)</f>
        <v>9.2322696524158906E-2</v>
      </c>
      <c r="D1340" s="35"/>
      <c r="E1340" s="35"/>
      <c r="F1340" s="35"/>
    </row>
    <row r="1341" spans="1:6" x14ac:dyDescent="0.3">
      <c r="B1341" s="69" t="s">
        <v>151</v>
      </c>
      <c r="C1341" s="26">
        <f>DEGREES(C1340)</f>
        <v>5.2897008641014205</v>
      </c>
      <c r="D1341" s="35"/>
      <c r="E1341" s="35"/>
      <c r="F1341" s="35"/>
    </row>
    <row r="1342" spans="1:6" x14ac:dyDescent="0.3">
      <c r="A1342" s="7" t="s">
        <v>144</v>
      </c>
      <c r="B1342" s="69" t="s">
        <v>145</v>
      </c>
      <c r="C1342" s="34">
        <f>(C1336*$C$4*TAN(C1340))/C47</f>
        <v>20.64665513744642</v>
      </c>
      <c r="D1342" s="35"/>
      <c r="E1342" s="35"/>
      <c r="F1342" s="35"/>
    </row>
    <row r="1343" spans="1:6" x14ac:dyDescent="0.3">
      <c r="A1343" s="7" t="s">
        <v>155</v>
      </c>
      <c r="B1343" s="69" t="s">
        <v>157</v>
      </c>
      <c r="C1343" s="16">
        <f>ATAN(G1287/G1279)</f>
        <v>0.11321487211057603</v>
      </c>
      <c r="D1343" s="35"/>
      <c r="E1343" s="35"/>
      <c r="F1343" s="35"/>
    </row>
    <row r="1344" spans="1:6" x14ac:dyDescent="0.3">
      <c r="A1344" s="7"/>
      <c r="B1344" s="69" t="s">
        <v>156</v>
      </c>
      <c r="C1344" s="16">
        <f>DEGREES(C1343)</f>
        <v>6.4867343500493773</v>
      </c>
      <c r="D1344" s="35"/>
      <c r="E1344" s="35"/>
      <c r="F1344" s="35"/>
    </row>
    <row r="1345" spans="1:6" x14ac:dyDescent="0.3">
      <c r="A1345" s="7" t="s">
        <v>153</v>
      </c>
      <c r="B1345" s="69" t="s">
        <v>154</v>
      </c>
      <c r="C1345" s="34">
        <f>(C1337*$C$4*TAN(C1343))/C47</f>
        <v>33.76922065870594</v>
      </c>
      <c r="D1345" s="35"/>
      <c r="E1345" s="35"/>
      <c r="F1345" s="35"/>
    </row>
    <row r="1346" spans="1:6" x14ac:dyDescent="0.3">
      <c r="A1346" s="7" t="s">
        <v>158</v>
      </c>
      <c r="B1346" s="69" t="s">
        <v>159</v>
      </c>
      <c r="C1346" s="34">
        <f>(($C$4*TAN(B1257))/C47)*100</f>
        <v>27.252045227181434</v>
      </c>
      <c r="D1346" s="35"/>
      <c r="E1346" s="35"/>
      <c r="F1346" s="35"/>
    </row>
    <row r="1349" spans="1:6" x14ac:dyDescent="0.3">
      <c r="A1349" s="370" t="s">
        <v>275</v>
      </c>
      <c r="B1349" s="370"/>
    </row>
    <row r="1351" spans="1:6" x14ac:dyDescent="0.3">
      <c r="A1351" s="111" t="s">
        <v>276</v>
      </c>
      <c r="B1351" s="112">
        <v>4</v>
      </c>
    </row>
    <row r="1352" spans="1:6" x14ac:dyDescent="0.3">
      <c r="A1352" s="111" t="s">
        <v>277</v>
      </c>
      <c r="B1352" s="109">
        <f>RADIANS(B1351)</f>
        <v>6.9813170079773182E-2</v>
      </c>
    </row>
    <row r="1353" spans="1:6" x14ac:dyDescent="0.3">
      <c r="A1353" s="111" t="s">
        <v>278</v>
      </c>
      <c r="B1353" s="110">
        <f>TAN(B1352)*(C128-B352)</f>
        <v>1.0782714401689306E-2</v>
      </c>
    </row>
  </sheetData>
  <mergeCells count="265">
    <mergeCell ref="C1200:K1200"/>
    <mergeCell ref="A1202:A1221"/>
    <mergeCell ref="A1198:K1198"/>
    <mergeCell ref="A1223:K1223"/>
    <mergeCell ref="A1225:B1226"/>
    <mergeCell ref="C1225:K1225"/>
    <mergeCell ref="A1227:A1246"/>
    <mergeCell ref="A1248:G1248"/>
    <mergeCell ref="A1115:K1115"/>
    <mergeCell ref="A1117:B1118"/>
    <mergeCell ref="C1117:K1117"/>
    <mergeCell ref="A1119:A1138"/>
    <mergeCell ref="A1140:K1140"/>
    <mergeCell ref="A1142:B1143"/>
    <mergeCell ref="C1142:K1142"/>
    <mergeCell ref="A1144:A1163"/>
    <mergeCell ref="A1165:K1165"/>
    <mergeCell ref="A1167:B1168"/>
    <mergeCell ref="C1167:K1167"/>
    <mergeCell ref="A1169:A1188"/>
    <mergeCell ref="A1190:K1190"/>
    <mergeCell ref="A1193:B1193"/>
    <mergeCell ref="E1193:F1193"/>
    <mergeCell ref="A1194:B1194"/>
    <mergeCell ref="E1194:F1194"/>
    <mergeCell ref="A1192:C1192"/>
    <mergeCell ref="E1192:G1192"/>
    <mergeCell ref="A1196:K1196"/>
    <mergeCell ref="A1200:B1201"/>
    <mergeCell ref="A1063:K1063"/>
    <mergeCell ref="A1065:B1066"/>
    <mergeCell ref="C1065:K1065"/>
    <mergeCell ref="A1067:A1086"/>
    <mergeCell ref="A1088:K1088"/>
    <mergeCell ref="A1092:B1093"/>
    <mergeCell ref="C1092:K1092"/>
    <mergeCell ref="A1094:A1113"/>
    <mergeCell ref="A1038:K1038"/>
    <mergeCell ref="A1040:B1041"/>
    <mergeCell ref="C1040:K1040"/>
    <mergeCell ref="A1042:A1061"/>
    <mergeCell ref="A1090:K1090"/>
    <mergeCell ref="A1028:K1028"/>
    <mergeCell ref="A1030:B1030"/>
    <mergeCell ref="A1031:B1031"/>
    <mergeCell ref="E1030:F1030"/>
    <mergeCell ref="E1031:F1031"/>
    <mergeCell ref="A1026:K1026"/>
    <mergeCell ref="A1036:K1036"/>
    <mergeCell ref="A1033:B1033"/>
    <mergeCell ref="A1034:B1034"/>
    <mergeCell ref="E1033:F1033"/>
    <mergeCell ref="E1034:F1034"/>
    <mergeCell ref="A1307:C1307"/>
    <mergeCell ref="B1309:C1309"/>
    <mergeCell ref="B1322:C1322"/>
    <mergeCell ref="B1335:C1335"/>
    <mergeCell ref="A1349:B1349"/>
    <mergeCell ref="A1295:B1295"/>
    <mergeCell ref="A1302:G1302"/>
    <mergeCell ref="A1304:B1304"/>
    <mergeCell ref="F1304:G1304"/>
    <mergeCell ref="A1305:B1305"/>
    <mergeCell ref="F1305:G1305"/>
    <mergeCell ref="A1277:G1277"/>
    <mergeCell ref="A1281:G1281"/>
    <mergeCell ref="A1285:B1285"/>
    <mergeCell ref="F1285:G1285"/>
    <mergeCell ref="A1290:G1290"/>
    <mergeCell ref="A1294:B1294"/>
    <mergeCell ref="F1294:G1294"/>
    <mergeCell ref="A1259:B1259"/>
    <mergeCell ref="F1259:G1259"/>
    <mergeCell ref="A1261:B1261"/>
    <mergeCell ref="A1262:B1262"/>
    <mergeCell ref="A1263:B1263"/>
    <mergeCell ref="A1264:B1264"/>
    <mergeCell ref="F1261:G1261"/>
    <mergeCell ref="F1263:G1263"/>
    <mergeCell ref="F1264:G1264"/>
    <mergeCell ref="F1262:G1262"/>
    <mergeCell ref="A804:A823"/>
    <mergeCell ref="A825:K825"/>
    <mergeCell ref="A826:B827"/>
    <mergeCell ref="C826:K826"/>
    <mergeCell ref="A828:A847"/>
    <mergeCell ref="A777:K777"/>
    <mergeCell ref="A778:B779"/>
    <mergeCell ref="C778:K778"/>
    <mergeCell ref="A780:A799"/>
    <mergeCell ref="A801:K801"/>
    <mergeCell ref="A802:B803"/>
    <mergeCell ref="C802:K802"/>
    <mergeCell ref="A856:K856"/>
    <mergeCell ref="A857:B858"/>
    <mergeCell ref="C857:K857"/>
    <mergeCell ref="A859:A878"/>
    <mergeCell ref="A849:K849"/>
    <mergeCell ref="A933:K933"/>
    <mergeCell ref="A934:B935"/>
    <mergeCell ref="C934:K934"/>
    <mergeCell ref="A936:A955"/>
    <mergeCell ref="A880:K880"/>
    <mergeCell ref="A907:A926"/>
    <mergeCell ref="A1005:K1005"/>
    <mergeCell ref="A727:A746"/>
    <mergeCell ref="A748:B748"/>
    <mergeCell ref="A753:K753"/>
    <mergeCell ref="A754:B755"/>
    <mergeCell ref="C754:K754"/>
    <mergeCell ref="A756:A775"/>
    <mergeCell ref="A701:B702"/>
    <mergeCell ref="C701:K701"/>
    <mergeCell ref="A703:A722"/>
    <mergeCell ref="A724:K724"/>
    <mergeCell ref="A725:B726"/>
    <mergeCell ref="C725:K725"/>
    <mergeCell ref="A960:A979"/>
    <mergeCell ref="A981:K981"/>
    <mergeCell ref="A982:B983"/>
    <mergeCell ref="C982:K982"/>
    <mergeCell ref="A984:A1003"/>
    <mergeCell ref="A881:B882"/>
    <mergeCell ref="C881:K881"/>
    <mergeCell ref="A883:A902"/>
    <mergeCell ref="A904:K904"/>
    <mergeCell ref="A905:B906"/>
    <mergeCell ref="C905:K905"/>
    <mergeCell ref="A655:A674"/>
    <mergeCell ref="A676:K676"/>
    <mergeCell ref="A677:B678"/>
    <mergeCell ref="C677:K677"/>
    <mergeCell ref="A679:A698"/>
    <mergeCell ref="A700:K700"/>
    <mergeCell ref="A629:B630"/>
    <mergeCell ref="C629:K629"/>
    <mergeCell ref="A631:A650"/>
    <mergeCell ref="A652:K652"/>
    <mergeCell ref="A653:B654"/>
    <mergeCell ref="C653:K653"/>
    <mergeCell ref="A583:A602"/>
    <mergeCell ref="A604:K604"/>
    <mergeCell ref="A605:B606"/>
    <mergeCell ref="C605:K605"/>
    <mergeCell ref="A607:A626"/>
    <mergeCell ref="A628:K628"/>
    <mergeCell ref="A552:B553"/>
    <mergeCell ref="C552:K552"/>
    <mergeCell ref="A554:A573"/>
    <mergeCell ref="A575:B575"/>
    <mergeCell ref="A580:K580"/>
    <mergeCell ref="A581:B582"/>
    <mergeCell ref="C581:K581"/>
    <mergeCell ref="A525:G525"/>
    <mergeCell ref="A527:K527"/>
    <mergeCell ref="A528:B529"/>
    <mergeCell ref="C528:K528"/>
    <mergeCell ref="A530:A549"/>
    <mergeCell ref="A551:K551"/>
    <mergeCell ref="A490:B491"/>
    <mergeCell ref="C490:K490"/>
    <mergeCell ref="A492:A511"/>
    <mergeCell ref="A513:G513"/>
    <mergeCell ref="A515:B515"/>
    <mergeCell ref="A524:G524"/>
    <mergeCell ref="F515:G515"/>
    <mergeCell ref="A444:A463"/>
    <mergeCell ref="A465:K465"/>
    <mergeCell ref="A466:B467"/>
    <mergeCell ref="C466:K466"/>
    <mergeCell ref="A468:A487"/>
    <mergeCell ref="A489:K489"/>
    <mergeCell ref="A430:G430"/>
    <mergeCell ref="A432:B432"/>
    <mergeCell ref="A435:G435"/>
    <mergeCell ref="A437:B437"/>
    <mergeCell ref="A441:K441"/>
    <mergeCell ref="A442:B443"/>
    <mergeCell ref="C442:K442"/>
    <mergeCell ref="A392:B392"/>
    <mergeCell ref="A407:G407"/>
    <mergeCell ref="A411:G411"/>
    <mergeCell ref="A415:B415"/>
    <mergeCell ref="A420:B420"/>
    <mergeCell ref="A426:B426"/>
    <mergeCell ref="A375:B375"/>
    <mergeCell ref="A381:G381"/>
    <mergeCell ref="A383:B383"/>
    <mergeCell ref="A389:B389"/>
    <mergeCell ref="A390:B390"/>
    <mergeCell ref="A391:B391"/>
    <mergeCell ref="F390:G390"/>
    <mergeCell ref="F389:G389"/>
    <mergeCell ref="F391:G391"/>
    <mergeCell ref="F392:G392"/>
    <mergeCell ref="A345:B345"/>
    <mergeCell ref="A346:B346"/>
    <mergeCell ref="A347:B347"/>
    <mergeCell ref="A362:G362"/>
    <mergeCell ref="A366:G366"/>
    <mergeCell ref="A370:B370"/>
    <mergeCell ref="A313:C313"/>
    <mergeCell ref="A325:C325"/>
    <mergeCell ref="A333:B333"/>
    <mergeCell ref="A336:G336"/>
    <mergeCell ref="A338:B338"/>
    <mergeCell ref="A344:B344"/>
    <mergeCell ref="F370:G370"/>
    <mergeCell ref="F338:G338"/>
    <mergeCell ref="F347:G347"/>
    <mergeCell ref="F345:G345"/>
    <mergeCell ref="F346:G346"/>
    <mergeCell ref="F344:G344"/>
    <mergeCell ref="A217:F217"/>
    <mergeCell ref="A261:A264"/>
    <mergeCell ref="A265:A268"/>
    <mergeCell ref="A269:A272"/>
    <mergeCell ref="A273:A276"/>
    <mergeCell ref="A277:A280"/>
    <mergeCell ref="A281:A284"/>
    <mergeCell ref="A237:A240"/>
    <mergeCell ref="A241:A244"/>
    <mergeCell ref="A245:A248"/>
    <mergeCell ref="A249:A252"/>
    <mergeCell ref="A253:A256"/>
    <mergeCell ref="A257:A260"/>
    <mergeCell ref="B1:H1"/>
    <mergeCell ref="B34:F34"/>
    <mergeCell ref="B49:F49"/>
    <mergeCell ref="B60:F60"/>
    <mergeCell ref="I60:L60"/>
    <mergeCell ref="B62:F62"/>
    <mergeCell ref="H62:L62"/>
    <mergeCell ref="B165:F165"/>
    <mergeCell ref="A180:C180"/>
    <mergeCell ref="B116:F116"/>
    <mergeCell ref="B118:F118"/>
    <mergeCell ref="A121:C121"/>
    <mergeCell ref="A133:F133"/>
    <mergeCell ref="B135:F135"/>
    <mergeCell ref="B150:F150"/>
    <mergeCell ref="A957:K957"/>
    <mergeCell ref="A958:B959"/>
    <mergeCell ref="C958:K958"/>
    <mergeCell ref="B78:F78"/>
    <mergeCell ref="H78:L78"/>
    <mergeCell ref="B94:F94"/>
    <mergeCell ref="H94:L94"/>
    <mergeCell ref="C112:F112"/>
    <mergeCell ref="B114:F114"/>
    <mergeCell ref="A189:F189"/>
    <mergeCell ref="A191:C191"/>
    <mergeCell ref="D191:F191"/>
    <mergeCell ref="A195:A198"/>
    <mergeCell ref="A219:C219"/>
    <mergeCell ref="D219:F219"/>
    <mergeCell ref="A221:A222"/>
    <mergeCell ref="A225:A228"/>
    <mergeCell ref="A229:A232"/>
    <mergeCell ref="A233:A236"/>
    <mergeCell ref="A199:A202"/>
    <mergeCell ref="A204:C204"/>
    <mergeCell ref="D204:F204"/>
    <mergeCell ref="A208:A211"/>
    <mergeCell ref="A212:A2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33"/>
  <sheetViews>
    <sheetView topLeftCell="H1" zoomScale="85" zoomScaleNormal="85" workbookViewId="0">
      <selection activeCell="V130" sqref="V130"/>
    </sheetView>
  </sheetViews>
  <sheetFormatPr defaultRowHeight="14.4" x14ac:dyDescent="0.3"/>
  <cols>
    <col min="2" max="2" width="44.5546875" customWidth="1"/>
    <col min="6" max="6" width="46.44140625" customWidth="1"/>
    <col min="13" max="13" width="40.44140625" customWidth="1"/>
    <col min="23" max="23" width="11.77734375" customWidth="1"/>
  </cols>
  <sheetData>
    <row r="1" spans="1:42" x14ac:dyDescent="0.3">
      <c r="A1" s="302"/>
      <c r="B1" s="302"/>
      <c r="C1" s="302"/>
      <c r="D1" s="302"/>
      <c r="E1" s="302"/>
      <c r="F1" s="302"/>
      <c r="G1" s="302"/>
      <c r="H1" s="302"/>
      <c r="I1" s="302"/>
      <c r="J1" s="302"/>
      <c r="K1" s="302"/>
      <c r="L1" s="302"/>
      <c r="M1" s="302"/>
      <c r="N1" s="302"/>
      <c r="O1" s="302"/>
      <c r="P1" s="302"/>
      <c r="Q1" s="302"/>
      <c r="R1" s="302"/>
      <c r="S1" s="302"/>
      <c r="T1" s="302"/>
      <c r="U1" s="302"/>
      <c r="V1" s="302"/>
      <c r="W1" s="302"/>
      <c r="X1" s="302"/>
      <c r="Y1" s="302"/>
      <c r="Z1" s="302"/>
      <c r="AA1" s="302"/>
      <c r="AB1" s="302"/>
      <c r="AC1" s="302"/>
      <c r="AD1" s="302"/>
      <c r="AE1" s="302"/>
      <c r="AF1" s="302"/>
      <c r="AG1" s="302"/>
      <c r="AH1" s="302"/>
      <c r="AI1" s="302"/>
      <c r="AJ1" s="302"/>
      <c r="AK1" s="140"/>
      <c r="AL1" s="140"/>
      <c r="AM1" s="140"/>
      <c r="AN1" s="140"/>
      <c r="AO1" s="140"/>
      <c r="AP1" s="140"/>
    </row>
    <row r="2" spans="1:42" x14ac:dyDescent="0.3">
      <c r="A2" s="302"/>
      <c r="B2" s="303" t="s">
        <v>325</v>
      </c>
      <c r="C2" s="303">
        <v>400</v>
      </c>
      <c r="D2" s="303" t="s">
        <v>326</v>
      </c>
      <c r="E2" s="304"/>
      <c r="F2" s="305"/>
      <c r="G2" s="305" t="s">
        <v>45</v>
      </c>
      <c r="H2" s="305" t="s">
        <v>46</v>
      </c>
      <c r="I2" s="305" t="s">
        <v>48</v>
      </c>
      <c r="J2" s="305" t="s">
        <v>47</v>
      </c>
      <c r="K2" s="305"/>
      <c r="L2" s="302"/>
      <c r="M2" s="303"/>
      <c r="N2" s="303" t="s">
        <v>327</v>
      </c>
      <c r="O2" s="303" t="s">
        <v>328</v>
      </c>
      <c r="P2" s="303" t="s">
        <v>329</v>
      </c>
      <c r="Q2" s="303" t="s">
        <v>330</v>
      </c>
      <c r="R2" s="303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140"/>
      <c r="AL2" s="140"/>
      <c r="AM2" s="140"/>
      <c r="AN2" s="140"/>
      <c r="AO2" s="140"/>
      <c r="AP2" s="140"/>
    </row>
    <row r="3" spans="1:42" x14ac:dyDescent="0.3">
      <c r="A3" s="302"/>
      <c r="B3" s="303" t="s">
        <v>331</v>
      </c>
      <c r="C3" s="303">
        <v>75</v>
      </c>
      <c r="D3" s="303" t="s">
        <v>326</v>
      </c>
      <c r="E3" s="304"/>
      <c r="F3" s="306" t="s">
        <v>332</v>
      </c>
      <c r="G3" s="307">
        <f>C2+1*C3</f>
        <v>475</v>
      </c>
      <c r="H3" s="307">
        <f>C2+2*C3</f>
        <v>550</v>
      </c>
      <c r="I3" s="307">
        <f>C2+3*C3</f>
        <v>625</v>
      </c>
      <c r="J3" s="307">
        <f>C2+4*C3</f>
        <v>700</v>
      </c>
      <c r="K3" s="305" t="s">
        <v>326</v>
      </c>
      <c r="L3" s="302"/>
      <c r="M3" s="308" t="s">
        <v>333</v>
      </c>
      <c r="N3" s="309">
        <v>75</v>
      </c>
      <c r="O3" s="309">
        <v>75</v>
      </c>
      <c r="P3" s="309">
        <v>75</v>
      </c>
      <c r="Q3" s="309">
        <v>75</v>
      </c>
      <c r="R3" s="309" t="s">
        <v>326</v>
      </c>
      <c r="S3" s="302"/>
      <c r="T3" s="302"/>
      <c r="U3" s="302"/>
      <c r="V3" s="302"/>
      <c r="W3" s="302"/>
      <c r="X3" s="302"/>
      <c r="Y3" s="302"/>
      <c r="Z3" s="302"/>
      <c r="AA3" s="302"/>
      <c r="AB3" s="302"/>
      <c r="AC3" s="302"/>
      <c r="AD3" s="302"/>
      <c r="AE3" s="302"/>
      <c r="AF3" s="302"/>
      <c r="AG3" s="302"/>
      <c r="AH3" s="302"/>
      <c r="AI3" s="302"/>
      <c r="AJ3" s="302"/>
      <c r="AK3" s="140"/>
      <c r="AL3" s="140"/>
      <c r="AM3" s="140"/>
      <c r="AN3" s="140"/>
      <c r="AO3" s="140"/>
      <c r="AP3" s="140"/>
    </row>
    <row r="4" spans="1:42" x14ac:dyDescent="0.3">
      <c r="A4" s="302"/>
      <c r="B4" s="435" t="s">
        <v>334</v>
      </c>
      <c r="C4" s="303">
        <f>100-C5</f>
        <v>45</v>
      </c>
      <c r="D4" s="303" t="s">
        <v>335</v>
      </c>
      <c r="E4" s="304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2"/>
      <c r="R4" s="302"/>
      <c r="S4" s="302"/>
      <c r="T4" s="302"/>
      <c r="U4" s="302"/>
      <c r="V4" s="302"/>
      <c r="W4" s="302"/>
      <c r="X4" s="302"/>
      <c r="Y4" s="302"/>
      <c r="Z4" s="302"/>
      <c r="AA4" s="302"/>
      <c r="AB4" s="302"/>
      <c r="AC4" s="302"/>
      <c r="AD4" s="302"/>
      <c r="AE4" s="302"/>
      <c r="AF4" s="302"/>
      <c r="AG4" s="302"/>
      <c r="AH4" s="302"/>
      <c r="AI4" s="302"/>
      <c r="AJ4" s="302"/>
      <c r="AK4" s="140"/>
      <c r="AL4" s="140"/>
      <c r="AM4" s="140"/>
      <c r="AN4" s="140"/>
      <c r="AO4" s="140"/>
      <c r="AP4" s="140"/>
    </row>
    <row r="5" spans="1:42" x14ac:dyDescent="0.3">
      <c r="A5" s="302"/>
      <c r="B5" s="436"/>
      <c r="C5" s="303">
        <v>55</v>
      </c>
      <c r="D5" s="303" t="s">
        <v>335</v>
      </c>
      <c r="E5" s="304"/>
      <c r="F5" s="437" t="s">
        <v>336</v>
      </c>
      <c r="G5" s="438"/>
      <c r="H5" s="438"/>
      <c r="I5" s="438"/>
      <c r="J5" s="438"/>
      <c r="K5" s="439"/>
      <c r="L5" s="302"/>
      <c r="M5" s="310"/>
      <c r="N5" s="311" t="s">
        <v>337</v>
      </c>
      <c r="O5" s="312"/>
      <c r="P5" s="312"/>
      <c r="Q5" s="312"/>
      <c r="R5" s="312"/>
      <c r="S5" s="312"/>
      <c r="T5" s="312"/>
      <c r="U5" s="313"/>
      <c r="V5" s="310"/>
      <c r="W5" s="302"/>
      <c r="X5" s="302"/>
      <c r="Y5" s="302"/>
      <c r="Z5" s="302"/>
      <c r="AA5" s="302"/>
      <c r="AB5" s="302"/>
      <c r="AC5" s="302"/>
      <c r="AD5" s="302"/>
      <c r="AE5" s="302"/>
      <c r="AF5" s="302"/>
      <c r="AG5" s="302"/>
      <c r="AH5" s="302"/>
      <c r="AI5" s="302"/>
      <c r="AJ5" s="302"/>
      <c r="AK5" s="140"/>
      <c r="AL5" s="140"/>
      <c r="AM5" s="140"/>
      <c r="AN5" s="140"/>
      <c r="AO5" s="140"/>
      <c r="AP5" s="140"/>
    </row>
    <row r="6" spans="1:42" x14ac:dyDescent="0.3">
      <c r="A6" s="302"/>
      <c r="B6" s="303" t="s">
        <v>338</v>
      </c>
      <c r="C6" s="303">
        <v>1.5</v>
      </c>
      <c r="D6" s="303" t="s">
        <v>339</v>
      </c>
      <c r="E6" s="304"/>
      <c r="F6" s="309"/>
      <c r="G6" s="309" t="s">
        <v>45</v>
      </c>
      <c r="H6" s="309" t="s">
        <v>46</v>
      </c>
      <c r="I6" s="309" t="s">
        <v>48</v>
      </c>
      <c r="J6" s="309" t="s">
        <v>47</v>
      </c>
      <c r="K6" s="309"/>
      <c r="L6" s="302"/>
      <c r="M6" s="310"/>
      <c r="N6" s="303">
        <v>1</v>
      </c>
      <c r="O6" s="303" t="s">
        <v>340</v>
      </c>
      <c r="P6" s="303" t="s">
        <v>341</v>
      </c>
      <c r="Q6" s="303" t="s">
        <v>342</v>
      </c>
      <c r="R6" s="303" t="s">
        <v>343</v>
      </c>
      <c r="S6" s="303" t="s">
        <v>344</v>
      </c>
      <c r="T6" s="303" t="s">
        <v>345</v>
      </c>
      <c r="U6" s="303" t="s">
        <v>346</v>
      </c>
      <c r="V6" s="314"/>
      <c r="W6" s="302"/>
      <c r="X6" s="302"/>
      <c r="Y6" s="302"/>
      <c r="Z6" s="302"/>
      <c r="AA6" s="302"/>
      <c r="AB6" s="302"/>
      <c r="AC6" s="302"/>
      <c r="AD6" s="302"/>
      <c r="AE6" s="302"/>
      <c r="AF6" s="302"/>
      <c r="AG6" s="302"/>
      <c r="AH6" s="302"/>
      <c r="AI6" s="302"/>
      <c r="AJ6" s="302"/>
      <c r="AK6" s="140"/>
      <c r="AL6" s="140"/>
      <c r="AM6" s="140"/>
      <c r="AN6" s="140"/>
      <c r="AO6" s="140"/>
      <c r="AP6" s="140"/>
    </row>
    <row r="7" spans="1:42" x14ac:dyDescent="0.3">
      <c r="A7" s="302"/>
      <c r="B7" s="303" t="s">
        <v>347</v>
      </c>
      <c r="C7" s="303">
        <v>1.5</v>
      </c>
      <c r="D7" s="303" t="s">
        <v>339</v>
      </c>
      <c r="E7" s="304"/>
      <c r="F7" s="440" t="s">
        <v>348</v>
      </c>
      <c r="G7" s="315">
        <f>$C$4*0.01*$G$3*0.5</f>
        <v>106.875</v>
      </c>
      <c r="H7" s="315">
        <f>$C$4*0.01*$H$3*0.5</f>
        <v>123.75</v>
      </c>
      <c r="I7" s="315">
        <f>$C$4*0.01*$I$3*0.5</f>
        <v>140.625</v>
      </c>
      <c r="J7" s="316">
        <f>$C$4*0.01*$J$3*0.5</f>
        <v>157.5</v>
      </c>
      <c r="K7" s="307" t="s">
        <v>326</v>
      </c>
      <c r="L7" s="302"/>
      <c r="M7" s="317" t="s">
        <v>349</v>
      </c>
      <c r="N7" s="433">
        <f>$C$2+N3</f>
        <v>475</v>
      </c>
      <c r="O7" s="433">
        <f>$C$2+O3+N3</f>
        <v>550</v>
      </c>
      <c r="P7" s="433">
        <f>$C$2+P3+N3</f>
        <v>550</v>
      </c>
      <c r="Q7" s="433">
        <f>$C$2+Q3+N3</f>
        <v>550</v>
      </c>
      <c r="R7" s="433">
        <f>$C$2+O3+P3+N3</f>
        <v>625</v>
      </c>
      <c r="S7" s="433">
        <f>$C$2+O3+Q3+N3</f>
        <v>625</v>
      </c>
      <c r="T7" s="433">
        <f>$C$2+P3+Q3+N3</f>
        <v>625</v>
      </c>
      <c r="U7" s="433">
        <f>$C$2+N3+O3+P3+Q3</f>
        <v>700</v>
      </c>
      <c r="V7" s="433" t="s">
        <v>326</v>
      </c>
      <c r="W7" s="302"/>
      <c r="X7" s="302"/>
      <c r="Y7" s="302"/>
      <c r="Z7" s="302"/>
      <c r="AA7" s="302"/>
      <c r="AB7" s="302"/>
      <c r="AC7" s="302"/>
      <c r="AD7" s="302"/>
      <c r="AE7" s="302"/>
      <c r="AF7" s="302"/>
      <c r="AG7" s="302"/>
      <c r="AH7" s="302"/>
      <c r="AI7" s="302"/>
      <c r="AJ7" s="302"/>
      <c r="AK7" s="140"/>
      <c r="AL7" s="140"/>
      <c r="AM7" s="140"/>
      <c r="AN7" s="140"/>
      <c r="AO7" s="140"/>
      <c r="AP7" s="140"/>
    </row>
    <row r="8" spans="1:42" x14ac:dyDescent="0.3">
      <c r="A8" s="302"/>
      <c r="B8" s="303" t="s">
        <v>350</v>
      </c>
      <c r="C8" s="303">
        <v>2.6</v>
      </c>
      <c r="D8" s="303" t="s">
        <v>339</v>
      </c>
      <c r="E8" s="304"/>
      <c r="F8" s="441"/>
      <c r="G8" s="316">
        <f t="shared" ref="G8:I8" si="0">G7*9.81</f>
        <v>1048.4437500000001</v>
      </c>
      <c r="H8" s="316">
        <f t="shared" si="0"/>
        <v>1213.9875</v>
      </c>
      <c r="I8" s="316">
        <f t="shared" si="0"/>
        <v>1379.53125</v>
      </c>
      <c r="J8" s="316">
        <f>J7*9.81</f>
        <v>1545.075</v>
      </c>
      <c r="K8" s="307" t="s">
        <v>351</v>
      </c>
      <c r="L8" s="302"/>
      <c r="M8" s="318" t="s">
        <v>352</v>
      </c>
      <c r="N8" s="434"/>
      <c r="O8" s="434"/>
      <c r="P8" s="434"/>
      <c r="Q8" s="434"/>
      <c r="R8" s="434"/>
      <c r="S8" s="434"/>
      <c r="T8" s="434"/>
      <c r="U8" s="434"/>
      <c r="V8" s="434"/>
      <c r="W8" s="302"/>
      <c r="X8" s="302"/>
      <c r="Y8" s="302"/>
      <c r="Z8" s="302"/>
      <c r="AA8" s="302"/>
      <c r="AB8" s="302"/>
      <c r="AC8" s="302"/>
      <c r="AD8" s="302"/>
      <c r="AE8" s="302"/>
      <c r="AF8" s="302"/>
      <c r="AG8" s="302"/>
      <c r="AH8" s="302"/>
      <c r="AI8" s="302"/>
      <c r="AJ8" s="302"/>
      <c r="AK8" s="140"/>
      <c r="AL8" s="140"/>
      <c r="AM8" s="140"/>
      <c r="AN8" s="140"/>
      <c r="AO8" s="140"/>
      <c r="AP8" s="140"/>
    </row>
    <row r="9" spans="1:42" x14ac:dyDescent="0.3">
      <c r="A9" s="302"/>
      <c r="B9" s="307" t="s">
        <v>3</v>
      </c>
      <c r="C9" s="307">
        <f>J15*C8/J3</f>
        <v>1.17</v>
      </c>
      <c r="D9" s="307" t="s">
        <v>339</v>
      </c>
      <c r="E9" s="304"/>
      <c r="F9" s="440" t="s">
        <v>353</v>
      </c>
      <c r="G9" s="315">
        <f>$C$4*0.01*$G$3*0.5</f>
        <v>106.875</v>
      </c>
      <c r="H9" s="316">
        <f>$C$4*0.01*$H$3*0.5</f>
        <v>123.75</v>
      </c>
      <c r="I9" s="315">
        <f>$C$4*0.01*$I$3*0.5</f>
        <v>140.625</v>
      </c>
      <c r="J9" s="316">
        <f>$C$4*0.01*$J$3*0.5</f>
        <v>157.5</v>
      </c>
      <c r="K9" s="307" t="s">
        <v>326</v>
      </c>
      <c r="L9" s="302"/>
      <c r="M9" s="319" t="s">
        <v>349</v>
      </c>
      <c r="N9" s="442">
        <f>N7*9.81</f>
        <v>4659.75</v>
      </c>
      <c r="O9" s="442">
        <f t="shared" ref="O9:U9" si="1">O7*9.81</f>
        <v>5395.5</v>
      </c>
      <c r="P9" s="442">
        <f t="shared" si="1"/>
        <v>5395.5</v>
      </c>
      <c r="Q9" s="442">
        <f t="shared" si="1"/>
        <v>5395.5</v>
      </c>
      <c r="R9" s="442">
        <f t="shared" si="1"/>
        <v>6131.25</v>
      </c>
      <c r="S9" s="442">
        <f t="shared" si="1"/>
        <v>6131.25</v>
      </c>
      <c r="T9" s="442">
        <f t="shared" si="1"/>
        <v>6131.25</v>
      </c>
      <c r="U9" s="442">
        <f t="shared" si="1"/>
        <v>6867</v>
      </c>
      <c r="V9" s="433" t="s">
        <v>351</v>
      </c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140"/>
      <c r="AL9" s="140"/>
      <c r="AM9" s="140"/>
      <c r="AN9" s="140"/>
      <c r="AO9" s="140"/>
      <c r="AP9" s="140"/>
    </row>
    <row r="10" spans="1:42" x14ac:dyDescent="0.3">
      <c r="A10" s="302"/>
      <c r="B10" s="307" t="s">
        <v>2</v>
      </c>
      <c r="C10" s="307">
        <f>C8-C9</f>
        <v>1.4300000000000002</v>
      </c>
      <c r="D10" s="307" t="s">
        <v>339</v>
      </c>
      <c r="E10" s="304"/>
      <c r="F10" s="441"/>
      <c r="G10" s="316">
        <f t="shared" ref="G10:I10" si="2">G9*9.81</f>
        <v>1048.4437500000001</v>
      </c>
      <c r="H10" s="316">
        <f t="shared" si="2"/>
        <v>1213.9875</v>
      </c>
      <c r="I10" s="316">
        <f t="shared" si="2"/>
        <v>1379.53125</v>
      </c>
      <c r="J10" s="316">
        <f>J9*9.81</f>
        <v>1545.075</v>
      </c>
      <c r="K10" s="307" t="s">
        <v>351</v>
      </c>
      <c r="L10" s="302"/>
      <c r="M10" s="320" t="s">
        <v>352</v>
      </c>
      <c r="N10" s="443"/>
      <c r="O10" s="443"/>
      <c r="P10" s="443"/>
      <c r="Q10" s="443"/>
      <c r="R10" s="443"/>
      <c r="S10" s="443"/>
      <c r="T10" s="443"/>
      <c r="U10" s="443"/>
      <c r="V10" s="434"/>
      <c r="W10" s="302"/>
      <c r="X10" s="302"/>
      <c r="Y10" s="302"/>
      <c r="Z10" s="302"/>
      <c r="AA10" s="302"/>
      <c r="AB10" s="302"/>
      <c r="AC10" s="302"/>
      <c r="AD10" s="302"/>
      <c r="AE10" s="302"/>
      <c r="AF10" s="302"/>
      <c r="AG10" s="302"/>
      <c r="AH10" s="302"/>
      <c r="AI10" s="302"/>
      <c r="AJ10" s="302"/>
      <c r="AK10" s="140"/>
      <c r="AL10" s="140"/>
      <c r="AM10" s="140"/>
      <c r="AN10" s="140"/>
      <c r="AO10" s="140"/>
      <c r="AP10" s="140"/>
    </row>
    <row r="11" spans="1:42" x14ac:dyDescent="0.3">
      <c r="A11" s="302"/>
      <c r="B11" s="321" t="s">
        <v>354</v>
      </c>
      <c r="C11" s="321">
        <v>0.3</v>
      </c>
      <c r="D11" s="321" t="s">
        <v>339</v>
      </c>
      <c r="E11" s="304"/>
      <c r="F11" s="440" t="s">
        <v>355</v>
      </c>
      <c r="G11" s="315">
        <f>C5*0.01*G3*0.5</f>
        <v>130.625</v>
      </c>
      <c r="H11" s="316">
        <f>$C$5*0.01*$H$3*0.5</f>
        <v>151.25</v>
      </c>
      <c r="I11" s="315">
        <f>$C$5*0.01*$I$3*0.5</f>
        <v>171.875</v>
      </c>
      <c r="J11" s="316">
        <f>$C$5*0.01*$J$3*0.5</f>
        <v>192.50000000000003</v>
      </c>
      <c r="K11" s="307" t="s">
        <v>326</v>
      </c>
      <c r="L11" s="302"/>
      <c r="M11" s="317" t="s">
        <v>356</v>
      </c>
      <c r="N11" s="444" t="s">
        <v>357</v>
      </c>
      <c r="O11" s="433" t="s">
        <v>357</v>
      </c>
      <c r="P11" s="433" t="s">
        <v>357</v>
      </c>
      <c r="Q11" s="433" t="s">
        <v>357</v>
      </c>
      <c r="R11" s="433" t="s">
        <v>357</v>
      </c>
      <c r="S11" s="433" t="s">
        <v>357</v>
      </c>
      <c r="T11" s="433" t="s">
        <v>357</v>
      </c>
      <c r="U11" s="433" t="s">
        <v>357</v>
      </c>
      <c r="V11" s="433" t="s">
        <v>339</v>
      </c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/>
      <c r="AI11" s="302"/>
      <c r="AJ11" s="302"/>
      <c r="AK11" s="140"/>
      <c r="AL11" s="140"/>
      <c r="AM11" s="140"/>
      <c r="AN11" s="140"/>
      <c r="AO11" s="140"/>
      <c r="AP11" s="140"/>
    </row>
    <row r="12" spans="1:42" x14ac:dyDescent="0.3">
      <c r="A12" s="302"/>
      <c r="B12" s="307" t="s">
        <v>358</v>
      </c>
      <c r="C12" s="307">
        <f>C49</f>
        <v>0.26283600000000001</v>
      </c>
      <c r="D12" s="307" t="s">
        <v>339</v>
      </c>
      <c r="E12" s="304"/>
      <c r="F12" s="441"/>
      <c r="G12" s="316">
        <f t="shared" ref="G12:I12" si="3">G11*9.81</f>
        <v>1281.4312500000001</v>
      </c>
      <c r="H12" s="316">
        <f t="shared" si="3"/>
        <v>1483.7625</v>
      </c>
      <c r="I12" s="316">
        <f t="shared" si="3"/>
        <v>1686.09375</v>
      </c>
      <c r="J12" s="316">
        <f>J11*9.81</f>
        <v>1888.4250000000004</v>
      </c>
      <c r="K12" s="307" t="s">
        <v>351</v>
      </c>
      <c r="L12" s="302"/>
      <c r="M12" s="322" t="s">
        <v>359</v>
      </c>
      <c r="N12" s="445"/>
      <c r="O12" s="434"/>
      <c r="P12" s="434"/>
      <c r="Q12" s="434"/>
      <c r="R12" s="434"/>
      <c r="S12" s="434"/>
      <c r="T12" s="434"/>
      <c r="U12" s="434"/>
      <c r="V12" s="434"/>
      <c r="W12" s="302"/>
      <c r="X12" s="302"/>
      <c r="Y12" s="302"/>
      <c r="Z12" s="302"/>
      <c r="AA12" s="302"/>
      <c r="AB12" s="302"/>
      <c r="AC12" s="302"/>
      <c r="AD12" s="302"/>
      <c r="AE12" s="302"/>
      <c r="AF12" s="302"/>
      <c r="AG12" s="302"/>
      <c r="AH12" s="302"/>
      <c r="AI12" s="302"/>
      <c r="AJ12" s="302"/>
      <c r="AK12" s="140"/>
      <c r="AL12" s="140"/>
      <c r="AM12" s="140"/>
      <c r="AN12" s="140"/>
      <c r="AO12" s="140"/>
      <c r="AP12" s="140"/>
    </row>
    <row r="13" spans="1:42" x14ac:dyDescent="0.3">
      <c r="A13" s="302"/>
      <c r="B13" s="321" t="s">
        <v>360</v>
      </c>
      <c r="C13" s="321">
        <v>1.5</v>
      </c>
      <c r="D13" s="321" t="s">
        <v>361</v>
      </c>
      <c r="E13" s="304"/>
      <c r="F13" s="440" t="s">
        <v>362</v>
      </c>
      <c r="G13" s="315">
        <f>$C$5*0.01*$G$3*0.5</f>
        <v>130.625</v>
      </c>
      <c r="H13" s="316">
        <f>$C$5*0.01*$H$3*0.5</f>
        <v>151.25</v>
      </c>
      <c r="I13" s="315">
        <f>$C$5*0.01*$I$3*0.5</f>
        <v>171.875</v>
      </c>
      <c r="J13" s="316">
        <f>$C$5*0.01*$J$3*0.5</f>
        <v>192.50000000000003</v>
      </c>
      <c r="K13" s="307" t="s">
        <v>326</v>
      </c>
      <c r="L13" s="302"/>
      <c r="M13" s="319" t="s">
        <v>363</v>
      </c>
      <c r="N13" s="444" t="s">
        <v>357</v>
      </c>
      <c r="O13" s="433" t="s">
        <v>357</v>
      </c>
      <c r="P13" s="433" t="s">
        <v>357</v>
      </c>
      <c r="Q13" s="433" t="s">
        <v>357</v>
      </c>
      <c r="R13" s="433" t="s">
        <v>357</v>
      </c>
      <c r="S13" s="433" t="s">
        <v>357</v>
      </c>
      <c r="T13" s="433" t="s">
        <v>357</v>
      </c>
      <c r="U13" s="433" t="s">
        <v>357</v>
      </c>
      <c r="V13" s="433" t="s">
        <v>339</v>
      </c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140"/>
      <c r="AL13" s="140"/>
      <c r="AM13" s="140"/>
      <c r="AN13" s="140"/>
      <c r="AO13" s="140"/>
      <c r="AP13" s="140"/>
    </row>
    <row r="14" spans="1:42" x14ac:dyDescent="0.3">
      <c r="A14" s="302"/>
      <c r="B14" s="303" t="s">
        <v>364</v>
      </c>
      <c r="C14" s="303">
        <v>1.6</v>
      </c>
      <c r="D14" s="303" t="s">
        <v>339</v>
      </c>
      <c r="E14" s="323"/>
      <c r="F14" s="441"/>
      <c r="G14" s="316">
        <f t="shared" ref="G14:I14" si="4">G13*9.81</f>
        <v>1281.4312500000001</v>
      </c>
      <c r="H14" s="316">
        <f t="shared" si="4"/>
        <v>1483.7625</v>
      </c>
      <c r="I14" s="316">
        <f t="shared" si="4"/>
        <v>1686.09375</v>
      </c>
      <c r="J14" s="316">
        <f>J13*9.81</f>
        <v>1888.4250000000004</v>
      </c>
      <c r="K14" s="307" t="s">
        <v>351</v>
      </c>
      <c r="L14" s="302"/>
      <c r="M14" s="324" t="s">
        <v>365</v>
      </c>
      <c r="N14" s="445"/>
      <c r="O14" s="434"/>
      <c r="P14" s="434"/>
      <c r="Q14" s="434"/>
      <c r="R14" s="434"/>
      <c r="S14" s="434"/>
      <c r="T14" s="434"/>
      <c r="U14" s="434"/>
      <c r="V14" s="434"/>
      <c r="W14" s="302"/>
      <c r="X14" s="302"/>
      <c r="Y14" s="302"/>
      <c r="Z14" s="302"/>
      <c r="AA14" s="302"/>
      <c r="AB14" s="302"/>
      <c r="AC14" s="302"/>
      <c r="AD14" s="302"/>
      <c r="AE14" s="302"/>
      <c r="AF14" s="302"/>
      <c r="AG14" s="302"/>
      <c r="AH14" s="302"/>
      <c r="AI14" s="302"/>
      <c r="AJ14" s="302"/>
      <c r="AK14" s="140"/>
      <c r="AL14" s="140"/>
      <c r="AM14" s="140"/>
      <c r="AN14" s="140"/>
      <c r="AO14" s="140"/>
      <c r="AP14" s="140"/>
    </row>
    <row r="15" spans="1:42" x14ac:dyDescent="0.3">
      <c r="A15" s="302"/>
      <c r="B15" s="303" t="s">
        <v>366</v>
      </c>
      <c r="C15" s="303">
        <v>7</v>
      </c>
      <c r="D15" s="303" t="s">
        <v>339</v>
      </c>
      <c r="E15" s="302"/>
      <c r="F15" s="440" t="s">
        <v>367</v>
      </c>
      <c r="G15" s="316">
        <f>G7+G9</f>
        <v>213.75</v>
      </c>
      <c r="H15" s="316">
        <f t="shared" ref="H15:I15" si="5">H7+H9</f>
        <v>247.5</v>
      </c>
      <c r="I15" s="316">
        <f t="shared" si="5"/>
        <v>281.25</v>
      </c>
      <c r="J15" s="316">
        <f>J7+J9</f>
        <v>315</v>
      </c>
      <c r="K15" s="307" t="s">
        <v>326</v>
      </c>
      <c r="L15" s="302"/>
      <c r="M15" s="317" t="s">
        <v>368</v>
      </c>
      <c r="N15" s="444" t="s">
        <v>357</v>
      </c>
      <c r="O15" s="433" t="s">
        <v>357</v>
      </c>
      <c r="P15" s="433" t="s">
        <v>357</v>
      </c>
      <c r="Q15" s="433" t="s">
        <v>357</v>
      </c>
      <c r="R15" s="433" t="s">
        <v>357</v>
      </c>
      <c r="S15" s="433" t="s">
        <v>357</v>
      </c>
      <c r="T15" s="433" t="s">
        <v>357</v>
      </c>
      <c r="U15" s="433" t="s">
        <v>357</v>
      </c>
      <c r="V15" s="433" t="s">
        <v>339</v>
      </c>
      <c r="W15" s="302"/>
      <c r="X15" s="302"/>
      <c r="Y15" s="302"/>
      <c r="Z15" s="302"/>
      <c r="AA15" s="302"/>
      <c r="AB15" s="302"/>
      <c r="AC15" s="302"/>
      <c r="AD15" s="302"/>
      <c r="AE15" s="302"/>
      <c r="AF15" s="302"/>
      <c r="AG15" s="302"/>
      <c r="AH15" s="302"/>
      <c r="AI15" s="302"/>
      <c r="AJ15" s="302"/>
      <c r="AK15" s="140"/>
      <c r="AL15" s="140"/>
      <c r="AM15" s="140"/>
      <c r="AN15" s="140"/>
      <c r="AO15" s="140"/>
      <c r="AP15" s="140"/>
    </row>
    <row r="16" spans="1:42" x14ac:dyDescent="0.3">
      <c r="A16" s="302"/>
      <c r="B16" s="303" t="s">
        <v>369</v>
      </c>
      <c r="C16" s="303">
        <v>4.2</v>
      </c>
      <c r="D16" s="303" t="s">
        <v>339</v>
      </c>
      <c r="E16" s="302"/>
      <c r="F16" s="441"/>
      <c r="G16" s="316">
        <f t="shared" ref="G16:I16" si="6">G15*9.81</f>
        <v>2096.8875000000003</v>
      </c>
      <c r="H16" s="316">
        <f t="shared" si="6"/>
        <v>2427.9749999999999</v>
      </c>
      <c r="I16" s="316">
        <f t="shared" si="6"/>
        <v>2759.0625</v>
      </c>
      <c r="J16" s="316">
        <f>J15*9.81</f>
        <v>3090.15</v>
      </c>
      <c r="K16" s="307" t="s">
        <v>351</v>
      </c>
      <c r="L16" s="302"/>
      <c r="M16" s="322" t="s">
        <v>370</v>
      </c>
      <c r="N16" s="445"/>
      <c r="O16" s="434"/>
      <c r="P16" s="434"/>
      <c r="Q16" s="434"/>
      <c r="R16" s="434"/>
      <c r="S16" s="434"/>
      <c r="T16" s="434"/>
      <c r="U16" s="434"/>
      <c r="V16" s="434"/>
      <c r="W16" s="302"/>
      <c r="X16" s="302"/>
      <c r="Y16" s="302"/>
      <c r="Z16" s="302"/>
      <c r="AA16" s="302"/>
      <c r="AB16" s="302"/>
      <c r="AC16" s="302"/>
      <c r="AD16" s="302"/>
      <c r="AE16" s="302"/>
      <c r="AF16" s="302"/>
      <c r="AG16" s="302"/>
      <c r="AH16" s="302"/>
      <c r="AI16" s="302"/>
      <c r="AJ16" s="302"/>
      <c r="AK16" s="140"/>
      <c r="AL16" s="140"/>
      <c r="AM16" s="140"/>
      <c r="AN16" s="140"/>
      <c r="AO16" s="140"/>
      <c r="AP16" s="140"/>
    </row>
    <row r="17" spans="1:42" x14ac:dyDescent="0.3">
      <c r="A17" s="302"/>
      <c r="B17" s="303" t="s">
        <v>371</v>
      </c>
      <c r="C17" s="303">
        <v>8000</v>
      </c>
      <c r="D17" s="303" t="s">
        <v>372</v>
      </c>
      <c r="E17" s="302"/>
      <c r="F17" s="440" t="s">
        <v>373</v>
      </c>
      <c r="G17" s="316">
        <f t="shared" ref="G17:I17" si="7">G11+G13</f>
        <v>261.25</v>
      </c>
      <c r="H17" s="316">
        <f t="shared" si="7"/>
        <v>302.5</v>
      </c>
      <c r="I17" s="316">
        <f t="shared" si="7"/>
        <v>343.75</v>
      </c>
      <c r="J17" s="316">
        <f>J11+J13</f>
        <v>385.00000000000006</v>
      </c>
      <c r="K17" s="307" t="s">
        <v>326</v>
      </c>
      <c r="L17" s="302"/>
      <c r="M17" s="319" t="s">
        <v>374</v>
      </c>
      <c r="N17" s="444" t="s">
        <v>357</v>
      </c>
      <c r="O17" s="433" t="s">
        <v>357</v>
      </c>
      <c r="P17" s="433" t="s">
        <v>357</v>
      </c>
      <c r="Q17" s="433" t="s">
        <v>357</v>
      </c>
      <c r="R17" s="433" t="s">
        <v>357</v>
      </c>
      <c r="S17" s="433" t="s">
        <v>357</v>
      </c>
      <c r="T17" s="433" t="s">
        <v>357</v>
      </c>
      <c r="U17" s="433" t="s">
        <v>357</v>
      </c>
      <c r="V17" s="433" t="s">
        <v>339</v>
      </c>
      <c r="W17" s="302"/>
      <c r="X17" s="302"/>
      <c r="Y17" s="302"/>
      <c r="Z17" s="302"/>
      <c r="AA17" s="302"/>
      <c r="AB17" s="302"/>
      <c r="AC17" s="302"/>
      <c r="AD17" s="302"/>
      <c r="AE17" s="302"/>
      <c r="AF17" s="302"/>
      <c r="AG17" s="302"/>
      <c r="AH17" s="302"/>
      <c r="AI17" s="302"/>
      <c r="AJ17" s="302"/>
      <c r="AK17" s="140"/>
      <c r="AL17" s="140"/>
      <c r="AM17" s="140"/>
      <c r="AN17" s="140"/>
      <c r="AO17" s="140"/>
      <c r="AP17" s="140"/>
    </row>
    <row r="18" spans="1:42" x14ac:dyDescent="0.3">
      <c r="A18" s="302"/>
      <c r="B18" s="303" t="s">
        <v>375</v>
      </c>
      <c r="C18" s="303">
        <v>16000</v>
      </c>
      <c r="D18" s="303" t="s">
        <v>372</v>
      </c>
      <c r="E18" s="302"/>
      <c r="F18" s="441"/>
      <c r="G18" s="316">
        <f t="shared" ref="G18:I18" si="8">G17*9.81</f>
        <v>2562.8625000000002</v>
      </c>
      <c r="H18" s="316">
        <f t="shared" si="8"/>
        <v>2967.5250000000001</v>
      </c>
      <c r="I18" s="316">
        <f t="shared" si="8"/>
        <v>3372.1875</v>
      </c>
      <c r="J18" s="316">
        <f>J17*9.81</f>
        <v>3776.8500000000008</v>
      </c>
      <c r="K18" s="307" t="s">
        <v>351</v>
      </c>
      <c r="L18" s="302"/>
      <c r="M18" s="324" t="s">
        <v>376</v>
      </c>
      <c r="N18" s="445"/>
      <c r="O18" s="434"/>
      <c r="P18" s="434"/>
      <c r="Q18" s="434"/>
      <c r="R18" s="434"/>
      <c r="S18" s="434"/>
      <c r="T18" s="434"/>
      <c r="U18" s="434"/>
      <c r="V18" s="434"/>
      <c r="W18" s="302"/>
      <c r="X18" s="302"/>
      <c r="Y18" s="302"/>
      <c r="Z18" s="302"/>
      <c r="AA18" s="302"/>
      <c r="AB18" s="302"/>
      <c r="AC18" s="302"/>
      <c r="AD18" s="302"/>
      <c r="AE18" s="302"/>
      <c r="AF18" s="302"/>
      <c r="AG18" s="302"/>
      <c r="AH18" s="302"/>
      <c r="AI18" s="302"/>
      <c r="AJ18" s="302"/>
      <c r="AK18" s="140"/>
      <c r="AL18" s="140"/>
      <c r="AM18" s="140"/>
      <c r="AN18" s="140"/>
      <c r="AO18" s="140"/>
      <c r="AP18" s="140"/>
    </row>
    <row r="19" spans="1:42" x14ac:dyDescent="0.3">
      <c r="A19" s="302"/>
      <c r="B19" s="303" t="s">
        <v>377</v>
      </c>
      <c r="C19" s="303">
        <v>1.2250000000000001</v>
      </c>
      <c r="D19" s="303" t="s">
        <v>378</v>
      </c>
      <c r="E19" s="302"/>
      <c r="F19" s="302"/>
      <c r="G19" s="302"/>
      <c r="H19" s="302"/>
      <c r="I19" s="302"/>
      <c r="J19" s="302"/>
      <c r="K19" s="302"/>
      <c r="L19" s="302"/>
      <c r="M19" s="322"/>
      <c r="N19" s="309"/>
      <c r="O19" s="309"/>
      <c r="P19" s="309"/>
      <c r="Q19" s="309"/>
      <c r="R19" s="309"/>
      <c r="S19" s="309"/>
      <c r="T19" s="309"/>
      <c r="U19" s="309"/>
      <c r="V19" s="309"/>
      <c r="W19" s="302"/>
      <c r="X19" s="302"/>
      <c r="Y19" s="302"/>
      <c r="Z19" s="302"/>
      <c r="AA19" s="302"/>
      <c r="AB19" s="302"/>
      <c r="AC19" s="302"/>
      <c r="AD19" s="302"/>
      <c r="AE19" s="302"/>
      <c r="AF19" s="302"/>
      <c r="AG19" s="302"/>
      <c r="AH19" s="302"/>
      <c r="AI19" s="302"/>
      <c r="AJ19" s="302"/>
      <c r="AK19" s="140"/>
      <c r="AL19" s="140"/>
      <c r="AM19" s="140"/>
      <c r="AN19" s="140"/>
      <c r="AO19" s="140"/>
      <c r="AP19" s="140"/>
    </row>
    <row r="20" spans="1:42" x14ac:dyDescent="0.3">
      <c r="A20" s="302"/>
      <c r="B20" s="303" t="s">
        <v>379</v>
      </c>
      <c r="C20" s="303">
        <v>1.4</v>
      </c>
      <c r="D20" s="303" t="s">
        <v>339</v>
      </c>
      <c r="E20" s="302"/>
      <c r="F20" s="437" t="s">
        <v>380</v>
      </c>
      <c r="G20" s="438"/>
      <c r="H20" s="438"/>
      <c r="I20" s="438"/>
      <c r="J20" s="438"/>
      <c r="K20" s="439"/>
      <c r="L20" s="302"/>
      <c r="M20" s="305"/>
      <c r="N20" s="309"/>
      <c r="O20" s="309"/>
      <c r="P20" s="309"/>
      <c r="Q20" s="309"/>
      <c r="R20" s="309"/>
      <c r="S20" s="309"/>
      <c r="T20" s="309"/>
      <c r="U20" s="309"/>
      <c r="V20" s="309"/>
      <c r="W20" s="302"/>
      <c r="X20" s="302"/>
      <c r="Y20" s="302"/>
      <c r="Z20" s="302"/>
      <c r="AA20" s="302"/>
      <c r="AB20" s="302"/>
      <c r="AC20" s="302"/>
      <c r="AD20" s="302"/>
      <c r="AE20" s="302"/>
      <c r="AF20" s="302"/>
      <c r="AG20" s="302"/>
      <c r="AH20" s="302"/>
      <c r="AI20" s="302"/>
      <c r="AJ20" s="302"/>
      <c r="AK20" s="140"/>
      <c r="AL20" s="140"/>
      <c r="AM20" s="140"/>
      <c r="AN20" s="140"/>
      <c r="AO20" s="140"/>
      <c r="AP20" s="140"/>
    </row>
    <row r="21" spans="1:42" x14ac:dyDescent="0.3">
      <c r="A21" s="302"/>
      <c r="B21" s="325" t="s">
        <v>381</v>
      </c>
      <c r="C21" s="303">
        <f>C7+C23+0.1</f>
        <v>1.7850000000000001</v>
      </c>
      <c r="D21" s="303" t="s">
        <v>339</v>
      </c>
      <c r="E21" s="326"/>
      <c r="F21" s="309"/>
      <c r="G21" s="309" t="s">
        <v>45</v>
      </c>
      <c r="H21" s="309" t="s">
        <v>46</v>
      </c>
      <c r="I21" s="309" t="s">
        <v>48</v>
      </c>
      <c r="J21" s="309" t="s">
        <v>47</v>
      </c>
      <c r="K21" s="309"/>
      <c r="L21" s="302"/>
      <c r="M21" s="327"/>
      <c r="N21" s="309"/>
      <c r="O21" s="309"/>
      <c r="P21" s="309"/>
      <c r="Q21" s="309"/>
      <c r="R21" s="309"/>
      <c r="S21" s="309"/>
      <c r="T21" s="309"/>
      <c r="U21" s="309"/>
      <c r="V21" s="309"/>
      <c r="W21" s="302"/>
      <c r="X21" s="302"/>
      <c r="Y21" s="302"/>
      <c r="Z21" s="302"/>
      <c r="AA21" s="302"/>
      <c r="AB21" s="302"/>
      <c r="AC21" s="302"/>
      <c r="AD21" s="302"/>
      <c r="AE21" s="302"/>
      <c r="AF21" s="302"/>
      <c r="AG21" s="302"/>
      <c r="AH21" s="302"/>
      <c r="AI21" s="302"/>
      <c r="AJ21" s="302"/>
      <c r="AK21" s="140"/>
      <c r="AL21" s="140"/>
      <c r="AM21" s="140"/>
      <c r="AN21" s="140"/>
      <c r="AO21" s="140"/>
      <c r="AP21" s="140"/>
    </row>
    <row r="22" spans="1:42" x14ac:dyDescent="0.3">
      <c r="A22" s="302"/>
      <c r="B22" s="303" t="s">
        <v>382</v>
      </c>
      <c r="C22" s="303">
        <v>0.22</v>
      </c>
      <c r="D22" s="303" t="s">
        <v>361</v>
      </c>
      <c r="E22" s="302"/>
      <c r="F22" s="307" t="s">
        <v>383</v>
      </c>
      <c r="G22" s="316">
        <f>(G18*$C$13)/(1-($C$11*$C$13/$C$7))</f>
        <v>5491.8482142857147</v>
      </c>
      <c r="H22" s="316">
        <f>(H18*$C$13)/(1-($C$11*$C$13/$C$7))</f>
        <v>6358.982142857144</v>
      </c>
      <c r="I22" s="316">
        <f>(I18*$C$13)/(1-($C$11*$C$13/$C$7))</f>
        <v>7226.1160714285716</v>
      </c>
      <c r="J22" s="316">
        <f>(J18*$C$13)/(1-($C$11*$C$13/$C$7))</f>
        <v>8093.2500000000027</v>
      </c>
      <c r="K22" s="307" t="s">
        <v>351</v>
      </c>
      <c r="L22" s="302"/>
      <c r="M22" s="327"/>
      <c r="N22" s="309"/>
      <c r="O22" s="309"/>
      <c r="P22" s="309"/>
      <c r="Q22" s="309"/>
      <c r="R22" s="309"/>
      <c r="S22" s="309"/>
      <c r="T22" s="309"/>
      <c r="U22" s="309"/>
      <c r="V22" s="309"/>
      <c r="W22" s="302"/>
      <c r="X22" s="302"/>
      <c r="Y22" s="302"/>
      <c r="Z22" s="302"/>
      <c r="AA22" s="302"/>
      <c r="AB22" s="302"/>
      <c r="AC22" s="302"/>
      <c r="AD22" s="302"/>
      <c r="AE22" s="302"/>
      <c r="AF22" s="302"/>
      <c r="AG22" s="302"/>
      <c r="AH22" s="302"/>
      <c r="AI22" s="302"/>
      <c r="AJ22" s="302"/>
      <c r="AK22" s="140"/>
      <c r="AL22" s="140"/>
      <c r="AM22" s="140"/>
      <c r="AN22" s="140"/>
      <c r="AO22" s="140"/>
      <c r="AP22" s="140"/>
    </row>
    <row r="23" spans="1:42" x14ac:dyDescent="0.3">
      <c r="A23" s="302"/>
      <c r="B23" s="303" t="s">
        <v>384</v>
      </c>
      <c r="C23" s="303">
        <v>0.185</v>
      </c>
      <c r="D23" s="303" t="s">
        <v>339</v>
      </c>
      <c r="E23" s="302"/>
      <c r="F23" s="328" t="s">
        <v>385</v>
      </c>
      <c r="G23" s="316">
        <f>G22*$C$11/$C$7</f>
        <v>1098.3696428571429</v>
      </c>
      <c r="H23" s="316">
        <f>H22*$C$11/$C$7</f>
        <v>1271.7964285714288</v>
      </c>
      <c r="I23" s="316">
        <f>I22*$C$11/$C$7</f>
        <v>1445.2232142857144</v>
      </c>
      <c r="J23" s="316">
        <f>J22*$C$11/$C$7</f>
        <v>1618.6500000000005</v>
      </c>
      <c r="K23" s="307" t="s">
        <v>351</v>
      </c>
      <c r="L23" s="302"/>
      <c r="M23" s="329"/>
      <c r="N23" s="330"/>
      <c r="O23" s="330"/>
      <c r="P23" s="330"/>
      <c r="Q23" s="330"/>
      <c r="R23" s="330"/>
      <c r="S23" s="330"/>
      <c r="T23" s="330"/>
      <c r="U23" s="330"/>
      <c r="V23" s="330"/>
      <c r="W23" s="302"/>
      <c r="X23" s="302"/>
      <c r="Y23" s="302"/>
      <c r="Z23" s="302"/>
      <c r="AA23" s="302"/>
      <c r="AB23" s="302"/>
      <c r="AC23" s="302"/>
      <c r="AD23" s="302"/>
      <c r="AE23" s="302"/>
      <c r="AF23" s="302"/>
      <c r="AG23" s="302"/>
      <c r="AH23" s="302"/>
      <c r="AI23" s="302"/>
      <c r="AJ23" s="302"/>
      <c r="AK23" s="140"/>
      <c r="AL23" s="140"/>
      <c r="AM23" s="140"/>
      <c r="AN23" s="140"/>
      <c r="AO23" s="140"/>
      <c r="AP23" s="140"/>
    </row>
    <row r="24" spans="1:42" x14ac:dyDescent="0.3">
      <c r="A24" s="302"/>
      <c r="B24" s="303" t="s">
        <v>386</v>
      </c>
      <c r="C24" s="303">
        <v>0.125</v>
      </c>
      <c r="D24" s="303" t="s">
        <v>339</v>
      </c>
      <c r="E24" s="302"/>
      <c r="F24" s="307" t="s">
        <v>387</v>
      </c>
      <c r="G24" s="316">
        <f>(G16-G23)/2</f>
        <v>499.25892857142867</v>
      </c>
      <c r="H24" s="316">
        <f>(H16-H23)/2</f>
        <v>578.08928571428555</v>
      </c>
      <c r="I24" s="316">
        <f>(I16-I23)/2</f>
        <v>656.91964285714278</v>
      </c>
      <c r="J24" s="316">
        <f>(J16-J23)/2</f>
        <v>735.74999999999977</v>
      </c>
      <c r="K24" s="307" t="s">
        <v>351</v>
      </c>
      <c r="L24" s="302"/>
      <c r="M24" s="329"/>
      <c r="N24" s="330"/>
      <c r="O24" s="330"/>
      <c r="P24" s="330"/>
      <c r="Q24" s="330"/>
      <c r="R24" s="330"/>
      <c r="S24" s="330"/>
      <c r="T24" s="330"/>
      <c r="U24" s="330"/>
      <c r="V24" s="330"/>
      <c r="W24" s="302"/>
      <c r="X24" s="302"/>
      <c r="Y24" s="302"/>
      <c r="Z24" s="302"/>
      <c r="AA24" s="302"/>
      <c r="AB24" s="302"/>
      <c r="AC24" s="302"/>
      <c r="AD24" s="302"/>
      <c r="AE24" s="302"/>
      <c r="AF24" s="302"/>
      <c r="AG24" s="302"/>
      <c r="AH24" s="302"/>
      <c r="AI24" s="302"/>
      <c r="AJ24" s="302"/>
      <c r="AK24" s="140"/>
      <c r="AL24" s="140"/>
      <c r="AM24" s="140"/>
      <c r="AN24" s="140"/>
      <c r="AO24" s="140"/>
      <c r="AP24" s="140"/>
    </row>
    <row r="25" spans="1:42" x14ac:dyDescent="0.3">
      <c r="A25" s="302"/>
      <c r="B25" s="302"/>
      <c r="C25" s="302"/>
      <c r="D25" s="302"/>
      <c r="E25" s="302"/>
      <c r="F25" s="307" t="s">
        <v>388</v>
      </c>
      <c r="G25" s="316">
        <f>(G18+G23)/2</f>
        <v>1830.6160714285716</v>
      </c>
      <c r="H25" s="316">
        <f>(H18+H23)/2</f>
        <v>2119.6607142857147</v>
      </c>
      <c r="I25" s="316">
        <f>(I18+I23)/2</f>
        <v>2408.7053571428573</v>
      </c>
      <c r="J25" s="316">
        <f>(J18+J23)/2</f>
        <v>2697.7500000000009</v>
      </c>
      <c r="K25" s="307" t="s">
        <v>351</v>
      </c>
      <c r="L25" s="302"/>
      <c r="M25" s="329"/>
      <c r="N25" s="330"/>
      <c r="O25" s="330"/>
      <c r="P25" s="330"/>
      <c r="Q25" s="330"/>
      <c r="R25" s="330"/>
      <c r="S25" s="330"/>
      <c r="T25" s="330"/>
      <c r="U25" s="330"/>
      <c r="V25" s="330"/>
      <c r="W25" s="302"/>
      <c r="X25" s="302"/>
      <c r="Y25" s="302"/>
      <c r="Z25" s="302"/>
      <c r="AA25" s="302"/>
      <c r="AB25" s="302"/>
      <c r="AC25" s="302"/>
      <c r="AD25" s="302"/>
      <c r="AE25" s="302"/>
      <c r="AF25" s="302"/>
      <c r="AG25" s="302"/>
      <c r="AH25" s="302"/>
      <c r="AI25" s="302"/>
      <c r="AJ25" s="302"/>
      <c r="AK25" s="140"/>
      <c r="AL25" s="140"/>
      <c r="AM25" s="140"/>
      <c r="AN25" s="140"/>
      <c r="AO25" s="140"/>
      <c r="AP25" s="140"/>
    </row>
    <row r="26" spans="1:42" x14ac:dyDescent="0.3">
      <c r="A26" s="302"/>
      <c r="B26" s="451" t="s">
        <v>63</v>
      </c>
      <c r="C26" s="452"/>
      <c r="D26" s="453"/>
      <c r="E26" s="302"/>
      <c r="F26" s="328" t="s">
        <v>389</v>
      </c>
      <c r="G26" s="316">
        <f>(G25*2)*$C$12*$C$13</f>
        <v>1443.4554172500002</v>
      </c>
      <c r="H26" s="316">
        <f>(H25*2)*$C$12*$C$13</f>
        <v>1671.3694305000004</v>
      </c>
      <c r="I26" s="316">
        <f>(I25*2)*$C$12*$C$13</f>
        <v>1899.2834437500001</v>
      </c>
      <c r="J26" s="316">
        <f>(J25*2)*$C$12*$C$13</f>
        <v>2127.1974570000007</v>
      </c>
      <c r="K26" s="307" t="s">
        <v>390</v>
      </c>
      <c r="L26" s="302"/>
      <c r="M26" s="329"/>
      <c r="N26" s="330"/>
      <c r="O26" s="330"/>
      <c r="P26" s="330"/>
      <c r="Q26" s="330"/>
      <c r="R26" s="330"/>
      <c r="S26" s="330"/>
      <c r="T26" s="330"/>
      <c r="U26" s="330"/>
      <c r="V26" s="330"/>
      <c r="W26" s="331"/>
      <c r="X26" s="331"/>
      <c r="Y26" s="331"/>
      <c r="Z26" s="331"/>
      <c r="AA26" s="332"/>
      <c r="AB26" s="332"/>
      <c r="AC26" s="302"/>
      <c r="AD26" s="302"/>
      <c r="AE26" s="302"/>
      <c r="AF26" s="302"/>
      <c r="AG26" s="302"/>
      <c r="AH26" s="302"/>
      <c r="AI26" s="302"/>
      <c r="AJ26" s="302"/>
      <c r="AK26" s="140"/>
      <c r="AL26" s="140"/>
      <c r="AM26" s="140"/>
      <c r="AN26" s="140"/>
      <c r="AO26" s="140"/>
      <c r="AP26" s="140"/>
    </row>
    <row r="27" spans="1:42" x14ac:dyDescent="0.3">
      <c r="A27" s="302"/>
      <c r="B27" s="308" t="s">
        <v>391</v>
      </c>
      <c r="C27" s="308">
        <f>C20*C7</f>
        <v>2.0999999999999996</v>
      </c>
      <c r="D27" s="308" t="s">
        <v>392</v>
      </c>
      <c r="E27" s="302"/>
      <c r="F27" s="307" t="s">
        <v>393</v>
      </c>
      <c r="G27" s="316">
        <f>G22/G3</f>
        <v>11.561785714285715</v>
      </c>
      <c r="H27" s="316">
        <f>H22/H3</f>
        <v>11.561785714285717</v>
      </c>
      <c r="I27" s="316">
        <f>I22/I3</f>
        <v>11.561785714285714</v>
      </c>
      <c r="J27" s="316">
        <f>J22/J3</f>
        <v>11.561785714285719</v>
      </c>
      <c r="K27" s="307" t="s">
        <v>394</v>
      </c>
      <c r="L27" s="302"/>
      <c r="M27" s="302"/>
      <c r="N27" s="302"/>
      <c r="O27" s="302"/>
      <c r="P27" s="302"/>
      <c r="Q27" s="302"/>
      <c r="R27" s="302"/>
      <c r="S27" s="302"/>
      <c r="T27" s="302"/>
      <c r="U27" s="302"/>
      <c r="V27" s="304"/>
      <c r="W27" s="331"/>
      <c r="X27" s="331"/>
      <c r="Y27" s="331"/>
      <c r="Z27" s="331"/>
      <c r="AA27" s="332"/>
      <c r="AB27" s="332"/>
      <c r="AC27" s="302"/>
      <c r="AD27" s="302"/>
      <c r="AE27" s="302"/>
      <c r="AF27" s="302"/>
      <c r="AG27" s="302"/>
      <c r="AH27" s="302"/>
      <c r="AI27" s="302"/>
      <c r="AJ27" s="302"/>
      <c r="AK27" s="140"/>
      <c r="AL27" s="140"/>
      <c r="AM27" s="140"/>
      <c r="AN27" s="140"/>
      <c r="AO27" s="140"/>
      <c r="AP27" s="140"/>
    </row>
    <row r="28" spans="1:42" x14ac:dyDescent="0.3">
      <c r="A28" s="302"/>
      <c r="B28" s="308" t="s">
        <v>63</v>
      </c>
      <c r="C28" s="309">
        <f>(C18*2/C19/C22/C27)^(1/3)</f>
        <v>38.381679212227723</v>
      </c>
      <c r="D28" s="309" t="s">
        <v>395</v>
      </c>
      <c r="E28" s="302"/>
      <c r="F28" s="307" t="s">
        <v>393</v>
      </c>
      <c r="G28" s="316">
        <f t="shared" ref="G28:I28" si="9">G27/9.81</f>
        <v>1.1785714285714286</v>
      </c>
      <c r="H28" s="316">
        <f t="shared" si="9"/>
        <v>1.1785714285714288</v>
      </c>
      <c r="I28" s="316">
        <f t="shared" si="9"/>
        <v>1.1785714285714284</v>
      </c>
      <c r="J28" s="316">
        <f>J27/9.81</f>
        <v>1.178571428571429</v>
      </c>
      <c r="K28" s="307" t="s">
        <v>396</v>
      </c>
      <c r="L28" s="302"/>
      <c r="M28" s="450" t="s">
        <v>397</v>
      </c>
      <c r="N28" s="450"/>
      <c r="O28" s="450"/>
      <c r="P28" s="450"/>
      <c r="Q28" s="450"/>
      <c r="R28" s="450"/>
      <c r="S28" s="450"/>
      <c r="T28" s="450"/>
      <c r="U28" s="450"/>
      <c r="V28" s="450"/>
      <c r="W28" s="450"/>
      <c r="X28" s="331"/>
      <c r="Y28" s="331"/>
      <c r="Z28" s="331"/>
      <c r="AA28" s="331"/>
      <c r="AB28" s="331"/>
      <c r="AC28" s="331"/>
      <c r="AD28" s="331"/>
      <c r="AE28" s="331"/>
      <c r="AF28" s="331"/>
      <c r="AG28" s="331"/>
      <c r="AH28" s="331"/>
      <c r="AI28" s="331"/>
      <c r="AJ28" s="331"/>
      <c r="AK28" s="142"/>
      <c r="AL28" s="142"/>
      <c r="AM28" s="142"/>
      <c r="AN28" s="142"/>
      <c r="AO28" s="142"/>
      <c r="AP28" s="142"/>
    </row>
    <row r="29" spans="1:42" x14ac:dyDescent="0.3">
      <c r="A29" s="302"/>
      <c r="B29" s="308" t="s">
        <v>63</v>
      </c>
      <c r="C29" s="309">
        <f>C28*3.6</f>
        <v>138.17404516401982</v>
      </c>
      <c r="D29" s="309" t="s">
        <v>398</v>
      </c>
      <c r="E29" s="302"/>
      <c r="F29" s="302"/>
      <c r="G29" s="302"/>
      <c r="H29" s="302"/>
      <c r="I29" s="302"/>
      <c r="J29" s="302"/>
      <c r="K29" s="302"/>
      <c r="L29" s="302"/>
      <c r="M29" s="446"/>
      <c r="N29" s="446"/>
      <c r="O29" s="446"/>
      <c r="P29" s="446"/>
      <c r="Q29" s="446"/>
      <c r="R29" s="446"/>
      <c r="S29" s="446"/>
      <c r="T29" s="446"/>
      <c r="U29" s="446"/>
      <c r="V29" s="309"/>
      <c r="W29" s="333"/>
      <c r="X29" s="331"/>
      <c r="Y29" s="331"/>
      <c r="Z29" s="331"/>
      <c r="AA29" s="331"/>
      <c r="AB29" s="331"/>
      <c r="AC29" s="331"/>
      <c r="AD29" s="331"/>
      <c r="AE29" s="331"/>
      <c r="AF29" s="331"/>
      <c r="AG29" s="331"/>
      <c r="AH29" s="331"/>
      <c r="AI29" s="331"/>
      <c r="AJ29" s="331"/>
      <c r="AK29" s="142"/>
      <c r="AL29" s="142"/>
      <c r="AM29" s="142"/>
      <c r="AN29" s="142"/>
      <c r="AO29" s="142"/>
      <c r="AP29" s="142"/>
    </row>
    <row r="30" spans="1:42" x14ac:dyDescent="0.3">
      <c r="A30" s="302"/>
      <c r="B30" s="302"/>
      <c r="C30" s="302"/>
      <c r="D30" s="302"/>
      <c r="E30" s="302"/>
      <c r="F30" s="437" t="s">
        <v>399</v>
      </c>
      <c r="G30" s="438"/>
      <c r="H30" s="438"/>
      <c r="I30" s="438"/>
      <c r="J30" s="438"/>
      <c r="K30" s="439"/>
      <c r="L30" s="302"/>
      <c r="M30" s="446"/>
      <c r="N30" s="446"/>
      <c r="O30" s="446"/>
      <c r="P30" s="446"/>
      <c r="Q30" s="446"/>
      <c r="R30" s="446"/>
      <c r="S30" s="446"/>
      <c r="T30" s="446"/>
      <c r="U30" s="446"/>
      <c r="V30" s="309"/>
      <c r="W30" s="309"/>
      <c r="X30" s="302"/>
      <c r="Y30" s="331"/>
      <c r="Z30" s="331"/>
      <c r="AA30" s="331"/>
      <c r="AB30" s="331"/>
      <c r="AC30" s="331"/>
      <c r="AD30" s="334"/>
      <c r="AE30" s="334"/>
      <c r="AF30" s="334"/>
      <c r="AG30" s="334"/>
      <c r="AH30" s="334"/>
      <c r="AI30" s="334"/>
      <c r="AJ30" s="331"/>
      <c r="AK30" s="142"/>
      <c r="AL30" s="142"/>
      <c r="AM30" s="142"/>
      <c r="AN30" s="142"/>
      <c r="AO30" s="142"/>
      <c r="AP30" s="142"/>
    </row>
    <row r="31" spans="1:42" x14ac:dyDescent="0.3">
      <c r="A31" s="302"/>
      <c r="B31" s="451" t="s">
        <v>400</v>
      </c>
      <c r="C31" s="452"/>
      <c r="D31" s="453"/>
      <c r="E31" s="302"/>
      <c r="F31" s="454" t="s">
        <v>401</v>
      </c>
      <c r="G31" s="455"/>
      <c r="H31" s="455"/>
      <c r="I31" s="456"/>
      <c r="J31" s="303">
        <v>100</v>
      </c>
      <c r="K31" s="303" t="s">
        <v>339</v>
      </c>
      <c r="L31" s="326" t="s">
        <v>684</v>
      </c>
      <c r="M31" s="447" t="s">
        <v>402</v>
      </c>
      <c r="N31" s="447"/>
      <c r="O31" s="447"/>
      <c r="P31" s="447"/>
      <c r="Q31" s="447"/>
      <c r="R31" s="447"/>
      <c r="S31" s="447"/>
      <c r="T31" s="447"/>
      <c r="U31" s="447"/>
      <c r="V31" s="321">
        <v>0.159</v>
      </c>
      <c r="W31" s="321" t="s">
        <v>339</v>
      </c>
      <c r="X31" s="302"/>
      <c r="Y31" s="331"/>
      <c r="Z31" s="331"/>
      <c r="AA31" s="331"/>
      <c r="AB31" s="331"/>
      <c r="AC31" s="331"/>
      <c r="AD31" s="334"/>
      <c r="AE31" s="334"/>
      <c r="AF31" s="334"/>
      <c r="AG31" s="334"/>
      <c r="AH31" s="334"/>
      <c r="AI31" s="334"/>
      <c r="AJ31" s="331"/>
      <c r="AK31" s="142"/>
      <c r="AL31" s="142"/>
      <c r="AM31" s="142"/>
      <c r="AN31" s="142"/>
      <c r="AO31" s="142"/>
      <c r="AP31" s="142"/>
    </row>
    <row r="32" spans="1:42" x14ac:dyDescent="0.3">
      <c r="A32" s="302"/>
      <c r="B32" s="303" t="s">
        <v>377</v>
      </c>
      <c r="C32" s="303">
        <v>1.2250000000000001</v>
      </c>
      <c r="D32" s="303" t="s">
        <v>378</v>
      </c>
      <c r="E32" s="302"/>
      <c r="F32" s="446"/>
      <c r="G32" s="446"/>
      <c r="H32" s="446"/>
      <c r="I32" s="446"/>
      <c r="J32" s="446"/>
      <c r="K32" s="446"/>
      <c r="L32" s="326" t="s">
        <v>684</v>
      </c>
      <c r="M32" s="447" t="s">
        <v>403</v>
      </c>
      <c r="N32" s="447"/>
      <c r="O32" s="447"/>
      <c r="P32" s="447"/>
      <c r="Q32" s="447"/>
      <c r="R32" s="447"/>
      <c r="S32" s="447"/>
      <c r="T32" s="447"/>
      <c r="U32" s="447"/>
      <c r="V32" s="321">
        <v>8.3000000000000004E-2</v>
      </c>
      <c r="W32" s="321" t="s">
        <v>339</v>
      </c>
      <c r="X32" s="302"/>
      <c r="Y32" s="331"/>
      <c r="Z32" s="331"/>
      <c r="AA32" s="331"/>
      <c r="AB32" s="331"/>
      <c r="AC32" s="331"/>
      <c r="AD32" s="334"/>
      <c r="AE32" s="334"/>
      <c r="AF32" s="334"/>
      <c r="AG32" s="334"/>
      <c r="AH32" s="334"/>
      <c r="AI32" s="334"/>
      <c r="AJ32" s="331"/>
      <c r="AK32" s="142"/>
      <c r="AL32" s="142"/>
      <c r="AM32" s="142"/>
      <c r="AN32" s="142"/>
      <c r="AO32" s="142"/>
      <c r="AP32" s="142"/>
    </row>
    <row r="33" spans="1:42" x14ac:dyDescent="0.3">
      <c r="A33" s="302"/>
      <c r="B33" s="303" t="s">
        <v>382</v>
      </c>
      <c r="C33" s="303">
        <v>0.22</v>
      </c>
      <c r="D33" s="303" t="s">
        <v>361</v>
      </c>
      <c r="E33" s="302"/>
      <c r="F33" s="309"/>
      <c r="G33" s="309" t="s">
        <v>45</v>
      </c>
      <c r="H33" s="309" t="s">
        <v>46</v>
      </c>
      <c r="I33" s="309" t="s">
        <v>48</v>
      </c>
      <c r="J33" s="309" t="s">
        <v>47</v>
      </c>
      <c r="K33" s="309"/>
      <c r="L33" s="326" t="s">
        <v>684</v>
      </c>
      <c r="M33" s="447" t="s">
        <v>404</v>
      </c>
      <c r="N33" s="447"/>
      <c r="O33" s="447"/>
      <c r="P33" s="447"/>
      <c r="Q33" s="447"/>
      <c r="R33" s="447"/>
      <c r="S33" s="447"/>
      <c r="T33" s="447"/>
      <c r="U33" s="447"/>
      <c r="V33" s="321">
        <v>30000</v>
      </c>
      <c r="W33" s="321" t="s">
        <v>405</v>
      </c>
      <c r="X33" s="302"/>
      <c r="Y33" s="331"/>
      <c r="Z33" s="331"/>
      <c r="AA33" s="331"/>
      <c r="AB33" s="331"/>
      <c r="AC33" s="331"/>
      <c r="AD33" s="334"/>
      <c r="AE33" s="334"/>
      <c r="AF33" s="334"/>
      <c r="AG33" s="334"/>
      <c r="AH33" s="334"/>
      <c r="AI33" s="334"/>
      <c r="AJ33" s="331"/>
      <c r="AK33" s="142"/>
      <c r="AL33" s="142"/>
      <c r="AM33" s="142"/>
      <c r="AN33" s="142"/>
      <c r="AO33" s="142"/>
      <c r="AP33" s="142"/>
    </row>
    <row r="34" spans="1:42" x14ac:dyDescent="0.3">
      <c r="A34" s="302"/>
      <c r="B34" s="303" t="s">
        <v>406</v>
      </c>
      <c r="C34" s="303">
        <v>1.5</v>
      </c>
      <c r="D34" s="303" t="s">
        <v>339</v>
      </c>
      <c r="E34" s="302"/>
      <c r="F34" s="446" t="s">
        <v>407</v>
      </c>
      <c r="G34" s="315">
        <f>G3*$C$13</f>
        <v>712.5</v>
      </c>
      <c r="H34" s="315">
        <f>H3*$C$13</f>
        <v>825</v>
      </c>
      <c r="I34" s="315">
        <f>I3*$C$13</f>
        <v>937.5</v>
      </c>
      <c r="J34" s="315">
        <f>J3*$C$13</f>
        <v>1050</v>
      </c>
      <c r="K34" s="307" t="s">
        <v>326</v>
      </c>
      <c r="L34" s="326" t="s">
        <v>684</v>
      </c>
      <c r="M34" s="447" t="s">
        <v>408</v>
      </c>
      <c r="N34" s="447"/>
      <c r="O34" s="447"/>
      <c r="P34" s="447"/>
      <c r="Q34" s="447"/>
      <c r="R34" s="447"/>
      <c r="S34" s="447"/>
      <c r="T34" s="447"/>
      <c r="U34" s="447"/>
      <c r="V34" s="321">
        <v>0.38300000000000001</v>
      </c>
      <c r="W34" s="321" t="s">
        <v>339</v>
      </c>
      <c r="X34" s="302"/>
      <c r="Y34" s="331"/>
      <c r="Z34" s="446" t="s">
        <v>685</v>
      </c>
      <c r="AA34" s="446"/>
      <c r="AB34" s="446"/>
      <c r="AC34" s="446"/>
      <c r="AD34" s="446"/>
      <c r="AE34" s="334"/>
      <c r="AF34" s="334"/>
      <c r="AG34" s="334"/>
      <c r="AH34" s="334"/>
      <c r="AI34" s="334"/>
      <c r="AJ34" s="331"/>
      <c r="AK34" s="142"/>
      <c r="AL34" s="142"/>
      <c r="AM34" s="142"/>
      <c r="AN34" s="142"/>
      <c r="AO34" s="142"/>
      <c r="AP34" s="142"/>
    </row>
    <row r="35" spans="1:42" x14ac:dyDescent="0.3">
      <c r="A35" s="302"/>
      <c r="B35" s="303" t="s">
        <v>384</v>
      </c>
      <c r="C35" s="303">
        <v>0.185</v>
      </c>
      <c r="D35" s="303" t="s">
        <v>339</v>
      </c>
      <c r="E35" s="302"/>
      <c r="F35" s="446"/>
      <c r="G35" s="315">
        <f>G34*9.81</f>
        <v>6989.625</v>
      </c>
      <c r="H35" s="315">
        <f t="shared" ref="H35:J35" si="10">H34*9.81</f>
        <v>8093.25</v>
      </c>
      <c r="I35" s="315">
        <f t="shared" si="10"/>
        <v>9196.875</v>
      </c>
      <c r="J35" s="315">
        <f t="shared" si="10"/>
        <v>10300.5</v>
      </c>
      <c r="K35" s="309" t="s">
        <v>351</v>
      </c>
      <c r="L35" s="326" t="s">
        <v>684</v>
      </c>
      <c r="M35" s="447" t="s">
        <v>409</v>
      </c>
      <c r="N35" s="447"/>
      <c r="O35" s="447"/>
      <c r="P35" s="447"/>
      <c r="Q35" s="447"/>
      <c r="R35" s="447"/>
      <c r="S35" s="447"/>
      <c r="T35" s="447"/>
      <c r="U35" s="447"/>
      <c r="V35" s="321">
        <f>0.6*2.6</f>
        <v>1.56</v>
      </c>
      <c r="W35" s="321" t="s">
        <v>339</v>
      </c>
      <c r="X35" s="302"/>
      <c r="Y35" s="331"/>
      <c r="Z35" s="309" t="s">
        <v>410</v>
      </c>
      <c r="AA35" s="448" t="s">
        <v>411</v>
      </c>
      <c r="AB35" s="449"/>
      <c r="AC35" s="309" t="s">
        <v>412</v>
      </c>
      <c r="AD35" s="309" t="s">
        <v>396</v>
      </c>
      <c r="AE35" s="334"/>
      <c r="AF35" s="334"/>
      <c r="AG35" s="334"/>
      <c r="AH35" s="334"/>
      <c r="AI35" s="334"/>
      <c r="AJ35" s="331"/>
      <c r="AK35" s="142"/>
      <c r="AL35" s="142"/>
      <c r="AM35" s="142"/>
      <c r="AN35" s="142"/>
      <c r="AO35" s="142"/>
      <c r="AP35" s="142"/>
    </row>
    <row r="36" spans="1:42" x14ac:dyDescent="0.3">
      <c r="A36" s="302"/>
      <c r="B36" s="303" t="s">
        <v>379</v>
      </c>
      <c r="C36" s="303">
        <v>1.4</v>
      </c>
      <c r="D36" s="303" t="s">
        <v>339</v>
      </c>
      <c r="E36" s="302"/>
      <c r="F36" s="309" t="s">
        <v>413</v>
      </c>
      <c r="G36" s="315">
        <f>G35*$C$11/$C$7</f>
        <v>1397.925</v>
      </c>
      <c r="H36" s="315">
        <f t="shared" ref="H36:J36" si="11">H35*$C$11/$C$7</f>
        <v>1618.6499999999999</v>
      </c>
      <c r="I36" s="315">
        <f t="shared" si="11"/>
        <v>1839.375</v>
      </c>
      <c r="J36" s="315">
        <f t="shared" si="11"/>
        <v>2060.1</v>
      </c>
      <c r="K36" s="309" t="s">
        <v>351</v>
      </c>
      <c r="L36" s="326" t="s">
        <v>684</v>
      </c>
      <c r="M36" s="447" t="s">
        <v>414</v>
      </c>
      <c r="N36" s="447"/>
      <c r="O36" s="447"/>
      <c r="P36" s="447"/>
      <c r="Q36" s="447"/>
      <c r="R36" s="447"/>
      <c r="S36" s="447"/>
      <c r="T36" s="447"/>
      <c r="U36" s="447"/>
      <c r="V36" s="321">
        <f>0.4*2.6</f>
        <v>1.04</v>
      </c>
      <c r="W36" s="321" t="s">
        <v>339</v>
      </c>
      <c r="X36" s="302"/>
      <c r="Y36" s="331"/>
      <c r="Z36" s="309" t="s">
        <v>410</v>
      </c>
      <c r="AA36" s="448" t="s">
        <v>415</v>
      </c>
      <c r="AB36" s="449"/>
      <c r="AC36" s="309" t="s">
        <v>416</v>
      </c>
      <c r="AD36" s="309" t="s">
        <v>417</v>
      </c>
      <c r="AE36" s="334"/>
      <c r="AF36" s="334"/>
      <c r="AG36" s="334"/>
      <c r="AH36" s="334"/>
      <c r="AI36" s="334"/>
      <c r="AJ36" s="331"/>
      <c r="AK36" s="142"/>
      <c r="AL36" s="142"/>
      <c r="AM36" s="142"/>
      <c r="AN36" s="142"/>
      <c r="AO36" s="142"/>
      <c r="AP36" s="142"/>
    </row>
    <row r="37" spans="1:42" x14ac:dyDescent="0.3">
      <c r="A37" s="302"/>
      <c r="B37" s="303" t="s">
        <v>418</v>
      </c>
      <c r="C37" s="303">
        <v>32</v>
      </c>
      <c r="D37" s="303" t="s">
        <v>395</v>
      </c>
      <c r="E37" s="302"/>
      <c r="F37" s="309" t="s">
        <v>419</v>
      </c>
      <c r="G37" s="315">
        <f>SQRT(G35*$J$31/G3)</f>
        <v>38.360135557633264</v>
      </c>
      <c r="H37" s="315">
        <f t="shared" ref="H37:J37" si="12">SQRT(H35*$J$31/H3)</f>
        <v>38.360135557633264</v>
      </c>
      <c r="I37" s="315">
        <f t="shared" si="12"/>
        <v>38.360135557633264</v>
      </c>
      <c r="J37" s="315">
        <f t="shared" si="12"/>
        <v>38.360135557633264</v>
      </c>
      <c r="K37" s="309" t="s">
        <v>395</v>
      </c>
      <c r="L37" s="326" t="s">
        <v>684</v>
      </c>
      <c r="M37" s="447" t="s">
        <v>420</v>
      </c>
      <c r="N37" s="447"/>
      <c r="O37" s="447"/>
      <c r="P37" s="447"/>
      <c r="Q37" s="447"/>
      <c r="R37" s="447"/>
      <c r="S37" s="447"/>
      <c r="T37" s="447"/>
      <c r="U37" s="447"/>
      <c r="V37" s="321">
        <v>700</v>
      </c>
      <c r="W37" s="321" t="s">
        <v>326</v>
      </c>
      <c r="X37" s="302"/>
      <c r="Y37" s="331"/>
      <c r="Z37" s="331"/>
      <c r="AA37" s="331"/>
      <c r="AB37" s="331"/>
      <c r="AC37" s="331"/>
      <c r="AD37" s="334"/>
      <c r="AE37" s="334"/>
      <c r="AF37" s="334"/>
      <c r="AG37" s="334"/>
      <c r="AH37" s="334"/>
      <c r="AI37" s="334"/>
      <c r="AJ37" s="331"/>
      <c r="AK37" s="142"/>
      <c r="AL37" s="142"/>
      <c r="AM37" s="142"/>
      <c r="AN37" s="142"/>
      <c r="AO37" s="142"/>
      <c r="AP37" s="142"/>
    </row>
    <row r="38" spans="1:42" x14ac:dyDescent="0.3">
      <c r="A38" s="302"/>
      <c r="B38" s="307" t="s">
        <v>381</v>
      </c>
      <c r="C38" s="307">
        <f>C34+C35+0.1</f>
        <v>1.7850000000000001</v>
      </c>
      <c r="D38" s="307" t="s">
        <v>339</v>
      </c>
      <c r="E38" s="302"/>
      <c r="F38" s="304"/>
      <c r="G38" s="304"/>
      <c r="H38" s="304"/>
      <c r="I38" s="304"/>
      <c r="J38" s="304"/>
      <c r="K38" s="329"/>
      <c r="L38" s="326" t="s">
        <v>684</v>
      </c>
      <c r="M38" s="447" t="s">
        <v>686</v>
      </c>
      <c r="N38" s="447"/>
      <c r="O38" s="447"/>
      <c r="P38" s="447"/>
      <c r="Q38" s="447"/>
      <c r="R38" s="447"/>
      <c r="S38" s="447"/>
      <c r="T38" s="447"/>
      <c r="U38" s="447"/>
      <c r="V38" s="321">
        <v>-0.04</v>
      </c>
      <c r="W38" s="321" t="s">
        <v>421</v>
      </c>
      <c r="X38" s="302"/>
      <c r="Y38" s="331"/>
      <c r="Z38" s="331"/>
      <c r="AA38" s="331"/>
      <c r="AB38" s="331"/>
      <c r="AC38" s="331"/>
      <c r="AD38" s="334"/>
      <c r="AE38" s="334"/>
      <c r="AF38" s="334"/>
      <c r="AG38" s="334"/>
      <c r="AH38" s="334"/>
      <c r="AI38" s="334"/>
      <c r="AJ38" s="331"/>
      <c r="AK38" s="142"/>
      <c r="AL38" s="142"/>
      <c r="AM38" s="142"/>
      <c r="AN38" s="142"/>
      <c r="AO38" s="142"/>
      <c r="AP38" s="142"/>
    </row>
    <row r="39" spans="1:42" x14ac:dyDescent="0.3">
      <c r="A39" s="302"/>
      <c r="B39" s="309" t="s">
        <v>422</v>
      </c>
      <c r="C39" s="309">
        <f>C36*C38</f>
        <v>2.4990000000000001</v>
      </c>
      <c r="D39" s="309" t="s">
        <v>392</v>
      </c>
      <c r="E39" s="302"/>
      <c r="F39" s="459" t="s">
        <v>423</v>
      </c>
      <c r="G39" s="459"/>
      <c r="H39" s="459"/>
      <c r="I39" s="459"/>
      <c r="J39" s="459"/>
      <c r="K39" s="459"/>
      <c r="L39" s="302"/>
      <c r="M39" s="457" t="s">
        <v>424</v>
      </c>
      <c r="N39" s="457"/>
      <c r="O39" s="457"/>
      <c r="P39" s="457"/>
      <c r="Q39" s="457"/>
      <c r="R39" s="457"/>
      <c r="S39" s="457"/>
      <c r="T39" s="457"/>
      <c r="U39" s="457"/>
      <c r="V39" s="457"/>
      <c r="W39" s="457"/>
      <c r="X39" s="302"/>
      <c r="Y39" s="457" t="s">
        <v>424</v>
      </c>
      <c r="Z39" s="457"/>
      <c r="AA39" s="457"/>
      <c r="AB39" s="457"/>
      <c r="AC39" s="457"/>
      <c r="AD39" s="457"/>
      <c r="AE39" s="457"/>
      <c r="AF39" s="457"/>
      <c r="AG39" s="457"/>
      <c r="AH39" s="457"/>
      <c r="AI39" s="457"/>
      <c r="AJ39" s="457"/>
      <c r="AK39" s="142"/>
      <c r="AL39" s="142"/>
      <c r="AM39" s="142"/>
      <c r="AN39" s="142"/>
      <c r="AO39" s="142"/>
      <c r="AP39" s="142"/>
    </row>
    <row r="40" spans="1:42" x14ac:dyDescent="0.3">
      <c r="A40" s="302"/>
      <c r="B40" s="307" t="s">
        <v>425</v>
      </c>
      <c r="C40" s="309">
        <f>0.5*C32*C33*C39*C37^2</f>
        <v>344.82201600000002</v>
      </c>
      <c r="D40" s="307" t="s">
        <v>351</v>
      </c>
      <c r="E40" s="302"/>
      <c r="F40" s="309"/>
      <c r="G40" s="309" t="s">
        <v>45</v>
      </c>
      <c r="H40" s="309" t="s">
        <v>46</v>
      </c>
      <c r="I40" s="309" t="s">
        <v>48</v>
      </c>
      <c r="J40" s="309" t="s">
        <v>47</v>
      </c>
      <c r="K40" s="309"/>
      <c r="L40" s="302"/>
      <c r="M40" s="457"/>
      <c r="N40" s="457"/>
      <c r="O40" s="457" t="s">
        <v>230</v>
      </c>
      <c r="P40" s="457"/>
      <c r="Q40" s="457"/>
      <c r="R40" s="457"/>
      <c r="S40" s="457"/>
      <c r="T40" s="457"/>
      <c r="U40" s="457"/>
      <c r="V40" s="457"/>
      <c r="W40" s="457"/>
      <c r="X40" s="302"/>
      <c r="Y40" s="448">
        <v>0.8</v>
      </c>
      <c r="Z40" s="466"/>
      <c r="AA40" s="466"/>
      <c r="AB40" s="466"/>
      <c r="AC40" s="466"/>
      <c r="AD40" s="466"/>
      <c r="AE40" s="466"/>
      <c r="AF40" s="466"/>
      <c r="AG40" s="466"/>
      <c r="AH40" s="466"/>
      <c r="AI40" s="466"/>
      <c r="AJ40" s="449"/>
      <c r="AK40" s="142"/>
      <c r="AL40" s="142"/>
      <c r="AM40" s="142"/>
      <c r="AN40" s="142"/>
      <c r="AO40" s="142"/>
      <c r="AP40" s="142"/>
    </row>
    <row r="41" spans="1:42" x14ac:dyDescent="0.3">
      <c r="A41" s="302"/>
      <c r="B41" s="302"/>
      <c r="C41" s="302"/>
      <c r="D41" s="302"/>
      <c r="E41" s="302"/>
      <c r="F41" s="309" t="s">
        <v>18</v>
      </c>
      <c r="G41" s="315">
        <f>G3*9.81*$C$13</f>
        <v>6989.625</v>
      </c>
      <c r="H41" s="315">
        <f t="shared" ref="H41:J41" si="13">H3*9.81*$C$13</f>
        <v>8093.25</v>
      </c>
      <c r="I41" s="315">
        <f t="shared" si="13"/>
        <v>9196.875</v>
      </c>
      <c r="J41" s="315">
        <f t="shared" si="13"/>
        <v>10300.5</v>
      </c>
      <c r="K41" s="309" t="s">
        <v>351</v>
      </c>
      <c r="L41" s="302"/>
      <c r="M41" s="457"/>
      <c r="N41" s="457"/>
      <c r="O41" s="301">
        <v>5</v>
      </c>
      <c r="P41" s="301">
        <v>10</v>
      </c>
      <c r="Q41" s="301">
        <v>15</v>
      </c>
      <c r="R41" s="301">
        <v>20</v>
      </c>
      <c r="S41" s="301">
        <v>25</v>
      </c>
      <c r="T41" s="301">
        <v>30</v>
      </c>
      <c r="U41" s="301">
        <v>35</v>
      </c>
      <c r="V41" s="301">
        <v>40</v>
      </c>
      <c r="W41" s="301">
        <v>45</v>
      </c>
      <c r="X41" s="331"/>
      <c r="Y41" s="457" t="s">
        <v>426</v>
      </c>
      <c r="Z41" s="457"/>
      <c r="AA41" s="457"/>
      <c r="AB41" s="457"/>
      <c r="AC41" s="457"/>
      <c r="AD41" s="457"/>
      <c r="AE41" s="457"/>
      <c r="AF41" s="457"/>
      <c r="AG41" s="457"/>
      <c r="AH41" s="457"/>
      <c r="AI41" s="457"/>
      <c r="AJ41" s="457"/>
      <c r="AK41" s="142"/>
      <c r="AL41" s="142"/>
      <c r="AM41" s="142"/>
      <c r="AN41" s="142"/>
      <c r="AO41" s="142"/>
      <c r="AP41" s="142"/>
    </row>
    <row r="42" spans="1:42" x14ac:dyDescent="0.3">
      <c r="A42" s="302"/>
      <c r="B42" s="451" t="s">
        <v>427</v>
      </c>
      <c r="C42" s="452"/>
      <c r="D42" s="453"/>
      <c r="E42" s="302"/>
      <c r="F42" s="328" t="s">
        <v>385</v>
      </c>
      <c r="G42" s="315">
        <f>G41*$C$11/$C$8</f>
        <v>806.49519230769226</v>
      </c>
      <c r="H42" s="315">
        <f t="shared" ref="H42:J42" si="14">H41*$C$11/$C$8</f>
        <v>933.83653846153834</v>
      </c>
      <c r="I42" s="315">
        <f t="shared" si="14"/>
        <v>1061.1778846153845</v>
      </c>
      <c r="J42" s="315">
        <f t="shared" si="14"/>
        <v>1188.5192307692307</v>
      </c>
      <c r="K42" s="309" t="s">
        <v>351</v>
      </c>
      <c r="L42" s="302"/>
      <c r="M42" s="457" t="s">
        <v>231</v>
      </c>
      <c r="N42" s="301">
        <v>5</v>
      </c>
      <c r="O42" s="316">
        <f>(O41^2)/($N$42*9.81)</f>
        <v>0.509683995922528</v>
      </c>
      <c r="P42" s="316">
        <f t="shared" ref="P42:W42" si="15">(P41^2)/($N$42*9.81)</f>
        <v>2.038735983690112</v>
      </c>
      <c r="Q42" s="316">
        <f t="shared" si="15"/>
        <v>4.5871559633027523</v>
      </c>
      <c r="R42" s="316">
        <f t="shared" si="15"/>
        <v>8.154943934760448</v>
      </c>
      <c r="S42" s="316">
        <f t="shared" si="15"/>
        <v>12.7420998980632</v>
      </c>
      <c r="T42" s="316">
        <f t="shared" si="15"/>
        <v>18.348623853211009</v>
      </c>
      <c r="U42" s="316">
        <f t="shared" si="15"/>
        <v>24.974515800203871</v>
      </c>
      <c r="V42" s="316">
        <f t="shared" si="15"/>
        <v>32.619775739041792</v>
      </c>
      <c r="W42" s="316">
        <f t="shared" si="15"/>
        <v>41.284403669724767</v>
      </c>
      <c r="X42" s="331"/>
      <c r="Y42" s="309">
        <v>0</v>
      </c>
      <c r="Z42" s="309">
        <v>1</v>
      </c>
      <c r="AA42" s="309">
        <v>2</v>
      </c>
      <c r="AB42" s="309">
        <v>3</v>
      </c>
      <c r="AC42" s="309">
        <v>4</v>
      </c>
      <c r="AD42" s="309">
        <v>5</v>
      </c>
      <c r="AE42" s="309">
        <v>6</v>
      </c>
      <c r="AF42" s="309">
        <v>7</v>
      </c>
      <c r="AG42" s="309">
        <v>8</v>
      </c>
      <c r="AH42" s="309">
        <v>9</v>
      </c>
      <c r="AI42" s="309">
        <v>10</v>
      </c>
      <c r="AJ42" s="309">
        <f>DEGREES(V38)</f>
        <v>-2.2918311805232929</v>
      </c>
      <c r="AK42" s="142"/>
      <c r="AL42" s="142"/>
      <c r="AM42" s="142"/>
      <c r="AN42" s="142"/>
      <c r="AO42" s="142"/>
      <c r="AP42" s="142"/>
    </row>
    <row r="43" spans="1:42" x14ac:dyDescent="0.3">
      <c r="A43" s="302"/>
      <c r="B43" s="303" t="s">
        <v>108</v>
      </c>
      <c r="C43" s="303">
        <v>6.5000000000000002E-2</v>
      </c>
      <c r="D43" s="303" t="s">
        <v>339</v>
      </c>
      <c r="E43" s="302"/>
      <c r="F43" s="309" t="s">
        <v>428</v>
      </c>
      <c r="G43" s="315">
        <f>(G16+G42)/2</f>
        <v>1451.6913461538463</v>
      </c>
      <c r="H43" s="315">
        <f t="shared" ref="H43:I43" si="16">(H16+H42)/2</f>
        <v>1680.9057692307692</v>
      </c>
      <c r="I43" s="315">
        <f t="shared" si="16"/>
        <v>1910.1201923076924</v>
      </c>
      <c r="J43" s="315">
        <f>(J16+J42)/2</f>
        <v>2139.3346153846155</v>
      </c>
      <c r="K43" s="309" t="s">
        <v>351</v>
      </c>
      <c r="L43" s="302"/>
      <c r="M43" s="457"/>
      <c r="N43" s="301">
        <v>10</v>
      </c>
      <c r="O43" s="316">
        <f>(O41^2)/($N$43*9.81)</f>
        <v>0.254841997961264</v>
      </c>
      <c r="P43" s="316">
        <f t="shared" ref="P43:W43" si="17">(P41^2)/($N$43*9.81)</f>
        <v>1.019367991845056</v>
      </c>
      <c r="Q43" s="316">
        <f t="shared" si="17"/>
        <v>2.2935779816513762</v>
      </c>
      <c r="R43" s="316">
        <f t="shared" si="17"/>
        <v>4.077471967380224</v>
      </c>
      <c r="S43" s="316">
        <f t="shared" si="17"/>
        <v>6.3710499490316002</v>
      </c>
      <c r="T43" s="316">
        <f t="shared" si="17"/>
        <v>9.1743119266055047</v>
      </c>
      <c r="U43" s="316">
        <f t="shared" si="17"/>
        <v>12.487257900101936</v>
      </c>
      <c r="V43" s="316">
        <f t="shared" si="17"/>
        <v>16.309887869520896</v>
      </c>
      <c r="W43" s="316">
        <f t="shared" si="17"/>
        <v>20.642201834862384</v>
      </c>
      <c r="X43" s="331"/>
      <c r="Y43" s="309">
        <f t="shared" ref="Y43:AJ43" si="18">RADIANS(Y42)</f>
        <v>0</v>
      </c>
      <c r="Z43" s="309">
        <f t="shared" si="18"/>
        <v>1.7453292519943295E-2</v>
      </c>
      <c r="AA43" s="309">
        <f t="shared" si="18"/>
        <v>3.4906585039886591E-2</v>
      </c>
      <c r="AB43" s="309">
        <f t="shared" si="18"/>
        <v>5.235987755982989E-2</v>
      </c>
      <c r="AC43" s="309">
        <f t="shared" si="18"/>
        <v>6.9813170079773182E-2</v>
      </c>
      <c r="AD43" s="309">
        <f t="shared" si="18"/>
        <v>8.7266462599716474E-2</v>
      </c>
      <c r="AE43" s="309">
        <f t="shared" si="18"/>
        <v>0.10471975511965978</v>
      </c>
      <c r="AF43" s="309">
        <f t="shared" si="18"/>
        <v>0.12217304763960307</v>
      </c>
      <c r="AG43" s="309">
        <f t="shared" si="18"/>
        <v>0.13962634015954636</v>
      </c>
      <c r="AH43" s="309">
        <f t="shared" si="18"/>
        <v>0.15707963267948966</v>
      </c>
      <c r="AI43" s="309">
        <f t="shared" si="18"/>
        <v>0.17453292519943295</v>
      </c>
      <c r="AJ43" s="309">
        <f t="shared" si="18"/>
        <v>-0.04</v>
      </c>
      <c r="AK43" s="142"/>
      <c r="AL43" s="142"/>
      <c r="AM43" s="142"/>
      <c r="AN43" s="142"/>
      <c r="AO43" s="142"/>
      <c r="AP43" s="142"/>
    </row>
    <row r="44" spans="1:42" x14ac:dyDescent="0.3">
      <c r="A44" s="302"/>
      <c r="B44" s="303" t="s">
        <v>109</v>
      </c>
      <c r="C44" s="303">
        <v>16</v>
      </c>
      <c r="D44" s="303" t="s">
        <v>429</v>
      </c>
      <c r="E44" s="302"/>
      <c r="F44" s="309" t="s">
        <v>430</v>
      </c>
      <c r="G44" s="315">
        <f>(G18-G42)/2</f>
        <v>878.1836538461539</v>
      </c>
      <c r="H44" s="315">
        <f t="shared" ref="H44:J44" si="19">(H18-H42)/2</f>
        <v>1016.8442307692309</v>
      </c>
      <c r="I44" s="315">
        <f t="shared" si="19"/>
        <v>1155.5048076923076</v>
      </c>
      <c r="J44" s="315">
        <f t="shared" si="19"/>
        <v>1294.1653846153849</v>
      </c>
      <c r="K44" s="309" t="s">
        <v>351</v>
      </c>
      <c r="L44" s="302"/>
      <c r="M44" s="457"/>
      <c r="N44" s="301">
        <v>15</v>
      </c>
      <c r="O44" s="316">
        <f>(O41^2)/($N$44*9.81)</f>
        <v>0.16989466530750932</v>
      </c>
      <c r="P44" s="316">
        <f t="shared" ref="P44:W44" si="20">(P41^2)/($N$44*9.81)</f>
        <v>0.6795786612300373</v>
      </c>
      <c r="Q44" s="316">
        <f t="shared" si="20"/>
        <v>1.5290519877675841</v>
      </c>
      <c r="R44" s="316">
        <f t="shared" si="20"/>
        <v>2.7183146449201492</v>
      </c>
      <c r="S44" s="316">
        <f t="shared" si="20"/>
        <v>4.2473666326877337</v>
      </c>
      <c r="T44" s="316">
        <f t="shared" si="20"/>
        <v>6.1162079510703364</v>
      </c>
      <c r="U44" s="316">
        <f t="shared" si="20"/>
        <v>8.3248386000679577</v>
      </c>
      <c r="V44" s="316">
        <f t="shared" si="20"/>
        <v>10.873258579680597</v>
      </c>
      <c r="W44" s="316">
        <f t="shared" si="20"/>
        <v>13.761467889908257</v>
      </c>
      <c r="X44" s="331"/>
      <c r="Y44" s="457" t="s">
        <v>431</v>
      </c>
      <c r="Z44" s="457"/>
      <c r="AA44" s="457"/>
      <c r="AB44" s="457"/>
      <c r="AC44" s="457"/>
      <c r="AD44" s="457"/>
      <c r="AE44" s="457"/>
      <c r="AF44" s="457"/>
      <c r="AG44" s="457"/>
      <c r="AH44" s="457"/>
      <c r="AI44" s="457"/>
      <c r="AJ44" s="457"/>
      <c r="AK44" s="142"/>
      <c r="AL44" s="142"/>
      <c r="AM44" s="142"/>
      <c r="AN44" s="142"/>
      <c r="AO44" s="142"/>
      <c r="AP44" s="142"/>
    </row>
    <row r="45" spans="1:42" x14ac:dyDescent="0.3">
      <c r="A45" s="302"/>
      <c r="B45" s="307" t="s">
        <v>110</v>
      </c>
      <c r="C45" s="307">
        <f>2*C43</f>
        <v>0.13</v>
      </c>
      <c r="D45" s="307" t="s">
        <v>339</v>
      </c>
      <c r="E45" s="302"/>
      <c r="F45" s="309" t="s">
        <v>432</v>
      </c>
      <c r="G45" s="315">
        <f>G41/G3</f>
        <v>14.715</v>
      </c>
      <c r="H45" s="315">
        <f t="shared" ref="H45:J45" si="21">H41/H3</f>
        <v>14.715</v>
      </c>
      <c r="I45" s="315">
        <f t="shared" si="21"/>
        <v>14.715</v>
      </c>
      <c r="J45" s="315">
        <f t="shared" si="21"/>
        <v>14.715</v>
      </c>
      <c r="K45" s="309" t="s">
        <v>394</v>
      </c>
      <c r="L45" s="302"/>
      <c r="M45" s="457"/>
      <c r="N45" s="301">
        <v>20</v>
      </c>
      <c r="O45" s="316">
        <f>(O41^2)/($N$45*9.81)</f>
        <v>0.127420998980632</v>
      </c>
      <c r="P45" s="316">
        <f t="shared" ref="P45:W45" si="22">(P41^2)/($N$45*9.81)</f>
        <v>0.509683995922528</v>
      </c>
      <c r="Q45" s="316">
        <f t="shared" si="22"/>
        <v>1.1467889908256881</v>
      </c>
      <c r="R45" s="316">
        <f t="shared" si="22"/>
        <v>2.038735983690112</v>
      </c>
      <c r="S45" s="316">
        <f t="shared" si="22"/>
        <v>3.1855249745158001</v>
      </c>
      <c r="T45" s="316">
        <f t="shared" si="22"/>
        <v>4.5871559633027523</v>
      </c>
      <c r="U45" s="316">
        <f t="shared" si="22"/>
        <v>6.2436289500509679</v>
      </c>
      <c r="V45" s="316">
        <f t="shared" si="22"/>
        <v>8.154943934760448</v>
      </c>
      <c r="W45" s="316">
        <f t="shared" si="22"/>
        <v>10.321100917431192</v>
      </c>
      <c r="X45" s="331"/>
      <c r="Y45" s="309">
        <f t="shared" ref="Y45:AJ45" si="23">$Y$40*COS(Y43)-SIN(Y43)</f>
        <v>0.8</v>
      </c>
      <c r="Z45" s="309">
        <f t="shared" si="23"/>
        <v>0.78242574968782952</v>
      </c>
      <c r="AA45" s="309">
        <f t="shared" si="23"/>
        <v>0.76461316491277576</v>
      </c>
      <c r="AB45" s="309">
        <f t="shared" si="23"/>
        <v>0.74656767156071524</v>
      </c>
      <c r="AC45" s="309">
        <f t="shared" si="23"/>
        <v>0.72829476646373414</v>
      </c>
      <c r="AD45" s="309">
        <f t="shared" si="23"/>
        <v>0.70980001572573836</v>
      </c>
      <c r="AE45" s="309">
        <f t="shared" si="23"/>
        <v>0.69108905302696511</v>
      </c>
      <c r="AF45" s="309">
        <f t="shared" si="23"/>
        <v>0.67216757790791015</v>
      </c>
      <c r="AG45" s="309">
        <f t="shared" si="23"/>
        <v>0.65304135403319097</v>
      </c>
      <c r="AH45" s="309">
        <f t="shared" si="23"/>
        <v>0.63371620743587942</v>
      </c>
      <c r="AI45" s="309">
        <f t="shared" si="23"/>
        <v>0.61419802474283614</v>
      </c>
      <c r="AJ45" s="309">
        <f t="shared" si="23"/>
        <v>0.83934941951541653</v>
      </c>
      <c r="AK45" s="142"/>
      <c r="AL45" s="142"/>
      <c r="AM45" s="142"/>
      <c r="AN45" s="142"/>
      <c r="AO45" s="142"/>
      <c r="AP45" s="142"/>
    </row>
    <row r="46" spans="1:42" x14ac:dyDescent="0.3">
      <c r="A46" s="302"/>
      <c r="B46" s="309" t="s">
        <v>109</v>
      </c>
      <c r="C46" s="309">
        <f>C44*25.4/1000</f>
        <v>0.40639999999999998</v>
      </c>
      <c r="D46" s="309" t="s">
        <v>339</v>
      </c>
      <c r="E46" s="302"/>
      <c r="F46" s="309" t="s">
        <v>432</v>
      </c>
      <c r="G46" s="315">
        <f>G45/9.81</f>
        <v>1.5</v>
      </c>
      <c r="H46" s="315">
        <f t="shared" ref="H46:J46" si="24">H45/9.81</f>
        <v>1.5</v>
      </c>
      <c r="I46" s="315">
        <f t="shared" si="24"/>
        <v>1.5</v>
      </c>
      <c r="J46" s="315">
        <f t="shared" si="24"/>
        <v>1.5</v>
      </c>
      <c r="K46" s="309" t="s">
        <v>396</v>
      </c>
      <c r="L46" s="302"/>
      <c r="M46" s="457"/>
      <c r="N46" s="301">
        <v>25</v>
      </c>
      <c r="O46" s="316">
        <f>(O41^2)/($N$46*9.81)</f>
        <v>0.1019367991845056</v>
      </c>
      <c r="P46" s="316">
        <f t="shared" ref="P46:V46" si="25">(P41^2)/($N$46*9.81)</f>
        <v>0.4077471967380224</v>
      </c>
      <c r="Q46" s="316">
        <f t="shared" si="25"/>
        <v>0.91743119266055051</v>
      </c>
      <c r="R46" s="316">
        <f t="shared" si="25"/>
        <v>1.6309887869520896</v>
      </c>
      <c r="S46" s="316">
        <f t="shared" si="25"/>
        <v>2.5484199796126403</v>
      </c>
      <c r="T46" s="316">
        <f t="shared" si="25"/>
        <v>3.669724770642202</v>
      </c>
      <c r="U46" s="316">
        <f t="shared" si="25"/>
        <v>4.9949031600407743</v>
      </c>
      <c r="V46" s="316">
        <f t="shared" si="25"/>
        <v>6.5239551478083584</v>
      </c>
      <c r="W46" s="316">
        <f>(W41^2)/($N$46*9.81)</f>
        <v>8.2568807339449535</v>
      </c>
      <c r="X46" s="331"/>
      <c r="Y46" s="458" t="s">
        <v>433</v>
      </c>
      <c r="Z46" s="458"/>
      <c r="AA46" s="458"/>
      <c r="AB46" s="458"/>
      <c r="AC46" s="458"/>
      <c r="AD46" s="458"/>
      <c r="AE46" s="458"/>
      <c r="AF46" s="458"/>
      <c r="AG46" s="458"/>
      <c r="AH46" s="458"/>
      <c r="AI46" s="458"/>
      <c r="AJ46" s="458"/>
      <c r="AK46" s="142"/>
      <c r="AL46" s="142"/>
      <c r="AM46" s="142"/>
      <c r="AN46" s="142"/>
      <c r="AO46" s="142"/>
      <c r="AP46" s="142"/>
    </row>
    <row r="47" spans="1:42" x14ac:dyDescent="0.3">
      <c r="A47" s="302"/>
      <c r="B47" s="309" t="s">
        <v>111</v>
      </c>
      <c r="C47" s="309">
        <f>C46+C45</f>
        <v>0.53639999999999999</v>
      </c>
      <c r="D47" s="309" t="s">
        <v>339</v>
      </c>
      <c r="E47" s="302"/>
      <c r="F47" s="302"/>
      <c r="G47" s="302"/>
      <c r="H47" s="302"/>
      <c r="I47" s="302"/>
      <c r="J47" s="302"/>
      <c r="K47" s="302"/>
      <c r="L47" s="302"/>
      <c r="M47" s="457"/>
      <c r="N47" s="301">
        <v>30</v>
      </c>
      <c r="O47" s="316">
        <f>(O41^2)/($N$47*9.81)</f>
        <v>8.4947332653754662E-2</v>
      </c>
      <c r="P47" s="316">
        <f t="shared" ref="P47:W47" si="26">(P41^2)/($N$47*9.81)</f>
        <v>0.33978933061501865</v>
      </c>
      <c r="Q47" s="316">
        <f t="shared" si="26"/>
        <v>0.76452599388379205</v>
      </c>
      <c r="R47" s="316">
        <f t="shared" si="26"/>
        <v>1.3591573224600746</v>
      </c>
      <c r="S47" s="316">
        <f t="shared" si="26"/>
        <v>2.1236833163438669</v>
      </c>
      <c r="T47" s="316">
        <f t="shared" si="26"/>
        <v>3.0581039755351682</v>
      </c>
      <c r="U47" s="316">
        <f t="shared" si="26"/>
        <v>4.1624193000339789</v>
      </c>
      <c r="V47" s="316">
        <f t="shared" si="26"/>
        <v>5.4366292898402984</v>
      </c>
      <c r="W47" s="316">
        <f t="shared" si="26"/>
        <v>6.8807339449541285</v>
      </c>
      <c r="X47" s="331"/>
      <c r="Y47" s="309">
        <f t="shared" ref="Y47:AJ47" si="27">$V$37*($Y$40*SIN(Y43)+COS(Y43))</f>
        <v>700</v>
      </c>
      <c r="Z47" s="309">
        <f t="shared" si="27"/>
        <v>709.66673421435269</v>
      </c>
      <c r="AA47" s="309">
        <f t="shared" si="27"/>
        <v>719.11729706676749</v>
      </c>
      <c r="AB47" s="309">
        <f t="shared" si="27"/>
        <v>728.34880982425022</v>
      </c>
      <c r="AC47" s="309">
        <f t="shared" si="27"/>
        <v>737.35846047858706</v>
      </c>
      <c r="AD47" s="309">
        <f t="shared" si="27"/>
        <v>746.14350460291053</v>
      </c>
      <c r="AE47" s="309">
        <f t="shared" si="27"/>
        <v>754.70126618767733</v>
      </c>
      <c r="AF47" s="309">
        <f t="shared" si="27"/>
        <v>763.02913845580804</v>
      </c>
      <c r="AG47" s="309">
        <f t="shared" si="27"/>
        <v>771.12458465673592</v>
      </c>
      <c r="AH47" s="309">
        <f t="shared" si="27"/>
        <v>778.98513883912563</v>
      </c>
      <c r="AI47" s="309">
        <f t="shared" si="27"/>
        <v>786.60840660202655</v>
      </c>
      <c r="AJ47" s="309">
        <f t="shared" si="27"/>
        <v>677.04604751816942</v>
      </c>
      <c r="AK47" s="142"/>
      <c r="AL47" s="142"/>
      <c r="AM47" s="142"/>
      <c r="AN47" s="142"/>
      <c r="AO47" s="142"/>
      <c r="AP47" s="142"/>
    </row>
    <row r="48" spans="1:42" x14ac:dyDescent="0.3">
      <c r="A48" s="302"/>
      <c r="B48" s="309" t="s">
        <v>112</v>
      </c>
      <c r="C48" s="309">
        <f>C47/2</f>
        <v>0.26819999999999999</v>
      </c>
      <c r="D48" s="309" t="s">
        <v>339</v>
      </c>
      <c r="E48" s="302"/>
      <c r="F48" s="437" t="s">
        <v>434</v>
      </c>
      <c r="G48" s="438"/>
      <c r="H48" s="438"/>
      <c r="I48" s="438"/>
      <c r="J48" s="438"/>
      <c r="K48" s="439"/>
      <c r="L48" s="302"/>
      <c r="M48" s="457"/>
      <c r="N48" s="301">
        <v>35</v>
      </c>
      <c r="O48" s="316">
        <f>(O41^2)/($N$48*9.81)</f>
        <v>7.2811999417504006E-2</v>
      </c>
      <c r="P48" s="316">
        <f t="shared" ref="P48:W48" si="28">(P41^2)/($N$48*9.81)</f>
        <v>0.29124799767001602</v>
      </c>
      <c r="Q48" s="316">
        <f t="shared" si="28"/>
        <v>0.65530799475753598</v>
      </c>
      <c r="R48" s="316">
        <f t="shared" si="28"/>
        <v>1.1649919906800641</v>
      </c>
      <c r="S48" s="316">
        <f t="shared" si="28"/>
        <v>1.8202999854376001</v>
      </c>
      <c r="T48" s="316">
        <f t="shared" si="28"/>
        <v>2.6212319790301439</v>
      </c>
      <c r="U48" s="316">
        <f t="shared" si="28"/>
        <v>3.5677879714576961</v>
      </c>
      <c r="V48" s="316">
        <f t="shared" si="28"/>
        <v>4.6599679627202564</v>
      </c>
      <c r="W48" s="316">
        <f t="shared" si="28"/>
        <v>5.8977719528178243</v>
      </c>
      <c r="X48" s="331"/>
      <c r="Y48" s="331"/>
      <c r="Z48" s="331"/>
      <c r="AA48" s="331"/>
      <c r="AB48" s="331"/>
      <c r="AC48" s="331"/>
      <c r="AD48" s="331"/>
      <c r="AE48" s="331"/>
      <c r="AF48" s="331"/>
      <c r="AG48" s="331"/>
      <c r="AH48" s="331"/>
      <c r="AI48" s="330"/>
      <c r="AJ48" s="331"/>
      <c r="AK48" s="142"/>
      <c r="AL48" s="142"/>
      <c r="AM48" s="142"/>
      <c r="AN48" s="142"/>
      <c r="AO48" s="142"/>
      <c r="AP48" s="142"/>
    </row>
    <row r="49" spans="1:42" x14ac:dyDescent="0.3">
      <c r="A49" s="302"/>
      <c r="B49" s="309" t="s">
        <v>427</v>
      </c>
      <c r="C49" s="309">
        <f>0.98*C48</f>
        <v>0.26283600000000001</v>
      </c>
      <c r="D49" s="309" t="s">
        <v>339</v>
      </c>
      <c r="E49" s="302"/>
      <c r="F49" s="454" t="s">
        <v>435</v>
      </c>
      <c r="G49" s="455"/>
      <c r="H49" s="455"/>
      <c r="I49" s="456"/>
      <c r="J49" s="303">
        <v>1.5</v>
      </c>
      <c r="K49" s="303" t="s">
        <v>361</v>
      </c>
      <c r="L49" s="302"/>
      <c r="M49" s="457"/>
      <c r="N49" s="301">
        <v>40</v>
      </c>
      <c r="O49" s="316">
        <f>(O41^2)/($N$49*9.81)</f>
        <v>6.3710499490316E-2</v>
      </c>
      <c r="P49" s="316">
        <f t="shared" ref="P49:W49" si="29">(P41^2)/($N$49*9.81)</f>
        <v>0.254841997961264</v>
      </c>
      <c r="Q49" s="316">
        <f t="shared" si="29"/>
        <v>0.57339449541284404</v>
      </c>
      <c r="R49" s="316">
        <f t="shared" si="29"/>
        <v>1.019367991845056</v>
      </c>
      <c r="S49" s="316">
        <f t="shared" si="29"/>
        <v>1.5927624872579</v>
      </c>
      <c r="T49" s="316">
        <f t="shared" si="29"/>
        <v>2.2935779816513762</v>
      </c>
      <c r="U49" s="316">
        <f t="shared" si="29"/>
        <v>3.1218144750254839</v>
      </c>
      <c r="V49" s="316">
        <f t="shared" si="29"/>
        <v>4.077471967380224</v>
      </c>
      <c r="W49" s="316">
        <f t="shared" si="29"/>
        <v>5.1605504587155959</v>
      </c>
      <c r="X49" s="331"/>
      <c r="Y49" s="331"/>
      <c r="Z49" s="331"/>
      <c r="AA49" s="331"/>
      <c r="AB49" s="331"/>
      <c r="AC49" s="331"/>
      <c r="AD49" s="331"/>
      <c r="AE49" s="331"/>
      <c r="AF49" s="331"/>
      <c r="AG49" s="331"/>
      <c r="AH49" s="331"/>
      <c r="AI49" s="331"/>
      <c r="AJ49" s="331"/>
      <c r="AK49" s="142"/>
      <c r="AL49" s="142"/>
      <c r="AM49" s="142"/>
      <c r="AN49" s="142"/>
      <c r="AO49" s="142"/>
      <c r="AP49" s="142"/>
    </row>
    <row r="50" spans="1:42" x14ac:dyDescent="0.3">
      <c r="A50" s="302"/>
      <c r="B50" s="302"/>
      <c r="C50" s="302"/>
      <c r="D50" s="302"/>
      <c r="E50" s="302"/>
      <c r="F50" s="460" t="s">
        <v>436</v>
      </c>
      <c r="G50" s="461"/>
      <c r="H50" s="461"/>
      <c r="I50" s="462"/>
      <c r="J50" s="303">
        <v>0</v>
      </c>
      <c r="K50" s="303" t="s">
        <v>437</v>
      </c>
      <c r="L50" s="302"/>
      <c r="M50" s="457"/>
      <c r="N50" s="301">
        <v>45</v>
      </c>
      <c r="O50" s="316">
        <f>(O41^2)/($N$50*9.81)</f>
        <v>5.663155510250311E-2</v>
      </c>
      <c r="P50" s="316">
        <f t="shared" ref="P50:W50" si="30">(P41^2)/($N$50*9.81)</f>
        <v>0.22652622041001244</v>
      </c>
      <c r="Q50" s="316">
        <f t="shared" si="30"/>
        <v>0.509683995922528</v>
      </c>
      <c r="R50" s="316">
        <f t="shared" si="30"/>
        <v>0.90610488164004976</v>
      </c>
      <c r="S50" s="316">
        <f t="shared" si="30"/>
        <v>1.4157888775625778</v>
      </c>
      <c r="T50" s="316">
        <f t="shared" si="30"/>
        <v>2.038735983690112</v>
      </c>
      <c r="U50" s="316">
        <f t="shared" si="30"/>
        <v>2.7749462000226521</v>
      </c>
      <c r="V50" s="316">
        <f t="shared" si="30"/>
        <v>3.6244195265601991</v>
      </c>
      <c r="W50" s="316">
        <f t="shared" si="30"/>
        <v>4.5871559633027514</v>
      </c>
      <c r="X50" s="331"/>
      <c r="Y50" s="330"/>
      <c r="Z50" s="330"/>
      <c r="AA50" s="330"/>
      <c r="AB50" s="330"/>
      <c r="AC50" s="330"/>
      <c r="AD50" s="330"/>
      <c r="AE50" s="330"/>
      <c r="AF50" s="330"/>
      <c r="AG50" s="330"/>
      <c r="AH50" s="330"/>
      <c r="AI50" s="330"/>
      <c r="AJ50" s="331"/>
      <c r="AK50" s="142"/>
      <c r="AL50" s="142"/>
      <c r="AM50" s="142"/>
      <c r="AN50" s="142"/>
      <c r="AO50" s="142"/>
      <c r="AP50" s="142"/>
    </row>
    <row r="51" spans="1:42" x14ac:dyDescent="0.3">
      <c r="A51" s="302"/>
      <c r="B51" s="309" t="s">
        <v>438</v>
      </c>
      <c r="C51" s="309">
        <v>0.8</v>
      </c>
      <c r="D51" s="309" t="s">
        <v>361</v>
      </c>
      <c r="E51" s="302"/>
      <c r="F51" s="463"/>
      <c r="G51" s="464"/>
      <c r="H51" s="464"/>
      <c r="I51" s="465"/>
      <c r="J51" s="307">
        <f>RADIANS(J50)</f>
        <v>0</v>
      </c>
      <c r="K51" s="307" t="s">
        <v>421</v>
      </c>
      <c r="L51" s="302"/>
      <c r="M51" s="457"/>
      <c r="N51" s="301">
        <v>50</v>
      </c>
      <c r="O51" s="316">
        <f>(O41^2)/($N$51*9.81)</f>
        <v>5.09683995922528E-2</v>
      </c>
      <c r="P51" s="316">
        <f t="shared" ref="P51:W51" si="31">(P41^2)/($N$51*9.81)</f>
        <v>0.2038735983690112</v>
      </c>
      <c r="Q51" s="316">
        <f t="shared" si="31"/>
        <v>0.45871559633027525</v>
      </c>
      <c r="R51" s="316">
        <f t="shared" si="31"/>
        <v>0.8154943934760448</v>
      </c>
      <c r="S51" s="316">
        <f t="shared" si="31"/>
        <v>1.2742099898063202</v>
      </c>
      <c r="T51" s="316">
        <f t="shared" si="31"/>
        <v>1.834862385321101</v>
      </c>
      <c r="U51" s="316">
        <f t="shared" si="31"/>
        <v>2.4974515800203871</v>
      </c>
      <c r="V51" s="316">
        <f t="shared" si="31"/>
        <v>3.2619775739041792</v>
      </c>
      <c r="W51" s="316">
        <f t="shared" si="31"/>
        <v>4.1284403669724767</v>
      </c>
      <c r="X51" s="331"/>
      <c r="Y51" s="330"/>
      <c r="Z51" s="330"/>
      <c r="AA51" s="330"/>
      <c r="AB51" s="330"/>
      <c r="AC51" s="330"/>
      <c r="AD51" s="330"/>
      <c r="AE51" s="330"/>
      <c r="AF51" s="330"/>
      <c r="AG51" s="330"/>
      <c r="AH51" s="330"/>
      <c r="AI51" s="330"/>
      <c r="AJ51" s="331"/>
      <c r="AK51" s="142"/>
      <c r="AL51" s="142"/>
      <c r="AM51" s="142"/>
      <c r="AN51" s="142"/>
      <c r="AO51" s="142"/>
      <c r="AP51" s="142"/>
    </row>
    <row r="52" spans="1:42" x14ac:dyDescent="0.3">
      <c r="A52" s="302"/>
      <c r="B52" s="309" t="s">
        <v>439</v>
      </c>
      <c r="C52" s="309">
        <v>0.75</v>
      </c>
      <c r="D52" s="309" t="s">
        <v>361</v>
      </c>
      <c r="E52" s="302"/>
      <c r="F52" s="448"/>
      <c r="G52" s="466"/>
      <c r="H52" s="466"/>
      <c r="I52" s="466"/>
      <c r="J52" s="466"/>
      <c r="K52" s="449"/>
      <c r="L52" s="302"/>
      <c r="M52" s="457"/>
      <c r="N52" s="301">
        <v>55</v>
      </c>
      <c r="O52" s="316">
        <f>(O41^2)/($N$52*9.81)</f>
        <v>4.6334908720229814E-2</v>
      </c>
      <c r="P52" s="316">
        <f t="shared" ref="P52:W52" si="32">(P41^2)/($N$52*9.81)</f>
        <v>0.18533963488091926</v>
      </c>
      <c r="Q52" s="316">
        <f t="shared" si="32"/>
        <v>0.41701417848206834</v>
      </c>
      <c r="R52" s="316">
        <f t="shared" si="32"/>
        <v>0.74135853952367703</v>
      </c>
      <c r="S52" s="316">
        <f t="shared" si="32"/>
        <v>1.1583727180057455</v>
      </c>
      <c r="T52" s="316">
        <f t="shared" si="32"/>
        <v>1.6680567139282734</v>
      </c>
      <c r="U52" s="316">
        <f t="shared" si="32"/>
        <v>2.2704105272912609</v>
      </c>
      <c r="V52" s="316">
        <f t="shared" si="32"/>
        <v>2.9654341580947081</v>
      </c>
      <c r="W52" s="316">
        <f t="shared" si="32"/>
        <v>3.753127606338615</v>
      </c>
      <c r="X52" s="331"/>
      <c r="Y52" s="330"/>
      <c r="Z52" s="330"/>
      <c r="AA52" s="330"/>
      <c r="AB52" s="330"/>
      <c r="AC52" s="330"/>
      <c r="AD52" s="330"/>
      <c r="AE52" s="330"/>
      <c r="AF52" s="330"/>
      <c r="AG52" s="330"/>
      <c r="AH52" s="330"/>
      <c r="AI52" s="330"/>
      <c r="AJ52" s="331"/>
      <c r="AK52" s="142"/>
      <c r="AL52" s="142"/>
      <c r="AM52" s="142"/>
      <c r="AN52" s="142"/>
      <c r="AO52" s="142"/>
      <c r="AP52" s="142"/>
    </row>
    <row r="53" spans="1:42" x14ac:dyDescent="0.3">
      <c r="A53" s="302"/>
      <c r="B53" s="302"/>
      <c r="C53" s="302"/>
      <c r="D53" s="302"/>
      <c r="E53" s="302"/>
      <c r="F53" s="309"/>
      <c r="G53" s="309" t="s">
        <v>45</v>
      </c>
      <c r="H53" s="309" t="s">
        <v>46</v>
      </c>
      <c r="I53" s="309" t="s">
        <v>48</v>
      </c>
      <c r="J53" s="309" t="s">
        <v>47</v>
      </c>
      <c r="K53" s="309"/>
      <c r="L53" s="302"/>
      <c r="M53" s="457"/>
      <c r="N53" s="301">
        <v>60</v>
      </c>
      <c r="O53" s="316">
        <f>(O41^2)/($N$53*9.81)</f>
        <v>4.2473666326877331E-2</v>
      </c>
      <c r="P53" s="316">
        <f t="shared" ref="P53:W53" si="33">(P41^2)/($N$53*9.81)</f>
        <v>0.16989466530750932</v>
      </c>
      <c r="Q53" s="316">
        <f t="shared" si="33"/>
        <v>0.38226299694189603</v>
      </c>
      <c r="R53" s="316">
        <f t="shared" si="33"/>
        <v>0.6795786612300373</v>
      </c>
      <c r="S53" s="316">
        <f t="shared" si="33"/>
        <v>1.0618416581719334</v>
      </c>
      <c r="T53" s="316">
        <f t="shared" si="33"/>
        <v>1.5290519877675841</v>
      </c>
      <c r="U53" s="316">
        <f t="shared" si="33"/>
        <v>2.0812096500169894</v>
      </c>
      <c r="V53" s="316">
        <f t="shared" si="33"/>
        <v>2.7183146449201492</v>
      </c>
      <c r="W53" s="316">
        <f t="shared" si="33"/>
        <v>3.4403669724770642</v>
      </c>
      <c r="X53" s="331"/>
      <c r="Y53" s="330"/>
      <c r="Z53" s="330"/>
      <c r="AA53" s="330"/>
      <c r="AB53" s="330"/>
      <c r="AC53" s="330"/>
      <c r="AD53" s="330"/>
      <c r="AE53" s="330"/>
      <c r="AF53" s="330"/>
      <c r="AG53" s="330"/>
      <c r="AH53" s="330"/>
      <c r="AI53" s="330"/>
      <c r="AJ53" s="331"/>
      <c r="AK53" s="142"/>
      <c r="AL53" s="142"/>
      <c r="AM53" s="142"/>
      <c r="AN53" s="142"/>
      <c r="AO53" s="142"/>
      <c r="AP53" s="142"/>
    </row>
    <row r="54" spans="1:42" x14ac:dyDescent="0.3">
      <c r="A54" s="302"/>
      <c r="B54" s="302"/>
      <c r="C54" s="302"/>
      <c r="D54" s="302"/>
      <c r="E54" s="302"/>
      <c r="F54" s="309" t="s">
        <v>434</v>
      </c>
      <c r="G54" s="315">
        <f>G3*9.81*$J$49*COS($J$51)</f>
        <v>6989.625</v>
      </c>
      <c r="H54" s="315">
        <f>H3*9.81*$J$49*COS($J$51)</f>
        <v>8093.25</v>
      </c>
      <c r="I54" s="315">
        <f>I3*9.81*$J$49*COS($J$51)</f>
        <v>9196.875</v>
      </c>
      <c r="J54" s="315">
        <f>J3*9.81*$J$49*COS($J$51)</f>
        <v>10300.5</v>
      </c>
      <c r="K54" s="309" t="s">
        <v>351</v>
      </c>
      <c r="L54" s="302"/>
      <c r="M54" s="457"/>
      <c r="N54" s="301">
        <v>65</v>
      </c>
      <c r="O54" s="316">
        <f>(O41^2)/($N$54*9.81)</f>
        <v>3.9206461224809849E-2</v>
      </c>
      <c r="P54" s="316">
        <f t="shared" ref="P54:W54" si="34">(P41^2)/($N$54*9.81)</f>
        <v>0.1568258448992394</v>
      </c>
      <c r="Q54" s="316">
        <f t="shared" si="34"/>
        <v>0.35285815102328866</v>
      </c>
      <c r="R54" s="316">
        <f t="shared" si="34"/>
        <v>0.62730337959695759</v>
      </c>
      <c r="S54" s="316">
        <f t="shared" si="34"/>
        <v>0.98016153062024625</v>
      </c>
      <c r="T54" s="316">
        <f t="shared" si="34"/>
        <v>1.4114326040931546</v>
      </c>
      <c r="U54" s="316">
        <f t="shared" si="34"/>
        <v>1.9211166000156827</v>
      </c>
      <c r="V54" s="316">
        <f t="shared" si="34"/>
        <v>2.5092135183878304</v>
      </c>
      <c r="W54" s="316">
        <f t="shared" si="34"/>
        <v>3.1757233592095977</v>
      </c>
      <c r="X54" s="331"/>
      <c r="Y54" s="330"/>
      <c r="Z54" s="330"/>
      <c r="AA54" s="330"/>
      <c r="AB54" s="330"/>
      <c r="AC54" s="330"/>
      <c r="AD54" s="330"/>
      <c r="AE54" s="330"/>
      <c r="AF54" s="330"/>
      <c r="AG54" s="330"/>
      <c r="AH54" s="330"/>
      <c r="AI54" s="330"/>
      <c r="AJ54" s="331"/>
      <c r="AK54" s="142"/>
      <c r="AL54" s="142"/>
      <c r="AM54" s="142"/>
      <c r="AN54" s="142"/>
      <c r="AO54" s="142"/>
      <c r="AP54" s="142"/>
    </row>
    <row r="55" spans="1:42" x14ac:dyDescent="0.3">
      <c r="A55" s="302"/>
      <c r="B55" s="329"/>
      <c r="C55" s="329"/>
      <c r="D55" s="329"/>
      <c r="E55" s="302"/>
      <c r="F55" s="309"/>
      <c r="G55" s="309"/>
      <c r="H55" s="309"/>
      <c r="I55" s="309"/>
      <c r="J55" s="309"/>
      <c r="K55" s="309"/>
      <c r="L55" s="302"/>
      <c r="M55" s="457"/>
      <c r="N55" s="301">
        <v>70</v>
      </c>
      <c r="O55" s="316">
        <f>(O41^2)/($N$55*9.81)</f>
        <v>3.6405999708752003E-2</v>
      </c>
      <c r="P55" s="316">
        <f t="shared" ref="P55:W55" si="35">(P41^2)/($N$55*9.81)</f>
        <v>0.14562399883500801</v>
      </c>
      <c r="Q55" s="316">
        <f t="shared" si="35"/>
        <v>0.32765399737876799</v>
      </c>
      <c r="R55" s="316">
        <f t="shared" si="35"/>
        <v>0.58249599534003205</v>
      </c>
      <c r="S55" s="316">
        <f t="shared" si="35"/>
        <v>0.91014999271880004</v>
      </c>
      <c r="T55" s="316">
        <f t="shared" si="35"/>
        <v>1.310615989515072</v>
      </c>
      <c r="U55" s="316">
        <f t="shared" si="35"/>
        <v>1.7838939857288481</v>
      </c>
      <c r="V55" s="316">
        <f t="shared" si="35"/>
        <v>2.3299839813601282</v>
      </c>
      <c r="W55" s="316">
        <f t="shared" si="35"/>
        <v>2.9488859764089121</v>
      </c>
      <c r="X55" s="331"/>
      <c r="Y55" s="330"/>
      <c r="Z55" s="330"/>
      <c r="AA55" s="330"/>
      <c r="AB55" s="330"/>
      <c r="AC55" s="330"/>
      <c r="AD55" s="330"/>
      <c r="AE55" s="330"/>
      <c r="AF55" s="330"/>
      <c r="AG55" s="330"/>
      <c r="AH55" s="330"/>
      <c r="AI55" s="330"/>
      <c r="AJ55" s="331"/>
      <c r="AK55" s="142"/>
      <c r="AL55" s="142"/>
      <c r="AM55" s="142"/>
      <c r="AN55" s="142"/>
      <c r="AO55" s="142"/>
      <c r="AP55" s="142"/>
    </row>
    <row r="56" spans="1:42" x14ac:dyDescent="0.3">
      <c r="A56" s="302"/>
      <c r="B56" s="329"/>
      <c r="C56" s="329"/>
      <c r="D56" s="329"/>
      <c r="E56" s="335"/>
      <c r="F56" s="302"/>
      <c r="G56" s="302"/>
      <c r="H56" s="302"/>
      <c r="I56" s="302"/>
      <c r="J56" s="302"/>
      <c r="K56" s="302"/>
      <c r="L56" s="302"/>
      <c r="M56" s="457"/>
      <c r="N56" s="301">
        <v>75</v>
      </c>
      <c r="O56" s="316">
        <f>(O41^2)/($N$56*9.81)</f>
        <v>3.3978933061501869E-2</v>
      </c>
      <c r="P56" s="316">
        <f t="shared" ref="P56:W56" si="36">(P41^2)/($N$56*9.81)</f>
        <v>0.13591573224600748</v>
      </c>
      <c r="Q56" s="316">
        <f t="shared" si="36"/>
        <v>0.3058103975535168</v>
      </c>
      <c r="R56" s="316">
        <f t="shared" si="36"/>
        <v>0.5436629289840299</v>
      </c>
      <c r="S56" s="316">
        <f t="shared" si="36"/>
        <v>0.8494733265375467</v>
      </c>
      <c r="T56" s="316">
        <f t="shared" si="36"/>
        <v>1.2232415902140672</v>
      </c>
      <c r="U56" s="316">
        <f t="shared" si="36"/>
        <v>1.6649677200135915</v>
      </c>
      <c r="V56" s="316">
        <f t="shared" si="36"/>
        <v>2.1746517159361196</v>
      </c>
      <c r="W56" s="316">
        <f t="shared" si="36"/>
        <v>2.7522935779816513</v>
      </c>
      <c r="X56" s="331"/>
      <c r="Y56" s="330"/>
      <c r="Z56" s="330"/>
      <c r="AA56" s="330"/>
      <c r="AB56" s="330"/>
      <c r="AC56" s="330"/>
      <c r="AD56" s="330"/>
      <c r="AE56" s="330"/>
      <c r="AF56" s="330"/>
      <c r="AG56" s="330"/>
      <c r="AH56" s="330"/>
      <c r="AI56" s="330"/>
      <c r="AJ56" s="331"/>
      <c r="AK56" s="142"/>
      <c r="AL56" s="142"/>
      <c r="AM56" s="142"/>
      <c r="AN56" s="142"/>
      <c r="AO56" s="142"/>
      <c r="AP56" s="142"/>
    </row>
    <row r="57" spans="1:42" x14ac:dyDescent="0.3">
      <c r="A57" s="302"/>
      <c r="B57" s="329"/>
      <c r="C57" s="329"/>
      <c r="D57" s="329"/>
      <c r="E57" s="335"/>
      <c r="F57" s="437" t="s">
        <v>440</v>
      </c>
      <c r="G57" s="438"/>
      <c r="H57" s="438"/>
      <c r="I57" s="438"/>
      <c r="J57" s="438"/>
      <c r="K57" s="439"/>
      <c r="L57" s="302"/>
      <c r="M57" s="457"/>
      <c r="N57" s="301">
        <v>80</v>
      </c>
      <c r="O57" s="316">
        <f>(O41^2)/($N$57*9.81)</f>
        <v>3.1855249745158E-2</v>
      </c>
      <c r="P57" s="316">
        <f t="shared" ref="P57:W57" si="37">(P41^2)/($N$57*9.81)</f>
        <v>0.127420998980632</v>
      </c>
      <c r="Q57" s="316">
        <f t="shared" si="37"/>
        <v>0.28669724770642202</v>
      </c>
      <c r="R57" s="316">
        <f t="shared" si="37"/>
        <v>0.509683995922528</v>
      </c>
      <c r="S57" s="316">
        <f t="shared" si="37"/>
        <v>0.79638124362895002</v>
      </c>
      <c r="T57" s="316">
        <f t="shared" si="37"/>
        <v>1.1467889908256881</v>
      </c>
      <c r="U57" s="316">
        <f t="shared" si="37"/>
        <v>1.560907237512742</v>
      </c>
      <c r="V57" s="316">
        <f t="shared" si="37"/>
        <v>2.038735983690112</v>
      </c>
      <c r="W57" s="316">
        <f t="shared" si="37"/>
        <v>2.580275229357798</v>
      </c>
      <c r="X57" s="331"/>
      <c r="Y57" s="331"/>
      <c r="Z57" s="331"/>
      <c r="AA57" s="331"/>
      <c r="AB57" s="331"/>
      <c r="AC57" s="331"/>
      <c r="AD57" s="334"/>
      <c r="AE57" s="334"/>
      <c r="AF57" s="334"/>
      <c r="AG57" s="334"/>
      <c r="AH57" s="334"/>
      <c r="AI57" s="334"/>
      <c r="AJ57" s="331"/>
      <c r="AK57" s="142"/>
      <c r="AL57" s="142"/>
      <c r="AM57" s="142"/>
      <c r="AN57" s="142"/>
      <c r="AO57" s="142"/>
      <c r="AP57" s="142"/>
    </row>
    <row r="58" spans="1:42" x14ac:dyDescent="0.3">
      <c r="A58" s="302"/>
      <c r="B58" s="329"/>
      <c r="C58" s="329"/>
      <c r="D58" s="329"/>
      <c r="E58" s="335"/>
      <c r="F58" s="467" t="s">
        <v>436</v>
      </c>
      <c r="G58" s="468"/>
      <c r="H58" s="468"/>
      <c r="I58" s="444"/>
      <c r="J58" s="303">
        <v>0</v>
      </c>
      <c r="K58" s="303" t="s">
        <v>437</v>
      </c>
      <c r="L58" s="302"/>
      <c r="M58" s="457"/>
      <c r="N58" s="301">
        <v>85</v>
      </c>
      <c r="O58" s="316">
        <f>(O41^2)/($N$58*9.81)</f>
        <v>2.998141152485459E-2</v>
      </c>
      <c r="P58" s="316">
        <f t="shared" ref="P58:W58" si="38">(P41^2)/($N$58*9.81)</f>
        <v>0.11992564609941836</v>
      </c>
      <c r="Q58" s="316">
        <f t="shared" si="38"/>
        <v>0.26983270372369128</v>
      </c>
      <c r="R58" s="316">
        <f t="shared" si="38"/>
        <v>0.47970258439767344</v>
      </c>
      <c r="S58" s="316">
        <f t="shared" si="38"/>
        <v>0.74953528812136472</v>
      </c>
      <c r="T58" s="316">
        <f t="shared" si="38"/>
        <v>1.0793308148947651</v>
      </c>
      <c r="U58" s="316">
        <f t="shared" si="38"/>
        <v>1.469089164717875</v>
      </c>
      <c r="V58" s="316">
        <f t="shared" si="38"/>
        <v>1.9188103375906937</v>
      </c>
      <c r="W58" s="316">
        <f t="shared" si="38"/>
        <v>2.4284943335132216</v>
      </c>
      <c r="X58" s="331"/>
      <c r="Y58" s="331"/>
      <c r="Z58" s="331"/>
      <c r="AA58" s="331"/>
      <c r="AB58" s="331"/>
      <c r="AC58" s="331"/>
      <c r="AD58" s="334"/>
      <c r="AE58" s="334"/>
      <c r="AF58" s="334"/>
      <c r="AG58" s="334"/>
      <c r="AH58" s="334"/>
      <c r="AI58" s="334"/>
      <c r="AJ58" s="331"/>
      <c r="AK58" s="142"/>
      <c r="AL58" s="142"/>
      <c r="AM58" s="142"/>
      <c r="AN58" s="142"/>
      <c r="AO58" s="142"/>
      <c r="AP58" s="142"/>
    </row>
    <row r="59" spans="1:42" x14ac:dyDescent="0.3">
      <c r="A59" s="302"/>
      <c r="B59" s="329"/>
      <c r="C59" s="329"/>
      <c r="D59" s="329"/>
      <c r="E59" s="335"/>
      <c r="F59" s="469"/>
      <c r="G59" s="470"/>
      <c r="H59" s="470"/>
      <c r="I59" s="445"/>
      <c r="J59" s="307">
        <f>RADIANS(J58)</f>
        <v>0</v>
      </c>
      <c r="K59" s="307" t="s">
        <v>421</v>
      </c>
      <c r="L59" s="302"/>
      <c r="M59" s="457"/>
      <c r="N59" s="301">
        <v>90</v>
      </c>
      <c r="O59" s="316">
        <f>(O41^2)/($N$59*9.81)</f>
        <v>2.8315777551251555E-2</v>
      </c>
      <c r="P59" s="316">
        <f t="shared" ref="P59:W59" si="39">(P41^2)/($N$59*9.81)</f>
        <v>0.11326311020500622</v>
      </c>
      <c r="Q59" s="316">
        <f t="shared" si="39"/>
        <v>0.254841997961264</v>
      </c>
      <c r="R59" s="316">
        <f t="shared" si="39"/>
        <v>0.45305244082002488</v>
      </c>
      <c r="S59" s="316">
        <f t="shared" si="39"/>
        <v>0.70789443878128888</v>
      </c>
      <c r="T59" s="316">
        <f t="shared" si="39"/>
        <v>1.019367991845056</v>
      </c>
      <c r="U59" s="316">
        <f t="shared" si="39"/>
        <v>1.3874731000113261</v>
      </c>
      <c r="V59" s="316">
        <f t="shared" si="39"/>
        <v>1.8122097632800995</v>
      </c>
      <c r="W59" s="316">
        <f t="shared" si="39"/>
        <v>2.2935779816513757</v>
      </c>
      <c r="X59" s="331"/>
      <c r="Y59" s="331"/>
      <c r="Z59" s="331"/>
      <c r="AA59" s="331"/>
      <c r="AB59" s="331"/>
      <c r="AC59" s="331"/>
      <c r="AD59" s="334"/>
      <c r="AE59" s="334"/>
      <c r="AF59" s="334"/>
      <c r="AG59" s="334"/>
      <c r="AH59" s="334"/>
      <c r="AI59" s="334"/>
      <c r="AJ59" s="331"/>
      <c r="AK59" s="142"/>
      <c r="AL59" s="142"/>
      <c r="AM59" s="142"/>
      <c r="AN59" s="142"/>
      <c r="AO59" s="142"/>
      <c r="AP59" s="142"/>
    </row>
    <row r="60" spans="1:42" x14ac:dyDescent="0.3">
      <c r="A60" s="302"/>
      <c r="B60" s="329"/>
      <c r="C60" s="329"/>
      <c r="D60" s="329"/>
      <c r="E60" s="335"/>
      <c r="F60" s="448"/>
      <c r="G60" s="466"/>
      <c r="H60" s="466"/>
      <c r="I60" s="466"/>
      <c r="J60" s="466"/>
      <c r="K60" s="449"/>
      <c r="L60" s="302"/>
      <c r="M60" s="457"/>
      <c r="N60" s="301">
        <v>95</v>
      </c>
      <c r="O60" s="316">
        <f>(O41^2)/($N$60*9.81)</f>
        <v>2.6825473469606738E-2</v>
      </c>
      <c r="P60" s="316">
        <f t="shared" ref="P60:W60" si="40">(P41^2)/($N$60*9.81)</f>
        <v>0.10730189387842695</v>
      </c>
      <c r="Q60" s="316">
        <f t="shared" si="40"/>
        <v>0.24142926122646063</v>
      </c>
      <c r="R60" s="316">
        <f t="shared" si="40"/>
        <v>0.42920757551370781</v>
      </c>
      <c r="S60" s="316">
        <f t="shared" si="40"/>
        <v>0.67063683674016838</v>
      </c>
      <c r="T60" s="316">
        <f t="shared" si="40"/>
        <v>0.96571704490584254</v>
      </c>
      <c r="U60" s="316">
        <f t="shared" si="40"/>
        <v>1.31444820001073</v>
      </c>
      <c r="V60" s="316">
        <f t="shared" si="40"/>
        <v>1.7168303020548312</v>
      </c>
      <c r="W60" s="316">
        <f t="shared" si="40"/>
        <v>2.1728633510381457</v>
      </c>
      <c r="X60" s="331"/>
      <c r="Y60" s="331"/>
      <c r="Z60" s="331"/>
      <c r="AA60" s="331"/>
      <c r="AB60" s="331"/>
      <c r="AC60" s="331"/>
      <c r="AD60" s="334"/>
      <c r="AE60" s="334"/>
      <c r="AF60" s="334"/>
      <c r="AG60" s="334"/>
      <c r="AH60" s="334"/>
      <c r="AI60" s="334"/>
      <c r="AJ60" s="331"/>
      <c r="AK60" s="142"/>
      <c r="AL60" s="142"/>
      <c r="AM60" s="142"/>
      <c r="AN60" s="142"/>
      <c r="AO60" s="142"/>
      <c r="AP60" s="142"/>
    </row>
    <row r="61" spans="1:42" x14ac:dyDescent="0.3">
      <c r="A61" s="302"/>
      <c r="B61" s="302"/>
      <c r="C61" s="302"/>
      <c r="D61" s="302"/>
      <c r="E61" s="335"/>
      <c r="F61" s="309"/>
      <c r="G61" s="309" t="s">
        <v>45</v>
      </c>
      <c r="H61" s="309" t="s">
        <v>46</v>
      </c>
      <c r="I61" s="309" t="s">
        <v>48</v>
      </c>
      <c r="J61" s="309" t="s">
        <v>47</v>
      </c>
      <c r="K61" s="309"/>
      <c r="L61" s="302"/>
      <c r="M61" s="457"/>
      <c r="N61" s="301">
        <v>100</v>
      </c>
      <c r="O61" s="316">
        <f>(O41^2)/($N$61*9.81)</f>
        <v>2.54841997961264E-2</v>
      </c>
      <c r="P61" s="316">
        <f t="shared" ref="P61:W61" si="41">(P41^2)/($N$61*9.81)</f>
        <v>0.1019367991845056</v>
      </c>
      <c r="Q61" s="316">
        <f t="shared" si="41"/>
        <v>0.22935779816513763</v>
      </c>
      <c r="R61" s="316">
        <f t="shared" si="41"/>
        <v>0.4077471967380224</v>
      </c>
      <c r="S61" s="316">
        <f t="shared" si="41"/>
        <v>0.63710499490316008</v>
      </c>
      <c r="T61" s="316">
        <f t="shared" si="41"/>
        <v>0.91743119266055051</v>
      </c>
      <c r="U61" s="316">
        <f t="shared" si="41"/>
        <v>1.2487257900101936</v>
      </c>
      <c r="V61" s="316">
        <f t="shared" si="41"/>
        <v>1.6309887869520896</v>
      </c>
      <c r="W61" s="316">
        <f t="shared" si="41"/>
        <v>2.0642201834862384</v>
      </c>
      <c r="X61" s="331"/>
      <c r="Y61" s="331"/>
      <c r="Z61" s="331"/>
      <c r="AA61" s="331"/>
      <c r="AB61" s="331"/>
      <c r="AC61" s="331"/>
      <c r="AD61" s="334"/>
      <c r="AE61" s="334"/>
      <c r="AF61" s="334"/>
      <c r="AG61" s="334"/>
      <c r="AH61" s="334"/>
      <c r="AI61" s="334"/>
      <c r="AJ61" s="331"/>
      <c r="AK61" s="142"/>
      <c r="AL61" s="142"/>
      <c r="AM61" s="142"/>
      <c r="AN61" s="142"/>
      <c r="AO61" s="142"/>
      <c r="AP61" s="142"/>
    </row>
    <row r="62" spans="1:42" x14ac:dyDescent="0.3">
      <c r="A62" s="302" t="s">
        <v>441</v>
      </c>
      <c r="B62" s="302"/>
      <c r="C62" s="302"/>
      <c r="D62" s="302"/>
      <c r="E62" s="302"/>
      <c r="F62" s="309" t="s">
        <v>440</v>
      </c>
      <c r="G62" s="309">
        <f>9.81*G3*SIN($J$58)</f>
        <v>0</v>
      </c>
      <c r="H62" s="309">
        <f>9.81*H3*SIN($J$58)</f>
        <v>0</v>
      </c>
      <c r="I62" s="309">
        <f>9.81*I3*SIN($J$58)</f>
        <v>0</v>
      </c>
      <c r="J62" s="309">
        <f>9.81*J3*SIN($J$58)</f>
        <v>0</v>
      </c>
      <c r="K62" s="309" t="s">
        <v>351</v>
      </c>
      <c r="L62" s="302"/>
      <c r="M62" s="457" t="s">
        <v>431</v>
      </c>
      <c r="N62" s="457"/>
      <c r="O62" s="457"/>
      <c r="P62" s="457"/>
      <c r="Q62" s="457"/>
      <c r="R62" s="457"/>
      <c r="S62" s="457"/>
      <c r="T62" s="457"/>
      <c r="U62" s="457"/>
      <c r="V62" s="457"/>
      <c r="W62" s="457"/>
      <c r="X62" s="332"/>
      <c r="Y62" s="331"/>
      <c r="Z62" s="331"/>
      <c r="AA62" s="331"/>
      <c r="AB62" s="331"/>
      <c r="AC62" s="331"/>
      <c r="AD62" s="334"/>
      <c r="AE62" s="334"/>
      <c r="AF62" s="334"/>
      <c r="AG62" s="334"/>
      <c r="AH62" s="334"/>
      <c r="AI62" s="334"/>
      <c r="AJ62" s="331"/>
      <c r="AK62" s="142"/>
      <c r="AL62" s="142"/>
      <c r="AM62" s="142"/>
      <c r="AN62" s="142"/>
      <c r="AO62" s="142"/>
      <c r="AP62" s="142"/>
    </row>
    <row r="63" spans="1:42" x14ac:dyDescent="0.3">
      <c r="A63" s="302"/>
      <c r="B63" s="302"/>
      <c r="C63" s="302"/>
      <c r="D63" s="302"/>
      <c r="E63" s="302"/>
      <c r="F63" s="302"/>
      <c r="G63" s="302"/>
      <c r="H63" s="302"/>
      <c r="I63" s="302"/>
      <c r="J63" s="302"/>
      <c r="K63" s="302"/>
      <c r="L63" s="302"/>
      <c r="M63" s="457"/>
      <c r="N63" s="457"/>
      <c r="O63" s="457" t="s">
        <v>230</v>
      </c>
      <c r="P63" s="457"/>
      <c r="Q63" s="457"/>
      <c r="R63" s="457"/>
      <c r="S63" s="457"/>
      <c r="T63" s="457"/>
      <c r="U63" s="457"/>
      <c r="V63" s="457"/>
      <c r="W63" s="457"/>
      <c r="X63" s="302"/>
      <c r="Y63" s="331"/>
      <c r="Z63" s="331"/>
      <c r="AA63" s="331"/>
      <c r="AB63" s="331"/>
      <c r="AC63" s="331"/>
      <c r="AD63" s="334"/>
      <c r="AE63" s="334"/>
      <c r="AF63" s="334"/>
      <c r="AG63" s="334"/>
      <c r="AH63" s="334"/>
      <c r="AI63" s="334"/>
      <c r="AJ63" s="331"/>
      <c r="AK63" s="142"/>
      <c r="AL63" s="142"/>
      <c r="AM63" s="142"/>
      <c r="AN63" s="142"/>
      <c r="AO63" s="142"/>
      <c r="AP63" s="142"/>
    </row>
    <row r="64" spans="1:42" x14ac:dyDescent="0.3">
      <c r="A64" s="302"/>
      <c r="B64" s="302"/>
      <c r="C64" s="302"/>
      <c r="D64" s="302"/>
      <c r="E64" s="302"/>
      <c r="F64" s="437" t="s">
        <v>442</v>
      </c>
      <c r="G64" s="438"/>
      <c r="H64" s="438"/>
      <c r="I64" s="438"/>
      <c r="J64" s="438"/>
      <c r="K64" s="439"/>
      <c r="L64" s="302"/>
      <c r="M64" s="457"/>
      <c r="N64" s="457"/>
      <c r="O64" s="301">
        <v>5</v>
      </c>
      <c r="P64" s="301">
        <v>10</v>
      </c>
      <c r="Q64" s="301">
        <v>15</v>
      </c>
      <c r="R64" s="301">
        <v>20</v>
      </c>
      <c r="S64" s="301">
        <v>25</v>
      </c>
      <c r="T64" s="301">
        <v>30</v>
      </c>
      <c r="U64" s="301">
        <v>35</v>
      </c>
      <c r="V64" s="301">
        <v>40</v>
      </c>
      <c r="W64" s="301">
        <v>45</v>
      </c>
      <c r="X64" s="302"/>
      <c r="Y64" s="331"/>
      <c r="Z64" s="331"/>
      <c r="AA64" s="331"/>
      <c r="AB64" s="331"/>
      <c r="AC64" s="331"/>
      <c r="AD64" s="334"/>
      <c r="AE64" s="334"/>
      <c r="AF64" s="334"/>
      <c r="AG64" s="334"/>
      <c r="AH64" s="334"/>
      <c r="AI64" s="334"/>
      <c r="AJ64" s="331"/>
      <c r="AK64" s="142"/>
      <c r="AL64" s="142"/>
      <c r="AM64" s="142"/>
      <c r="AN64" s="142"/>
      <c r="AO64" s="142"/>
      <c r="AP64" s="142"/>
    </row>
    <row r="65" spans="1:42" x14ac:dyDescent="0.3">
      <c r="A65" s="302"/>
      <c r="B65" s="302"/>
      <c r="C65" s="302"/>
      <c r="D65" s="302"/>
      <c r="E65" s="302"/>
      <c r="F65" s="460" t="s">
        <v>436</v>
      </c>
      <c r="G65" s="461"/>
      <c r="H65" s="461"/>
      <c r="I65" s="462"/>
      <c r="J65" s="303">
        <v>0</v>
      </c>
      <c r="K65" s="303" t="s">
        <v>437</v>
      </c>
      <c r="L65" s="302"/>
      <c r="M65" s="457" t="s">
        <v>231</v>
      </c>
      <c r="N65" s="301">
        <v>5</v>
      </c>
      <c r="O65" s="316">
        <f>(O42*COS($V$38))-SIN($V$38)</f>
        <v>0.54926563727581756</v>
      </c>
      <c r="P65" s="316">
        <f>(P42*COS($V$38))-SIN($V$38)</f>
        <v>2.0770945465433677</v>
      </c>
      <c r="Q65" s="316">
        <f t="shared" ref="Q65:W65" si="42">(Q42*COS($V$38))-SIN($V$38)</f>
        <v>4.623476061989285</v>
      </c>
      <c r="R65" s="316">
        <f t="shared" si="42"/>
        <v>8.1884101836135681</v>
      </c>
      <c r="S65" s="316">
        <f t="shared" si="42"/>
        <v>12.771896911416221</v>
      </c>
      <c r="T65" s="316">
        <f t="shared" si="42"/>
        <v>18.373936245397235</v>
      </c>
      <c r="U65" s="316">
        <f t="shared" si="42"/>
        <v>24.994528185556618</v>
      </c>
      <c r="V65" s="316">
        <f t="shared" si="42"/>
        <v>32.633672731894372</v>
      </c>
      <c r="W65" s="316">
        <f t="shared" si="42"/>
        <v>41.291369884410493</v>
      </c>
      <c r="X65" s="302"/>
      <c r="Y65" s="331"/>
      <c r="Z65" s="331"/>
      <c r="AA65" s="331"/>
      <c r="AB65" s="331"/>
      <c r="AC65" s="331"/>
      <c r="AD65" s="334"/>
      <c r="AE65" s="334"/>
      <c r="AF65" s="334"/>
      <c r="AG65" s="334"/>
      <c r="AH65" s="334"/>
      <c r="AI65" s="334"/>
      <c r="AJ65" s="331"/>
      <c r="AK65" s="142"/>
      <c r="AL65" s="142"/>
      <c r="AM65" s="142"/>
      <c r="AN65" s="142"/>
      <c r="AO65" s="142"/>
      <c r="AP65" s="142"/>
    </row>
    <row r="66" spans="1:42" x14ac:dyDescent="0.3">
      <c r="A66" s="302"/>
      <c r="B66" s="302"/>
      <c r="C66" s="302"/>
      <c r="D66" s="302"/>
      <c r="E66" s="302"/>
      <c r="F66" s="463"/>
      <c r="G66" s="464"/>
      <c r="H66" s="464"/>
      <c r="I66" s="465"/>
      <c r="J66" s="307">
        <f>RADIANS(J65)</f>
        <v>0</v>
      </c>
      <c r="K66" s="307" t="s">
        <v>421</v>
      </c>
      <c r="L66" s="302"/>
      <c r="M66" s="457"/>
      <c r="N66" s="301">
        <v>10</v>
      </c>
      <c r="O66" s="316">
        <f t="shared" ref="O66:W81" si="43">(O43*COS($V$38))-SIN($V$38)</f>
        <v>0.29462748573122582</v>
      </c>
      <c r="P66" s="316">
        <f t="shared" si="43"/>
        <v>1.0585419403650009</v>
      </c>
      <c r="Q66" s="316">
        <f t="shared" si="43"/>
        <v>2.3317326980879596</v>
      </c>
      <c r="R66" s="316">
        <f t="shared" si="43"/>
        <v>4.1141997589001011</v>
      </c>
      <c r="S66" s="316">
        <f t="shared" si="43"/>
        <v>6.4059431228014274</v>
      </c>
      <c r="T66" s="316">
        <f t="shared" si="43"/>
        <v>9.2069627897919357</v>
      </c>
      <c r="U66" s="316">
        <f t="shared" si="43"/>
        <v>12.517258759871627</v>
      </c>
      <c r="V66" s="316">
        <f t="shared" si="43"/>
        <v>16.3368310330405</v>
      </c>
      <c r="W66" s="316">
        <f t="shared" si="43"/>
        <v>20.665679609298561</v>
      </c>
      <c r="X66" s="302"/>
      <c r="Y66" s="331"/>
      <c r="Z66" s="331"/>
      <c r="AA66" s="331"/>
      <c r="AB66" s="331"/>
      <c r="AC66" s="331"/>
      <c r="AD66" s="334"/>
      <c r="AE66" s="334"/>
      <c r="AF66" s="334"/>
      <c r="AG66" s="334"/>
      <c r="AH66" s="334"/>
      <c r="AI66" s="334"/>
      <c r="AJ66" s="331"/>
      <c r="AK66" s="142"/>
      <c r="AL66" s="142"/>
      <c r="AM66" s="142"/>
      <c r="AN66" s="142"/>
      <c r="AO66" s="142"/>
      <c r="AP66" s="142"/>
    </row>
    <row r="67" spans="1:42" x14ac:dyDescent="0.3">
      <c r="A67" s="302"/>
      <c r="B67" s="302"/>
      <c r="C67" s="302"/>
      <c r="D67" s="302"/>
      <c r="E67" s="302"/>
      <c r="F67" s="454" t="s">
        <v>377</v>
      </c>
      <c r="G67" s="455"/>
      <c r="H67" s="455"/>
      <c r="I67" s="456"/>
      <c r="J67" s="303">
        <v>1.2250000000000001</v>
      </c>
      <c r="K67" s="303" t="s">
        <v>378</v>
      </c>
      <c r="L67" s="302"/>
      <c r="M67" s="457"/>
      <c r="N67" s="301">
        <v>15</v>
      </c>
      <c r="O67" s="316">
        <f t="shared" si="43"/>
        <v>0.20974810188302861</v>
      </c>
      <c r="P67" s="316">
        <f t="shared" si="43"/>
        <v>0.71902440497221198</v>
      </c>
      <c r="Q67" s="316">
        <f t="shared" si="43"/>
        <v>1.5678182434541845</v>
      </c>
      <c r="R67" s="316">
        <f t="shared" si="43"/>
        <v>2.7561296173289453</v>
      </c>
      <c r="S67" s="316">
        <f t="shared" si="43"/>
        <v>4.2839585265964963</v>
      </c>
      <c r="T67" s="316">
        <f t="shared" si="43"/>
        <v>6.1513049712568355</v>
      </c>
      <c r="U67" s="316">
        <f t="shared" si="43"/>
        <v>8.3581689513099633</v>
      </c>
      <c r="V67" s="316">
        <f t="shared" si="43"/>
        <v>10.904550466755879</v>
      </c>
      <c r="W67" s="316">
        <f t="shared" si="43"/>
        <v>13.790449517594586</v>
      </c>
      <c r="X67" s="302"/>
      <c r="Y67" s="331"/>
      <c r="Z67" s="331"/>
      <c r="AA67" s="331"/>
      <c r="AB67" s="331"/>
      <c r="AC67" s="331"/>
      <c r="AD67" s="334"/>
      <c r="AE67" s="334"/>
      <c r="AF67" s="334"/>
      <c r="AG67" s="334"/>
      <c r="AH67" s="334"/>
      <c r="AI67" s="334"/>
      <c r="AJ67" s="331"/>
      <c r="AK67" s="142"/>
      <c r="AL67" s="142"/>
      <c r="AM67" s="142"/>
      <c r="AN67" s="142"/>
      <c r="AO67" s="142"/>
      <c r="AP67" s="142"/>
    </row>
    <row r="68" spans="1:42" x14ac:dyDescent="0.3">
      <c r="A68" s="302"/>
      <c r="B68" s="302"/>
      <c r="C68" s="302"/>
      <c r="D68" s="302"/>
      <c r="E68" s="302"/>
      <c r="F68" s="454" t="s">
        <v>382</v>
      </c>
      <c r="G68" s="455"/>
      <c r="H68" s="455"/>
      <c r="I68" s="456"/>
      <c r="J68" s="303">
        <v>0.22</v>
      </c>
      <c r="K68" s="303" t="s">
        <v>361</v>
      </c>
      <c r="L68" s="302"/>
      <c r="M68" s="457"/>
      <c r="N68" s="301">
        <v>20</v>
      </c>
      <c r="O68" s="316">
        <f t="shared" si="43"/>
        <v>0.16730840995893001</v>
      </c>
      <c r="P68" s="316">
        <f t="shared" si="43"/>
        <v>0.54926563727581756</v>
      </c>
      <c r="Q68" s="316">
        <f t="shared" si="43"/>
        <v>1.1858610161372969</v>
      </c>
      <c r="R68" s="316">
        <f t="shared" si="43"/>
        <v>2.0770945465433677</v>
      </c>
      <c r="S68" s="316">
        <f t="shared" si="43"/>
        <v>3.2229662284940308</v>
      </c>
      <c r="T68" s="316">
        <f t="shared" si="43"/>
        <v>4.623476061989285</v>
      </c>
      <c r="U68" s="316">
        <f t="shared" si="43"/>
        <v>6.2786240470291306</v>
      </c>
      <c r="V68" s="316">
        <f t="shared" si="43"/>
        <v>8.1884101836135681</v>
      </c>
      <c r="W68" s="316">
        <f t="shared" si="43"/>
        <v>10.352834471742598</v>
      </c>
      <c r="X68" s="302"/>
      <c r="Y68" s="331"/>
      <c r="Z68" s="331"/>
      <c r="AA68" s="331"/>
      <c r="AB68" s="331"/>
      <c r="AC68" s="331"/>
      <c r="AD68" s="331"/>
      <c r="AE68" s="331"/>
      <c r="AF68" s="331"/>
      <c r="AG68" s="331"/>
      <c r="AH68" s="331"/>
      <c r="AI68" s="331"/>
      <c r="AJ68" s="331"/>
      <c r="AK68" s="142"/>
      <c r="AL68" s="142"/>
      <c r="AM68" s="142"/>
      <c r="AN68" s="142"/>
      <c r="AO68" s="142"/>
      <c r="AP68" s="142"/>
    </row>
    <row r="69" spans="1:42" x14ac:dyDescent="0.3">
      <c r="A69" s="302"/>
      <c r="B69" s="302"/>
      <c r="C69" s="302"/>
      <c r="D69" s="302"/>
      <c r="E69" s="302"/>
      <c r="F69" s="454" t="s">
        <v>406</v>
      </c>
      <c r="G69" s="455"/>
      <c r="H69" s="455"/>
      <c r="I69" s="456"/>
      <c r="J69" s="303">
        <v>1.5</v>
      </c>
      <c r="K69" s="303" t="s">
        <v>339</v>
      </c>
      <c r="L69" s="302"/>
      <c r="M69" s="457"/>
      <c r="N69" s="301">
        <v>25</v>
      </c>
      <c r="O69" s="316">
        <f t="shared" si="43"/>
        <v>0.14184459480447084</v>
      </c>
      <c r="P69" s="316">
        <f t="shared" si="43"/>
        <v>0.44741037665798089</v>
      </c>
      <c r="Q69" s="316">
        <f t="shared" si="43"/>
        <v>0.95668667974716448</v>
      </c>
      <c r="R69" s="316">
        <f t="shared" si="43"/>
        <v>1.6696735040720212</v>
      </c>
      <c r="S69" s="316">
        <f t="shared" si="43"/>
        <v>2.5863708496325515</v>
      </c>
      <c r="T69" s="316">
        <f t="shared" si="43"/>
        <v>3.7067787164287553</v>
      </c>
      <c r="U69" s="316">
        <f t="shared" si="43"/>
        <v>5.0308971044606317</v>
      </c>
      <c r="V69" s="316">
        <f t="shared" si="43"/>
        <v>6.5587260137281822</v>
      </c>
      <c r="W69" s="316">
        <f t="shared" si="43"/>
        <v>8.2902654442314052</v>
      </c>
      <c r="X69" s="302"/>
      <c r="Y69" s="331"/>
      <c r="Z69" s="331"/>
      <c r="AA69" s="331"/>
      <c r="AB69" s="331"/>
      <c r="AC69" s="331"/>
      <c r="AD69" s="331"/>
      <c r="AE69" s="331"/>
      <c r="AF69" s="331"/>
      <c r="AG69" s="331"/>
      <c r="AH69" s="331"/>
      <c r="AI69" s="331"/>
      <c r="AJ69" s="302"/>
      <c r="AK69" s="140"/>
      <c r="AL69" s="140"/>
      <c r="AM69" s="140"/>
      <c r="AN69" s="140"/>
      <c r="AO69" s="140"/>
      <c r="AP69" s="140"/>
    </row>
    <row r="70" spans="1:42" x14ac:dyDescent="0.3">
      <c r="A70" s="302"/>
      <c r="B70" s="302"/>
      <c r="C70" s="302"/>
      <c r="D70" s="302"/>
      <c r="E70" s="302"/>
      <c r="F70" s="454" t="s">
        <v>384</v>
      </c>
      <c r="G70" s="455"/>
      <c r="H70" s="455"/>
      <c r="I70" s="456"/>
      <c r="J70" s="303">
        <v>0.185</v>
      </c>
      <c r="K70" s="303" t="s">
        <v>339</v>
      </c>
      <c r="L70" s="302"/>
      <c r="M70" s="457"/>
      <c r="N70" s="301">
        <v>30</v>
      </c>
      <c r="O70" s="316">
        <f t="shared" si="43"/>
        <v>0.12486871803483138</v>
      </c>
      <c r="P70" s="316">
        <f t="shared" si="43"/>
        <v>0.37950686957942303</v>
      </c>
      <c r="Q70" s="316">
        <f t="shared" si="43"/>
        <v>0.80390378882040936</v>
      </c>
      <c r="R70" s="316">
        <f t="shared" si="43"/>
        <v>1.3980594757577898</v>
      </c>
      <c r="S70" s="316">
        <f t="shared" si="43"/>
        <v>2.1619739303915653</v>
      </c>
      <c r="T70" s="316">
        <f t="shared" si="43"/>
        <v>3.0956471527217349</v>
      </c>
      <c r="U70" s="316">
        <f t="shared" si="43"/>
        <v>4.1990791427482987</v>
      </c>
      <c r="V70" s="316">
        <f t="shared" si="43"/>
        <v>5.4722699004712565</v>
      </c>
      <c r="W70" s="316">
        <f t="shared" si="43"/>
        <v>6.9152194258906103</v>
      </c>
      <c r="X70" s="302"/>
      <c r="Y70" s="331"/>
      <c r="Z70" s="331"/>
      <c r="AA70" s="331"/>
      <c r="AB70" s="331"/>
      <c r="AC70" s="331"/>
      <c r="AD70" s="331"/>
      <c r="AE70" s="331"/>
      <c r="AF70" s="331"/>
      <c r="AG70" s="331"/>
      <c r="AH70" s="331"/>
      <c r="AI70" s="331"/>
      <c r="AJ70" s="302"/>
      <c r="AK70" s="140"/>
      <c r="AL70" s="140"/>
      <c r="AM70" s="140"/>
      <c r="AN70" s="140"/>
      <c r="AO70" s="140"/>
      <c r="AP70" s="140"/>
    </row>
    <row r="71" spans="1:42" x14ac:dyDescent="0.3">
      <c r="A71" s="302"/>
      <c r="B71" s="329"/>
      <c r="C71" s="302"/>
      <c r="D71" s="302"/>
      <c r="E71" s="302"/>
      <c r="F71" s="454" t="s">
        <v>379</v>
      </c>
      <c r="G71" s="455"/>
      <c r="H71" s="455"/>
      <c r="I71" s="456"/>
      <c r="J71" s="303">
        <v>1.4</v>
      </c>
      <c r="K71" s="303" t="s">
        <v>339</v>
      </c>
      <c r="L71" s="302"/>
      <c r="M71" s="457"/>
      <c r="N71" s="301">
        <v>35</v>
      </c>
      <c r="O71" s="316">
        <f t="shared" si="43"/>
        <v>0.11274309177080322</v>
      </c>
      <c r="P71" s="316">
        <f t="shared" si="43"/>
        <v>0.33100436452331039</v>
      </c>
      <c r="Q71" s="316">
        <f t="shared" si="43"/>
        <v>0.69477315244415572</v>
      </c>
      <c r="R71" s="316">
        <f t="shared" si="43"/>
        <v>1.2040494555333392</v>
      </c>
      <c r="S71" s="316">
        <f t="shared" si="43"/>
        <v>1.8588332737908608</v>
      </c>
      <c r="T71" s="316">
        <f t="shared" si="43"/>
        <v>2.6591246072167203</v>
      </c>
      <c r="U71" s="316">
        <f t="shared" si="43"/>
        <v>3.6049234558109182</v>
      </c>
      <c r="V71" s="316">
        <f t="shared" si="43"/>
        <v>4.6962298195734542</v>
      </c>
      <c r="W71" s="316">
        <f t="shared" si="43"/>
        <v>5.9330436985043287</v>
      </c>
      <c r="X71" s="302"/>
      <c r="Y71" s="331"/>
      <c r="Z71" s="331"/>
      <c r="AA71" s="331"/>
      <c r="AB71" s="331"/>
      <c r="AC71" s="331"/>
      <c r="AD71" s="331"/>
      <c r="AE71" s="331"/>
      <c r="AF71" s="331"/>
      <c r="AG71" s="331"/>
      <c r="AH71" s="331"/>
      <c r="AI71" s="331"/>
      <c r="AJ71" s="302"/>
      <c r="AK71" s="140"/>
      <c r="AL71" s="140"/>
      <c r="AM71" s="140"/>
      <c r="AN71" s="140"/>
      <c r="AO71" s="140"/>
      <c r="AP71" s="140"/>
    </row>
    <row r="72" spans="1:42" x14ac:dyDescent="0.3">
      <c r="A72" s="302"/>
      <c r="B72" s="302"/>
      <c r="C72" s="302"/>
      <c r="D72" s="302"/>
      <c r="E72" s="302"/>
      <c r="F72" s="454" t="s">
        <v>435</v>
      </c>
      <c r="G72" s="455"/>
      <c r="H72" s="455"/>
      <c r="I72" s="456"/>
      <c r="J72" s="303">
        <v>0.02</v>
      </c>
      <c r="K72" s="303" t="s">
        <v>361</v>
      </c>
      <c r="L72" s="302"/>
      <c r="M72" s="457"/>
      <c r="N72" s="301">
        <v>40</v>
      </c>
      <c r="O72" s="316">
        <f t="shared" si="43"/>
        <v>0.10364887207278209</v>
      </c>
      <c r="P72" s="316">
        <f t="shared" si="43"/>
        <v>0.29462748573122582</v>
      </c>
      <c r="Q72" s="316">
        <f t="shared" si="43"/>
        <v>0.61292517516196554</v>
      </c>
      <c r="R72" s="316">
        <f t="shared" si="43"/>
        <v>1.0585419403650009</v>
      </c>
      <c r="S72" s="316">
        <f t="shared" si="43"/>
        <v>1.6314777813403325</v>
      </c>
      <c r="T72" s="316">
        <f t="shared" si="43"/>
        <v>2.3317326980879596</v>
      </c>
      <c r="U72" s="316">
        <f t="shared" si="43"/>
        <v>3.1593066906078824</v>
      </c>
      <c r="V72" s="316">
        <f t="shared" si="43"/>
        <v>4.1141997589001011</v>
      </c>
      <c r="W72" s="316">
        <f t="shared" si="43"/>
        <v>5.1964119029646163</v>
      </c>
      <c r="X72" s="302"/>
      <c r="Y72" s="331"/>
      <c r="Z72" s="331"/>
      <c r="AA72" s="331"/>
      <c r="AB72" s="331"/>
      <c r="AC72" s="331"/>
      <c r="AD72" s="331"/>
      <c r="AE72" s="331"/>
      <c r="AF72" s="331"/>
      <c r="AG72" s="331"/>
      <c r="AH72" s="331"/>
      <c r="AI72" s="331"/>
      <c r="AJ72" s="302"/>
      <c r="AK72" s="140"/>
      <c r="AL72" s="140"/>
      <c r="AM72" s="140"/>
      <c r="AN72" s="140"/>
      <c r="AO72" s="140"/>
      <c r="AP72" s="140"/>
    </row>
    <row r="73" spans="1:42" x14ac:dyDescent="0.3">
      <c r="A73" s="302"/>
      <c r="B73" s="302"/>
      <c r="C73" s="302"/>
      <c r="D73" s="302"/>
      <c r="E73" s="302"/>
      <c r="F73" s="471" t="s">
        <v>381</v>
      </c>
      <c r="G73" s="472"/>
      <c r="H73" s="472"/>
      <c r="I73" s="473"/>
      <c r="J73" s="309">
        <f>C34+C35+0.1</f>
        <v>1.7850000000000001</v>
      </c>
      <c r="K73" s="307" t="s">
        <v>339</v>
      </c>
      <c r="L73" s="302"/>
      <c r="M73" s="457"/>
      <c r="N73" s="301">
        <v>45</v>
      </c>
      <c r="O73" s="316">
        <f t="shared" si="43"/>
        <v>9.6575590085432317E-2</v>
      </c>
      <c r="P73" s="316">
        <f t="shared" si="43"/>
        <v>0.26633435778182679</v>
      </c>
      <c r="Q73" s="316">
        <f t="shared" si="43"/>
        <v>0.54926563727581756</v>
      </c>
      <c r="R73" s="316">
        <f t="shared" si="43"/>
        <v>0.94536942856740469</v>
      </c>
      <c r="S73" s="316">
        <f t="shared" si="43"/>
        <v>1.4546457316565882</v>
      </c>
      <c r="T73" s="316">
        <f t="shared" si="43"/>
        <v>2.0770945465433677</v>
      </c>
      <c r="U73" s="316">
        <f t="shared" si="43"/>
        <v>2.8127158732277437</v>
      </c>
      <c r="V73" s="316">
        <f t="shared" si="43"/>
        <v>3.6615097117097162</v>
      </c>
      <c r="W73" s="316">
        <f t="shared" si="43"/>
        <v>4.6234760619892841</v>
      </c>
      <c r="X73" s="302"/>
      <c r="Y73" s="331"/>
      <c r="Z73" s="331"/>
      <c r="AA73" s="331"/>
      <c r="AB73" s="331"/>
      <c r="AC73" s="331"/>
      <c r="AD73" s="331"/>
      <c r="AE73" s="331"/>
      <c r="AF73" s="331"/>
      <c r="AG73" s="331"/>
      <c r="AH73" s="331"/>
      <c r="AI73" s="331"/>
      <c r="AJ73" s="302"/>
      <c r="AK73" s="140"/>
      <c r="AL73" s="140"/>
      <c r="AM73" s="140"/>
      <c r="AN73" s="140"/>
      <c r="AO73" s="140"/>
      <c r="AP73" s="140"/>
    </row>
    <row r="74" spans="1:42" x14ac:dyDescent="0.3">
      <c r="A74" s="302"/>
      <c r="B74" s="302"/>
      <c r="C74" s="302"/>
      <c r="D74" s="302"/>
      <c r="E74" s="302"/>
      <c r="F74" s="448" t="s">
        <v>422</v>
      </c>
      <c r="G74" s="466"/>
      <c r="H74" s="466"/>
      <c r="I74" s="449"/>
      <c r="J74" s="309">
        <f>J71*J73</f>
        <v>2.4990000000000001</v>
      </c>
      <c r="K74" s="309" t="s">
        <v>392</v>
      </c>
      <c r="L74" s="302"/>
      <c r="M74" s="457"/>
      <c r="N74" s="301">
        <v>50</v>
      </c>
      <c r="O74" s="316">
        <f t="shared" si="43"/>
        <v>9.0916964495552505E-2</v>
      </c>
      <c r="P74" s="316">
        <f t="shared" si="43"/>
        <v>0.24369985542230754</v>
      </c>
      <c r="Q74" s="316">
        <f t="shared" si="43"/>
        <v>0.49833800696689928</v>
      </c>
      <c r="R74" s="316">
        <f t="shared" si="43"/>
        <v>0.8548314191293277</v>
      </c>
      <c r="S74" s="316">
        <f t="shared" si="43"/>
        <v>1.3131800919095928</v>
      </c>
      <c r="T74" s="316">
        <f t="shared" si="43"/>
        <v>1.8733840253076948</v>
      </c>
      <c r="U74" s="316">
        <f t="shared" si="43"/>
        <v>2.5354432193236329</v>
      </c>
      <c r="V74" s="316">
        <f t="shared" si="43"/>
        <v>3.2993576739574082</v>
      </c>
      <c r="W74" s="316">
        <f t="shared" si="43"/>
        <v>4.1651273892090197</v>
      </c>
      <c r="X74" s="302"/>
      <c r="Y74" s="331"/>
      <c r="Z74" s="331"/>
      <c r="AA74" s="331"/>
      <c r="AB74" s="331"/>
      <c r="AC74" s="331"/>
      <c r="AD74" s="331"/>
      <c r="AE74" s="331"/>
      <c r="AF74" s="331"/>
      <c r="AG74" s="331"/>
      <c r="AH74" s="331"/>
      <c r="AI74" s="331"/>
      <c r="AJ74" s="302"/>
      <c r="AK74" s="140"/>
      <c r="AL74" s="140"/>
      <c r="AM74" s="140"/>
      <c r="AN74" s="140"/>
      <c r="AO74" s="140"/>
      <c r="AP74" s="140"/>
    </row>
    <row r="75" spans="1:42" x14ac:dyDescent="0.3">
      <c r="A75" s="302"/>
      <c r="B75" s="302"/>
      <c r="C75" s="302"/>
      <c r="D75" s="302"/>
      <c r="E75" s="302"/>
      <c r="F75" s="448"/>
      <c r="G75" s="466"/>
      <c r="H75" s="466"/>
      <c r="I75" s="466"/>
      <c r="J75" s="466"/>
      <c r="K75" s="449"/>
      <c r="L75" s="302"/>
      <c r="M75" s="457"/>
      <c r="N75" s="301">
        <v>55</v>
      </c>
      <c r="O75" s="316">
        <f t="shared" si="43"/>
        <v>8.628717992201447E-2</v>
      </c>
      <c r="P75" s="316">
        <f t="shared" si="43"/>
        <v>0.22518071712815541</v>
      </c>
      <c r="Q75" s="316">
        <f t="shared" si="43"/>
        <v>0.45666994580505693</v>
      </c>
      <c r="R75" s="316">
        <f t="shared" si="43"/>
        <v>0.78075486595271915</v>
      </c>
      <c r="S75" s="316">
        <f t="shared" si="43"/>
        <v>1.197435477571142</v>
      </c>
      <c r="T75" s="316">
        <f t="shared" si="43"/>
        <v>1.7067117806603254</v>
      </c>
      <c r="U75" s="316">
        <f t="shared" si="43"/>
        <v>2.3085837752202694</v>
      </c>
      <c r="V75" s="316">
        <f t="shared" si="43"/>
        <v>3.003051461250974</v>
      </c>
      <c r="W75" s="316">
        <f t="shared" si="43"/>
        <v>3.790114838752439</v>
      </c>
      <c r="X75" s="302"/>
      <c r="Y75" s="331"/>
      <c r="Z75" s="331"/>
      <c r="AA75" s="331"/>
      <c r="AB75" s="331"/>
      <c r="AC75" s="331"/>
      <c r="AD75" s="331"/>
      <c r="AE75" s="331"/>
      <c r="AF75" s="331"/>
      <c r="AG75" s="331"/>
      <c r="AH75" s="331"/>
      <c r="AI75" s="331"/>
      <c r="AJ75" s="302"/>
      <c r="AK75" s="140"/>
      <c r="AL75" s="140"/>
      <c r="AM75" s="140"/>
      <c r="AN75" s="140"/>
      <c r="AO75" s="140"/>
      <c r="AP75" s="140"/>
    </row>
    <row r="76" spans="1:42" x14ac:dyDescent="0.3">
      <c r="A76" s="302"/>
      <c r="B76" s="302"/>
      <c r="C76" s="302"/>
      <c r="D76" s="302"/>
      <c r="E76" s="302"/>
      <c r="F76" s="309"/>
      <c r="G76" s="309" t="s">
        <v>45</v>
      </c>
      <c r="H76" s="309" t="s">
        <v>46</v>
      </c>
      <c r="I76" s="309" t="s">
        <v>48</v>
      </c>
      <c r="J76" s="309" t="s">
        <v>47</v>
      </c>
      <c r="K76" s="309"/>
      <c r="L76" s="302"/>
      <c r="M76" s="457"/>
      <c r="N76" s="301">
        <v>60</v>
      </c>
      <c r="O76" s="316">
        <f t="shared" si="43"/>
        <v>8.2429026110732773E-2</v>
      </c>
      <c r="P76" s="316">
        <f t="shared" si="43"/>
        <v>0.20974810188302861</v>
      </c>
      <c r="Q76" s="316">
        <f t="shared" si="43"/>
        <v>0.42194656150352172</v>
      </c>
      <c r="R76" s="316">
        <f t="shared" si="43"/>
        <v>0.71902440497221198</v>
      </c>
      <c r="S76" s="316">
        <f t="shared" si="43"/>
        <v>1.1009816322890997</v>
      </c>
      <c r="T76" s="316">
        <f t="shared" si="43"/>
        <v>1.5678182434541845</v>
      </c>
      <c r="U76" s="316">
        <f t="shared" si="43"/>
        <v>2.1195342384674665</v>
      </c>
      <c r="V76" s="316">
        <f t="shared" si="43"/>
        <v>2.7561296173289453</v>
      </c>
      <c r="W76" s="316">
        <f t="shared" si="43"/>
        <v>3.4776043800386223</v>
      </c>
      <c r="X76" s="302"/>
      <c r="Y76" s="331"/>
      <c r="Z76" s="331"/>
      <c r="AA76" s="331"/>
      <c r="AB76" s="331"/>
      <c r="AC76" s="331"/>
      <c r="AD76" s="331"/>
      <c r="AE76" s="331"/>
      <c r="AF76" s="331"/>
      <c r="AG76" s="331"/>
      <c r="AH76" s="331"/>
      <c r="AI76" s="331"/>
      <c r="AJ76" s="302"/>
      <c r="AK76" s="140"/>
      <c r="AL76" s="140"/>
      <c r="AM76" s="140"/>
      <c r="AN76" s="140"/>
      <c r="AO76" s="140"/>
      <c r="AP76" s="140"/>
    </row>
    <row r="77" spans="1:42" x14ac:dyDescent="0.3">
      <c r="A77" s="302"/>
      <c r="B77" s="302"/>
      <c r="C77" s="302"/>
      <c r="D77" s="302"/>
      <c r="E77" s="302"/>
      <c r="F77" s="303" t="s">
        <v>443</v>
      </c>
      <c r="G77" s="336">
        <v>33.6</v>
      </c>
      <c r="H77" s="336">
        <v>33.200000000000003</v>
      </c>
      <c r="I77" s="336">
        <v>32.799999999999997</v>
      </c>
      <c r="J77" s="336">
        <v>32.4</v>
      </c>
      <c r="K77" s="303" t="s">
        <v>395</v>
      </c>
      <c r="L77" s="302"/>
      <c r="M77" s="457"/>
      <c r="N77" s="301">
        <v>65</v>
      </c>
      <c r="O77" s="316">
        <f t="shared" si="43"/>
        <v>7.9164434424263658E-2</v>
      </c>
      <c r="P77" s="316">
        <f t="shared" si="43"/>
        <v>0.19668973513715216</v>
      </c>
      <c r="Q77" s="316">
        <f t="shared" si="43"/>
        <v>0.3925652363252996</v>
      </c>
      <c r="R77" s="316">
        <f t="shared" si="43"/>
        <v>0.66679093798870614</v>
      </c>
      <c r="S77" s="316">
        <f t="shared" si="43"/>
        <v>1.0193668401273717</v>
      </c>
      <c r="T77" s="316">
        <f t="shared" si="43"/>
        <v>1.4502929427412961</v>
      </c>
      <c r="U77" s="316">
        <f t="shared" si="43"/>
        <v>1.9595692458304796</v>
      </c>
      <c r="V77" s="316">
        <f t="shared" si="43"/>
        <v>2.547195749394922</v>
      </c>
      <c r="W77" s="316">
        <f t="shared" si="43"/>
        <v>3.2131724534346233</v>
      </c>
      <c r="X77" s="302"/>
      <c r="Y77" s="331"/>
      <c r="Z77" s="331"/>
      <c r="AA77" s="331"/>
      <c r="AB77" s="331"/>
      <c r="AC77" s="331"/>
      <c r="AD77" s="331"/>
      <c r="AE77" s="331"/>
      <c r="AF77" s="331"/>
      <c r="AG77" s="331"/>
      <c r="AH77" s="331"/>
      <c r="AI77" s="331"/>
      <c r="AJ77" s="302"/>
      <c r="AK77" s="140"/>
      <c r="AL77" s="140"/>
      <c r="AM77" s="140"/>
      <c r="AN77" s="140"/>
      <c r="AO77" s="140"/>
      <c r="AP77" s="140"/>
    </row>
    <row r="78" spans="1:42" x14ac:dyDescent="0.3">
      <c r="A78" s="302"/>
      <c r="B78" s="302"/>
      <c r="C78" s="302"/>
      <c r="D78" s="302"/>
      <c r="E78" s="302"/>
      <c r="F78" s="309" t="s">
        <v>444</v>
      </c>
      <c r="G78" s="315">
        <f>G77*(9.81*G3*SIN($J$66)+$J$72*9.81*G3*COS($J$66)+0.5*$J$67*$J$68*$J$74*G77^2)</f>
        <v>15904.938760704003</v>
      </c>
      <c r="H78" s="315">
        <f>H77*(9.81*H3*SIN($J$66)+$J$72*9.81*H3*COS($J$66)+0.5*$J$67*$J$68*$J$74*H77^2)</f>
        <v>15905.408628912006</v>
      </c>
      <c r="I78" s="315">
        <f>I77*(9.81*I3*SIN($J$66)+$J$72*9.81*I3*COS($J$66)+0.5*$J$67*$J$68*$J$74*I77^2)</f>
        <v>15904.839082367998</v>
      </c>
      <c r="J78" s="315">
        <f>J77*(9.81*J3*SIN($J$66)+$J$72*9.81*J3*COS($J$66)+0.5*$J$67*$J$68*$J$74*J77^2)</f>
        <v>15903.100812815999</v>
      </c>
      <c r="K78" s="309" t="s">
        <v>372</v>
      </c>
      <c r="L78" s="302"/>
      <c r="M78" s="457"/>
      <c r="N78" s="301">
        <v>70</v>
      </c>
      <c r="O78" s="316">
        <f t="shared" si="43"/>
        <v>7.6366212978718692E-2</v>
      </c>
      <c r="P78" s="316">
        <f t="shared" si="43"/>
        <v>0.18549684935497229</v>
      </c>
      <c r="Q78" s="316">
        <f t="shared" si="43"/>
        <v>0.3673812433153949</v>
      </c>
      <c r="R78" s="316">
        <f t="shared" si="43"/>
        <v>0.6220193948599867</v>
      </c>
      <c r="S78" s="316">
        <f t="shared" si="43"/>
        <v>0.94941130398874751</v>
      </c>
      <c r="T78" s="316">
        <f t="shared" si="43"/>
        <v>1.3495569707016772</v>
      </c>
      <c r="U78" s="316">
        <f t="shared" si="43"/>
        <v>1.8224563949987762</v>
      </c>
      <c r="V78" s="316">
        <f t="shared" si="43"/>
        <v>2.3681095768800442</v>
      </c>
      <c r="W78" s="316">
        <f t="shared" si="43"/>
        <v>2.9865165163454814</v>
      </c>
      <c r="X78" s="302"/>
      <c r="Y78" s="331"/>
      <c r="Z78" s="331"/>
      <c r="AA78" s="331"/>
      <c r="AB78" s="331"/>
      <c r="AC78" s="331"/>
      <c r="AD78" s="331"/>
      <c r="AE78" s="331"/>
      <c r="AF78" s="331"/>
      <c r="AG78" s="331"/>
      <c r="AH78" s="331"/>
      <c r="AI78" s="331"/>
      <c r="AJ78" s="302"/>
      <c r="AK78" s="140"/>
      <c r="AL78" s="140"/>
      <c r="AM78" s="140"/>
      <c r="AN78" s="140"/>
      <c r="AO78" s="140"/>
      <c r="AP78" s="140"/>
    </row>
    <row r="79" spans="1:42" x14ac:dyDescent="0.3">
      <c r="A79" s="302"/>
      <c r="B79" s="302"/>
      <c r="C79" s="302"/>
      <c r="D79" s="302"/>
      <c r="E79" s="302"/>
      <c r="F79" s="307" t="s">
        <v>445</v>
      </c>
      <c r="G79" s="315">
        <f t="shared" ref="G79:I79" si="44">G77*3.6</f>
        <v>120.96000000000001</v>
      </c>
      <c r="H79" s="315">
        <f t="shared" si="44"/>
        <v>119.52000000000001</v>
      </c>
      <c r="I79" s="315">
        <f t="shared" si="44"/>
        <v>118.08</v>
      </c>
      <c r="J79" s="315">
        <f>J77*3.6</f>
        <v>116.64</v>
      </c>
      <c r="K79" s="307" t="s">
        <v>398</v>
      </c>
      <c r="L79" s="302"/>
      <c r="M79" s="457"/>
      <c r="N79" s="301">
        <v>75</v>
      </c>
      <c r="O79" s="316">
        <f t="shared" si="43"/>
        <v>7.3941087725913054E-2</v>
      </c>
      <c r="P79" s="316">
        <f t="shared" si="43"/>
        <v>0.17579634834374974</v>
      </c>
      <c r="Q79" s="316">
        <f t="shared" si="43"/>
        <v>0.34555511604014416</v>
      </c>
      <c r="R79" s="316">
        <f t="shared" si="43"/>
        <v>0.58321739081509649</v>
      </c>
      <c r="S79" s="316">
        <f t="shared" si="43"/>
        <v>0.88878317266860662</v>
      </c>
      <c r="T79" s="316">
        <f t="shared" si="43"/>
        <v>1.2622524616006743</v>
      </c>
      <c r="U79" s="316">
        <f t="shared" si="43"/>
        <v>1.7036252576113</v>
      </c>
      <c r="V79" s="316">
        <f t="shared" si="43"/>
        <v>2.2129015607004834</v>
      </c>
      <c r="W79" s="316">
        <f t="shared" si="43"/>
        <v>2.7900813708682248</v>
      </c>
      <c r="X79" s="302"/>
      <c r="Y79" s="302"/>
      <c r="Z79" s="302"/>
      <c r="AA79" s="302"/>
      <c r="AB79" s="302"/>
      <c r="AC79" s="302"/>
      <c r="AD79" s="302"/>
      <c r="AE79" s="302"/>
      <c r="AF79" s="302"/>
      <c r="AG79" s="302"/>
      <c r="AH79" s="302"/>
      <c r="AI79" s="302"/>
      <c r="AJ79" s="302"/>
      <c r="AK79" s="140"/>
      <c r="AL79" s="140"/>
      <c r="AM79" s="140"/>
      <c r="AN79" s="140"/>
      <c r="AO79" s="140"/>
      <c r="AP79" s="140"/>
    </row>
    <row r="80" spans="1:42" x14ac:dyDescent="0.3">
      <c r="A80" s="302"/>
      <c r="B80" s="302"/>
      <c r="C80" s="302"/>
      <c r="D80" s="302"/>
      <c r="E80" s="302"/>
      <c r="F80" s="302"/>
      <c r="G80" s="302"/>
      <c r="H80" s="302"/>
      <c r="I80" s="302"/>
      <c r="J80" s="302"/>
      <c r="K80" s="302"/>
      <c r="L80" s="302"/>
      <c r="M80" s="457"/>
      <c r="N80" s="301">
        <v>80</v>
      </c>
      <c r="O80" s="316">
        <f t="shared" si="43"/>
        <v>7.1819103129708128E-2</v>
      </c>
      <c r="P80" s="316">
        <f t="shared" si="43"/>
        <v>0.16730840995893001</v>
      </c>
      <c r="Q80" s="316">
        <f t="shared" si="43"/>
        <v>0.32645725467429981</v>
      </c>
      <c r="R80" s="316">
        <f t="shared" si="43"/>
        <v>0.54926563727581756</v>
      </c>
      <c r="S80" s="316">
        <f t="shared" si="43"/>
        <v>0.83573355776348335</v>
      </c>
      <c r="T80" s="316">
        <f t="shared" si="43"/>
        <v>1.1858610161372969</v>
      </c>
      <c r="U80" s="316">
        <f t="shared" si="43"/>
        <v>1.5996480123972583</v>
      </c>
      <c r="V80" s="316">
        <f t="shared" si="43"/>
        <v>2.0770945465433677</v>
      </c>
      <c r="W80" s="316">
        <f t="shared" si="43"/>
        <v>2.6182006185756252</v>
      </c>
      <c r="X80" s="302"/>
      <c r="Y80" s="302"/>
      <c r="Z80" s="302"/>
      <c r="AA80" s="302"/>
      <c r="AB80" s="302"/>
      <c r="AC80" s="302"/>
      <c r="AD80" s="302"/>
      <c r="AE80" s="302"/>
      <c r="AF80" s="302"/>
      <c r="AG80" s="302"/>
      <c r="AH80" s="302"/>
      <c r="AI80" s="302"/>
      <c r="AJ80" s="302"/>
      <c r="AK80" s="140"/>
      <c r="AL80" s="140"/>
      <c r="AM80" s="140"/>
      <c r="AN80" s="140"/>
      <c r="AO80" s="140"/>
      <c r="AP80" s="140"/>
    </row>
    <row r="81" spans="1:42" x14ac:dyDescent="0.3">
      <c r="A81" s="302"/>
      <c r="B81" s="302"/>
      <c r="C81" s="302"/>
      <c r="D81" s="302"/>
      <c r="E81" s="302"/>
      <c r="F81" s="302"/>
      <c r="G81" s="302"/>
      <c r="H81" s="302"/>
      <c r="I81" s="302"/>
      <c r="J81" s="302"/>
      <c r="K81" s="302"/>
      <c r="L81" s="302"/>
      <c r="M81" s="457"/>
      <c r="N81" s="301">
        <v>85</v>
      </c>
      <c r="O81" s="316">
        <f t="shared" si="43"/>
        <v>6.9946763780115537E-2</v>
      </c>
      <c r="P81" s="316">
        <f t="shared" si="43"/>
        <v>0.15981905256055967</v>
      </c>
      <c r="Q81" s="316">
        <f t="shared" si="43"/>
        <v>0.3096062005279665</v>
      </c>
      <c r="R81" s="316">
        <f t="shared" si="43"/>
        <v>0.51930820768233621</v>
      </c>
      <c r="S81" s="316">
        <f t="shared" si="43"/>
        <v>0.78892507402366863</v>
      </c>
      <c r="T81" s="316">
        <f t="shared" si="43"/>
        <v>1.1184567995519636</v>
      </c>
      <c r="U81" s="316">
        <f t="shared" si="43"/>
        <v>1.5079033842672218</v>
      </c>
      <c r="V81" s="316">
        <f t="shared" si="43"/>
        <v>1.9572648281694425</v>
      </c>
      <c r="W81" s="316">
        <f t="shared" si="43"/>
        <v>2.4665411312586256</v>
      </c>
      <c r="X81" s="302"/>
      <c r="Y81" s="302"/>
      <c r="Z81" s="302"/>
      <c r="AA81" s="302"/>
      <c r="AB81" s="302"/>
      <c r="AC81" s="302"/>
      <c r="AD81" s="302"/>
      <c r="AE81" s="302"/>
      <c r="AF81" s="302"/>
      <c r="AG81" s="302"/>
      <c r="AH81" s="302"/>
      <c r="AI81" s="302"/>
      <c r="AJ81" s="302"/>
      <c r="AK81" s="140"/>
      <c r="AL81" s="140"/>
      <c r="AM81" s="140"/>
      <c r="AN81" s="140"/>
      <c r="AO81" s="140"/>
      <c r="AP81" s="140"/>
    </row>
    <row r="82" spans="1:42" x14ac:dyDescent="0.3">
      <c r="A82" s="302"/>
      <c r="B82" s="302"/>
      <c r="C82" s="302"/>
      <c r="D82" s="302"/>
      <c r="E82" s="302"/>
      <c r="F82" s="302"/>
      <c r="G82" s="302"/>
      <c r="H82" s="302"/>
      <c r="I82" s="302"/>
      <c r="J82" s="302"/>
      <c r="K82" s="302"/>
      <c r="L82" s="302"/>
      <c r="M82" s="457"/>
      <c r="N82" s="301">
        <v>90</v>
      </c>
      <c r="O82" s="316">
        <f t="shared" ref="O82:W84" si="45">(O59*COS($V$38))-SIN($V$38)</f>
        <v>6.8282462136033242E-2</v>
      </c>
      <c r="P82" s="316">
        <f t="shared" si="45"/>
        <v>0.15316184598423047</v>
      </c>
      <c r="Q82" s="316">
        <f t="shared" si="45"/>
        <v>0.29462748573122582</v>
      </c>
      <c r="R82" s="316">
        <f t="shared" si="45"/>
        <v>0.49267938137701939</v>
      </c>
      <c r="S82" s="316">
        <f t="shared" si="45"/>
        <v>0.74731753292161118</v>
      </c>
      <c r="T82" s="316">
        <f t="shared" si="45"/>
        <v>1.0585419403650009</v>
      </c>
      <c r="U82" s="316">
        <f t="shared" si="45"/>
        <v>1.426352603707189</v>
      </c>
      <c r="V82" s="316">
        <f t="shared" si="45"/>
        <v>1.8507495229481752</v>
      </c>
      <c r="W82" s="316">
        <f t="shared" si="45"/>
        <v>2.3317326980879591</v>
      </c>
      <c r="X82" s="302"/>
      <c r="Y82" s="302"/>
      <c r="Z82" s="302"/>
      <c r="AA82" s="302"/>
      <c r="AB82" s="302"/>
      <c r="AC82" s="302"/>
      <c r="AD82" s="302"/>
      <c r="AE82" s="302"/>
      <c r="AF82" s="302"/>
      <c r="AG82" s="302"/>
      <c r="AH82" s="302"/>
      <c r="AI82" s="302"/>
      <c r="AJ82" s="302"/>
      <c r="AK82" s="140"/>
      <c r="AL82" s="140"/>
      <c r="AM82" s="140"/>
      <c r="AN82" s="140"/>
      <c r="AO82" s="140"/>
      <c r="AP82" s="140"/>
    </row>
    <row r="83" spans="1:42" x14ac:dyDescent="0.3">
      <c r="A83" s="302"/>
      <c r="B83" s="302"/>
      <c r="C83" s="302"/>
      <c r="D83" s="302"/>
      <c r="E83" s="302"/>
      <c r="F83" s="302"/>
      <c r="G83" s="302"/>
      <c r="H83" s="302"/>
      <c r="I83" s="302"/>
      <c r="J83" s="302"/>
      <c r="K83" s="302"/>
      <c r="L83" s="302"/>
      <c r="M83" s="457"/>
      <c r="N83" s="301">
        <v>95</v>
      </c>
      <c r="O83" s="316">
        <f t="shared" si="45"/>
        <v>6.6793350138696445E-2</v>
      </c>
      <c r="P83" s="316">
        <f t="shared" si="45"/>
        <v>0.1472053979948833</v>
      </c>
      <c r="Q83" s="316">
        <f t="shared" si="45"/>
        <v>0.28122547775519474</v>
      </c>
      <c r="R83" s="316">
        <f t="shared" si="45"/>
        <v>0.46885358941963073</v>
      </c>
      <c r="S83" s="316">
        <f t="shared" si="45"/>
        <v>0.71008973298819122</v>
      </c>
      <c r="T83" s="316">
        <f t="shared" si="45"/>
        <v>1.0049339084608764</v>
      </c>
      <c r="U83" s="316">
        <f t="shared" si="45"/>
        <v>1.3533861158376861</v>
      </c>
      <c r="V83" s="316">
        <f t="shared" si="45"/>
        <v>1.7554463551186206</v>
      </c>
      <c r="W83" s="316">
        <f t="shared" si="45"/>
        <v>2.2111146263036794</v>
      </c>
      <c r="X83" s="302"/>
      <c r="Y83" s="302"/>
      <c r="Z83" s="302"/>
      <c r="AA83" s="302"/>
      <c r="AB83" s="302"/>
      <c r="AC83" s="302"/>
      <c r="AD83" s="302"/>
      <c r="AE83" s="302"/>
      <c r="AF83" s="302"/>
      <c r="AG83" s="302"/>
      <c r="AH83" s="302"/>
      <c r="AI83" s="302"/>
      <c r="AJ83" s="302"/>
      <c r="AK83" s="140"/>
      <c r="AL83" s="140"/>
      <c r="AM83" s="140"/>
      <c r="AN83" s="140"/>
      <c r="AO83" s="140"/>
      <c r="AP83" s="140"/>
    </row>
    <row r="84" spans="1:42" x14ac:dyDescent="0.3">
      <c r="A84" s="302"/>
      <c r="B84" s="302"/>
      <c r="C84" s="302"/>
      <c r="D84" s="302"/>
      <c r="E84" s="302"/>
      <c r="F84" s="302"/>
      <c r="G84" s="302"/>
      <c r="H84" s="302"/>
      <c r="I84" s="302"/>
      <c r="J84" s="302"/>
      <c r="K84" s="302"/>
      <c r="L84" s="302"/>
      <c r="M84" s="457"/>
      <c r="N84" s="301">
        <v>100</v>
      </c>
      <c r="O84" s="316">
        <f t="shared" si="45"/>
        <v>6.5453149341093336E-2</v>
      </c>
      <c r="P84" s="316">
        <f t="shared" si="45"/>
        <v>0.14184459480447084</v>
      </c>
      <c r="Q84" s="316">
        <f t="shared" si="45"/>
        <v>0.26916367057676671</v>
      </c>
      <c r="R84" s="316">
        <f t="shared" si="45"/>
        <v>0.44741037665798089</v>
      </c>
      <c r="S84" s="316">
        <f t="shared" si="45"/>
        <v>0.67658471304811352</v>
      </c>
      <c r="T84" s="316">
        <f t="shared" si="45"/>
        <v>0.95668667974716448</v>
      </c>
      <c r="U84" s="316">
        <f t="shared" si="45"/>
        <v>1.2877162767551336</v>
      </c>
      <c r="V84" s="316">
        <f t="shared" si="45"/>
        <v>1.6696735040720212</v>
      </c>
      <c r="W84" s="316">
        <f t="shared" si="45"/>
        <v>2.1025583616978269</v>
      </c>
      <c r="X84" s="302"/>
      <c r="Y84" s="302"/>
      <c r="Z84" s="302"/>
      <c r="AA84" s="302"/>
      <c r="AB84" s="302"/>
      <c r="AC84" s="302"/>
      <c r="AD84" s="302"/>
      <c r="AE84" s="302"/>
      <c r="AF84" s="302"/>
      <c r="AG84" s="302"/>
      <c r="AH84" s="302"/>
      <c r="AI84" s="302"/>
      <c r="AJ84" s="302"/>
      <c r="AK84" s="140"/>
      <c r="AL84" s="140"/>
      <c r="AM84" s="140"/>
      <c r="AN84" s="140"/>
      <c r="AO84" s="140"/>
      <c r="AP84" s="140"/>
    </row>
    <row r="85" spans="1:42" x14ac:dyDescent="0.3">
      <c r="A85" s="302"/>
      <c r="B85" s="302"/>
      <c r="C85" s="302"/>
      <c r="D85" s="302"/>
      <c r="E85" s="302"/>
      <c r="F85" s="302"/>
      <c r="G85" s="302"/>
      <c r="H85" s="302"/>
      <c r="I85" s="302"/>
      <c r="J85" s="302"/>
      <c r="K85" s="302"/>
      <c r="L85" s="302"/>
      <c r="M85" s="457" t="s">
        <v>433</v>
      </c>
      <c r="N85" s="457"/>
      <c r="O85" s="457"/>
      <c r="P85" s="457"/>
      <c r="Q85" s="457"/>
      <c r="R85" s="457"/>
      <c r="S85" s="457"/>
      <c r="T85" s="457"/>
      <c r="U85" s="457"/>
      <c r="V85" s="457"/>
      <c r="W85" s="457"/>
      <c r="X85" s="302"/>
      <c r="Y85" s="302"/>
      <c r="Z85" s="302"/>
      <c r="AA85" s="302"/>
      <c r="AB85" s="302"/>
      <c r="AC85" s="302"/>
      <c r="AD85" s="302"/>
      <c r="AE85" s="302"/>
      <c r="AF85" s="302"/>
      <c r="AG85" s="302"/>
      <c r="AH85" s="302"/>
      <c r="AI85" s="302"/>
      <c r="AJ85" s="302"/>
      <c r="AK85" s="140"/>
      <c r="AL85" s="140"/>
      <c r="AM85" s="140"/>
      <c r="AN85" s="140"/>
      <c r="AO85" s="140"/>
      <c r="AP85" s="140"/>
    </row>
    <row r="86" spans="1:42" x14ac:dyDescent="0.3">
      <c r="A86" s="302"/>
      <c r="B86" s="302"/>
      <c r="C86" s="302"/>
      <c r="D86" s="302"/>
      <c r="E86" s="302"/>
      <c r="F86" s="302"/>
      <c r="G86" s="302"/>
      <c r="H86" s="302"/>
      <c r="I86" s="302"/>
      <c r="J86" s="302"/>
      <c r="K86" s="302"/>
      <c r="L86" s="302"/>
      <c r="M86" s="457"/>
      <c r="N86" s="457"/>
      <c r="O86" s="457" t="s">
        <v>230</v>
      </c>
      <c r="P86" s="457"/>
      <c r="Q86" s="457"/>
      <c r="R86" s="457"/>
      <c r="S86" s="457"/>
      <c r="T86" s="457"/>
      <c r="U86" s="457"/>
      <c r="V86" s="457"/>
      <c r="W86" s="457"/>
      <c r="X86" s="302"/>
      <c r="Y86" s="302"/>
      <c r="Z86" s="302"/>
      <c r="AA86" s="302"/>
      <c r="AB86" s="302"/>
      <c r="AC86" s="302"/>
      <c r="AD86" s="302"/>
      <c r="AE86" s="302"/>
      <c r="AF86" s="302"/>
      <c r="AG86" s="302"/>
      <c r="AH86" s="302"/>
      <c r="AI86" s="302"/>
      <c r="AJ86" s="302"/>
      <c r="AK86" s="140"/>
      <c r="AL86" s="140"/>
      <c r="AM86" s="140"/>
      <c r="AN86" s="140"/>
      <c r="AO86" s="140"/>
      <c r="AP86" s="140"/>
    </row>
    <row r="87" spans="1:42" x14ac:dyDescent="0.3">
      <c r="A87" s="302"/>
      <c r="B87" s="302"/>
      <c r="C87" s="302"/>
      <c r="D87" s="302"/>
      <c r="E87" s="302"/>
      <c r="F87" s="302"/>
      <c r="G87" s="302"/>
      <c r="H87" s="302"/>
      <c r="I87" s="302"/>
      <c r="J87" s="302"/>
      <c r="K87" s="302"/>
      <c r="L87" s="302"/>
      <c r="M87" s="457"/>
      <c r="N87" s="457"/>
      <c r="O87" s="301">
        <v>5</v>
      </c>
      <c r="P87" s="301">
        <v>10</v>
      </c>
      <c r="Q87" s="301">
        <v>15</v>
      </c>
      <c r="R87" s="301">
        <v>20</v>
      </c>
      <c r="S87" s="301">
        <v>25</v>
      </c>
      <c r="T87" s="301">
        <v>30</v>
      </c>
      <c r="U87" s="301">
        <v>35</v>
      </c>
      <c r="V87" s="301">
        <v>40</v>
      </c>
      <c r="W87" s="301">
        <v>45</v>
      </c>
      <c r="X87" s="302"/>
      <c r="Y87" s="302"/>
      <c r="Z87" s="302"/>
      <c r="AA87" s="302"/>
      <c r="AB87" s="302"/>
      <c r="AC87" s="302"/>
      <c r="AD87" s="302"/>
      <c r="AE87" s="302"/>
      <c r="AF87" s="302"/>
      <c r="AG87" s="302"/>
      <c r="AH87" s="302"/>
      <c r="AI87" s="302"/>
      <c r="AJ87" s="302"/>
      <c r="AK87" s="140"/>
      <c r="AL87" s="140"/>
      <c r="AM87" s="140"/>
      <c r="AN87" s="140"/>
      <c r="AO87" s="140"/>
      <c r="AP87" s="140"/>
    </row>
    <row r="88" spans="1:42" x14ac:dyDescent="0.3">
      <c r="A88" s="302"/>
      <c r="B88" s="302"/>
      <c r="C88" s="302"/>
      <c r="D88" s="302"/>
      <c r="E88" s="302"/>
      <c r="F88" s="302"/>
      <c r="G88" s="302"/>
      <c r="H88" s="302"/>
      <c r="I88" s="302"/>
      <c r="J88" s="302"/>
      <c r="K88" s="302"/>
      <c r="L88" s="302"/>
      <c r="M88" s="457" t="s">
        <v>231</v>
      </c>
      <c r="N88" s="301">
        <v>5</v>
      </c>
      <c r="O88" s="316">
        <f>$V$37*(O42*SIN($V$38)+COS($V$38))</f>
        <v>685.17272811291707</v>
      </c>
      <c r="P88" s="316">
        <f t="shared" ref="P88:W88" si="46">$V$37*(P42*SIN($V$38)+COS($V$38))</f>
        <v>642.37068846361433</v>
      </c>
      <c r="Q88" s="316">
        <f t="shared" si="46"/>
        <v>571.03395571477665</v>
      </c>
      <c r="R88" s="316">
        <f t="shared" si="46"/>
        <v>471.16252986640393</v>
      </c>
      <c r="S88" s="316">
        <f t="shared" si="46"/>
        <v>342.7564109184961</v>
      </c>
      <c r="T88" s="316">
        <f t="shared" si="46"/>
        <v>185.81559887105311</v>
      </c>
      <c r="U88" s="316">
        <f t="shared" si="46"/>
        <v>0.34009372407519667</v>
      </c>
      <c r="V88" s="316">
        <f t="shared" si="46"/>
        <v>-213.67010452243787</v>
      </c>
      <c r="W88" s="316">
        <f t="shared" si="46"/>
        <v>-456.21499586848608</v>
      </c>
      <c r="X88" s="302"/>
      <c r="Y88" s="302"/>
      <c r="Z88" s="302"/>
      <c r="AA88" s="302"/>
      <c r="AB88" s="302"/>
      <c r="AC88" s="302"/>
      <c r="AD88" s="302"/>
      <c r="AE88" s="302"/>
      <c r="AF88" s="302"/>
      <c r="AG88" s="302"/>
      <c r="AH88" s="302"/>
      <c r="AI88" s="302"/>
      <c r="AJ88" s="302"/>
      <c r="AK88" s="140"/>
      <c r="AL88" s="140"/>
      <c r="AM88" s="140"/>
      <c r="AN88" s="140"/>
      <c r="AO88" s="140"/>
      <c r="AP88" s="140"/>
    </row>
    <row r="89" spans="1:42" x14ac:dyDescent="0.3">
      <c r="A89" s="302"/>
      <c r="B89" s="302"/>
      <c r="C89" s="302"/>
      <c r="D89" s="302"/>
      <c r="E89" s="302"/>
      <c r="F89" s="302"/>
      <c r="G89" s="302"/>
      <c r="H89" s="302"/>
      <c r="I89" s="302"/>
      <c r="J89" s="302"/>
      <c r="K89" s="302"/>
      <c r="L89" s="302"/>
      <c r="M89" s="457"/>
      <c r="N89" s="301">
        <v>10</v>
      </c>
      <c r="O89" s="316">
        <f t="shared" ref="O89:W104" si="47">$V$37*(O43*SIN($V$38)+COS($V$38))</f>
        <v>692.30640138780075</v>
      </c>
      <c r="P89" s="316">
        <f t="shared" si="47"/>
        <v>670.90538156314949</v>
      </c>
      <c r="Q89" s="316">
        <f t="shared" si="47"/>
        <v>635.23701518873054</v>
      </c>
      <c r="R89" s="316">
        <f t="shared" si="47"/>
        <v>585.30130226454423</v>
      </c>
      <c r="S89" s="316">
        <f t="shared" si="47"/>
        <v>521.09824279059023</v>
      </c>
      <c r="T89" s="316">
        <f t="shared" si="47"/>
        <v>442.62783676686882</v>
      </c>
      <c r="U89" s="316">
        <f t="shared" si="47"/>
        <v>349.89008419337989</v>
      </c>
      <c r="V89" s="316">
        <f t="shared" si="47"/>
        <v>242.88498507012335</v>
      </c>
      <c r="W89" s="316">
        <f t="shared" si="47"/>
        <v>121.61253939709923</v>
      </c>
      <c r="X89" s="302"/>
      <c r="Y89" s="302"/>
      <c r="Z89" s="302"/>
      <c r="AA89" s="302"/>
      <c r="AB89" s="302"/>
      <c r="AC89" s="302"/>
      <c r="AD89" s="302"/>
      <c r="AE89" s="302"/>
      <c r="AF89" s="302"/>
      <c r="AG89" s="302"/>
      <c r="AH89" s="302"/>
      <c r="AI89" s="302"/>
      <c r="AJ89" s="302"/>
      <c r="AK89" s="140"/>
      <c r="AL89" s="140"/>
      <c r="AM89" s="140"/>
      <c r="AN89" s="140"/>
      <c r="AO89" s="140"/>
      <c r="AP89" s="140"/>
    </row>
    <row r="90" spans="1:42" x14ac:dyDescent="0.3">
      <c r="A90" s="302"/>
      <c r="B90" s="302"/>
      <c r="C90" s="302"/>
      <c r="D90" s="302"/>
      <c r="E90" s="302"/>
      <c r="F90" s="302"/>
      <c r="G90" s="302"/>
      <c r="H90" s="302"/>
      <c r="I90" s="302"/>
      <c r="J90" s="302"/>
      <c r="K90" s="302"/>
      <c r="L90" s="302"/>
      <c r="M90" s="457"/>
      <c r="N90" s="301">
        <v>15</v>
      </c>
      <c r="O90" s="316">
        <f t="shared" si="47"/>
        <v>694.68429247942868</v>
      </c>
      <c r="P90" s="316">
        <f t="shared" si="47"/>
        <v>680.41694592966121</v>
      </c>
      <c r="Q90" s="316">
        <f t="shared" si="47"/>
        <v>656.63803501338191</v>
      </c>
      <c r="R90" s="316">
        <f t="shared" si="47"/>
        <v>623.347559730591</v>
      </c>
      <c r="S90" s="316">
        <f t="shared" si="47"/>
        <v>580.54552008128837</v>
      </c>
      <c r="T90" s="316">
        <f t="shared" si="47"/>
        <v>528.23191606547402</v>
      </c>
      <c r="U90" s="316">
        <f t="shared" si="47"/>
        <v>466.40674768314807</v>
      </c>
      <c r="V90" s="316">
        <f t="shared" si="47"/>
        <v>395.07001493431034</v>
      </c>
      <c r="W90" s="316">
        <f t="shared" si="47"/>
        <v>314.221717818961</v>
      </c>
      <c r="X90" s="302"/>
      <c r="Y90" s="302"/>
      <c r="Z90" s="302"/>
      <c r="AA90" s="302"/>
      <c r="AB90" s="302"/>
      <c r="AC90" s="302"/>
      <c r="AD90" s="302"/>
      <c r="AE90" s="302"/>
      <c r="AF90" s="302"/>
      <c r="AG90" s="302"/>
      <c r="AH90" s="302"/>
      <c r="AI90" s="302"/>
      <c r="AJ90" s="302"/>
      <c r="AK90" s="140"/>
      <c r="AL90" s="140"/>
      <c r="AM90" s="140"/>
      <c r="AN90" s="140"/>
      <c r="AO90" s="140"/>
      <c r="AP90" s="140"/>
    </row>
    <row r="91" spans="1:42" x14ac:dyDescent="0.3">
      <c r="A91" s="302"/>
      <c r="B91" s="302"/>
      <c r="C91" s="302"/>
      <c r="D91" s="302"/>
      <c r="E91" s="302"/>
      <c r="F91" s="302"/>
      <c r="G91" s="302"/>
      <c r="H91" s="302"/>
      <c r="I91" s="302"/>
      <c r="J91" s="302"/>
      <c r="K91" s="302"/>
      <c r="L91" s="302"/>
      <c r="M91" s="457"/>
      <c r="N91" s="301">
        <v>20</v>
      </c>
      <c r="O91" s="316">
        <f t="shared" si="47"/>
        <v>695.8732380252427</v>
      </c>
      <c r="P91" s="316">
        <f t="shared" si="47"/>
        <v>685.17272811291707</v>
      </c>
      <c r="Q91" s="316">
        <f t="shared" si="47"/>
        <v>667.33854492570754</v>
      </c>
      <c r="R91" s="316">
        <f t="shared" si="47"/>
        <v>642.37068846361433</v>
      </c>
      <c r="S91" s="316">
        <f t="shared" si="47"/>
        <v>610.26915872663744</v>
      </c>
      <c r="T91" s="316">
        <f t="shared" si="47"/>
        <v>571.03395571477665</v>
      </c>
      <c r="U91" s="316">
        <f t="shared" si="47"/>
        <v>524.6650794280323</v>
      </c>
      <c r="V91" s="316">
        <f t="shared" si="47"/>
        <v>471.16252986640393</v>
      </c>
      <c r="W91" s="316">
        <f t="shared" si="47"/>
        <v>410.52630702989194</v>
      </c>
      <c r="X91" s="302"/>
      <c r="Y91" s="302"/>
      <c r="Z91" s="302"/>
      <c r="AA91" s="302"/>
      <c r="AB91" s="302"/>
      <c r="AC91" s="302"/>
      <c r="AD91" s="302"/>
      <c r="AE91" s="302"/>
      <c r="AF91" s="302"/>
      <c r="AG91" s="302"/>
      <c r="AH91" s="302"/>
      <c r="AI91" s="302"/>
      <c r="AJ91" s="302"/>
      <c r="AK91" s="140"/>
      <c r="AL91" s="140"/>
      <c r="AM91" s="140"/>
      <c r="AN91" s="140"/>
      <c r="AO91" s="140"/>
      <c r="AP91" s="140"/>
    </row>
    <row r="92" spans="1:42" x14ac:dyDescent="0.3">
      <c r="A92" s="302"/>
      <c r="B92" s="302"/>
      <c r="C92" s="302"/>
      <c r="D92" s="302"/>
      <c r="E92" s="302"/>
      <c r="F92" s="302"/>
      <c r="G92" s="302"/>
      <c r="H92" s="302"/>
      <c r="I92" s="302"/>
      <c r="J92" s="302"/>
      <c r="K92" s="302"/>
      <c r="L92" s="302"/>
      <c r="M92" s="457"/>
      <c r="N92" s="301">
        <v>25</v>
      </c>
      <c r="O92" s="316">
        <f t="shared" si="47"/>
        <v>696.586605352731</v>
      </c>
      <c r="P92" s="316">
        <f t="shared" si="47"/>
        <v>688.0261974228705</v>
      </c>
      <c r="Q92" s="316">
        <f t="shared" si="47"/>
        <v>673.75885087310303</v>
      </c>
      <c r="R92" s="316">
        <f t="shared" si="47"/>
        <v>653.78456570342848</v>
      </c>
      <c r="S92" s="316">
        <f t="shared" si="47"/>
        <v>628.10334191384675</v>
      </c>
      <c r="T92" s="316">
        <f t="shared" si="47"/>
        <v>596.71517950435828</v>
      </c>
      <c r="U92" s="316">
        <f t="shared" si="47"/>
        <v>559.62007847496261</v>
      </c>
      <c r="V92" s="316">
        <f t="shared" si="47"/>
        <v>516.81803882565998</v>
      </c>
      <c r="W92" s="316">
        <f t="shared" si="47"/>
        <v>468.30906055645039</v>
      </c>
      <c r="X92" s="302"/>
      <c r="Y92" s="302"/>
      <c r="Z92" s="302"/>
      <c r="AA92" s="302"/>
      <c r="AB92" s="302"/>
      <c r="AC92" s="302"/>
      <c r="AD92" s="302"/>
      <c r="AE92" s="302"/>
      <c r="AF92" s="302"/>
      <c r="AG92" s="302"/>
      <c r="AH92" s="302"/>
      <c r="AI92" s="302"/>
      <c r="AJ92" s="302"/>
      <c r="AK92" s="140"/>
      <c r="AL92" s="140"/>
      <c r="AM92" s="140"/>
      <c r="AN92" s="140"/>
      <c r="AO92" s="140"/>
      <c r="AP92" s="140"/>
    </row>
    <row r="93" spans="1:42" x14ac:dyDescent="0.3">
      <c r="A93" s="302"/>
      <c r="B93" s="302"/>
      <c r="C93" s="302"/>
      <c r="D93" s="302"/>
      <c r="E93" s="304"/>
      <c r="F93" s="304"/>
      <c r="G93" s="304"/>
      <c r="H93" s="304"/>
      <c r="I93" s="302"/>
      <c r="J93" s="302"/>
      <c r="K93" s="302"/>
      <c r="L93" s="302"/>
      <c r="M93" s="457"/>
      <c r="N93" s="301">
        <v>30</v>
      </c>
      <c r="O93" s="316">
        <f t="shared" si="47"/>
        <v>697.06218357105661</v>
      </c>
      <c r="P93" s="316">
        <f t="shared" si="47"/>
        <v>689.92851029617282</v>
      </c>
      <c r="Q93" s="316">
        <f t="shared" si="47"/>
        <v>678.03905483803328</v>
      </c>
      <c r="R93" s="316">
        <f t="shared" si="47"/>
        <v>661.39381719663777</v>
      </c>
      <c r="S93" s="316">
        <f t="shared" si="47"/>
        <v>639.99279737198651</v>
      </c>
      <c r="T93" s="316">
        <f t="shared" si="47"/>
        <v>613.83599536407928</v>
      </c>
      <c r="U93" s="316">
        <f t="shared" si="47"/>
        <v>582.9234111729163</v>
      </c>
      <c r="V93" s="316">
        <f t="shared" si="47"/>
        <v>547.25504479849747</v>
      </c>
      <c r="W93" s="316">
        <f t="shared" si="47"/>
        <v>506.83089624082277</v>
      </c>
      <c r="X93" s="302"/>
      <c r="Y93" s="302"/>
      <c r="Z93" s="302"/>
      <c r="AA93" s="302"/>
      <c r="AB93" s="302"/>
      <c r="AC93" s="302"/>
      <c r="AD93" s="302"/>
      <c r="AE93" s="302"/>
      <c r="AF93" s="302"/>
      <c r="AG93" s="302"/>
      <c r="AH93" s="302"/>
      <c r="AI93" s="302"/>
      <c r="AJ93" s="302"/>
      <c r="AK93" s="140"/>
      <c r="AL93" s="140"/>
      <c r="AM93" s="140"/>
      <c r="AN93" s="140"/>
      <c r="AO93" s="140"/>
      <c r="AP93" s="140"/>
    </row>
    <row r="94" spans="1:42" x14ac:dyDescent="0.3">
      <c r="A94" s="302"/>
      <c r="B94" s="302"/>
      <c r="C94" s="302"/>
      <c r="D94" s="302"/>
      <c r="E94" s="304"/>
      <c r="F94" s="304"/>
      <c r="G94" s="304"/>
      <c r="H94" s="304"/>
      <c r="I94" s="302"/>
      <c r="J94" s="302"/>
      <c r="K94" s="302"/>
      <c r="L94" s="302"/>
      <c r="M94" s="457"/>
      <c r="N94" s="301">
        <v>35</v>
      </c>
      <c r="O94" s="316">
        <f t="shared" si="47"/>
        <v>697.40188229843204</v>
      </c>
      <c r="P94" s="316">
        <f t="shared" si="47"/>
        <v>691.28730520567456</v>
      </c>
      <c r="Q94" s="316">
        <f t="shared" si="47"/>
        <v>681.09634338441197</v>
      </c>
      <c r="R94" s="316">
        <f t="shared" si="47"/>
        <v>666.8289968346445</v>
      </c>
      <c r="S94" s="316">
        <f t="shared" si="47"/>
        <v>648.48526555637193</v>
      </c>
      <c r="T94" s="316">
        <f t="shared" si="47"/>
        <v>626.06514954959437</v>
      </c>
      <c r="U94" s="316">
        <f t="shared" si="47"/>
        <v>599.56864881431181</v>
      </c>
      <c r="V94" s="316">
        <f t="shared" si="47"/>
        <v>568.99576335052427</v>
      </c>
      <c r="W94" s="316">
        <f t="shared" si="47"/>
        <v>534.34649315823151</v>
      </c>
      <c r="X94" s="302"/>
      <c r="Y94" s="302"/>
      <c r="Z94" s="302"/>
      <c r="AA94" s="302"/>
      <c r="AB94" s="302"/>
      <c r="AC94" s="302"/>
      <c r="AD94" s="302"/>
      <c r="AE94" s="302"/>
      <c r="AF94" s="302"/>
      <c r="AG94" s="302"/>
      <c r="AH94" s="302"/>
      <c r="AI94" s="302"/>
      <c r="AJ94" s="302"/>
      <c r="AK94" s="140"/>
      <c r="AL94" s="140"/>
      <c r="AM94" s="140"/>
      <c r="AN94" s="140"/>
      <c r="AO94" s="140"/>
      <c r="AP94" s="140"/>
    </row>
    <row r="95" spans="1:42" x14ac:dyDescent="0.3">
      <c r="A95" s="302"/>
      <c r="B95" s="302"/>
      <c r="C95" s="302"/>
      <c r="D95" s="302"/>
      <c r="E95" s="302"/>
      <c r="F95" s="302"/>
      <c r="G95" s="302"/>
      <c r="H95" s="302"/>
      <c r="I95" s="302"/>
      <c r="J95" s="302"/>
      <c r="K95" s="302"/>
      <c r="L95" s="302"/>
      <c r="M95" s="457"/>
      <c r="N95" s="301">
        <v>40</v>
      </c>
      <c r="O95" s="316">
        <f t="shared" si="47"/>
        <v>697.65665634396362</v>
      </c>
      <c r="P95" s="316">
        <f t="shared" si="47"/>
        <v>692.30640138780075</v>
      </c>
      <c r="Q95" s="316">
        <f t="shared" si="47"/>
        <v>683.38930979419604</v>
      </c>
      <c r="R95" s="316">
        <f t="shared" si="47"/>
        <v>670.90538156314949</v>
      </c>
      <c r="S95" s="316">
        <f t="shared" si="47"/>
        <v>654.85461669466099</v>
      </c>
      <c r="T95" s="316">
        <f t="shared" si="47"/>
        <v>635.23701518873054</v>
      </c>
      <c r="U95" s="316">
        <f t="shared" si="47"/>
        <v>612.05257704535836</v>
      </c>
      <c r="V95" s="316">
        <f t="shared" si="47"/>
        <v>585.30130226454423</v>
      </c>
      <c r="W95" s="316">
        <f t="shared" si="47"/>
        <v>554.98319084628827</v>
      </c>
      <c r="X95" s="302"/>
      <c r="Y95" s="302"/>
      <c r="Z95" s="302"/>
      <c r="AA95" s="302"/>
      <c r="AB95" s="302"/>
      <c r="AC95" s="302"/>
      <c r="AD95" s="302"/>
      <c r="AE95" s="302"/>
      <c r="AF95" s="302"/>
      <c r="AG95" s="302"/>
      <c r="AH95" s="302"/>
      <c r="AI95" s="302"/>
      <c r="AJ95" s="302"/>
      <c r="AK95" s="140"/>
      <c r="AL95" s="140"/>
      <c r="AM95" s="140"/>
      <c r="AN95" s="140"/>
      <c r="AO95" s="140"/>
      <c r="AP95" s="140"/>
    </row>
    <row r="96" spans="1:42" x14ac:dyDescent="0.3">
      <c r="A96" s="302"/>
      <c r="B96" s="302"/>
      <c r="C96" s="302"/>
      <c r="D96" s="302"/>
      <c r="E96" s="302"/>
      <c r="F96" s="302"/>
      <c r="G96" s="302"/>
      <c r="H96" s="302"/>
      <c r="I96" s="302"/>
      <c r="J96" s="302"/>
      <c r="K96" s="302"/>
      <c r="L96" s="302"/>
      <c r="M96" s="457"/>
      <c r="N96" s="301">
        <v>45</v>
      </c>
      <c r="O96" s="316">
        <f t="shared" si="47"/>
        <v>697.85481393493262</v>
      </c>
      <c r="P96" s="316">
        <f t="shared" si="47"/>
        <v>693.09903175167676</v>
      </c>
      <c r="Q96" s="316">
        <f t="shared" si="47"/>
        <v>685.17272811291707</v>
      </c>
      <c r="R96" s="316">
        <f t="shared" si="47"/>
        <v>674.07590301865332</v>
      </c>
      <c r="S96" s="316">
        <f t="shared" si="47"/>
        <v>659.80855646888585</v>
      </c>
      <c r="T96" s="316">
        <f t="shared" si="47"/>
        <v>642.37068846361433</v>
      </c>
      <c r="U96" s="316">
        <f t="shared" si="47"/>
        <v>621.76229900283909</v>
      </c>
      <c r="V96" s="316">
        <f t="shared" si="47"/>
        <v>597.9833880865599</v>
      </c>
      <c r="W96" s="316">
        <f t="shared" si="47"/>
        <v>571.03395571477677</v>
      </c>
      <c r="X96" s="302"/>
      <c r="Y96" s="302"/>
      <c r="Z96" s="302"/>
      <c r="AA96" s="302"/>
      <c r="AB96" s="302"/>
      <c r="AC96" s="302"/>
      <c r="AD96" s="302"/>
      <c r="AE96" s="302"/>
      <c r="AF96" s="302"/>
      <c r="AG96" s="302"/>
      <c r="AH96" s="302"/>
      <c r="AI96" s="302"/>
      <c r="AJ96" s="302"/>
      <c r="AK96" s="140"/>
      <c r="AL96" s="140"/>
      <c r="AM96" s="140"/>
      <c r="AN96" s="140"/>
      <c r="AO96" s="140"/>
      <c r="AP96" s="140"/>
    </row>
    <row r="97" spans="1:42" x14ac:dyDescent="0.3">
      <c r="A97" s="302"/>
      <c r="B97" s="302"/>
      <c r="C97" s="302"/>
      <c r="D97" s="302"/>
      <c r="E97" s="302"/>
      <c r="F97" s="302"/>
      <c r="G97" s="302"/>
      <c r="H97" s="302"/>
      <c r="I97" s="302"/>
      <c r="J97" s="302"/>
      <c r="K97" s="302"/>
      <c r="L97" s="302"/>
      <c r="M97" s="457"/>
      <c r="N97" s="301">
        <v>50</v>
      </c>
      <c r="O97" s="316">
        <f t="shared" si="47"/>
        <v>698.01334000770782</v>
      </c>
      <c r="P97" s="316">
        <f t="shared" si="47"/>
        <v>693.73313604277746</v>
      </c>
      <c r="Q97" s="316">
        <f t="shared" si="47"/>
        <v>686.59946276789367</v>
      </c>
      <c r="R97" s="316">
        <f t="shared" si="47"/>
        <v>676.61232018305645</v>
      </c>
      <c r="S97" s="316">
        <f t="shared" si="47"/>
        <v>663.7717082882657</v>
      </c>
      <c r="T97" s="316">
        <f t="shared" si="47"/>
        <v>648.07762708352141</v>
      </c>
      <c r="U97" s="316">
        <f t="shared" si="47"/>
        <v>629.53007656882357</v>
      </c>
      <c r="V97" s="316">
        <f t="shared" si="47"/>
        <v>608.12905674417232</v>
      </c>
      <c r="W97" s="316">
        <f t="shared" si="47"/>
        <v>583.87456760956741</v>
      </c>
      <c r="X97" s="302"/>
      <c r="Y97" s="302"/>
      <c r="Z97" s="302"/>
      <c r="AA97" s="302"/>
      <c r="AB97" s="302"/>
      <c r="AC97" s="302"/>
      <c r="AD97" s="302"/>
      <c r="AE97" s="302"/>
      <c r="AF97" s="302"/>
      <c r="AG97" s="302"/>
      <c r="AH97" s="302"/>
      <c r="AI97" s="302"/>
      <c r="AJ97" s="302"/>
      <c r="AK97" s="140"/>
      <c r="AL97" s="140"/>
      <c r="AM97" s="140"/>
      <c r="AN97" s="140"/>
      <c r="AO97" s="140"/>
      <c r="AP97" s="140"/>
    </row>
    <row r="98" spans="1:42" x14ac:dyDescent="0.3">
      <c r="A98" s="302"/>
      <c r="B98" s="302"/>
      <c r="C98" s="302"/>
      <c r="D98" s="302"/>
      <c r="E98" s="302"/>
      <c r="F98" s="302"/>
      <c r="G98" s="302"/>
      <c r="H98" s="302"/>
      <c r="I98" s="302"/>
      <c r="J98" s="302"/>
      <c r="K98" s="302"/>
      <c r="L98" s="302"/>
      <c r="M98" s="457"/>
      <c r="N98" s="301">
        <v>55</v>
      </c>
      <c r="O98" s="316">
        <f t="shared" si="47"/>
        <v>698.14304315816025</v>
      </c>
      <c r="P98" s="316">
        <f t="shared" si="47"/>
        <v>694.25194864458729</v>
      </c>
      <c r="Q98" s="316">
        <f t="shared" si="47"/>
        <v>687.76679112196564</v>
      </c>
      <c r="R98" s="316">
        <f t="shared" si="47"/>
        <v>678.68757059029531</v>
      </c>
      <c r="S98" s="316">
        <f t="shared" si="47"/>
        <v>667.01428704957652</v>
      </c>
      <c r="T98" s="316">
        <f t="shared" si="47"/>
        <v>652.74694049980894</v>
      </c>
      <c r="U98" s="316">
        <f t="shared" si="47"/>
        <v>635.88553094099279</v>
      </c>
      <c r="V98" s="316">
        <f t="shared" si="47"/>
        <v>616.43005837312796</v>
      </c>
      <c r="W98" s="316">
        <f t="shared" si="47"/>
        <v>594.38052279621445</v>
      </c>
      <c r="X98" s="302"/>
      <c r="Y98" s="302"/>
      <c r="Z98" s="302"/>
      <c r="AA98" s="302"/>
      <c r="AB98" s="302"/>
      <c r="AC98" s="302"/>
      <c r="AD98" s="302"/>
      <c r="AE98" s="302"/>
      <c r="AF98" s="302"/>
      <c r="AG98" s="302"/>
      <c r="AH98" s="302"/>
      <c r="AI98" s="302"/>
      <c r="AJ98" s="302"/>
      <c r="AK98" s="140"/>
      <c r="AL98" s="140"/>
      <c r="AM98" s="140"/>
      <c r="AN98" s="140"/>
      <c r="AO98" s="140"/>
      <c r="AP98" s="140"/>
    </row>
    <row r="99" spans="1:42" x14ac:dyDescent="0.3">
      <c r="A99" s="302"/>
      <c r="B99" s="302"/>
      <c r="C99" s="302"/>
      <c r="D99" s="302"/>
      <c r="E99" s="302"/>
      <c r="F99" s="302"/>
      <c r="G99" s="302"/>
      <c r="H99" s="302"/>
      <c r="I99" s="302"/>
      <c r="J99" s="302"/>
      <c r="K99" s="302"/>
      <c r="L99" s="302"/>
      <c r="M99" s="457"/>
      <c r="N99" s="301">
        <v>60</v>
      </c>
      <c r="O99" s="316">
        <f t="shared" si="47"/>
        <v>698.25112911687052</v>
      </c>
      <c r="P99" s="316">
        <f t="shared" si="47"/>
        <v>694.68429247942868</v>
      </c>
      <c r="Q99" s="316">
        <f t="shared" si="47"/>
        <v>688.73956475035891</v>
      </c>
      <c r="R99" s="316">
        <f t="shared" si="47"/>
        <v>680.41694592966121</v>
      </c>
      <c r="S99" s="316">
        <f t="shared" si="47"/>
        <v>669.71643601733547</v>
      </c>
      <c r="T99" s="316">
        <f t="shared" si="47"/>
        <v>656.63803501338191</v>
      </c>
      <c r="U99" s="316">
        <f t="shared" si="47"/>
        <v>641.18174291780042</v>
      </c>
      <c r="V99" s="316">
        <f t="shared" si="47"/>
        <v>623.347559730591</v>
      </c>
      <c r="W99" s="316">
        <f t="shared" si="47"/>
        <v>603.13548545175365</v>
      </c>
      <c r="X99" s="302"/>
      <c r="Y99" s="302"/>
      <c r="Z99" s="302"/>
      <c r="AA99" s="302"/>
      <c r="AB99" s="302"/>
      <c r="AC99" s="302"/>
      <c r="AD99" s="302"/>
      <c r="AE99" s="302"/>
      <c r="AF99" s="302"/>
      <c r="AG99" s="302"/>
      <c r="AH99" s="302"/>
      <c r="AI99" s="302"/>
      <c r="AJ99" s="302"/>
      <c r="AK99" s="140"/>
      <c r="AL99" s="140"/>
      <c r="AM99" s="140"/>
      <c r="AN99" s="140"/>
      <c r="AO99" s="140"/>
      <c r="AP99" s="140"/>
    </row>
    <row r="100" spans="1:42" x14ac:dyDescent="0.3">
      <c r="A100" s="302"/>
      <c r="B100" s="302"/>
      <c r="C100" s="302"/>
      <c r="D100" s="302"/>
      <c r="E100" s="302"/>
      <c r="F100" s="302"/>
      <c r="G100" s="302"/>
      <c r="H100" s="302"/>
      <c r="I100" s="302"/>
      <c r="J100" s="302"/>
      <c r="K100" s="302"/>
      <c r="L100" s="302"/>
      <c r="M100" s="457"/>
      <c r="N100" s="301">
        <v>65</v>
      </c>
      <c r="O100" s="316">
        <f t="shared" si="47"/>
        <v>698.3425864665486</v>
      </c>
      <c r="P100" s="316">
        <f t="shared" si="47"/>
        <v>695.05012187814066</v>
      </c>
      <c r="Q100" s="316">
        <f t="shared" si="47"/>
        <v>689.56268089746084</v>
      </c>
      <c r="R100" s="316">
        <f t="shared" si="47"/>
        <v>681.88026352450913</v>
      </c>
      <c r="S100" s="316">
        <f t="shared" si="47"/>
        <v>672.00286975928543</v>
      </c>
      <c r="T100" s="316">
        <f t="shared" si="47"/>
        <v>659.93049960178985</v>
      </c>
      <c r="U100" s="316">
        <f t="shared" si="47"/>
        <v>645.66315305202227</v>
      </c>
      <c r="V100" s="316">
        <f t="shared" si="47"/>
        <v>629.2008301099828</v>
      </c>
      <c r="W100" s="316">
        <f t="shared" si="47"/>
        <v>610.54353077567146</v>
      </c>
      <c r="X100" s="302"/>
      <c r="Y100" s="302"/>
      <c r="Z100" s="302"/>
      <c r="AA100" s="302"/>
      <c r="AB100" s="302"/>
      <c r="AC100" s="302"/>
      <c r="AD100" s="302"/>
      <c r="AE100" s="302"/>
      <c r="AF100" s="302"/>
      <c r="AG100" s="302"/>
      <c r="AH100" s="302"/>
      <c r="AI100" s="302"/>
      <c r="AJ100" s="302"/>
      <c r="AK100" s="140"/>
      <c r="AL100" s="140"/>
      <c r="AM100" s="140"/>
      <c r="AN100" s="140"/>
      <c r="AO100" s="140"/>
      <c r="AP100" s="140"/>
    </row>
    <row r="101" spans="1:42" x14ac:dyDescent="0.3">
      <c r="A101" s="302"/>
      <c r="B101" s="302"/>
      <c r="C101" s="302"/>
      <c r="D101" s="302"/>
      <c r="E101" s="302"/>
      <c r="F101" s="302"/>
      <c r="G101" s="302"/>
      <c r="H101" s="302"/>
      <c r="I101" s="302"/>
      <c r="J101" s="302"/>
      <c r="K101" s="302"/>
      <c r="L101" s="302"/>
      <c r="M101" s="457"/>
      <c r="N101" s="301">
        <v>70</v>
      </c>
      <c r="O101" s="316">
        <f t="shared" si="47"/>
        <v>698.42097848055823</v>
      </c>
      <c r="P101" s="316">
        <f t="shared" si="47"/>
        <v>695.36368993417955</v>
      </c>
      <c r="Q101" s="316">
        <f t="shared" si="47"/>
        <v>690.26820902354825</v>
      </c>
      <c r="R101" s="316">
        <f t="shared" si="47"/>
        <v>683.13453574866446</v>
      </c>
      <c r="S101" s="316">
        <f t="shared" si="47"/>
        <v>673.96267010952829</v>
      </c>
      <c r="T101" s="316">
        <f t="shared" si="47"/>
        <v>662.75261210613951</v>
      </c>
      <c r="U101" s="316">
        <f t="shared" si="47"/>
        <v>649.50436173849812</v>
      </c>
      <c r="V101" s="316">
        <f t="shared" si="47"/>
        <v>634.21791900660435</v>
      </c>
      <c r="W101" s="316">
        <f t="shared" si="47"/>
        <v>616.89328391045808</v>
      </c>
      <c r="X101" s="302"/>
      <c r="Y101" s="302"/>
      <c r="Z101" s="302"/>
      <c r="AA101" s="302"/>
      <c r="AB101" s="302"/>
      <c r="AC101" s="302"/>
      <c r="AD101" s="302"/>
      <c r="AE101" s="302"/>
      <c r="AF101" s="302"/>
      <c r="AG101" s="302"/>
      <c r="AH101" s="302"/>
      <c r="AI101" s="302"/>
      <c r="AJ101" s="302"/>
      <c r="AK101" s="140"/>
      <c r="AL101" s="140"/>
      <c r="AM101" s="140"/>
      <c r="AN101" s="140"/>
      <c r="AO101" s="140"/>
      <c r="AP101" s="140"/>
    </row>
    <row r="102" spans="1:42" x14ac:dyDescent="0.3">
      <c r="A102" s="302"/>
      <c r="B102" s="302"/>
      <c r="C102" s="302"/>
      <c r="D102" s="302"/>
      <c r="E102" s="302"/>
      <c r="F102" s="302"/>
      <c r="G102" s="302"/>
      <c r="H102" s="302"/>
      <c r="I102" s="302"/>
      <c r="J102" s="302"/>
      <c r="K102" s="302"/>
      <c r="L102" s="302"/>
      <c r="M102" s="457"/>
      <c r="N102" s="301">
        <v>75</v>
      </c>
      <c r="O102" s="316">
        <f t="shared" si="47"/>
        <v>698.48891822603343</v>
      </c>
      <c r="P102" s="316">
        <f t="shared" si="47"/>
        <v>695.63544891607989</v>
      </c>
      <c r="Q102" s="316">
        <f t="shared" si="47"/>
        <v>690.87966673282403</v>
      </c>
      <c r="R102" s="316">
        <f t="shared" si="47"/>
        <v>684.22157167626585</v>
      </c>
      <c r="S102" s="316">
        <f t="shared" si="47"/>
        <v>675.66116374640535</v>
      </c>
      <c r="T102" s="316">
        <f t="shared" si="47"/>
        <v>665.19844294324241</v>
      </c>
      <c r="U102" s="316">
        <f t="shared" si="47"/>
        <v>652.83340926677727</v>
      </c>
      <c r="V102" s="316">
        <f t="shared" si="47"/>
        <v>638.56606271700969</v>
      </c>
      <c r="W102" s="316">
        <f t="shared" si="47"/>
        <v>622.3964032939399</v>
      </c>
      <c r="X102" s="302"/>
      <c r="Y102" s="302"/>
      <c r="Z102" s="302"/>
      <c r="AA102" s="302"/>
      <c r="AB102" s="302"/>
      <c r="AC102" s="302"/>
      <c r="AD102" s="302"/>
      <c r="AE102" s="302"/>
      <c r="AF102" s="302"/>
      <c r="AG102" s="302"/>
      <c r="AH102" s="302"/>
      <c r="AI102" s="302"/>
      <c r="AJ102" s="302"/>
      <c r="AK102" s="140"/>
      <c r="AL102" s="140"/>
      <c r="AM102" s="140"/>
      <c r="AN102" s="140"/>
      <c r="AO102" s="140"/>
      <c r="AP102" s="140"/>
    </row>
    <row r="103" spans="1:42" x14ac:dyDescent="0.3">
      <c r="A103" s="302"/>
      <c r="B103" s="302"/>
      <c r="C103" s="302"/>
      <c r="D103" s="302"/>
      <c r="E103" s="302"/>
      <c r="F103" s="302"/>
      <c r="G103" s="302"/>
      <c r="H103" s="302"/>
      <c r="I103" s="302"/>
      <c r="J103" s="302"/>
      <c r="K103" s="302"/>
      <c r="L103" s="302"/>
      <c r="M103" s="457"/>
      <c r="N103" s="301">
        <v>80</v>
      </c>
      <c r="O103" s="316">
        <f t="shared" si="47"/>
        <v>698.54836550332413</v>
      </c>
      <c r="P103" s="316">
        <f t="shared" si="47"/>
        <v>695.8732380252427</v>
      </c>
      <c r="Q103" s="316">
        <f t="shared" si="47"/>
        <v>691.41469222844034</v>
      </c>
      <c r="R103" s="316">
        <f t="shared" si="47"/>
        <v>685.17272811291707</v>
      </c>
      <c r="S103" s="316">
        <f t="shared" si="47"/>
        <v>677.14734567867276</v>
      </c>
      <c r="T103" s="316">
        <f t="shared" si="47"/>
        <v>667.33854492570754</v>
      </c>
      <c r="U103" s="316">
        <f t="shared" si="47"/>
        <v>655.74632585402139</v>
      </c>
      <c r="V103" s="316">
        <f t="shared" si="47"/>
        <v>642.37068846361433</v>
      </c>
      <c r="W103" s="316">
        <f t="shared" si="47"/>
        <v>627.21163275448635</v>
      </c>
      <c r="X103" s="302"/>
      <c r="Y103" s="302"/>
      <c r="Z103" s="302"/>
      <c r="AA103" s="302"/>
      <c r="AB103" s="302"/>
      <c r="AC103" s="302"/>
      <c r="AD103" s="302"/>
      <c r="AE103" s="302"/>
      <c r="AF103" s="302"/>
      <c r="AG103" s="302"/>
      <c r="AH103" s="302"/>
      <c r="AI103" s="302"/>
      <c r="AJ103" s="302"/>
      <c r="AK103" s="140"/>
      <c r="AL103" s="140"/>
      <c r="AM103" s="140"/>
      <c r="AN103" s="140"/>
      <c r="AO103" s="140"/>
      <c r="AP103" s="140"/>
    </row>
    <row r="104" spans="1:42" x14ac:dyDescent="0.3">
      <c r="A104" s="302"/>
      <c r="B104" s="302"/>
      <c r="C104" s="302"/>
      <c r="D104" s="302"/>
      <c r="E104" s="302"/>
      <c r="F104" s="302"/>
      <c r="G104" s="302"/>
      <c r="H104" s="302"/>
      <c r="I104" s="302"/>
      <c r="J104" s="302"/>
      <c r="K104" s="302"/>
      <c r="L104" s="302"/>
      <c r="M104" s="457"/>
      <c r="N104" s="301">
        <v>85</v>
      </c>
      <c r="O104" s="316">
        <f t="shared" si="47"/>
        <v>698.60081898328644</v>
      </c>
      <c r="P104" s="316">
        <f t="shared" si="47"/>
        <v>696.08305194509217</v>
      </c>
      <c r="Q104" s="316">
        <f t="shared" si="47"/>
        <v>691.8867735481017</v>
      </c>
      <c r="R104" s="316">
        <f t="shared" si="47"/>
        <v>686.01198379231505</v>
      </c>
      <c r="S104" s="316">
        <f t="shared" si="47"/>
        <v>678.45868267773233</v>
      </c>
      <c r="T104" s="316">
        <f t="shared" si="47"/>
        <v>669.2268702043533</v>
      </c>
      <c r="U104" s="316">
        <f t="shared" si="47"/>
        <v>658.3165463721781</v>
      </c>
      <c r="V104" s="316">
        <f t="shared" si="47"/>
        <v>645.7277111812067</v>
      </c>
      <c r="W104" s="316">
        <f t="shared" si="47"/>
        <v>631.46036463143923</v>
      </c>
      <c r="X104" s="302"/>
      <c r="Y104" s="302"/>
      <c r="Z104" s="302"/>
      <c r="AA104" s="302"/>
      <c r="AB104" s="302"/>
      <c r="AC104" s="302"/>
      <c r="AD104" s="302"/>
      <c r="AE104" s="302"/>
      <c r="AF104" s="302"/>
      <c r="AG104" s="302"/>
      <c r="AH104" s="302"/>
      <c r="AI104" s="302"/>
      <c r="AJ104" s="302"/>
      <c r="AK104" s="140"/>
      <c r="AL104" s="140"/>
      <c r="AM104" s="140"/>
      <c r="AN104" s="140"/>
      <c r="AO104" s="140"/>
      <c r="AP104" s="140"/>
    </row>
    <row r="105" spans="1:42" x14ac:dyDescent="0.3">
      <c r="A105" s="302"/>
      <c r="B105" s="302"/>
      <c r="C105" s="302"/>
      <c r="D105" s="302"/>
      <c r="E105" s="302"/>
      <c r="F105" s="302"/>
      <c r="G105" s="302"/>
      <c r="H105" s="302"/>
      <c r="I105" s="302"/>
      <c r="J105" s="302"/>
      <c r="K105" s="302"/>
      <c r="L105" s="302"/>
      <c r="M105" s="457"/>
      <c r="N105" s="301">
        <v>90</v>
      </c>
      <c r="O105" s="316">
        <f t="shared" ref="O105:W107" si="48">$V$37*(O59*SIN($V$38)+COS($V$38))</f>
        <v>698.64744429880852</v>
      </c>
      <c r="P105" s="316">
        <f t="shared" si="48"/>
        <v>696.26955320718071</v>
      </c>
      <c r="Q105" s="316">
        <f t="shared" si="48"/>
        <v>692.30640138780075</v>
      </c>
      <c r="R105" s="316">
        <f t="shared" si="48"/>
        <v>686.75798884066899</v>
      </c>
      <c r="S105" s="316">
        <f t="shared" si="48"/>
        <v>679.6243155657852</v>
      </c>
      <c r="T105" s="316">
        <f t="shared" si="48"/>
        <v>670.90538156314949</v>
      </c>
      <c r="U105" s="316">
        <f t="shared" si="48"/>
        <v>660.60118683276175</v>
      </c>
      <c r="V105" s="316">
        <f t="shared" si="48"/>
        <v>648.71173137462222</v>
      </c>
      <c r="W105" s="316">
        <f t="shared" si="48"/>
        <v>635.23701518873054</v>
      </c>
      <c r="X105" s="302"/>
      <c r="Y105" s="302"/>
      <c r="Z105" s="302"/>
      <c r="AA105" s="302"/>
      <c r="AB105" s="302"/>
      <c r="AC105" s="302"/>
      <c r="AD105" s="302"/>
      <c r="AE105" s="302"/>
      <c r="AF105" s="302"/>
      <c r="AG105" s="302"/>
      <c r="AH105" s="302"/>
      <c r="AI105" s="302"/>
      <c r="AJ105" s="302"/>
      <c r="AK105" s="140"/>
      <c r="AL105" s="140"/>
      <c r="AM105" s="140"/>
      <c r="AN105" s="140"/>
      <c r="AO105" s="140"/>
      <c r="AP105" s="140"/>
    </row>
    <row r="106" spans="1:42" x14ac:dyDescent="0.3">
      <c r="A106" s="302"/>
      <c r="B106" s="302"/>
      <c r="C106" s="302"/>
      <c r="D106" s="302"/>
      <c r="E106" s="302"/>
      <c r="F106" s="302"/>
      <c r="G106" s="302"/>
      <c r="H106" s="302"/>
      <c r="I106" s="302"/>
      <c r="J106" s="302"/>
      <c r="K106" s="302"/>
      <c r="L106" s="302"/>
      <c r="M106" s="457"/>
      <c r="N106" s="301">
        <v>95</v>
      </c>
      <c r="O106" s="316">
        <f t="shared" si="48"/>
        <v>698.689161686381</v>
      </c>
      <c r="P106" s="316">
        <f t="shared" si="48"/>
        <v>696.43642275747038</v>
      </c>
      <c r="Q106" s="316">
        <f t="shared" si="48"/>
        <v>692.68185787595257</v>
      </c>
      <c r="R106" s="316">
        <f t="shared" si="48"/>
        <v>687.42546704182769</v>
      </c>
      <c r="S106" s="316">
        <f t="shared" si="48"/>
        <v>680.66725025509561</v>
      </c>
      <c r="T106" s="316">
        <f t="shared" si="48"/>
        <v>672.40720751575657</v>
      </c>
      <c r="U106" s="316">
        <f t="shared" si="48"/>
        <v>662.64533882381033</v>
      </c>
      <c r="V106" s="316">
        <f t="shared" si="48"/>
        <v>651.38164417925702</v>
      </c>
      <c r="W106" s="316">
        <f t="shared" si="48"/>
        <v>638.61612358209663</v>
      </c>
      <c r="X106" s="302"/>
      <c r="Y106" s="302"/>
      <c r="Z106" s="302"/>
      <c r="AA106" s="302"/>
      <c r="AB106" s="302"/>
      <c r="AC106" s="302"/>
      <c r="AD106" s="302"/>
      <c r="AE106" s="302"/>
      <c r="AF106" s="302"/>
      <c r="AG106" s="302"/>
      <c r="AH106" s="302"/>
      <c r="AI106" s="302"/>
      <c r="AJ106" s="302"/>
      <c r="AK106" s="140"/>
      <c r="AL106" s="140"/>
      <c r="AM106" s="140"/>
      <c r="AN106" s="140"/>
      <c r="AO106" s="140"/>
      <c r="AP106" s="140"/>
    </row>
    <row r="107" spans="1:42" x14ac:dyDescent="0.3">
      <c r="A107" s="302"/>
      <c r="B107" s="302"/>
      <c r="C107" s="302"/>
      <c r="D107" s="302"/>
      <c r="E107" s="302"/>
      <c r="F107" s="302"/>
      <c r="G107" s="302"/>
      <c r="H107" s="302"/>
      <c r="I107" s="302"/>
      <c r="J107" s="302"/>
      <c r="K107" s="302"/>
      <c r="L107" s="302"/>
      <c r="M107" s="457"/>
      <c r="N107" s="301">
        <v>100</v>
      </c>
      <c r="O107" s="316">
        <f t="shared" si="48"/>
        <v>698.72670733519612</v>
      </c>
      <c r="P107" s="316">
        <f t="shared" si="48"/>
        <v>696.586605352731</v>
      </c>
      <c r="Q107" s="316">
        <f t="shared" si="48"/>
        <v>693.01976871528916</v>
      </c>
      <c r="R107" s="316">
        <f t="shared" si="48"/>
        <v>688.0261974228705</v>
      </c>
      <c r="S107" s="316">
        <f t="shared" si="48"/>
        <v>681.60589147547512</v>
      </c>
      <c r="T107" s="316">
        <f t="shared" si="48"/>
        <v>673.75885087310303</v>
      </c>
      <c r="U107" s="316">
        <f t="shared" si="48"/>
        <v>664.485075615754</v>
      </c>
      <c r="V107" s="316">
        <f t="shared" si="48"/>
        <v>653.78456570342848</v>
      </c>
      <c r="W107" s="316">
        <f t="shared" si="48"/>
        <v>641.65732113612603</v>
      </c>
      <c r="X107" s="302"/>
      <c r="Y107" s="302"/>
      <c r="Z107" s="302"/>
      <c r="AA107" s="302"/>
      <c r="AB107" s="302"/>
      <c r="AC107" s="302"/>
      <c r="AD107" s="302"/>
      <c r="AE107" s="302"/>
      <c r="AF107" s="302"/>
      <c r="AG107" s="302"/>
      <c r="AH107" s="302"/>
      <c r="AI107" s="302"/>
      <c r="AJ107" s="302"/>
      <c r="AK107" s="140"/>
      <c r="AL107" s="140"/>
      <c r="AM107" s="140"/>
      <c r="AN107" s="140"/>
      <c r="AO107" s="140"/>
      <c r="AP107" s="140"/>
    </row>
    <row r="108" spans="1:42" x14ac:dyDescent="0.3">
      <c r="A108" s="302"/>
      <c r="B108" s="302"/>
      <c r="C108" s="302"/>
      <c r="D108" s="302"/>
      <c r="E108" s="302"/>
      <c r="F108" s="302"/>
      <c r="G108" s="302"/>
      <c r="H108" s="302"/>
      <c r="I108" s="302"/>
      <c r="J108" s="302"/>
      <c r="K108" s="302"/>
      <c r="L108" s="326"/>
      <c r="M108" s="447" t="s">
        <v>446</v>
      </c>
      <c r="N108" s="447"/>
      <c r="O108" s="447"/>
      <c r="P108" s="447"/>
      <c r="Q108" s="447"/>
      <c r="R108" s="447"/>
      <c r="S108" s="447"/>
      <c r="T108" s="447"/>
      <c r="U108" s="447"/>
      <c r="V108" s="321">
        <v>0.8</v>
      </c>
      <c r="W108" s="321" t="s">
        <v>396</v>
      </c>
      <c r="X108" s="302"/>
      <c r="Y108" s="302"/>
      <c r="Z108" s="302"/>
      <c r="AA108" s="302"/>
      <c r="AB108" s="302"/>
      <c r="AC108" s="302"/>
      <c r="AD108" s="302"/>
      <c r="AE108" s="302"/>
      <c r="AF108" s="302"/>
      <c r="AG108" s="302"/>
      <c r="AH108" s="302"/>
      <c r="AI108" s="302"/>
      <c r="AJ108" s="302"/>
      <c r="AK108" s="140"/>
      <c r="AL108" s="140"/>
      <c r="AM108" s="140"/>
      <c r="AN108" s="140"/>
      <c r="AO108" s="140"/>
      <c r="AP108" s="140"/>
    </row>
    <row r="109" spans="1:42" x14ac:dyDescent="0.3">
      <c r="A109" s="302"/>
      <c r="B109" s="302"/>
      <c r="C109" s="302"/>
      <c r="D109" s="302"/>
      <c r="E109" s="302"/>
      <c r="F109" s="302"/>
      <c r="G109" s="302"/>
      <c r="H109" s="302"/>
      <c r="I109" s="302"/>
      <c r="J109" s="302"/>
      <c r="K109" s="302"/>
      <c r="L109" s="326"/>
      <c r="M109" s="447" t="s">
        <v>447</v>
      </c>
      <c r="N109" s="447"/>
      <c r="O109" s="447"/>
      <c r="P109" s="447"/>
      <c r="Q109" s="447"/>
      <c r="R109" s="447"/>
      <c r="S109" s="447"/>
      <c r="T109" s="447"/>
      <c r="U109" s="447"/>
      <c r="V109" s="321">
        <v>700</v>
      </c>
      <c r="W109" s="321" t="s">
        <v>326</v>
      </c>
      <c r="X109" s="302"/>
      <c r="Y109" s="302"/>
      <c r="Z109" s="302"/>
      <c r="AA109" s="302"/>
      <c r="AB109" s="302"/>
      <c r="AC109" s="302"/>
      <c r="AD109" s="302"/>
      <c r="AE109" s="302"/>
      <c r="AF109" s="302"/>
      <c r="AG109" s="302"/>
      <c r="AH109" s="302"/>
      <c r="AI109" s="302"/>
      <c r="AJ109" s="302"/>
      <c r="AK109" s="140"/>
      <c r="AL109" s="140"/>
      <c r="AM109" s="140"/>
      <c r="AN109" s="140"/>
      <c r="AO109" s="140"/>
      <c r="AP109" s="140"/>
    </row>
    <row r="110" spans="1:42" x14ac:dyDescent="0.3">
      <c r="A110" s="302"/>
      <c r="B110" s="302"/>
      <c r="C110" s="302"/>
      <c r="D110" s="302"/>
      <c r="E110" s="302"/>
      <c r="F110" s="302"/>
      <c r="G110" s="302"/>
      <c r="H110" s="302"/>
      <c r="I110" s="302"/>
      <c r="J110" s="302"/>
      <c r="K110" s="302"/>
      <c r="L110" s="302"/>
      <c r="M110" s="457" t="s">
        <v>448</v>
      </c>
      <c r="N110" s="457"/>
      <c r="O110" s="457"/>
      <c r="P110" s="457"/>
      <c r="Q110" s="457"/>
      <c r="R110" s="457"/>
      <c r="S110" s="457"/>
      <c r="T110" s="457"/>
      <c r="U110" s="457"/>
      <c r="V110" s="307">
        <f>(V109*V36)/C8</f>
        <v>280</v>
      </c>
      <c r="W110" s="307" t="s">
        <v>326</v>
      </c>
      <c r="X110" s="302"/>
      <c r="Y110" s="302"/>
      <c r="Z110" s="302"/>
      <c r="AA110" s="302"/>
      <c r="AB110" s="302"/>
      <c r="AC110" s="302"/>
      <c r="AD110" s="302"/>
      <c r="AE110" s="302"/>
      <c r="AF110" s="302"/>
      <c r="AG110" s="302"/>
      <c r="AH110" s="302"/>
      <c r="AI110" s="302"/>
      <c r="AJ110" s="302"/>
      <c r="AK110" s="140"/>
      <c r="AL110" s="140"/>
      <c r="AM110" s="140"/>
      <c r="AN110" s="140"/>
      <c r="AO110" s="140"/>
      <c r="AP110" s="140"/>
    </row>
    <row r="111" spans="1:42" x14ac:dyDescent="0.3">
      <c r="A111" s="302"/>
      <c r="B111" s="302"/>
      <c r="C111" s="302"/>
      <c r="D111" s="302"/>
      <c r="E111" s="302"/>
      <c r="F111" s="302"/>
      <c r="G111" s="302"/>
      <c r="H111" s="302"/>
      <c r="I111" s="302"/>
      <c r="J111" s="302"/>
      <c r="K111" s="302"/>
      <c r="L111" s="302"/>
      <c r="M111" s="457" t="s">
        <v>449</v>
      </c>
      <c r="N111" s="457"/>
      <c r="O111" s="457"/>
      <c r="P111" s="457"/>
      <c r="Q111" s="457"/>
      <c r="R111" s="457"/>
      <c r="S111" s="457"/>
      <c r="T111" s="457"/>
      <c r="U111" s="457"/>
      <c r="V111" s="307">
        <f>(V109*V35)/C8</f>
        <v>420</v>
      </c>
      <c r="W111" s="307" t="s">
        <v>326</v>
      </c>
      <c r="X111" s="302"/>
      <c r="Y111" s="302"/>
      <c r="Z111" s="302"/>
      <c r="AA111" s="302"/>
      <c r="AB111" s="302"/>
      <c r="AC111" s="302"/>
      <c r="AD111" s="302"/>
      <c r="AE111" s="302"/>
      <c r="AF111" s="302"/>
      <c r="AG111" s="302"/>
      <c r="AH111" s="302"/>
      <c r="AI111" s="302"/>
      <c r="AJ111" s="302"/>
      <c r="AK111" s="140"/>
      <c r="AL111" s="140"/>
      <c r="AM111" s="140"/>
      <c r="AN111" s="140"/>
      <c r="AO111" s="140"/>
      <c r="AP111" s="140"/>
    </row>
    <row r="112" spans="1:42" x14ac:dyDescent="0.3">
      <c r="A112" s="302"/>
      <c r="B112" s="302"/>
      <c r="C112" s="302"/>
      <c r="D112" s="302"/>
      <c r="E112" s="302"/>
      <c r="F112" s="302"/>
      <c r="G112" s="302"/>
      <c r="H112" s="302"/>
      <c r="I112" s="302"/>
      <c r="J112" s="302"/>
      <c r="K112" s="302"/>
      <c r="L112" s="302"/>
      <c r="M112" s="457" t="s">
        <v>450</v>
      </c>
      <c r="N112" s="457"/>
      <c r="O112" s="457"/>
      <c r="P112" s="457"/>
      <c r="Q112" s="457"/>
      <c r="R112" s="457"/>
      <c r="S112" s="457"/>
      <c r="T112" s="457"/>
      <c r="U112" s="457"/>
      <c r="V112" s="307">
        <f>V33*V36/C8</f>
        <v>12000</v>
      </c>
      <c r="W112" s="307" t="s">
        <v>451</v>
      </c>
      <c r="X112" s="302"/>
      <c r="Y112" s="302"/>
      <c r="Z112" s="302"/>
      <c r="AA112" s="302"/>
      <c r="AB112" s="302"/>
      <c r="AC112" s="302"/>
      <c r="AD112" s="302"/>
      <c r="AE112" s="302"/>
      <c r="AF112" s="302"/>
      <c r="AG112" s="302"/>
      <c r="AH112" s="302"/>
      <c r="AI112" s="302"/>
      <c r="AJ112" s="302"/>
      <c r="AK112" s="140"/>
      <c r="AL112" s="140"/>
      <c r="AM112" s="140"/>
      <c r="AN112" s="140"/>
      <c r="AO112" s="140"/>
      <c r="AP112" s="140"/>
    </row>
    <row r="113" spans="1:42" x14ac:dyDescent="0.3">
      <c r="A113" s="302"/>
      <c r="B113" s="302"/>
      <c r="C113" s="302"/>
      <c r="D113" s="302"/>
      <c r="E113" s="302"/>
      <c r="F113" s="302"/>
      <c r="G113" s="302"/>
      <c r="H113" s="302"/>
      <c r="I113" s="302"/>
      <c r="J113" s="302"/>
      <c r="K113" s="302"/>
      <c r="L113" s="302"/>
      <c r="M113" s="457" t="s">
        <v>452</v>
      </c>
      <c r="N113" s="457"/>
      <c r="O113" s="457"/>
      <c r="P113" s="457"/>
      <c r="Q113" s="457"/>
      <c r="R113" s="457"/>
      <c r="S113" s="457"/>
      <c r="T113" s="457"/>
      <c r="U113" s="457"/>
      <c r="V113" s="307">
        <f>V33-V112</f>
        <v>18000</v>
      </c>
      <c r="W113" s="307" t="s">
        <v>451</v>
      </c>
      <c r="X113" s="302"/>
      <c r="Y113" s="302"/>
      <c r="Z113" s="302"/>
      <c r="AA113" s="302"/>
      <c r="AB113" s="302"/>
      <c r="AC113" s="302"/>
      <c r="AD113" s="302"/>
      <c r="AE113" s="302"/>
      <c r="AF113" s="302"/>
      <c r="AG113" s="302"/>
      <c r="AH113" s="302"/>
      <c r="AI113" s="302"/>
      <c r="AJ113" s="302"/>
      <c r="AK113" s="140"/>
      <c r="AL113" s="140"/>
      <c r="AM113" s="140"/>
      <c r="AN113" s="140"/>
      <c r="AO113" s="140"/>
      <c r="AP113" s="140"/>
    </row>
    <row r="114" spans="1:42" x14ac:dyDescent="0.3">
      <c r="A114" s="302"/>
      <c r="B114" s="302"/>
      <c r="C114" s="302"/>
      <c r="D114" s="302"/>
      <c r="E114" s="302"/>
      <c r="F114" s="302"/>
      <c r="G114" s="302"/>
      <c r="H114" s="302"/>
      <c r="I114" s="302"/>
      <c r="J114" s="302"/>
      <c r="K114" s="302"/>
      <c r="L114" s="302"/>
      <c r="M114" s="457" t="s">
        <v>453</v>
      </c>
      <c r="N114" s="457"/>
      <c r="O114" s="457"/>
      <c r="P114" s="457"/>
      <c r="Q114" s="457"/>
      <c r="R114" s="457"/>
      <c r="S114" s="457"/>
      <c r="T114" s="457"/>
      <c r="U114" s="457"/>
      <c r="V114" s="307">
        <f>(-V37*9.81*V34)/V33</f>
        <v>-8.7668700000000002E-2</v>
      </c>
      <c r="W114" s="307" t="s">
        <v>454</v>
      </c>
      <c r="X114" s="302"/>
      <c r="Y114" s="302"/>
      <c r="Z114" s="302"/>
      <c r="AA114" s="302"/>
      <c r="AB114" s="302"/>
      <c r="AC114" s="302"/>
      <c r="AD114" s="302"/>
      <c r="AE114" s="302"/>
      <c r="AF114" s="302"/>
      <c r="AG114" s="302"/>
      <c r="AH114" s="302"/>
      <c r="AI114" s="302"/>
      <c r="AJ114" s="302"/>
      <c r="AK114" s="140"/>
      <c r="AL114" s="140"/>
      <c r="AM114" s="140"/>
      <c r="AN114" s="140"/>
      <c r="AO114" s="140"/>
      <c r="AP114" s="140"/>
    </row>
    <row r="115" spans="1:42" x14ac:dyDescent="0.3">
      <c r="A115" s="302"/>
      <c r="B115" s="302"/>
      <c r="C115" s="302"/>
      <c r="D115" s="302"/>
      <c r="E115" s="302"/>
      <c r="F115" s="302"/>
      <c r="G115" s="302"/>
      <c r="H115" s="302"/>
      <c r="I115" s="302"/>
      <c r="J115" s="302"/>
      <c r="K115" s="302"/>
      <c r="L115" s="302"/>
      <c r="M115" s="457" t="s">
        <v>455</v>
      </c>
      <c r="N115" s="457"/>
      <c r="O115" s="457"/>
      <c r="P115" s="457"/>
      <c r="Q115" s="457"/>
      <c r="R115" s="457"/>
      <c r="S115" s="457"/>
      <c r="T115" s="457"/>
      <c r="U115" s="457"/>
      <c r="V115" s="307">
        <f>(V108*V37*V34*V113)/(V33*C6)+(V36/C8)*V31</f>
        <v>85.85560000000001</v>
      </c>
      <c r="W115" s="307" t="s">
        <v>326</v>
      </c>
      <c r="X115" s="302"/>
      <c r="Y115" s="302"/>
      <c r="Z115" s="302"/>
      <c r="AA115" s="302"/>
      <c r="AB115" s="302"/>
      <c r="AC115" s="302"/>
      <c r="AD115" s="302"/>
      <c r="AE115" s="302"/>
      <c r="AF115" s="302"/>
      <c r="AG115" s="302"/>
      <c r="AH115" s="302"/>
      <c r="AI115" s="302"/>
      <c r="AJ115" s="302"/>
      <c r="AK115" s="140"/>
      <c r="AL115" s="140"/>
      <c r="AM115" s="140"/>
      <c r="AN115" s="140"/>
      <c r="AO115" s="140"/>
      <c r="AP115" s="140"/>
    </row>
    <row r="116" spans="1:42" x14ac:dyDescent="0.3">
      <c r="A116" s="302"/>
      <c r="B116" s="302"/>
      <c r="C116" s="302"/>
      <c r="D116" s="302"/>
      <c r="E116" s="302"/>
      <c r="F116" s="302"/>
      <c r="G116" s="302"/>
      <c r="H116" s="302"/>
      <c r="I116" s="302"/>
      <c r="J116" s="302"/>
      <c r="K116" s="302"/>
      <c r="L116" s="302"/>
      <c r="M116" s="457" t="s">
        <v>456</v>
      </c>
      <c r="N116" s="457"/>
      <c r="O116" s="457"/>
      <c r="P116" s="457"/>
      <c r="Q116" s="457"/>
      <c r="R116" s="457"/>
      <c r="S116" s="457"/>
      <c r="T116" s="457"/>
      <c r="U116" s="457"/>
      <c r="V116" s="307">
        <f>(V108*V37*V34*V113)/(C7*V33)+(V35/C8)*V32</f>
        <v>85.841800000000021</v>
      </c>
      <c r="W116" s="307" t="s">
        <v>326</v>
      </c>
      <c r="X116" s="302"/>
      <c r="Y116" s="302"/>
      <c r="Z116" s="302"/>
      <c r="AA116" s="302"/>
      <c r="AB116" s="302"/>
      <c r="AC116" s="302"/>
      <c r="AD116" s="302"/>
      <c r="AE116" s="302"/>
      <c r="AF116" s="302"/>
      <c r="AG116" s="302"/>
      <c r="AH116" s="302"/>
      <c r="AI116" s="302"/>
      <c r="AJ116" s="302"/>
      <c r="AK116" s="140"/>
      <c r="AL116" s="140"/>
      <c r="AM116" s="140"/>
      <c r="AN116" s="140"/>
      <c r="AO116" s="140"/>
      <c r="AP116" s="140"/>
    </row>
    <row r="117" spans="1:42" x14ac:dyDescent="0.3">
      <c r="A117" s="302"/>
      <c r="B117" s="302"/>
      <c r="C117" s="302"/>
      <c r="D117" s="302"/>
      <c r="E117" s="302"/>
      <c r="F117" s="302"/>
      <c r="G117" s="302"/>
      <c r="H117" s="302"/>
      <c r="I117" s="302"/>
      <c r="J117" s="302"/>
      <c r="K117" s="302"/>
      <c r="L117" s="302"/>
      <c r="M117" s="457" t="s">
        <v>457</v>
      </c>
      <c r="N117" s="457"/>
      <c r="O117" s="457"/>
      <c r="P117" s="457"/>
      <c r="Q117" s="457"/>
      <c r="R117" s="457"/>
      <c r="S117" s="457"/>
      <c r="T117" s="457"/>
      <c r="U117" s="349">
        <f>V37*V36/C8</f>
        <v>280</v>
      </c>
      <c r="V117" s="307">
        <f>U117*9.81</f>
        <v>2746.8</v>
      </c>
      <c r="W117" s="307" t="s">
        <v>458</v>
      </c>
      <c r="X117" s="302"/>
      <c r="Y117" s="302"/>
      <c r="Z117" s="302"/>
      <c r="AA117" s="302"/>
      <c r="AB117" s="302"/>
      <c r="AC117" s="302"/>
      <c r="AD117" s="302"/>
      <c r="AE117" s="302"/>
      <c r="AF117" s="302"/>
      <c r="AG117" s="302"/>
      <c r="AH117" s="302"/>
      <c r="AI117" s="302"/>
      <c r="AJ117" s="302"/>
      <c r="AK117" s="140"/>
      <c r="AL117" s="140"/>
      <c r="AM117" s="140"/>
      <c r="AN117" s="140"/>
      <c r="AO117" s="140"/>
      <c r="AP117" s="140"/>
    </row>
    <row r="118" spans="1:42" x14ac:dyDescent="0.3">
      <c r="A118" s="302"/>
      <c r="B118" s="302"/>
      <c r="C118" s="302"/>
      <c r="D118" s="302"/>
      <c r="E118" s="302"/>
      <c r="F118" s="302"/>
      <c r="G118" s="302"/>
      <c r="H118" s="302"/>
      <c r="I118" s="302"/>
      <c r="J118" s="302"/>
      <c r="K118" s="302"/>
      <c r="L118" s="302"/>
      <c r="M118" s="457" t="s">
        <v>459</v>
      </c>
      <c r="N118" s="457"/>
      <c r="O118" s="457"/>
      <c r="P118" s="457"/>
      <c r="Q118" s="457"/>
      <c r="R118" s="457"/>
      <c r="S118" s="457"/>
      <c r="T118" s="457"/>
      <c r="U118" s="349">
        <f>V37-U117</f>
        <v>420</v>
      </c>
      <c r="V118" s="307">
        <f>U118*9.81</f>
        <v>4120.2</v>
      </c>
      <c r="W118" s="307" t="s">
        <v>458</v>
      </c>
      <c r="X118" s="302"/>
      <c r="Y118" s="302"/>
      <c r="Z118" s="302"/>
      <c r="AA118" s="302"/>
      <c r="AB118" s="302"/>
      <c r="AC118" s="302"/>
      <c r="AD118" s="302"/>
      <c r="AE118" s="302"/>
      <c r="AF118" s="302"/>
      <c r="AG118" s="302"/>
      <c r="AH118" s="302"/>
      <c r="AI118" s="302"/>
      <c r="AJ118" s="302"/>
      <c r="AK118" s="140"/>
      <c r="AL118" s="140"/>
      <c r="AM118" s="140"/>
      <c r="AN118" s="140"/>
      <c r="AO118" s="140"/>
      <c r="AP118" s="140"/>
    </row>
    <row r="119" spans="1:42" x14ac:dyDescent="0.3">
      <c r="A119" s="302"/>
      <c r="B119" s="302"/>
      <c r="C119" s="302"/>
      <c r="D119" s="302"/>
      <c r="E119" s="302"/>
      <c r="F119" s="302"/>
      <c r="G119" s="302"/>
      <c r="H119" s="302"/>
      <c r="I119" s="302"/>
      <c r="J119" s="302"/>
      <c r="K119" s="302"/>
      <c r="L119" s="302"/>
      <c r="M119" s="458" t="s">
        <v>460</v>
      </c>
      <c r="N119" s="458"/>
      <c r="O119" s="458"/>
      <c r="P119" s="457" t="s">
        <v>461</v>
      </c>
      <c r="Q119" s="457"/>
      <c r="R119" s="457"/>
      <c r="S119" s="457"/>
      <c r="T119" s="457"/>
      <c r="U119" s="349">
        <f>U117/2+V115</f>
        <v>225.85560000000001</v>
      </c>
      <c r="V119" s="307">
        <f>U119*9.81</f>
        <v>2215.6434360000003</v>
      </c>
      <c r="W119" s="307" t="s">
        <v>458</v>
      </c>
      <c r="X119" s="302"/>
      <c r="Y119" s="302"/>
      <c r="Z119" s="302"/>
      <c r="AA119" s="302"/>
      <c r="AB119" s="302"/>
      <c r="AC119" s="302"/>
      <c r="AD119" s="302"/>
      <c r="AE119" s="302"/>
      <c r="AF119" s="302"/>
      <c r="AG119" s="302"/>
      <c r="AH119" s="302"/>
      <c r="AI119" s="302"/>
      <c r="AJ119" s="302"/>
      <c r="AK119" s="140"/>
      <c r="AL119" s="140"/>
      <c r="AM119" s="140"/>
      <c r="AN119" s="140"/>
      <c r="AO119" s="140"/>
      <c r="AP119" s="140"/>
    </row>
    <row r="120" spans="1:42" x14ac:dyDescent="0.3">
      <c r="A120" s="302"/>
      <c r="B120" s="302"/>
      <c r="C120" s="302"/>
      <c r="D120" s="302"/>
      <c r="E120" s="302"/>
      <c r="F120" s="302"/>
      <c r="G120" s="302"/>
      <c r="H120" s="302"/>
      <c r="I120" s="302"/>
      <c r="J120" s="302"/>
      <c r="K120" s="302"/>
      <c r="L120" s="302"/>
      <c r="M120" s="458"/>
      <c r="N120" s="458"/>
      <c r="O120" s="458"/>
      <c r="P120" s="457" t="s">
        <v>462</v>
      </c>
      <c r="Q120" s="457"/>
      <c r="R120" s="457"/>
      <c r="S120" s="457"/>
      <c r="T120" s="457"/>
      <c r="U120" s="349">
        <f>U117/2-V115</f>
        <v>54.14439999999999</v>
      </c>
      <c r="V120" s="307">
        <f t="shared" ref="V120:V122" si="49">U120*9.81</f>
        <v>531.15656399999989</v>
      </c>
      <c r="W120" s="307" t="s">
        <v>458</v>
      </c>
      <c r="X120" s="302"/>
      <c r="Y120" s="302"/>
      <c r="Z120" s="302"/>
      <c r="AA120" s="302"/>
      <c r="AB120" s="302"/>
      <c r="AC120" s="302"/>
      <c r="AD120" s="302"/>
      <c r="AE120" s="302"/>
      <c r="AF120" s="302"/>
      <c r="AG120" s="302"/>
      <c r="AH120" s="302"/>
      <c r="AI120" s="302"/>
      <c r="AJ120" s="302"/>
      <c r="AK120" s="140"/>
      <c r="AL120" s="140"/>
      <c r="AM120" s="140"/>
      <c r="AN120" s="140"/>
      <c r="AO120" s="140"/>
      <c r="AP120" s="140"/>
    </row>
    <row r="121" spans="1:42" x14ac:dyDescent="0.3">
      <c r="A121" s="302"/>
      <c r="B121" s="302"/>
      <c r="C121" s="302"/>
      <c r="D121" s="302"/>
      <c r="E121" s="302"/>
      <c r="F121" s="302"/>
      <c r="G121" s="302"/>
      <c r="H121" s="302"/>
      <c r="I121" s="302"/>
      <c r="J121" s="302"/>
      <c r="K121" s="302"/>
      <c r="L121" s="302"/>
      <c r="M121" s="458"/>
      <c r="N121" s="458"/>
      <c r="O121" s="458"/>
      <c r="P121" s="457" t="s">
        <v>463</v>
      </c>
      <c r="Q121" s="457"/>
      <c r="R121" s="457"/>
      <c r="S121" s="457"/>
      <c r="T121" s="457"/>
      <c r="U121" s="349">
        <f>U118/2+V116</f>
        <v>295.84180000000003</v>
      </c>
      <c r="V121" s="307">
        <f t="shared" si="49"/>
        <v>2902.2080580000006</v>
      </c>
      <c r="W121" s="307" t="s">
        <v>458</v>
      </c>
      <c r="X121" s="302"/>
      <c r="Y121" s="302"/>
      <c r="Z121" s="302"/>
      <c r="AA121" s="302"/>
      <c r="AB121" s="302"/>
      <c r="AC121" s="302"/>
      <c r="AD121" s="302"/>
      <c r="AE121" s="302"/>
      <c r="AF121" s="302"/>
      <c r="AG121" s="302"/>
      <c r="AH121" s="302"/>
      <c r="AI121" s="302"/>
      <c r="AJ121" s="302"/>
      <c r="AK121" s="140"/>
      <c r="AL121" s="140"/>
      <c r="AM121" s="140"/>
      <c r="AN121" s="140"/>
      <c r="AO121" s="140"/>
      <c r="AP121" s="140"/>
    </row>
    <row r="122" spans="1:42" x14ac:dyDescent="0.3">
      <c r="A122" s="302"/>
      <c r="B122" s="302"/>
      <c r="C122" s="302"/>
      <c r="D122" s="302"/>
      <c r="E122" s="302"/>
      <c r="F122" s="302"/>
      <c r="G122" s="302"/>
      <c r="H122" s="302"/>
      <c r="I122" s="302"/>
      <c r="J122" s="302"/>
      <c r="K122" s="302"/>
      <c r="L122" s="302"/>
      <c r="M122" s="458"/>
      <c r="N122" s="458"/>
      <c r="O122" s="458"/>
      <c r="P122" s="457" t="s">
        <v>464</v>
      </c>
      <c r="Q122" s="457"/>
      <c r="R122" s="457"/>
      <c r="S122" s="457"/>
      <c r="T122" s="457"/>
      <c r="U122" s="349">
        <f>U118/2-V116</f>
        <v>124.15819999999998</v>
      </c>
      <c r="V122" s="307">
        <f t="shared" si="49"/>
        <v>1217.9919419999999</v>
      </c>
      <c r="W122" s="307" t="s">
        <v>458</v>
      </c>
      <c r="X122" s="302"/>
      <c r="Y122" s="302"/>
      <c r="Z122" s="302"/>
      <c r="AA122" s="302"/>
      <c r="AB122" s="302"/>
      <c r="AC122" s="302"/>
      <c r="AD122" s="302"/>
      <c r="AE122" s="302"/>
      <c r="AF122" s="302"/>
      <c r="AG122" s="302"/>
      <c r="AH122" s="302"/>
      <c r="AI122" s="302"/>
      <c r="AJ122" s="302"/>
      <c r="AK122" s="140"/>
      <c r="AL122" s="140"/>
      <c r="AM122" s="140"/>
      <c r="AN122" s="140"/>
      <c r="AO122" s="140"/>
      <c r="AP122" s="140"/>
    </row>
    <row r="123" spans="1:42" x14ac:dyDescent="0.3">
      <c r="A123" s="302"/>
      <c r="B123" s="302"/>
      <c r="C123" s="302"/>
      <c r="D123" s="302"/>
      <c r="E123" s="302"/>
      <c r="F123" s="302"/>
      <c r="G123" s="302"/>
      <c r="H123" s="302"/>
      <c r="I123" s="302"/>
      <c r="J123" s="302"/>
      <c r="K123" s="302"/>
      <c r="L123" s="302"/>
      <c r="M123" s="457" t="s">
        <v>465</v>
      </c>
      <c r="N123" s="457"/>
      <c r="O123" s="457"/>
      <c r="P123" s="457" t="s">
        <v>461</v>
      </c>
      <c r="Q123" s="457"/>
      <c r="R123" s="457"/>
      <c r="S123" s="457"/>
      <c r="T123" s="457"/>
      <c r="U123" s="349">
        <f>V115</f>
        <v>85.85560000000001</v>
      </c>
      <c r="V123" s="307">
        <f>U123*9.81</f>
        <v>842.24343600000009</v>
      </c>
      <c r="W123" s="307" t="s">
        <v>458</v>
      </c>
      <c r="X123" s="302"/>
      <c r="Y123" s="302"/>
      <c r="Z123" s="302"/>
      <c r="AA123" s="302"/>
      <c r="AB123" s="302"/>
      <c r="AC123" s="302"/>
      <c r="AD123" s="302"/>
      <c r="AE123" s="302"/>
      <c r="AF123" s="302"/>
      <c r="AG123" s="302"/>
      <c r="AH123" s="302"/>
      <c r="AI123" s="302"/>
      <c r="AJ123" s="302"/>
      <c r="AK123" s="140"/>
      <c r="AL123" s="140"/>
      <c r="AM123" s="140"/>
      <c r="AN123" s="140"/>
      <c r="AO123" s="140"/>
      <c r="AP123" s="140"/>
    </row>
    <row r="124" spans="1:42" x14ac:dyDescent="0.3">
      <c r="A124" s="302"/>
      <c r="B124" s="302"/>
      <c r="C124" s="302"/>
      <c r="D124" s="302"/>
      <c r="E124" s="302"/>
      <c r="F124" s="302"/>
      <c r="G124" s="302"/>
      <c r="H124" s="302"/>
      <c r="I124" s="302"/>
      <c r="J124" s="302"/>
      <c r="K124" s="302"/>
      <c r="L124" s="302"/>
      <c r="M124" s="457"/>
      <c r="N124" s="457"/>
      <c r="O124" s="457"/>
      <c r="P124" s="457" t="s">
        <v>462</v>
      </c>
      <c r="Q124" s="457"/>
      <c r="R124" s="457"/>
      <c r="S124" s="457"/>
      <c r="T124" s="457"/>
      <c r="U124" s="349">
        <f>-V115</f>
        <v>-85.85560000000001</v>
      </c>
      <c r="V124" s="307">
        <f t="shared" ref="V124:V126" si="50">U124*9.81</f>
        <v>-842.24343600000009</v>
      </c>
      <c r="W124" s="307" t="s">
        <v>458</v>
      </c>
      <c r="X124" s="302"/>
      <c r="Y124" s="302"/>
      <c r="Z124" s="302"/>
      <c r="AA124" s="302"/>
      <c r="AB124" s="302"/>
      <c r="AC124" s="302"/>
      <c r="AD124" s="302"/>
      <c r="AE124" s="302"/>
      <c r="AF124" s="302"/>
      <c r="AG124" s="302"/>
      <c r="AH124" s="302"/>
      <c r="AI124" s="302"/>
      <c r="AJ124" s="302"/>
      <c r="AK124" s="140"/>
      <c r="AL124" s="140"/>
      <c r="AM124" s="140"/>
      <c r="AN124" s="140"/>
      <c r="AO124" s="140"/>
      <c r="AP124" s="140"/>
    </row>
    <row r="125" spans="1:42" x14ac:dyDescent="0.3">
      <c r="A125" s="302"/>
      <c r="B125" s="302"/>
      <c r="C125" s="302"/>
      <c r="D125" s="302"/>
      <c r="E125" s="302"/>
      <c r="F125" s="302"/>
      <c r="G125" s="302"/>
      <c r="H125" s="302"/>
      <c r="I125" s="302"/>
      <c r="J125" s="302"/>
      <c r="K125" s="302"/>
      <c r="L125" s="302"/>
      <c r="M125" s="457"/>
      <c r="N125" s="457"/>
      <c r="O125" s="457"/>
      <c r="P125" s="457" t="s">
        <v>463</v>
      </c>
      <c r="Q125" s="457"/>
      <c r="R125" s="457"/>
      <c r="S125" s="457"/>
      <c r="T125" s="457"/>
      <c r="U125" s="349">
        <f>V116</f>
        <v>85.841800000000021</v>
      </c>
      <c r="V125" s="307">
        <f t="shared" si="50"/>
        <v>842.10805800000026</v>
      </c>
      <c r="W125" s="307" t="s">
        <v>458</v>
      </c>
      <c r="X125" s="302"/>
      <c r="Y125" s="302"/>
      <c r="Z125" s="302"/>
      <c r="AA125" s="302"/>
      <c r="AB125" s="302"/>
      <c r="AC125" s="302"/>
      <c r="AD125" s="302"/>
      <c r="AE125" s="302"/>
      <c r="AF125" s="302"/>
      <c r="AG125" s="302"/>
      <c r="AH125" s="302"/>
      <c r="AI125" s="302"/>
      <c r="AJ125" s="302"/>
      <c r="AK125" s="140"/>
      <c r="AL125" s="140"/>
      <c r="AM125" s="140"/>
      <c r="AN125" s="140"/>
      <c r="AO125" s="140"/>
      <c r="AP125" s="140"/>
    </row>
    <row r="126" spans="1:42" x14ac:dyDescent="0.3">
      <c r="A126" s="302"/>
      <c r="B126" s="302"/>
      <c r="C126" s="302"/>
      <c r="D126" s="302"/>
      <c r="E126" s="302"/>
      <c r="F126" s="302"/>
      <c r="G126" s="302"/>
      <c r="H126" s="302"/>
      <c r="I126" s="302"/>
      <c r="J126" s="302"/>
      <c r="K126" s="302"/>
      <c r="L126" s="302"/>
      <c r="M126" s="457"/>
      <c r="N126" s="457"/>
      <c r="O126" s="457"/>
      <c r="P126" s="457" t="s">
        <v>464</v>
      </c>
      <c r="Q126" s="457"/>
      <c r="R126" s="457"/>
      <c r="S126" s="457"/>
      <c r="T126" s="457"/>
      <c r="U126" s="349">
        <f>-V116</f>
        <v>-85.841800000000021</v>
      </c>
      <c r="V126" s="307">
        <f t="shared" si="50"/>
        <v>-842.10805800000026</v>
      </c>
      <c r="W126" s="307" t="s">
        <v>458</v>
      </c>
      <c r="X126" s="302"/>
      <c r="Y126" s="302"/>
      <c r="Z126" s="302"/>
      <c r="AA126" s="302"/>
      <c r="AB126" s="302"/>
      <c r="AC126" s="302"/>
      <c r="AD126" s="302"/>
      <c r="AE126" s="302"/>
      <c r="AF126" s="302"/>
      <c r="AG126" s="302"/>
      <c r="AH126" s="302"/>
      <c r="AI126" s="302"/>
      <c r="AJ126" s="302"/>
      <c r="AK126" s="140"/>
      <c r="AL126" s="140"/>
      <c r="AM126" s="140"/>
      <c r="AN126" s="140"/>
      <c r="AO126" s="140"/>
      <c r="AP126" s="140"/>
    </row>
    <row r="127" spans="1:42" x14ac:dyDescent="0.3">
      <c r="A127" s="302"/>
      <c r="B127" s="302"/>
      <c r="C127" s="302"/>
      <c r="D127" s="302"/>
      <c r="E127" s="302"/>
      <c r="F127" s="302"/>
      <c r="G127" s="302"/>
      <c r="H127" s="302"/>
      <c r="I127" s="302"/>
      <c r="J127" s="302"/>
      <c r="K127" s="302"/>
      <c r="L127" s="302"/>
      <c r="M127" s="450" t="s">
        <v>466</v>
      </c>
      <c r="N127" s="450"/>
      <c r="O127" s="450"/>
      <c r="P127" s="450"/>
      <c r="Q127" s="450"/>
      <c r="R127" s="450"/>
      <c r="S127" s="450"/>
      <c r="T127" s="450"/>
      <c r="U127" s="450"/>
      <c r="V127" s="450"/>
      <c r="W127" s="450"/>
      <c r="X127" s="302"/>
      <c r="Y127" s="302"/>
      <c r="Z127" s="302"/>
      <c r="AA127" s="302"/>
      <c r="AB127" s="302"/>
      <c r="AC127" s="302"/>
      <c r="AD127" s="302"/>
      <c r="AE127" s="302"/>
      <c r="AF127" s="302"/>
      <c r="AG127" s="302"/>
      <c r="AH127" s="302"/>
      <c r="AI127" s="302"/>
      <c r="AJ127" s="302"/>
      <c r="AK127" s="140"/>
      <c r="AL127" s="140"/>
      <c r="AM127" s="140"/>
      <c r="AN127" s="140"/>
      <c r="AO127" s="140"/>
      <c r="AP127" s="140"/>
    </row>
    <row r="128" spans="1:42" x14ac:dyDescent="0.3">
      <c r="A128" s="302"/>
      <c r="B128" s="302"/>
      <c r="C128" s="302"/>
      <c r="D128" s="302"/>
      <c r="E128" s="302"/>
      <c r="F128" s="302"/>
      <c r="G128" s="302"/>
      <c r="H128" s="302"/>
      <c r="I128" s="302"/>
      <c r="J128" s="302"/>
      <c r="K128" s="302"/>
      <c r="L128" s="302"/>
      <c r="M128" s="447" t="s">
        <v>467</v>
      </c>
      <c r="N128" s="447"/>
      <c r="O128" s="447"/>
      <c r="P128" s="447"/>
      <c r="Q128" s="447"/>
      <c r="R128" s="447"/>
      <c r="S128" s="447"/>
      <c r="T128" s="447"/>
      <c r="U128" s="447"/>
      <c r="V128" s="321">
        <v>0.08</v>
      </c>
      <c r="W128" s="321" t="s">
        <v>339</v>
      </c>
      <c r="X128" s="302"/>
      <c r="Y128" s="302"/>
      <c r="Z128" s="302"/>
      <c r="AA128" s="302"/>
      <c r="AB128" s="302"/>
      <c r="AC128" s="302"/>
      <c r="AD128" s="302"/>
      <c r="AE128" s="302"/>
      <c r="AF128" s="302"/>
      <c r="AG128" s="302"/>
      <c r="AH128" s="302"/>
      <c r="AI128" s="302"/>
      <c r="AJ128" s="302"/>
      <c r="AK128" s="140"/>
      <c r="AL128" s="140"/>
      <c r="AM128" s="140"/>
      <c r="AN128" s="140"/>
      <c r="AO128" s="140"/>
      <c r="AP128" s="140"/>
    </row>
    <row r="129" spans="1:42" x14ac:dyDescent="0.3">
      <c r="A129" s="302"/>
      <c r="B129" s="302"/>
      <c r="C129" s="302"/>
      <c r="D129" s="302"/>
      <c r="E129" s="302"/>
      <c r="F129" s="302"/>
      <c r="G129" s="302"/>
      <c r="H129" s="302"/>
      <c r="I129" s="302"/>
      <c r="J129" s="302"/>
      <c r="K129" s="302"/>
      <c r="L129" s="302"/>
      <c r="M129" s="447" t="s">
        <v>468</v>
      </c>
      <c r="N129" s="447"/>
      <c r="O129" s="447"/>
      <c r="P129" s="447"/>
      <c r="Q129" s="447"/>
      <c r="R129" s="447"/>
      <c r="S129" s="447"/>
      <c r="T129" s="447"/>
      <c r="U129" s="447"/>
      <c r="V129" s="321">
        <v>0.08</v>
      </c>
      <c r="W129" s="321" t="s">
        <v>339</v>
      </c>
      <c r="X129" s="302"/>
      <c r="Y129" s="302"/>
      <c r="Z129" s="302"/>
      <c r="AA129" s="302"/>
      <c r="AB129" s="302"/>
      <c r="AC129" s="302"/>
      <c r="AD129" s="302"/>
      <c r="AE129" s="302"/>
      <c r="AF129" s="302"/>
      <c r="AG129" s="302"/>
      <c r="AH129" s="302"/>
      <c r="AI129" s="302"/>
      <c r="AJ129" s="302"/>
      <c r="AK129" s="140"/>
      <c r="AL129" s="140"/>
      <c r="AM129" s="140"/>
      <c r="AN129" s="140"/>
      <c r="AO129" s="140"/>
      <c r="AP129" s="140"/>
    </row>
    <row r="130" spans="1:42" x14ac:dyDescent="0.3">
      <c r="A130" s="302"/>
      <c r="B130" s="302"/>
      <c r="C130" s="302"/>
      <c r="D130" s="302"/>
      <c r="E130" s="302"/>
      <c r="F130" s="302"/>
      <c r="G130" s="302"/>
      <c r="H130" s="302"/>
      <c r="I130" s="302"/>
      <c r="J130" s="302"/>
      <c r="K130" s="302"/>
      <c r="L130" s="302"/>
      <c r="M130" s="457" t="s">
        <v>687</v>
      </c>
      <c r="N130" s="457"/>
      <c r="O130" s="457"/>
      <c r="P130" s="457"/>
      <c r="Q130" s="457"/>
      <c r="R130" s="457"/>
      <c r="S130" s="457"/>
      <c r="T130" s="457"/>
      <c r="U130" s="457"/>
      <c r="V130" s="307">
        <f>(U123*9.81)/V128</f>
        <v>10528.042950000001</v>
      </c>
      <c r="W130" s="307" t="s">
        <v>469</v>
      </c>
      <c r="X130" s="302"/>
      <c r="Y130" s="302"/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  <c r="AJ130" s="302"/>
      <c r="AK130" s="140"/>
      <c r="AL130" s="140"/>
      <c r="AM130" s="140"/>
      <c r="AN130" s="140"/>
      <c r="AO130" s="140"/>
      <c r="AP130" s="140"/>
    </row>
    <row r="131" spans="1:42" x14ac:dyDescent="0.3">
      <c r="A131" s="302"/>
      <c r="B131" s="302"/>
      <c r="C131" s="302"/>
      <c r="D131" s="302"/>
      <c r="E131" s="302"/>
      <c r="F131" s="302"/>
      <c r="G131" s="302"/>
      <c r="H131" s="302"/>
      <c r="I131" s="302"/>
      <c r="J131" s="302"/>
      <c r="K131" s="302"/>
      <c r="L131" s="302"/>
      <c r="M131" s="457" t="s">
        <v>688</v>
      </c>
      <c r="N131" s="457"/>
      <c r="O131" s="457"/>
      <c r="P131" s="457"/>
      <c r="Q131" s="457"/>
      <c r="R131" s="457"/>
      <c r="S131" s="457"/>
      <c r="T131" s="457"/>
      <c r="U131" s="457"/>
      <c r="V131" s="307">
        <f>(U125*9.81)/V129</f>
        <v>10526.350725000004</v>
      </c>
      <c r="W131" s="307" t="s">
        <v>469</v>
      </c>
      <c r="X131" s="302"/>
      <c r="Y131" s="302"/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  <c r="AJ131" s="302"/>
      <c r="AK131" s="140"/>
      <c r="AL131" s="140"/>
      <c r="AM131" s="140"/>
      <c r="AN131" s="140"/>
      <c r="AO131" s="140"/>
      <c r="AP131" s="140"/>
    </row>
    <row r="132" spans="1:42" x14ac:dyDescent="0.3">
      <c r="A132" s="302"/>
      <c r="B132" s="302"/>
      <c r="C132" s="302"/>
      <c r="D132" s="302"/>
      <c r="E132" s="302"/>
      <c r="F132" s="302"/>
      <c r="G132" s="302"/>
      <c r="H132" s="302"/>
      <c r="I132" s="302"/>
      <c r="J132" s="302"/>
      <c r="K132" s="302"/>
      <c r="L132" s="302"/>
      <c r="M132" s="457" t="s">
        <v>470</v>
      </c>
      <c r="N132" s="457"/>
      <c r="O132" s="457"/>
      <c r="P132" s="457"/>
      <c r="Q132" s="457"/>
      <c r="R132" s="457"/>
      <c r="S132" s="457"/>
      <c r="T132" s="457"/>
      <c r="U132" s="457"/>
      <c r="V132" s="307">
        <f>(1/2/PI())*SQRT(V130/(U117/2))</f>
        <v>1.3801615932378621</v>
      </c>
      <c r="W132" s="307" t="s">
        <v>315</v>
      </c>
      <c r="X132" s="302"/>
      <c r="Y132" s="302"/>
      <c r="Z132" s="302"/>
      <c r="AA132" s="302"/>
      <c r="AB132" s="302"/>
      <c r="AC132" s="302"/>
      <c r="AD132" s="302"/>
      <c r="AE132" s="302"/>
      <c r="AF132" s="302"/>
      <c r="AG132" s="302"/>
      <c r="AH132" s="302"/>
      <c r="AI132" s="302"/>
      <c r="AJ132" s="302"/>
      <c r="AK132" s="140"/>
      <c r="AL132" s="140"/>
      <c r="AM132" s="140"/>
      <c r="AN132" s="140"/>
      <c r="AO132" s="140"/>
      <c r="AP132" s="140"/>
    </row>
    <row r="133" spans="1:42" x14ac:dyDescent="0.3">
      <c r="A133" s="302"/>
      <c r="B133" s="302"/>
      <c r="C133" s="302"/>
      <c r="D133" s="302"/>
      <c r="E133" s="302"/>
      <c r="F133" s="302"/>
      <c r="G133" s="302"/>
      <c r="H133" s="302"/>
      <c r="I133" s="302"/>
      <c r="J133" s="302"/>
      <c r="K133" s="302"/>
      <c r="L133" s="302"/>
      <c r="M133" s="457" t="s">
        <v>471</v>
      </c>
      <c r="N133" s="457"/>
      <c r="O133" s="457"/>
      <c r="P133" s="457"/>
      <c r="Q133" s="457"/>
      <c r="R133" s="457"/>
      <c r="S133" s="457"/>
      <c r="T133" s="457"/>
      <c r="U133" s="457"/>
      <c r="V133" s="307">
        <f>(1/2/PI())*SQRT(V131/(U118/2))</f>
        <v>1.1268066524535381</v>
      </c>
      <c r="W133" s="307" t="s">
        <v>315</v>
      </c>
      <c r="X133" s="302"/>
      <c r="Y133" s="302"/>
      <c r="Z133" s="302"/>
      <c r="AA133" s="302"/>
      <c r="AB133" s="302"/>
      <c r="AC133" s="302"/>
      <c r="AD133" s="302"/>
      <c r="AE133" s="302"/>
      <c r="AF133" s="302"/>
      <c r="AG133" s="302"/>
      <c r="AH133" s="302"/>
      <c r="AI133" s="302"/>
      <c r="AJ133" s="302"/>
      <c r="AK133" s="140"/>
      <c r="AL133" s="140"/>
      <c r="AM133" s="140"/>
      <c r="AN133" s="140"/>
      <c r="AO133" s="140"/>
      <c r="AP133" s="140"/>
    </row>
    <row r="134" spans="1:42" x14ac:dyDescent="0.3">
      <c r="A134" s="302"/>
      <c r="B134" s="302"/>
      <c r="C134" s="302"/>
      <c r="D134" s="302"/>
      <c r="E134" s="302"/>
      <c r="F134" s="302"/>
      <c r="G134" s="302"/>
      <c r="H134" s="302"/>
      <c r="I134" s="302"/>
      <c r="J134" s="302"/>
      <c r="K134" s="302"/>
      <c r="L134" s="302"/>
      <c r="M134" s="457" t="s">
        <v>472</v>
      </c>
      <c r="N134" s="457"/>
      <c r="O134" s="457"/>
      <c r="P134" s="457"/>
      <c r="Q134" s="457"/>
      <c r="R134" s="457"/>
      <c r="S134" s="457"/>
      <c r="T134" s="457"/>
      <c r="U134" s="457"/>
      <c r="V134" s="307">
        <f>V132*60</f>
        <v>82.80969559427173</v>
      </c>
      <c r="W134" s="307" t="s">
        <v>473</v>
      </c>
      <c r="X134" s="302"/>
      <c r="Y134" s="302"/>
      <c r="Z134" s="302"/>
      <c r="AA134" s="302"/>
      <c r="AB134" s="302"/>
      <c r="AC134" s="302"/>
      <c r="AD134" s="302"/>
      <c r="AE134" s="302"/>
      <c r="AF134" s="302"/>
      <c r="AG134" s="302"/>
      <c r="AH134" s="302"/>
      <c r="AI134" s="302"/>
      <c r="AJ134" s="302"/>
      <c r="AK134" s="140"/>
      <c r="AL134" s="140"/>
      <c r="AM134" s="140"/>
      <c r="AN134" s="140"/>
      <c r="AO134" s="140"/>
      <c r="AP134" s="140"/>
    </row>
    <row r="135" spans="1:42" x14ac:dyDescent="0.3">
      <c r="A135" s="302"/>
      <c r="B135" s="302"/>
      <c r="C135" s="302"/>
      <c r="D135" s="302"/>
      <c r="E135" s="302"/>
      <c r="F135" s="302"/>
      <c r="G135" s="302"/>
      <c r="H135" s="302"/>
      <c r="I135" s="302"/>
      <c r="J135" s="302"/>
      <c r="K135" s="302"/>
      <c r="L135" s="302"/>
      <c r="M135" s="457" t="s">
        <v>474</v>
      </c>
      <c r="N135" s="457"/>
      <c r="O135" s="457"/>
      <c r="P135" s="457"/>
      <c r="Q135" s="457"/>
      <c r="R135" s="457"/>
      <c r="S135" s="457"/>
      <c r="T135" s="457"/>
      <c r="U135" s="457"/>
      <c r="V135" s="307">
        <f>V133*60</f>
        <v>67.608399147212282</v>
      </c>
      <c r="W135" s="307" t="s">
        <v>473</v>
      </c>
      <c r="X135" s="302"/>
      <c r="Y135" s="302"/>
      <c r="Z135" s="302"/>
      <c r="AA135" s="302"/>
      <c r="AB135" s="302"/>
      <c r="AC135" s="302"/>
      <c r="AD135" s="302"/>
      <c r="AE135" s="302"/>
      <c r="AF135" s="302"/>
      <c r="AG135" s="302"/>
      <c r="AH135" s="302"/>
      <c r="AI135" s="302"/>
      <c r="AJ135" s="302"/>
      <c r="AK135" s="140"/>
      <c r="AL135" s="140"/>
      <c r="AM135" s="140"/>
      <c r="AN135" s="140"/>
      <c r="AO135" s="140"/>
      <c r="AP135" s="140"/>
    </row>
    <row r="136" spans="1:42" x14ac:dyDescent="0.3">
      <c r="A136" s="302"/>
      <c r="B136" s="302"/>
      <c r="C136" s="302"/>
      <c r="D136" s="302"/>
      <c r="E136" s="302"/>
      <c r="F136" s="302"/>
      <c r="G136" s="302"/>
      <c r="H136" s="302"/>
      <c r="I136" s="302"/>
      <c r="J136" s="302"/>
      <c r="K136" s="302"/>
      <c r="L136" s="302"/>
      <c r="M136" s="457" t="s">
        <v>730</v>
      </c>
      <c r="N136" s="457"/>
      <c r="O136" s="457"/>
      <c r="P136" s="457"/>
      <c r="Q136" s="457" t="s">
        <v>731</v>
      </c>
      <c r="R136" s="457"/>
      <c r="S136" s="457"/>
      <c r="T136" s="457"/>
      <c r="U136" s="457"/>
      <c r="V136" s="457"/>
      <c r="W136" s="457"/>
      <c r="X136" s="302"/>
      <c r="Y136" s="302"/>
      <c r="Z136" s="302"/>
      <c r="AA136" s="302"/>
      <c r="AB136" s="302"/>
      <c r="AC136" s="302"/>
      <c r="AD136" s="302"/>
      <c r="AE136" s="302"/>
      <c r="AF136" s="302"/>
      <c r="AG136" s="302"/>
      <c r="AH136" s="302"/>
      <c r="AI136" s="302"/>
      <c r="AJ136" s="302"/>
      <c r="AK136" s="140"/>
      <c r="AL136" s="140"/>
      <c r="AM136" s="140"/>
      <c r="AN136" s="140"/>
      <c r="AO136" s="140"/>
      <c r="AP136" s="140"/>
    </row>
    <row r="137" spans="1:42" x14ac:dyDescent="0.3">
      <c r="A137" s="302"/>
      <c r="B137" s="302"/>
      <c r="C137" s="302"/>
      <c r="D137" s="302"/>
      <c r="E137" s="302"/>
      <c r="F137" s="302"/>
      <c r="G137" s="302"/>
      <c r="H137" s="302"/>
      <c r="I137" s="302"/>
      <c r="J137" s="302"/>
      <c r="K137" s="302"/>
      <c r="L137" s="302"/>
      <c r="M137" s="457" t="s">
        <v>475</v>
      </c>
      <c r="N137" s="457"/>
      <c r="O137" s="457"/>
      <c r="P137" s="457"/>
      <c r="Q137" s="457" t="s">
        <v>476</v>
      </c>
      <c r="R137" s="457"/>
      <c r="S137" s="457"/>
      <c r="T137" s="457"/>
      <c r="U137" s="457"/>
      <c r="V137" s="457"/>
      <c r="W137" s="457"/>
      <c r="X137" s="302"/>
      <c r="Y137" s="302"/>
      <c r="Z137" s="302"/>
      <c r="AA137" s="302"/>
      <c r="AB137" s="302"/>
      <c r="AC137" s="302"/>
      <c r="AD137" s="302"/>
      <c r="AE137" s="302"/>
      <c r="AF137" s="302"/>
      <c r="AG137" s="302"/>
      <c r="AH137" s="302"/>
      <c r="AI137" s="302"/>
      <c r="AJ137" s="302"/>
      <c r="AK137" s="140"/>
      <c r="AL137" s="140"/>
      <c r="AM137" s="140"/>
      <c r="AN137" s="140"/>
      <c r="AO137" s="140"/>
      <c r="AP137" s="140"/>
    </row>
    <row r="138" spans="1:42" x14ac:dyDescent="0.3">
      <c r="A138" s="302"/>
      <c r="B138" s="302"/>
      <c r="C138" s="302"/>
      <c r="D138" s="302"/>
      <c r="E138" s="302"/>
      <c r="F138" s="302"/>
      <c r="G138" s="302"/>
      <c r="H138" s="302"/>
      <c r="I138" s="302"/>
      <c r="J138" s="302"/>
      <c r="K138" s="302"/>
      <c r="L138" s="302"/>
      <c r="M138" s="457" t="s">
        <v>732</v>
      </c>
      <c r="N138" s="457"/>
      <c r="O138" s="457"/>
      <c r="P138" s="457"/>
      <c r="Q138" s="457" t="s">
        <v>733</v>
      </c>
      <c r="R138" s="457"/>
      <c r="S138" s="457"/>
      <c r="T138" s="457"/>
      <c r="U138" s="457"/>
      <c r="V138" s="457"/>
      <c r="W138" s="457"/>
      <c r="X138" s="302"/>
      <c r="Y138" s="302"/>
      <c r="Z138" s="302"/>
      <c r="AA138" s="302"/>
      <c r="AB138" s="302"/>
      <c r="AC138" s="302"/>
      <c r="AD138" s="302"/>
      <c r="AE138" s="302"/>
      <c r="AF138" s="302"/>
      <c r="AG138" s="302"/>
      <c r="AH138" s="302"/>
      <c r="AI138" s="302"/>
      <c r="AJ138" s="302"/>
      <c r="AK138" s="140"/>
      <c r="AL138" s="140"/>
      <c r="AM138" s="140"/>
      <c r="AN138" s="140"/>
      <c r="AO138" s="140"/>
      <c r="AP138" s="140"/>
    </row>
    <row r="139" spans="1:42" x14ac:dyDescent="0.3">
      <c r="A139" s="302"/>
      <c r="B139" s="302"/>
      <c r="C139" s="302"/>
      <c r="D139" s="302"/>
      <c r="E139" s="302"/>
      <c r="F139" s="302"/>
      <c r="G139" s="302"/>
      <c r="H139" s="302"/>
      <c r="I139" s="302"/>
      <c r="J139" s="302"/>
      <c r="K139" s="302"/>
      <c r="L139" s="302"/>
      <c r="M139" s="457" t="s">
        <v>475</v>
      </c>
      <c r="N139" s="457"/>
      <c r="O139" s="457"/>
      <c r="P139" s="457"/>
      <c r="Q139" s="457" t="s">
        <v>476</v>
      </c>
      <c r="R139" s="457"/>
      <c r="S139" s="457"/>
      <c r="T139" s="457"/>
      <c r="U139" s="457"/>
      <c r="V139" s="457"/>
      <c r="W139" s="457"/>
      <c r="X139" s="302"/>
      <c r="Y139" s="302"/>
      <c r="Z139" s="302"/>
      <c r="AA139" s="302"/>
      <c r="AB139" s="330"/>
      <c r="AC139" s="330"/>
      <c r="AD139" s="330"/>
      <c r="AE139" s="330"/>
      <c r="AF139" s="302"/>
      <c r="AG139" s="302"/>
      <c r="AH139" s="302"/>
      <c r="AI139" s="302"/>
      <c r="AJ139" s="302"/>
      <c r="AK139" s="140"/>
      <c r="AL139" s="140"/>
      <c r="AM139" s="140"/>
      <c r="AN139" s="140"/>
      <c r="AO139" s="140"/>
      <c r="AP139" s="140"/>
    </row>
    <row r="140" spans="1:42" x14ac:dyDescent="0.3">
      <c r="A140" s="302"/>
      <c r="B140" s="302"/>
      <c r="C140" s="302"/>
      <c r="D140" s="302"/>
      <c r="E140" s="302"/>
      <c r="F140" s="302"/>
      <c r="G140" s="302"/>
      <c r="H140" s="302"/>
      <c r="I140" s="302"/>
      <c r="J140" s="302"/>
      <c r="K140" s="302"/>
      <c r="L140" s="302"/>
      <c r="M140" s="450" t="s">
        <v>477</v>
      </c>
      <c r="N140" s="450"/>
      <c r="O140" s="450"/>
      <c r="P140" s="450"/>
      <c r="Q140" s="450"/>
      <c r="R140" s="450"/>
      <c r="S140" s="450"/>
      <c r="T140" s="450"/>
      <c r="U140" s="450"/>
      <c r="V140" s="450"/>
      <c r="W140" s="450"/>
      <c r="X140" s="302"/>
      <c r="Y140" s="302"/>
      <c r="Z140" s="302"/>
      <c r="AA140" s="302"/>
      <c r="AB140" s="302"/>
      <c r="AC140" s="302"/>
      <c r="AD140" s="302"/>
      <c r="AE140" s="302"/>
      <c r="AF140" s="302"/>
      <c r="AG140" s="302"/>
      <c r="AH140" s="302"/>
      <c r="AI140" s="302"/>
      <c r="AJ140" s="302"/>
      <c r="AK140" s="140"/>
      <c r="AL140" s="140"/>
      <c r="AM140" s="140"/>
      <c r="AN140" s="140"/>
      <c r="AO140" s="140"/>
      <c r="AP140" s="140"/>
    </row>
    <row r="141" spans="1:42" x14ac:dyDescent="0.3">
      <c r="A141" s="302"/>
      <c r="B141" s="302"/>
      <c r="C141" s="302"/>
      <c r="D141" s="302"/>
      <c r="E141" s="302"/>
      <c r="F141" s="302"/>
      <c r="G141" s="302"/>
      <c r="H141" s="302"/>
      <c r="I141" s="302"/>
      <c r="J141" s="302"/>
      <c r="K141" s="302"/>
      <c r="L141" s="326" t="s">
        <v>684</v>
      </c>
      <c r="M141" s="447" t="s">
        <v>478</v>
      </c>
      <c r="N141" s="447"/>
      <c r="O141" s="447"/>
      <c r="P141" s="447"/>
      <c r="Q141" s="447"/>
      <c r="R141" s="447"/>
      <c r="S141" s="447"/>
      <c r="T141" s="447"/>
      <c r="U141" s="447"/>
      <c r="V141" s="321">
        <f>V135</f>
        <v>67.608399147212282</v>
      </c>
      <c r="W141" s="321" t="s">
        <v>473</v>
      </c>
      <c r="X141" s="302"/>
      <c r="Y141" s="302"/>
      <c r="Z141" s="302"/>
      <c r="AA141" s="302"/>
      <c r="AB141" s="302"/>
      <c r="AC141" s="302"/>
      <c r="AD141" s="302"/>
      <c r="AE141" s="302"/>
      <c r="AF141" s="302"/>
      <c r="AG141" s="302"/>
      <c r="AH141" s="302"/>
      <c r="AI141" s="302"/>
      <c r="AJ141" s="302"/>
      <c r="AK141" s="140"/>
      <c r="AL141" s="140"/>
      <c r="AM141" s="140"/>
      <c r="AN141" s="140"/>
      <c r="AO141" s="140"/>
      <c r="AP141" s="140"/>
    </row>
    <row r="142" spans="1:42" x14ac:dyDescent="0.3">
      <c r="A142" s="302"/>
      <c r="B142" s="302"/>
      <c r="C142" s="302"/>
      <c r="D142" s="302"/>
      <c r="E142" s="302"/>
      <c r="F142" s="302"/>
      <c r="G142" s="302"/>
      <c r="H142" s="302"/>
      <c r="I142" s="302"/>
      <c r="J142" s="302"/>
      <c r="K142" s="302"/>
      <c r="L142" s="302"/>
      <c r="M142" s="457" t="s">
        <v>479</v>
      </c>
      <c r="N142" s="457"/>
      <c r="O142" s="457"/>
      <c r="P142" s="457"/>
      <c r="Q142" s="457"/>
      <c r="R142" s="457"/>
      <c r="S142" s="457"/>
      <c r="T142" s="457"/>
      <c r="U142" s="457"/>
      <c r="V142" s="307">
        <f>(V141/V135)^2</f>
        <v>1</v>
      </c>
      <c r="W142" s="350" t="s">
        <v>480</v>
      </c>
      <c r="X142" s="302"/>
      <c r="Y142" s="302"/>
      <c r="Z142" s="302"/>
      <c r="AA142" s="302"/>
      <c r="AB142" s="302"/>
      <c r="AC142" s="302"/>
      <c r="AD142" s="302"/>
      <c r="AE142" s="302"/>
      <c r="AF142" s="302"/>
      <c r="AG142" s="302"/>
      <c r="AH142" s="302"/>
      <c r="AI142" s="302"/>
      <c r="AJ142" s="302"/>
      <c r="AK142" s="140"/>
      <c r="AL142" s="140"/>
      <c r="AM142" s="140"/>
      <c r="AN142" s="140"/>
      <c r="AO142" s="140"/>
      <c r="AP142" s="140"/>
    </row>
    <row r="143" spans="1:42" x14ac:dyDescent="0.3">
      <c r="A143" s="302"/>
      <c r="B143" s="302"/>
      <c r="C143" s="302"/>
      <c r="D143" s="302"/>
      <c r="E143" s="302"/>
      <c r="F143" s="302"/>
      <c r="G143" s="302"/>
      <c r="H143" s="302"/>
      <c r="I143" s="302"/>
      <c r="J143" s="302"/>
      <c r="K143" s="302"/>
      <c r="L143" s="302"/>
      <c r="M143" s="457" t="s">
        <v>689</v>
      </c>
      <c r="N143" s="457"/>
      <c r="O143" s="457"/>
      <c r="P143" s="457"/>
      <c r="Q143" s="457"/>
      <c r="R143" s="457"/>
      <c r="S143" s="457"/>
      <c r="T143" s="457"/>
      <c r="U143" s="457"/>
      <c r="V143" s="307">
        <f>V131*V142</f>
        <v>10526.350725000004</v>
      </c>
      <c r="W143" s="307" t="s">
        <v>469</v>
      </c>
      <c r="X143" s="302"/>
      <c r="Y143" s="302"/>
      <c r="Z143" s="302"/>
      <c r="AA143" s="302"/>
      <c r="AB143" s="302"/>
      <c r="AC143" s="302"/>
      <c r="AD143" s="302"/>
      <c r="AE143" s="302"/>
      <c r="AF143" s="302"/>
      <c r="AG143" s="302"/>
      <c r="AH143" s="302"/>
      <c r="AI143" s="302"/>
      <c r="AJ143" s="302"/>
      <c r="AK143" s="140"/>
      <c r="AL143" s="140"/>
      <c r="AM143" s="140"/>
      <c r="AN143" s="140"/>
      <c r="AO143" s="140"/>
      <c r="AP143" s="140"/>
    </row>
    <row r="144" spans="1:42" x14ac:dyDescent="0.3">
      <c r="A144" s="302"/>
      <c r="B144" s="302"/>
      <c r="C144" s="302"/>
      <c r="D144" s="302"/>
      <c r="E144" s="302"/>
      <c r="F144" s="302"/>
      <c r="G144" s="302"/>
      <c r="H144" s="302"/>
      <c r="I144" s="302"/>
      <c r="J144" s="302"/>
      <c r="K144" s="302"/>
      <c r="L144" s="302"/>
      <c r="M144" s="457" t="s">
        <v>481</v>
      </c>
      <c r="N144" s="457"/>
      <c r="O144" s="457"/>
      <c r="P144" s="457"/>
      <c r="Q144" s="457"/>
      <c r="R144" s="457"/>
      <c r="S144" s="457"/>
      <c r="T144" s="457"/>
      <c r="U144" s="457"/>
      <c r="V144" s="307">
        <f>(1/2/PI())*SQRT(V143/(U117/2))</f>
        <v>1.3800506686423957</v>
      </c>
      <c r="W144" s="307" t="s">
        <v>315</v>
      </c>
      <c r="X144" s="302"/>
      <c r="Y144" s="302"/>
      <c r="Z144" s="302"/>
      <c r="AA144" s="302"/>
      <c r="AB144" s="302"/>
      <c r="AC144" s="302"/>
      <c r="AD144" s="302"/>
      <c r="AE144" s="302"/>
      <c r="AF144" s="302"/>
      <c r="AG144" s="302"/>
      <c r="AH144" s="302"/>
      <c r="AI144" s="302"/>
      <c r="AJ144" s="302"/>
      <c r="AK144" s="140"/>
      <c r="AL144" s="140"/>
      <c r="AM144" s="140"/>
      <c r="AN144" s="140"/>
      <c r="AO144" s="140"/>
      <c r="AP144" s="140"/>
    </row>
    <row r="145" spans="1:42" x14ac:dyDescent="0.3">
      <c r="A145" s="302"/>
      <c r="B145" s="302"/>
      <c r="C145" s="302"/>
      <c r="D145" s="302"/>
      <c r="E145" s="302"/>
      <c r="F145" s="302"/>
      <c r="G145" s="302"/>
      <c r="H145" s="302"/>
      <c r="I145" s="302"/>
      <c r="J145" s="302"/>
      <c r="K145" s="302"/>
      <c r="L145" s="302"/>
      <c r="M145" s="457" t="s">
        <v>482</v>
      </c>
      <c r="N145" s="457"/>
      <c r="O145" s="457"/>
      <c r="P145" s="457"/>
      <c r="Q145" s="457"/>
      <c r="R145" s="457"/>
      <c r="S145" s="457"/>
      <c r="T145" s="457"/>
      <c r="U145" s="457"/>
      <c r="V145" s="307">
        <f>(V130*C6^2)/2</f>
        <v>11844.048318750001</v>
      </c>
      <c r="W145" s="307" t="s">
        <v>405</v>
      </c>
      <c r="X145" s="302"/>
      <c r="Y145" s="302"/>
      <c r="Z145" s="302"/>
      <c r="AA145" s="302"/>
      <c r="AB145" s="302"/>
      <c r="AC145" s="302"/>
      <c r="AD145" s="302"/>
      <c r="AE145" s="302"/>
      <c r="AF145" s="302"/>
      <c r="AG145" s="302"/>
      <c r="AH145" s="302"/>
      <c r="AI145" s="302"/>
      <c r="AJ145" s="302"/>
      <c r="AK145" s="140"/>
      <c r="AL145" s="140"/>
      <c r="AM145" s="140"/>
      <c r="AN145" s="140"/>
      <c r="AO145" s="140"/>
      <c r="AP145" s="140"/>
    </row>
    <row r="146" spans="1:42" x14ac:dyDescent="0.3">
      <c r="A146" s="302"/>
      <c r="B146" s="302"/>
      <c r="C146" s="302"/>
      <c r="D146" s="302"/>
      <c r="E146" s="302"/>
      <c r="F146" s="302"/>
      <c r="G146" s="302"/>
      <c r="H146" s="302"/>
      <c r="I146" s="302"/>
      <c r="J146" s="302"/>
      <c r="K146" s="302"/>
      <c r="L146" s="302"/>
      <c r="M146" s="457" t="s">
        <v>483</v>
      </c>
      <c r="N146" s="457"/>
      <c r="O146" s="457"/>
      <c r="P146" s="457"/>
      <c r="Q146" s="457"/>
      <c r="R146" s="457"/>
      <c r="S146" s="457"/>
      <c r="T146" s="457"/>
      <c r="U146" s="457"/>
      <c r="V146" s="307">
        <f>(V143*C7^2)/2</f>
        <v>11842.144565625003</v>
      </c>
      <c r="W146" s="307" t="s">
        <v>405</v>
      </c>
      <c r="X146" s="302"/>
      <c r="Y146" s="302"/>
      <c r="Z146" s="302"/>
      <c r="AA146" s="302"/>
      <c r="AB146" s="302"/>
      <c r="AC146" s="302"/>
      <c r="AD146" s="302"/>
      <c r="AE146" s="302"/>
      <c r="AF146" s="302"/>
      <c r="AG146" s="302"/>
      <c r="AH146" s="302"/>
      <c r="AI146" s="302"/>
      <c r="AJ146" s="302"/>
      <c r="AK146" s="140"/>
      <c r="AL146" s="140"/>
      <c r="AM146" s="140"/>
      <c r="AN146" s="140"/>
      <c r="AO146" s="140"/>
      <c r="AP146" s="140"/>
    </row>
    <row r="147" spans="1:42" x14ac:dyDescent="0.3">
      <c r="A147" s="302"/>
      <c r="B147" s="302"/>
      <c r="C147" s="302"/>
      <c r="D147" s="302"/>
      <c r="E147" s="302"/>
      <c r="F147" s="302"/>
      <c r="G147" s="302"/>
      <c r="H147" s="302"/>
      <c r="I147" s="302"/>
      <c r="J147" s="302"/>
      <c r="K147" s="302"/>
      <c r="L147" s="302"/>
      <c r="M147" s="457" t="s">
        <v>690</v>
      </c>
      <c r="N147" s="457"/>
      <c r="O147" s="457"/>
      <c r="P147" s="457"/>
      <c r="Q147" s="457"/>
      <c r="R147" s="457"/>
      <c r="S147" s="457"/>
      <c r="T147" s="457"/>
      <c r="U147" s="457"/>
      <c r="V147" s="307">
        <f>V112-V145</f>
        <v>155.95168124999873</v>
      </c>
      <c r="W147" s="307" t="s">
        <v>405</v>
      </c>
      <c r="X147" s="302"/>
      <c r="Y147" s="302"/>
      <c r="Z147" s="302"/>
      <c r="AA147" s="302"/>
      <c r="AB147" s="302"/>
      <c r="AC147" s="302"/>
      <c r="AD147" s="302"/>
      <c r="AE147" s="302"/>
      <c r="AF147" s="302"/>
      <c r="AG147" s="302"/>
      <c r="AH147" s="302"/>
      <c r="AI147" s="302"/>
      <c r="AJ147" s="302"/>
      <c r="AK147" s="140"/>
      <c r="AL147" s="140"/>
      <c r="AM147" s="140"/>
      <c r="AN147" s="140"/>
      <c r="AO147" s="140"/>
      <c r="AP147" s="140"/>
    </row>
    <row r="148" spans="1:42" x14ac:dyDescent="0.3">
      <c r="A148" s="302"/>
      <c r="B148" s="302"/>
      <c r="C148" s="302"/>
      <c r="D148" s="302"/>
      <c r="E148" s="302"/>
      <c r="F148" s="302"/>
      <c r="G148" s="302"/>
      <c r="H148" s="302"/>
      <c r="I148" s="302"/>
      <c r="J148" s="302"/>
      <c r="K148" s="302"/>
      <c r="L148" s="302"/>
      <c r="M148" s="457" t="s">
        <v>691</v>
      </c>
      <c r="N148" s="457"/>
      <c r="O148" s="457"/>
      <c r="P148" s="457"/>
      <c r="Q148" s="457"/>
      <c r="R148" s="457"/>
      <c r="S148" s="457"/>
      <c r="T148" s="457"/>
      <c r="U148" s="457"/>
      <c r="V148" s="307">
        <f>V113-V146</f>
        <v>6157.8554343749965</v>
      </c>
      <c r="W148" s="307" t="s">
        <v>405</v>
      </c>
      <c r="X148" s="302"/>
      <c r="Y148" s="302"/>
      <c r="Z148" s="302"/>
      <c r="AA148" s="302"/>
      <c r="AB148" s="302"/>
      <c r="AC148" s="302"/>
      <c r="AD148" s="302"/>
      <c r="AE148" s="302"/>
      <c r="AF148" s="302"/>
      <c r="AG148" s="302"/>
      <c r="AH148" s="302"/>
      <c r="AI148" s="302"/>
      <c r="AJ148" s="302"/>
      <c r="AK148" s="140"/>
      <c r="AL148" s="140"/>
      <c r="AM148" s="140"/>
      <c r="AN148" s="140"/>
      <c r="AO148" s="140"/>
      <c r="AP148" s="140"/>
    </row>
    <row r="149" spans="1:42" x14ac:dyDescent="0.3">
      <c r="A149" s="302"/>
      <c r="B149" s="302"/>
      <c r="C149" s="302"/>
      <c r="D149" s="302"/>
      <c r="E149" s="302"/>
      <c r="F149" s="302"/>
      <c r="G149" s="302"/>
      <c r="H149" s="302"/>
      <c r="I149" s="302"/>
      <c r="J149" s="302"/>
      <c r="K149" s="302"/>
      <c r="L149" s="302"/>
      <c r="M149" s="457" t="s">
        <v>692</v>
      </c>
      <c r="N149" s="457"/>
      <c r="O149" s="457"/>
      <c r="P149" s="457"/>
      <c r="Q149" s="457"/>
      <c r="R149" s="457"/>
      <c r="S149" s="457"/>
      <c r="T149" s="327">
        <f>-V109*9.81*V34/(V147+V148+V145+V146)</f>
        <v>-8.7668700000000002E-2</v>
      </c>
      <c r="U149" s="327">
        <f>T149*360/2/PI()</f>
        <v>-5.0230465053985602</v>
      </c>
      <c r="V149" s="307" t="s">
        <v>454</v>
      </c>
      <c r="W149" s="307" t="s">
        <v>693</v>
      </c>
      <c r="X149" s="302"/>
      <c r="Y149" s="302"/>
      <c r="Z149" s="302"/>
      <c r="AA149" s="302"/>
      <c r="AB149" s="302"/>
      <c r="AC149" s="302"/>
      <c r="AD149" s="302"/>
      <c r="AE149" s="302"/>
      <c r="AF149" s="302"/>
      <c r="AG149" s="302"/>
      <c r="AH149" s="302"/>
      <c r="AI149" s="302"/>
      <c r="AJ149" s="302"/>
      <c r="AK149" s="140"/>
      <c r="AL149" s="140"/>
      <c r="AM149" s="140"/>
      <c r="AN149" s="140"/>
      <c r="AO149" s="140"/>
      <c r="AP149" s="140"/>
    </row>
    <row r="150" spans="1:42" x14ac:dyDescent="0.3">
      <c r="A150" s="302"/>
      <c r="B150" s="302"/>
      <c r="C150" s="302"/>
      <c r="D150" s="302"/>
      <c r="E150" s="302"/>
      <c r="F150" s="302"/>
      <c r="G150" s="302"/>
      <c r="H150" s="302"/>
      <c r="I150" s="302"/>
      <c r="J150" s="302"/>
      <c r="K150" s="302"/>
      <c r="L150" s="326" t="s">
        <v>357</v>
      </c>
      <c r="M150" s="457" t="s">
        <v>455</v>
      </c>
      <c r="N150" s="457"/>
      <c r="O150" s="457"/>
      <c r="P150" s="457"/>
      <c r="Q150" s="457"/>
      <c r="R150" s="457"/>
      <c r="S150" s="457"/>
      <c r="T150" s="457"/>
      <c r="U150" s="457"/>
      <c r="V150" s="307">
        <f>(V108*V37*V34*V113)/(V33*C6)+(V36/C8)*V31</f>
        <v>85.85560000000001</v>
      </c>
      <c r="W150" s="307" t="s">
        <v>326</v>
      </c>
      <c r="X150" s="302"/>
      <c r="Y150" s="302"/>
      <c r="Z150" s="302"/>
      <c r="AA150" s="302"/>
      <c r="AB150" s="302"/>
      <c r="AC150" s="302"/>
      <c r="AD150" s="302"/>
      <c r="AE150" s="302"/>
      <c r="AF150" s="302"/>
      <c r="AG150" s="302"/>
      <c r="AH150" s="302"/>
      <c r="AI150" s="302"/>
      <c r="AJ150" s="302"/>
      <c r="AK150" s="140"/>
      <c r="AL150" s="140"/>
      <c r="AM150" s="140"/>
      <c r="AN150" s="140"/>
      <c r="AO150" s="140"/>
      <c r="AP150" s="140"/>
    </row>
    <row r="151" spans="1:42" x14ac:dyDescent="0.3">
      <c r="A151" s="302"/>
      <c r="B151" s="302"/>
      <c r="C151" s="302"/>
      <c r="D151" s="302"/>
      <c r="E151" s="302"/>
      <c r="F151" s="302"/>
      <c r="G151" s="302"/>
      <c r="H151" s="302"/>
      <c r="I151" s="302"/>
      <c r="J151" s="302"/>
      <c r="K151" s="302"/>
      <c r="L151" s="326" t="s">
        <v>357</v>
      </c>
      <c r="M151" s="457" t="s">
        <v>456</v>
      </c>
      <c r="N151" s="457"/>
      <c r="O151" s="457"/>
      <c r="P151" s="457"/>
      <c r="Q151" s="457"/>
      <c r="R151" s="457"/>
      <c r="S151" s="457"/>
      <c r="T151" s="457"/>
      <c r="U151" s="457"/>
      <c r="V151" s="307"/>
      <c r="W151" s="307" t="s">
        <v>326</v>
      </c>
      <c r="X151" s="302"/>
      <c r="Y151" s="302"/>
      <c r="Z151" s="302"/>
      <c r="AA151" s="302"/>
      <c r="AB151" s="302"/>
      <c r="AC151" s="302"/>
      <c r="AD151" s="302"/>
      <c r="AE151" s="302"/>
      <c r="AF151" s="302"/>
      <c r="AG151" s="302"/>
      <c r="AH151" s="302"/>
      <c r="AI151" s="302"/>
      <c r="AJ151" s="302"/>
      <c r="AK151" s="140"/>
      <c r="AL151" s="140"/>
      <c r="AM151" s="140"/>
      <c r="AN151" s="140"/>
      <c r="AO151" s="140"/>
      <c r="AP151" s="140"/>
    </row>
    <row r="152" spans="1:42" x14ac:dyDescent="0.3">
      <c r="A152" s="302"/>
      <c r="B152" s="302"/>
      <c r="C152" s="302"/>
      <c r="D152" s="302"/>
      <c r="E152" s="302"/>
      <c r="F152" s="302"/>
      <c r="G152" s="302"/>
      <c r="H152" s="302"/>
      <c r="I152" s="302"/>
      <c r="J152" s="302"/>
      <c r="K152" s="302"/>
      <c r="L152" s="326" t="s">
        <v>357</v>
      </c>
      <c r="M152" s="458" t="s">
        <v>460</v>
      </c>
      <c r="N152" s="458"/>
      <c r="O152" s="458"/>
      <c r="P152" s="457" t="s">
        <v>461</v>
      </c>
      <c r="Q152" s="457"/>
      <c r="R152" s="457"/>
      <c r="S152" s="457"/>
      <c r="T152" s="457"/>
      <c r="U152" s="327"/>
      <c r="V152" s="307"/>
      <c r="W152" s="307" t="s">
        <v>458</v>
      </c>
      <c r="X152" s="302"/>
      <c r="Y152" s="302"/>
      <c r="Z152" s="302"/>
      <c r="AA152" s="302"/>
      <c r="AB152" s="302"/>
      <c r="AC152" s="302"/>
      <c r="AD152" s="302"/>
      <c r="AE152" s="302"/>
      <c r="AF152" s="302"/>
      <c r="AG152" s="302"/>
      <c r="AH152" s="302"/>
      <c r="AI152" s="302"/>
      <c r="AJ152" s="302"/>
      <c r="AK152" s="140"/>
      <c r="AL152" s="140"/>
      <c r="AM152" s="140"/>
      <c r="AN152" s="140"/>
      <c r="AO152" s="140"/>
      <c r="AP152" s="140"/>
    </row>
    <row r="153" spans="1:42" x14ac:dyDescent="0.3">
      <c r="A153" s="302"/>
      <c r="B153" s="302"/>
      <c r="C153" s="302"/>
      <c r="D153" s="302"/>
      <c r="E153" s="302"/>
      <c r="F153" s="302"/>
      <c r="G153" s="302"/>
      <c r="H153" s="302"/>
      <c r="I153" s="302"/>
      <c r="J153" s="302"/>
      <c r="K153" s="302"/>
      <c r="L153" s="326" t="s">
        <v>357</v>
      </c>
      <c r="M153" s="458"/>
      <c r="N153" s="458"/>
      <c r="O153" s="458"/>
      <c r="P153" s="457" t="s">
        <v>462</v>
      </c>
      <c r="Q153" s="457"/>
      <c r="R153" s="457"/>
      <c r="S153" s="457"/>
      <c r="T153" s="457"/>
      <c r="U153" s="327"/>
      <c r="V153" s="307"/>
      <c r="W153" s="307" t="s">
        <v>458</v>
      </c>
      <c r="X153" s="302"/>
      <c r="Y153" s="302"/>
      <c r="Z153" s="302"/>
      <c r="AA153" s="302"/>
      <c r="AB153" s="302"/>
      <c r="AC153" s="302"/>
      <c r="AD153" s="302"/>
      <c r="AE153" s="302"/>
      <c r="AF153" s="302"/>
      <c r="AG153" s="302"/>
      <c r="AH153" s="302"/>
      <c r="AI153" s="302"/>
      <c r="AJ153" s="302"/>
      <c r="AK153" s="140"/>
      <c r="AL153" s="140"/>
      <c r="AM153" s="140"/>
      <c r="AN153" s="140"/>
      <c r="AO153" s="140"/>
      <c r="AP153" s="140"/>
    </row>
    <row r="154" spans="1:42" x14ac:dyDescent="0.3">
      <c r="A154" s="302"/>
      <c r="B154" s="302"/>
      <c r="C154" s="302"/>
      <c r="D154" s="302"/>
      <c r="E154" s="302"/>
      <c r="F154" s="302"/>
      <c r="G154" s="302"/>
      <c r="H154" s="302"/>
      <c r="I154" s="302"/>
      <c r="J154" s="302"/>
      <c r="K154" s="302"/>
      <c r="L154" s="326" t="s">
        <v>357</v>
      </c>
      <c r="M154" s="458"/>
      <c r="N154" s="458"/>
      <c r="O154" s="458"/>
      <c r="P154" s="457" t="s">
        <v>463</v>
      </c>
      <c r="Q154" s="457"/>
      <c r="R154" s="457"/>
      <c r="S154" s="457"/>
      <c r="T154" s="457"/>
      <c r="U154" s="327"/>
      <c r="V154" s="307"/>
      <c r="W154" s="307" t="s">
        <v>458</v>
      </c>
      <c r="X154" s="302"/>
      <c r="Y154" s="302"/>
      <c r="Z154" s="302"/>
      <c r="AA154" s="302"/>
      <c r="AB154" s="302"/>
      <c r="AC154" s="302"/>
      <c r="AD154" s="302"/>
      <c r="AE154" s="302"/>
      <c r="AF154" s="302"/>
      <c r="AG154" s="302"/>
      <c r="AH154" s="302"/>
      <c r="AI154" s="302"/>
      <c r="AJ154" s="302"/>
      <c r="AK154" s="140"/>
      <c r="AL154" s="140"/>
      <c r="AM154" s="140"/>
      <c r="AN154" s="140"/>
      <c r="AO154" s="140"/>
      <c r="AP154" s="140"/>
    </row>
    <row r="155" spans="1:42" x14ac:dyDescent="0.3">
      <c r="A155" s="302"/>
      <c r="B155" s="302"/>
      <c r="C155" s="302"/>
      <c r="D155" s="302"/>
      <c r="E155" s="302"/>
      <c r="F155" s="302"/>
      <c r="G155" s="302"/>
      <c r="H155" s="302"/>
      <c r="I155" s="302"/>
      <c r="J155" s="302"/>
      <c r="K155" s="302"/>
      <c r="L155" s="326" t="s">
        <v>357</v>
      </c>
      <c r="M155" s="458"/>
      <c r="N155" s="458"/>
      <c r="O155" s="458"/>
      <c r="P155" s="457" t="s">
        <v>464</v>
      </c>
      <c r="Q155" s="457"/>
      <c r="R155" s="457"/>
      <c r="S155" s="457"/>
      <c r="T155" s="457"/>
      <c r="U155" s="327"/>
      <c r="V155" s="307"/>
      <c r="W155" s="307" t="s">
        <v>458</v>
      </c>
      <c r="X155" s="302"/>
      <c r="Y155" s="302"/>
      <c r="Z155" s="302"/>
      <c r="AA155" s="302"/>
      <c r="AB155" s="302"/>
      <c r="AC155" s="302"/>
      <c r="AD155" s="302"/>
      <c r="AE155" s="302"/>
      <c r="AF155" s="302"/>
      <c r="AG155" s="302"/>
      <c r="AH155" s="302"/>
      <c r="AI155" s="302"/>
      <c r="AJ155" s="302"/>
      <c r="AK155" s="140"/>
      <c r="AL155" s="140"/>
      <c r="AM155" s="140"/>
      <c r="AN155" s="140"/>
      <c r="AO155" s="140"/>
      <c r="AP155" s="140"/>
    </row>
    <row r="156" spans="1:42" x14ac:dyDescent="0.3">
      <c r="A156" s="302"/>
      <c r="B156" s="302"/>
      <c r="C156" s="302"/>
      <c r="D156" s="302"/>
      <c r="E156" s="302"/>
      <c r="F156" s="302"/>
      <c r="G156" s="302"/>
      <c r="H156" s="302"/>
      <c r="I156" s="302"/>
      <c r="J156" s="302"/>
      <c r="K156" s="302"/>
      <c r="L156" s="326" t="s">
        <v>357</v>
      </c>
      <c r="M156" s="457" t="s">
        <v>465</v>
      </c>
      <c r="N156" s="457"/>
      <c r="O156" s="457"/>
      <c r="P156" s="457" t="s">
        <v>461</v>
      </c>
      <c r="Q156" s="457"/>
      <c r="R156" s="457"/>
      <c r="S156" s="457"/>
      <c r="T156" s="457"/>
      <c r="U156" s="327"/>
      <c r="V156" s="307"/>
      <c r="W156" s="307" t="s">
        <v>458</v>
      </c>
      <c r="X156" s="302"/>
      <c r="Y156" s="302"/>
      <c r="Z156" s="302"/>
      <c r="AA156" s="302"/>
      <c r="AB156" s="302"/>
      <c r="AC156" s="302"/>
      <c r="AD156" s="302"/>
      <c r="AE156" s="302"/>
      <c r="AF156" s="302"/>
      <c r="AG156" s="302"/>
      <c r="AH156" s="302"/>
      <c r="AI156" s="302"/>
      <c r="AJ156" s="302"/>
      <c r="AK156" s="140"/>
      <c r="AL156" s="140"/>
      <c r="AM156" s="140"/>
      <c r="AN156" s="140"/>
      <c r="AO156" s="140"/>
      <c r="AP156" s="140"/>
    </row>
    <row r="157" spans="1:42" x14ac:dyDescent="0.3">
      <c r="A157" s="302"/>
      <c r="B157" s="302"/>
      <c r="C157" s="302"/>
      <c r="D157" s="302"/>
      <c r="E157" s="302"/>
      <c r="F157" s="302"/>
      <c r="G157" s="302"/>
      <c r="H157" s="302"/>
      <c r="I157" s="302"/>
      <c r="J157" s="302"/>
      <c r="K157" s="302"/>
      <c r="L157" s="326" t="s">
        <v>357</v>
      </c>
      <c r="M157" s="457"/>
      <c r="N157" s="457"/>
      <c r="O157" s="457"/>
      <c r="P157" s="457" t="s">
        <v>462</v>
      </c>
      <c r="Q157" s="457"/>
      <c r="R157" s="457"/>
      <c r="S157" s="457"/>
      <c r="T157" s="457"/>
      <c r="U157" s="327"/>
      <c r="V157" s="307"/>
      <c r="W157" s="307" t="s">
        <v>458</v>
      </c>
      <c r="X157" s="302"/>
      <c r="Y157" s="302"/>
      <c r="Z157" s="302"/>
      <c r="AA157" s="302" t="s">
        <v>694</v>
      </c>
      <c r="AB157" s="302"/>
      <c r="AC157" s="302"/>
      <c r="AD157" s="302"/>
      <c r="AE157" s="302"/>
      <c r="AF157" s="302"/>
      <c r="AG157" s="302"/>
      <c r="AH157" s="302"/>
      <c r="AI157" s="302"/>
      <c r="AJ157" s="302"/>
      <c r="AK157" s="140"/>
      <c r="AL157" s="140"/>
      <c r="AM157" s="140"/>
      <c r="AN157" s="140"/>
      <c r="AO157" s="140"/>
      <c r="AP157" s="140"/>
    </row>
    <row r="158" spans="1:42" x14ac:dyDescent="0.3">
      <c r="A158" s="302"/>
      <c r="B158" s="302"/>
      <c r="C158" s="302"/>
      <c r="D158" s="302"/>
      <c r="E158" s="302"/>
      <c r="F158" s="302"/>
      <c r="G158" s="302"/>
      <c r="H158" s="302"/>
      <c r="I158" s="302"/>
      <c r="J158" s="302"/>
      <c r="K158" s="302"/>
      <c r="L158" s="326" t="s">
        <v>357</v>
      </c>
      <c r="M158" s="457"/>
      <c r="N158" s="457"/>
      <c r="O158" s="457"/>
      <c r="P158" s="457" t="s">
        <v>463</v>
      </c>
      <c r="Q158" s="457"/>
      <c r="R158" s="457"/>
      <c r="S158" s="457"/>
      <c r="T158" s="457"/>
      <c r="U158" s="327"/>
      <c r="V158" s="307"/>
      <c r="W158" s="307" t="s">
        <v>458</v>
      </c>
      <c r="X158" s="302"/>
      <c r="Y158" s="302"/>
      <c r="Z158" s="302"/>
      <c r="AA158" s="302"/>
      <c r="AB158" s="302"/>
      <c r="AC158" s="302"/>
      <c r="AD158" s="302"/>
      <c r="AE158" s="302"/>
      <c r="AF158" s="302"/>
      <c r="AG158" s="302"/>
      <c r="AH158" s="302"/>
      <c r="AI158" s="302"/>
      <c r="AJ158" s="302"/>
      <c r="AK158" s="140"/>
      <c r="AL158" s="140"/>
      <c r="AM158" s="140"/>
      <c r="AN158" s="140"/>
      <c r="AO158" s="140"/>
      <c r="AP158" s="140"/>
    </row>
    <row r="159" spans="1:42" x14ac:dyDescent="0.3">
      <c r="A159" s="302"/>
      <c r="B159" s="302"/>
      <c r="C159" s="302"/>
      <c r="D159" s="302"/>
      <c r="E159" s="302"/>
      <c r="F159" s="302"/>
      <c r="G159" s="302"/>
      <c r="H159" s="302"/>
      <c r="I159" s="302"/>
      <c r="J159" s="302"/>
      <c r="K159" s="302"/>
      <c r="L159" s="326" t="s">
        <v>357</v>
      </c>
      <c r="M159" s="457"/>
      <c r="N159" s="457"/>
      <c r="O159" s="457"/>
      <c r="P159" s="457" t="s">
        <v>464</v>
      </c>
      <c r="Q159" s="457"/>
      <c r="R159" s="457"/>
      <c r="S159" s="457"/>
      <c r="T159" s="457"/>
      <c r="U159" s="327"/>
      <c r="V159" s="307"/>
      <c r="W159" s="307" t="s">
        <v>458</v>
      </c>
      <c r="X159" s="302"/>
      <c r="Y159" s="302"/>
      <c r="Z159" s="302"/>
      <c r="AA159" s="302"/>
      <c r="AB159" s="302"/>
      <c r="AC159" s="302"/>
      <c r="AD159" s="302"/>
      <c r="AE159" s="302"/>
      <c r="AF159" s="302"/>
      <c r="AG159" s="302"/>
      <c r="AH159" s="302"/>
      <c r="AI159" s="302"/>
      <c r="AJ159" s="302"/>
      <c r="AK159" s="140"/>
      <c r="AL159" s="140"/>
      <c r="AM159" s="140"/>
      <c r="AN159" s="140"/>
      <c r="AO159" s="140"/>
      <c r="AP159" s="140"/>
    </row>
    <row r="160" spans="1:42" x14ac:dyDescent="0.3">
      <c r="A160" s="302"/>
      <c r="B160" s="302"/>
      <c r="C160" s="302"/>
      <c r="D160" s="302"/>
      <c r="E160" s="302"/>
      <c r="F160" s="302"/>
      <c r="G160" s="302"/>
      <c r="H160" s="302"/>
      <c r="I160" s="302"/>
      <c r="J160" s="302"/>
      <c r="K160" s="302"/>
      <c r="L160" s="326" t="s">
        <v>357</v>
      </c>
      <c r="M160" s="457" t="s">
        <v>695</v>
      </c>
      <c r="N160" s="457"/>
      <c r="O160" s="457"/>
      <c r="P160" s="457"/>
      <c r="Q160" s="457"/>
      <c r="R160" s="457"/>
      <c r="S160" s="457"/>
      <c r="T160" s="457"/>
      <c r="U160" s="457"/>
      <c r="V160" s="307"/>
      <c r="W160" s="307" t="s">
        <v>314</v>
      </c>
      <c r="X160" s="302"/>
      <c r="Y160" s="302"/>
      <c r="Z160" s="302"/>
      <c r="AA160" s="302"/>
      <c r="AB160" s="302"/>
      <c r="AC160" s="302"/>
      <c r="AD160" s="302"/>
      <c r="AE160" s="302"/>
      <c r="AF160" s="302"/>
      <c r="AG160" s="302"/>
      <c r="AH160" s="302"/>
      <c r="AI160" s="302"/>
      <c r="AJ160" s="302"/>
      <c r="AK160" s="140"/>
      <c r="AL160" s="140"/>
      <c r="AM160" s="140"/>
      <c r="AN160" s="140"/>
      <c r="AO160" s="140"/>
      <c r="AP160" s="140"/>
    </row>
    <row r="161" spans="1:42" x14ac:dyDescent="0.3">
      <c r="A161" s="302"/>
      <c r="B161" s="302"/>
      <c r="C161" s="302"/>
      <c r="D161" s="302"/>
      <c r="E161" s="302"/>
      <c r="F161" s="302"/>
      <c r="G161" s="302"/>
      <c r="H161" s="302"/>
      <c r="I161" s="302"/>
      <c r="J161" s="302"/>
      <c r="K161" s="302"/>
      <c r="L161" s="326" t="s">
        <v>357</v>
      </c>
      <c r="M161" s="457" t="s">
        <v>696</v>
      </c>
      <c r="N161" s="457"/>
      <c r="O161" s="457"/>
      <c r="P161" s="457"/>
      <c r="Q161" s="457"/>
      <c r="R161" s="457"/>
      <c r="S161" s="457"/>
      <c r="T161" s="457"/>
      <c r="U161" s="457"/>
      <c r="V161" s="307"/>
      <c r="W161" s="307" t="s">
        <v>314</v>
      </c>
      <c r="X161" s="302"/>
      <c r="Y161" s="302"/>
      <c r="Z161" s="302"/>
      <c r="AA161" s="302"/>
      <c r="AB161" s="302"/>
      <c r="AC161" s="302"/>
      <c r="AD161" s="302"/>
      <c r="AE161" s="302"/>
      <c r="AF161" s="302"/>
      <c r="AG161" s="302"/>
      <c r="AH161" s="302"/>
      <c r="AI161" s="302"/>
      <c r="AJ161" s="302"/>
      <c r="AK161" s="140"/>
      <c r="AL161" s="140"/>
      <c r="AM161" s="140"/>
      <c r="AN161" s="140"/>
      <c r="AO161" s="140"/>
      <c r="AP161" s="140"/>
    </row>
    <row r="162" spans="1:42" x14ac:dyDescent="0.3">
      <c r="A162" s="302"/>
      <c r="B162" s="302"/>
      <c r="C162" s="302"/>
      <c r="D162" s="302"/>
      <c r="E162" s="302"/>
      <c r="F162" s="302"/>
      <c r="G162" s="302"/>
      <c r="H162" s="302"/>
      <c r="I162" s="302"/>
      <c r="J162" s="302"/>
      <c r="K162" s="302"/>
      <c r="L162" s="302"/>
      <c r="M162" s="446"/>
      <c r="N162" s="446"/>
      <c r="O162" s="446"/>
      <c r="P162" s="446"/>
      <c r="Q162" s="446"/>
      <c r="R162" s="446"/>
      <c r="S162" s="446"/>
      <c r="T162" s="446"/>
      <c r="U162" s="446"/>
      <c r="V162" s="446"/>
      <c r="W162" s="446"/>
      <c r="X162" s="302"/>
      <c r="Y162" s="302"/>
      <c r="Z162" s="302"/>
      <c r="AA162" s="302"/>
      <c r="AB162" s="302"/>
      <c r="AC162" s="302"/>
      <c r="AD162" s="302"/>
      <c r="AE162" s="302"/>
      <c r="AF162" s="302"/>
      <c r="AG162" s="302"/>
      <c r="AH162" s="302"/>
      <c r="AI162" s="302"/>
      <c r="AJ162" s="302"/>
      <c r="AK162" s="140"/>
      <c r="AL162" s="140"/>
      <c r="AM162" s="140"/>
      <c r="AN162" s="140"/>
      <c r="AO162" s="140"/>
      <c r="AP162" s="140"/>
    </row>
    <row r="163" spans="1:42" x14ac:dyDescent="0.3">
      <c r="A163" s="302"/>
      <c r="B163" s="302"/>
      <c r="C163" s="302"/>
      <c r="D163" s="302"/>
      <c r="E163" s="302"/>
      <c r="F163" s="302"/>
      <c r="G163" s="302"/>
      <c r="H163" s="302"/>
      <c r="I163" s="302"/>
      <c r="J163" s="302"/>
      <c r="K163" s="302"/>
      <c r="L163" s="302"/>
      <c r="M163" s="450" t="s">
        <v>484</v>
      </c>
      <c r="N163" s="450"/>
      <c r="O163" s="450"/>
      <c r="P163" s="450"/>
      <c r="Q163" s="450"/>
      <c r="R163" s="450"/>
      <c r="S163" s="450"/>
      <c r="T163" s="450"/>
      <c r="U163" s="450"/>
      <c r="V163" s="450"/>
      <c r="W163" s="450"/>
      <c r="X163" s="302"/>
      <c r="Y163" s="302"/>
      <c r="Z163" s="302"/>
      <c r="AA163" s="302"/>
      <c r="AB163" s="302"/>
      <c r="AC163" s="302"/>
      <c r="AD163" s="302"/>
      <c r="AE163" s="302"/>
      <c r="AF163" s="302"/>
      <c r="AG163" s="302"/>
      <c r="AH163" s="302"/>
      <c r="AI163" s="302"/>
      <c r="AJ163" s="302"/>
      <c r="AK163" s="140"/>
      <c r="AL163" s="140"/>
      <c r="AM163" s="140"/>
      <c r="AN163" s="140"/>
      <c r="AO163" s="140"/>
      <c r="AP163" s="140"/>
    </row>
    <row r="164" spans="1:42" x14ac:dyDescent="0.3">
      <c r="A164" s="302"/>
      <c r="B164" s="302"/>
      <c r="C164" s="302"/>
      <c r="D164" s="302"/>
      <c r="E164" s="302"/>
      <c r="F164" s="302"/>
      <c r="G164" s="302"/>
      <c r="H164" s="302"/>
      <c r="I164" s="302"/>
      <c r="J164" s="302"/>
      <c r="K164" s="302"/>
      <c r="L164" s="302"/>
      <c r="M164" s="447" t="s">
        <v>485</v>
      </c>
      <c r="N164" s="447"/>
      <c r="O164" s="447"/>
      <c r="P164" s="447"/>
      <c r="Q164" s="447"/>
      <c r="R164" s="447"/>
      <c r="S164" s="447"/>
      <c r="T164" s="447"/>
      <c r="U164" s="447"/>
      <c r="V164" s="321">
        <v>35</v>
      </c>
      <c r="W164" s="321" t="s">
        <v>311</v>
      </c>
      <c r="X164" s="302"/>
      <c r="Y164" s="302"/>
      <c r="Z164" s="302"/>
      <c r="AA164" s="302"/>
      <c r="AB164" s="302"/>
      <c r="AC164" s="302"/>
      <c r="AD164" s="302"/>
      <c r="AE164" s="302"/>
      <c r="AF164" s="302"/>
      <c r="AG164" s="302"/>
      <c r="AH164" s="302"/>
      <c r="AI164" s="302"/>
      <c r="AJ164" s="302"/>
      <c r="AK164" s="140"/>
      <c r="AL164" s="140"/>
      <c r="AM164" s="140"/>
      <c r="AN164" s="140"/>
      <c r="AO164" s="140"/>
      <c r="AP164" s="140"/>
    </row>
    <row r="165" spans="1:42" x14ac:dyDescent="0.3">
      <c r="A165" s="302"/>
      <c r="B165" s="302"/>
      <c r="C165" s="302"/>
      <c r="D165" s="302"/>
      <c r="E165" s="302"/>
      <c r="F165" s="302"/>
      <c r="G165" s="302"/>
      <c r="H165" s="302"/>
      <c r="I165" s="302"/>
      <c r="J165" s="302"/>
      <c r="K165" s="302"/>
      <c r="L165" s="302"/>
      <c r="M165" s="457" t="s">
        <v>697</v>
      </c>
      <c r="N165" s="457"/>
      <c r="O165" s="457"/>
      <c r="P165" s="457"/>
      <c r="Q165" s="457"/>
      <c r="R165" s="457"/>
      <c r="S165" s="457"/>
      <c r="T165" s="457"/>
      <c r="U165" s="457"/>
      <c r="V165" s="327">
        <f>V164*9810</f>
        <v>343350</v>
      </c>
      <c r="W165" s="327" t="s">
        <v>469</v>
      </c>
      <c r="X165" s="330"/>
      <c r="Y165" s="332"/>
      <c r="Z165" s="332"/>
      <c r="AA165" s="332"/>
      <c r="AB165" s="332"/>
      <c r="AC165" s="302"/>
      <c r="AD165" s="302"/>
      <c r="AE165" s="302"/>
      <c r="AF165" s="337"/>
      <c r="AG165" s="302"/>
      <c r="AH165" s="302"/>
      <c r="AI165" s="302"/>
      <c r="AJ165" s="302"/>
      <c r="AK165" s="140"/>
      <c r="AL165" s="140"/>
      <c r="AM165" s="140"/>
      <c r="AN165" s="140"/>
      <c r="AO165" s="140"/>
      <c r="AP165" s="140"/>
    </row>
    <row r="166" spans="1:42" x14ac:dyDescent="0.3">
      <c r="A166" s="302"/>
      <c r="B166" s="302"/>
      <c r="C166" s="302"/>
      <c r="D166" s="302"/>
      <c r="E166" s="302"/>
      <c r="F166" s="302"/>
      <c r="G166" s="302"/>
      <c r="H166" s="302"/>
      <c r="I166" s="302"/>
      <c r="J166" s="302"/>
      <c r="K166" s="302"/>
      <c r="L166" s="302"/>
      <c r="M166" s="457" t="s">
        <v>486</v>
      </c>
      <c r="N166" s="457"/>
      <c r="O166" s="457"/>
      <c r="P166" s="457"/>
      <c r="Q166" s="457"/>
      <c r="R166" s="457"/>
      <c r="S166" s="457"/>
      <c r="T166" s="457"/>
      <c r="U166" s="457"/>
      <c r="V166" s="327">
        <f>V165*V130/(V165-V130)</f>
        <v>10861.072925965176</v>
      </c>
      <c r="W166" s="327" t="s">
        <v>469</v>
      </c>
      <c r="X166" s="302"/>
      <c r="Y166" s="302"/>
      <c r="Z166" s="302"/>
      <c r="AA166" s="302"/>
      <c r="AB166" s="302"/>
      <c r="AC166" s="302"/>
      <c r="AD166" s="302"/>
      <c r="AE166" s="302"/>
      <c r="AF166" s="302"/>
      <c r="AG166" s="302"/>
      <c r="AH166" s="302"/>
      <c r="AI166" s="302"/>
      <c r="AJ166" s="302"/>
      <c r="AK166" s="140"/>
      <c r="AL166" s="140"/>
      <c r="AM166" s="140"/>
      <c r="AN166" s="140"/>
      <c r="AO166" s="140"/>
      <c r="AP166" s="140"/>
    </row>
    <row r="167" spans="1:42" x14ac:dyDescent="0.3">
      <c r="A167" s="302"/>
      <c r="B167" s="302"/>
      <c r="C167" s="302"/>
      <c r="D167" s="302"/>
      <c r="E167" s="302"/>
      <c r="F167" s="302"/>
      <c r="G167" s="302"/>
      <c r="H167" s="302"/>
      <c r="I167" s="302"/>
      <c r="J167" s="302"/>
      <c r="K167" s="302"/>
      <c r="L167" s="302"/>
      <c r="M167" s="457" t="s">
        <v>487</v>
      </c>
      <c r="N167" s="457"/>
      <c r="O167" s="457"/>
      <c r="P167" s="457"/>
      <c r="Q167" s="457"/>
      <c r="R167" s="457"/>
      <c r="S167" s="457"/>
      <c r="T167" s="457"/>
      <c r="U167" s="457"/>
      <c r="V167" s="327">
        <f>V165*V143/(V165-V143)</f>
        <v>10859.271957692081</v>
      </c>
      <c r="W167" s="327" t="s">
        <v>469</v>
      </c>
      <c r="X167" s="302"/>
      <c r="Y167" s="302"/>
      <c r="Z167" s="302"/>
      <c r="AA167" s="302"/>
      <c r="AB167" s="302"/>
      <c r="AC167" s="302"/>
      <c r="AD167" s="302"/>
      <c r="AE167" s="302"/>
      <c r="AF167" s="302"/>
      <c r="AG167" s="302"/>
      <c r="AH167" s="302"/>
      <c r="AI167" s="302"/>
      <c r="AJ167" s="302"/>
      <c r="AK167" s="140"/>
      <c r="AL167" s="140"/>
      <c r="AM167" s="140"/>
      <c r="AN167" s="140"/>
      <c r="AO167" s="140"/>
      <c r="AP167" s="140"/>
    </row>
    <row r="168" spans="1:42" x14ac:dyDescent="0.3">
      <c r="A168" s="302"/>
      <c r="B168" s="302"/>
      <c r="C168" s="302"/>
      <c r="D168" s="302"/>
      <c r="E168" s="302"/>
      <c r="F168" s="302"/>
      <c r="G168" s="302"/>
      <c r="H168" s="302"/>
      <c r="I168" s="302"/>
      <c r="J168" s="302"/>
      <c r="K168" s="302"/>
      <c r="L168" s="302"/>
      <c r="M168" s="457" t="s">
        <v>488</v>
      </c>
      <c r="N168" s="457"/>
      <c r="O168" s="457"/>
      <c r="P168" s="457"/>
      <c r="Q168" s="457"/>
      <c r="R168" s="457"/>
      <c r="S168" s="457"/>
      <c r="T168" s="457"/>
      <c r="U168" s="457"/>
      <c r="V168" s="327">
        <f>((V112*V165*(C6^2)/2)/(V165*(C6^2)/2-V112))-(V166*(C6^2)/2)</f>
        <v>166.04322130205219</v>
      </c>
      <c r="W168" s="327" t="s">
        <v>489</v>
      </c>
      <c r="X168" s="302"/>
      <c r="Y168" s="302"/>
      <c r="Z168" s="302"/>
      <c r="AA168" s="302"/>
      <c r="AB168" s="302"/>
      <c r="AC168" s="302"/>
      <c r="AD168" s="302"/>
      <c r="AE168" s="302"/>
      <c r="AF168" s="302"/>
      <c r="AG168" s="302"/>
      <c r="AH168" s="302"/>
      <c r="AI168" s="302"/>
      <c r="AJ168" s="302"/>
      <c r="AK168" s="140"/>
      <c r="AL168" s="140"/>
      <c r="AM168" s="140"/>
      <c r="AN168" s="140"/>
      <c r="AO168" s="140"/>
      <c r="AP168" s="140"/>
    </row>
    <row r="169" spans="1:42" x14ac:dyDescent="0.3">
      <c r="A169" s="302"/>
      <c r="B169" s="302"/>
      <c r="C169" s="302"/>
      <c r="D169" s="302"/>
      <c r="E169" s="302"/>
      <c r="F169" s="302"/>
      <c r="G169" s="302"/>
      <c r="H169" s="302"/>
      <c r="I169" s="302"/>
      <c r="J169" s="302"/>
      <c r="K169" s="302"/>
      <c r="L169" s="302"/>
      <c r="M169" s="457" t="s">
        <v>490</v>
      </c>
      <c r="N169" s="457"/>
      <c r="O169" s="457"/>
      <c r="P169" s="457"/>
      <c r="Q169" s="457"/>
      <c r="R169" s="457"/>
      <c r="S169" s="457"/>
      <c r="T169" s="457"/>
      <c r="U169" s="457"/>
      <c r="V169" s="327">
        <f>((V113*V165*(C7^2)/2)/(V165*(C7^2)/2-V113))-(V167*(C7^2)/2)</f>
        <v>6663.1113188656946</v>
      </c>
      <c r="W169" s="327" t="s">
        <v>489</v>
      </c>
      <c r="X169" s="302"/>
      <c r="Y169" s="302"/>
      <c r="Z169" s="302"/>
      <c r="AA169" s="302"/>
      <c r="AB169" s="302"/>
      <c r="AC169" s="302"/>
      <c r="AD169" s="302"/>
      <c r="AE169" s="302"/>
      <c r="AF169" s="302"/>
      <c r="AG169" s="302"/>
      <c r="AH169" s="302"/>
      <c r="AI169" s="302"/>
      <c r="AJ169" s="302"/>
      <c r="AK169" s="140"/>
      <c r="AL169" s="140"/>
      <c r="AM169" s="140"/>
      <c r="AN169" s="140"/>
      <c r="AO169" s="140"/>
      <c r="AP169" s="140"/>
    </row>
    <row r="170" spans="1:42" x14ac:dyDescent="0.3">
      <c r="A170" s="302"/>
      <c r="B170" s="302"/>
      <c r="C170" s="302"/>
      <c r="D170" s="302"/>
      <c r="E170" s="302"/>
      <c r="F170" s="302"/>
      <c r="G170" s="302"/>
      <c r="H170" s="302"/>
      <c r="I170" s="302"/>
      <c r="J170" s="302"/>
      <c r="K170" s="302"/>
      <c r="L170" s="302"/>
      <c r="M170" s="446"/>
      <c r="N170" s="446"/>
      <c r="O170" s="446"/>
      <c r="P170" s="446"/>
      <c r="Q170" s="446"/>
      <c r="R170" s="446"/>
      <c r="S170" s="446"/>
      <c r="T170" s="446"/>
      <c r="U170" s="446"/>
      <c r="V170" s="309"/>
      <c r="W170" s="309"/>
      <c r="X170" s="302"/>
      <c r="Y170" s="302"/>
      <c r="Z170" s="302"/>
      <c r="AA170" s="302"/>
      <c r="AB170" s="302"/>
      <c r="AC170" s="302"/>
      <c r="AD170" s="302"/>
      <c r="AE170" s="302"/>
      <c r="AF170" s="302"/>
      <c r="AG170" s="302"/>
      <c r="AH170" s="302"/>
      <c r="AI170" s="302"/>
      <c r="AJ170" s="302"/>
      <c r="AK170" s="140"/>
      <c r="AL170" s="140"/>
      <c r="AM170" s="140"/>
      <c r="AN170" s="140"/>
      <c r="AO170" s="140"/>
      <c r="AP170" s="140"/>
    </row>
    <row r="171" spans="1:42" x14ac:dyDescent="0.3">
      <c r="A171" s="302"/>
      <c r="B171" s="302"/>
      <c r="C171" s="302"/>
      <c r="D171" s="302"/>
      <c r="E171" s="302"/>
      <c r="F171" s="302"/>
      <c r="G171" s="302"/>
      <c r="H171" s="302"/>
      <c r="I171" s="302"/>
      <c r="J171" s="302"/>
      <c r="K171" s="302"/>
      <c r="L171" s="302"/>
      <c r="M171" s="450" t="s">
        <v>698</v>
      </c>
      <c r="N171" s="450"/>
      <c r="O171" s="450"/>
      <c r="P171" s="450"/>
      <c r="Q171" s="450"/>
      <c r="R171" s="450"/>
      <c r="S171" s="450"/>
      <c r="T171" s="450"/>
      <c r="U171" s="450"/>
      <c r="V171" s="450"/>
      <c r="W171" s="450"/>
      <c r="X171" s="302"/>
      <c r="Y171" s="302"/>
      <c r="Z171" s="302"/>
      <c r="AA171" s="302"/>
      <c r="AB171" s="302"/>
      <c r="AC171" s="302"/>
      <c r="AD171" s="302"/>
      <c r="AE171" s="302"/>
      <c r="AF171" s="302"/>
      <c r="AG171" s="302"/>
      <c r="AH171" s="302"/>
      <c r="AI171" s="302"/>
      <c r="AJ171" s="302"/>
      <c r="AK171" s="140"/>
      <c r="AL171" s="140"/>
      <c r="AM171" s="140"/>
      <c r="AN171" s="140"/>
      <c r="AO171" s="140"/>
      <c r="AP171" s="140"/>
    </row>
    <row r="172" spans="1:42" x14ac:dyDescent="0.3">
      <c r="A172" s="302"/>
      <c r="B172" s="302"/>
      <c r="C172" s="302"/>
      <c r="D172" s="302"/>
      <c r="E172" s="302"/>
      <c r="F172" s="302"/>
      <c r="G172" s="302"/>
      <c r="H172" s="302"/>
      <c r="I172" s="302"/>
      <c r="J172" s="302"/>
      <c r="K172" s="302"/>
      <c r="L172" s="302"/>
      <c r="M172" s="447" t="s">
        <v>491</v>
      </c>
      <c r="N172" s="447"/>
      <c r="O172" s="447"/>
      <c r="P172" s="447"/>
      <c r="Q172" s="447"/>
      <c r="R172" s="447"/>
      <c r="S172" s="447"/>
      <c r="T172" s="447"/>
      <c r="U172" s="447"/>
      <c r="V172" s="321">
        <v>1.35</v>
      </c>
      <c r="W172" s="321" t="s">
        <v>339</v>
      </c>
      <c r="X172" s="302"/>
      <c r="Y172" s="302"/>
      <c r="Z172" s="302"/>
      <c r="AA172" s="302"/>
      <c r="AB172" s="302"/>
      <c r="AC172" s="302"/>
      <c r="AD172" s="302"/>
      <c r="AE172" s="302"/>
      <c r="AF172" s="302"/>
      <c r="AG172" s="302"/>
      <c r="AH172" s="302"/>
      <c r="AI172" s="302"/>
      <c r="AJ172" s="302"/>
      <c r="AK172" s="140"/>
      <c r="AL172" s="140"/>
      <c r="AM172" s="140"/>
      <c r="AN172" s="140"/>
      <c r="AO172" s="140"/>
      <c r="AP172" s="140"/>
    </row>
    <row r="173" spans="1:42" x14ac:dyDescent="0.3">
      <c r="A173" s="302"/>
      <c r="B173" s="302"/>
      <c r="C173" s="302"/>
      <c r="D173" s="302"/>
      <c r="E173" s="302"/>
      <c r="F173" s="302"/>
      <c r="G173" s="302"/>
      <c r="H173" s="302"/>
      <c r="I173" s="302"/>
      <c r="J173" s="302"/>
      <c r="K173" s="302"/>
      <c r="L173" s="302"/>
      <c r="M173" s="457" t="s">
        <v>492</v>
      </c>
      <c r="N173" s="457"/>
      <c r="O173" s="457"/>
      <c r="P173" s="457"/>
      <c r="Q173" s="457"/>
      <c r="R173" s="457"/>
      <c r="S173" s="457"/>
      <c r="T173" s="457"/>
      <c r="U173" s="457"/>
      <c r="V173" s="327">
        <f>V165*V130/(V165-V130)</f>
        <v>10861.072925965176</v>
      </c>
      <c r="W173" s="327" t="s">
        <v>469</v>
      </c>
      <c r="X173" s="302"/>
      <c r="Y173" s="302"/>
      <c r="Z173" s="302"/>
      <c r="AA173" s="302"/>
      <c r="AB173" s="302"/>
      <c r="AC173" s="302"/>
      <c r="AD173" s="302"/>
      <c r="AE173" s="302"/>
      <c r="AF173" s="302"/>
      <c r="AG173" s="302"/>
      <c r="AH173" s="302"/>
      <c r="AI173" s="302"/>
      <c r="AJ173" s="302"/>
      <c r="AK173" s="140"/>
      <c r="AL173" s="140"/>
      <c r="AM173" s="140"/>
      <c r="AN173" s="140"/>
      <c r="AO173" s="140"/>
      <c r="AP173" s="140"/>
    </row>
    <row r="174" spans="1:42" x14ac:dyDescent="0.3">
      <c r="A174" s="302"/>
      <c r="B174" s="302"/>
      <c r="C174" s="302"/>
      <c r="D174" s="302"/>
      <c r="E174" s="302"/>
      <c r="F174" s="302"/>
      <c r="G174" s="302"/>
      <c r="H174" s="302"/>
      <c r="I174" s="302"/>
      <c r="J174" s="302"/>
      <c r="K174" s="302"/>
      <c r="L174" s="302"/>
      <c r="M174" s="457" t="s">
        <v>493</v>
      </c>
      <c r="N174" s="457"/>
      <c r="O174" s="457"/>
      <c r="P174" s="457"/>
      <c r="Q174" s="457"/>
      <c r="R174" s="457"/>
      <c r="S174" s="457"/>
      <c r="T174" s="457"/>
      <c r="U174" s="457"/>
      <c r="V174" s="327">
        <f>V165*V143/(V165-V143)</f>
        <v>10859.271957692081</v>
      </c>
      <c r="W174" s="327" t="s">
        <v>469</v>
      </c>
      <c r="X174" s="302"/>
      <c r="Y174" s="302"/>
      <c r="Z174" s="302"/>
      <c r="AA174" s="302"/>
      <c r="AB174" s="302"/>
      <c r="AC174" s="302"/>
      <c r="AD174" s="302"/>
      <c r="AE174" s="302"/>
      <c r="AF174" s="302"/>
      <c r="AG174" s="302"/>
      <c r="AH174" s="302"/>
      <c r="AI174" s="302"/>
      <c r="AJ174" s="302"/>
      <c r="AK174" s="140"/>
      <c r="AL174" s="140"/>
      <c r="AM174" s="140"/>
      <c r="AN174" s="140"/>
      <c r="AO174" s="140"/>
      <c r="AP174" s="140"/>
    </row>
    <row r="175" spans="1:42" x14ac:dyDescent="0.3">
      <c r="A175" s="302"/>
      <c r="B175" s="302"/>
      <c r="C175" s="302"/>
      <c r="D175" s="302"/>
      <c r="E175" s="302"/>
      <c r="F175" s="302"/>
      <c r="G175" s="302"/>
      <c r="H175" s="302"/>
      <c r="I175" s="302"/>
      <c r="J175" s="302"/>
      <c r="K175" s="302"/>
      <c r="L175" s="302"/>
      <c r="M175" s="474" t="s">
        <v>494</v>
      </c>
      <c r="N175" s="474"/>
      <c r="O175" s="474"/>
      <c r="P175" s="474"/>
      <c r="Q175" s="474"/>
      <c r="R175" s="474"/>
      <c r="S175" s="474"/>
      <c r="T175" s="474"/>
      <c r="U175" s="474"/>
      <c r="V175" s="474"/>
      <c r="W175" s="474"/>
      <c r="X175" s="302"/>
      <c r="Y175" s="302"/>
      <c r="Z175" s="302"/>
      <c r="AA175" s="302"/>
      <c r="AB175" s="302"/>
      <c r="AC175" s="302"/>
      <c r="AD175" s="302"/>
      <c r="AE175" s="302"/>
      <c r="AF175" s="302"/>
      <c r="AG175" s="302"/>
      <c r="AH175" s="302"/>
      <c r="AI175" s="302"/>
      <c r="AJ175" s="302"/>
      <c r="AK175" s="140"/>
      <c r="AL175" s="140"/>
      <c r="AM175" s="140"/>
      <c r="AN175" s="140"/>
      <c r="AO175" s="140"/>
      <c r="AP175" s="140"/>
    </row>
    <row r="176" spans="1:42" x14ac:dyDescent="0.3">
      <c r="A176" s="302"/>
      <c r="B176" s="302"/>
      <c r="C176" s="302"/>
      <c r="D176" s="302"/>
      <c r="E176" s="302"/>
      <c r="F176" s="302"/>
      <c r="G176" s="302"/>
      <c r="H176" s="338"/>
      <c r="I176" s="338"/>
      <c r="J176" s="338"/>
      <c r="K176" s="338"/>
      <c r="L176" s="338"/>
      <c r="M176" s="457" t="s">
        <v>483</v>
      </c>
      <c r="N176" s="457"/>
      <c r="O176" s="457"/>
      <c r="P176" s="457"/>
      <c r="Q176" s="457"/>
      <c r="R176" s="457"/>
      <c r="S176" s="457"/>
      <c r="T176" s="457"/>
      <c r="U176" s="457"/>
      <c r="V176" s="327">
        <f>((0.5*V165*C7^2)*(0.5*V174*V172^2))/((V165*0.5*C7^2)+(V174*0.5*V172^2))</f>
        <v>9648.3384698848949</v>
      </c>
      <c r="W176" s="327" t="s">
        <v>489</v>
      </c>
      <c r="X176" s="302"/>
      <c r="Y176" s="302"/>
      <c r="Z176" s="302"/>
      <c r="AA176" s="302"/>
      <c r="AB176" s="302"/>
      <c r="AC176" s="302"/>
      <c r="AD176" s="302"/>
      <c r="AE176" s="302"/>
      <c r="AF176" s="302"/>
      <c r="AG176" s="302"/>
      <c r="AH176" s="302"/>
      <c r="AI176" s="302"/>
      <c r="AJ176" s="302"/>
      <c r="AK176" s="140"/>
      <c r="AL176" s="140"/>
      <c r="AM176" s="140"/>
      <c r="AN176" s="140"/>
      <c r="AO176" s="140"/>
      <c r="AP176" s="140"/>
    </row>
    <row r="177" spans="1:42" x14ac:dyDescent="0.3">
      <c r="A177" s="302"/>
      <c r="B177" s="302"/>
      <c r="C177" s="302"/>
      <c r="D177" s="302"/>
      <c r="E177" s="302"/>
      <c r="F177" s="302"/>
      <c r="G177" s="302"/>
      <c r="H177" s="302"/>
      <c r="I177" s="302"/>
      <c r="J177" s="302"/>
      <c r="K177" s="302"/>
      <c r="L177" s="302"/>
      <c r="M177" s="474" t="s">
        <v>495</v>
      </c>
      <c r="N177" s="474"/>
      <c r="O177" s="474"/>
      <c r="P177" s="474"/>
      <c r="Q177" s="474"/>
      <c r="R177" s="474"/>
      <c r="S177" s="474"/>
      <c r="T177" s="474"/>
      <c r="U177" s="474"/>
      <c r="V177" s="474"/>
      <c r="W177" s="474"/>
      <c r="X177" s="302"/>
      <c r="Y177" s="302"/>
      <c r="Z177" s="302"/>
      <c r="AA177" s="302"/>
      <c r="AB177" s="302"/>
      <c r="AC177" s="302"/>
      <c r="AD177" s="302"/>
      <c r="AE177" s="302"/>
      <c r="AF177" s="302"/>
      <c r="AG177" s="302"/>
      <c r="AH177" s="302"/>
      <c r="AI177" s="302"/>
      <c r="AJ177" s="302"/>
      <c r="AK177" s="140"/>
      <c r="AL177" s="140"/>
      <c r="AM177" s="140"/>
      <c r="AN177" s="140"/>
      <c r="AO177" s="140"/>
      <c r="AP177" s="140"/>
    </row>
    <row r="178" spans="1:42" x14ac:dyDescent="0.3">
      <c r="A178" s="302"/>
      <c r="B178" s="302"/>
      <c r="C178" s="302"/>
      <c r="D178" s="302"/>
      <c r="E178" s="302"/>
      <c r="F178" s="302"/>
      <c r="G178" s="302"/>
      <c r="H178" s="302"/>
      <c r="I178" s="302"/>
      <c r="J178" s="302"/>
      <c r="K178" s="302"/>
      <c r="L178" s="302"/>
      <c r="M178" s="457" t="s">
        <v>496</v>
      </c>
      <c r="N178" s="457"/>
      <c r="O178" s="457"/>
      <c r="P178" s="457"/>
      <c r="Q178" s="457"/>
      <c r="R178" s="457"/>
      <c r="S178" s="457"/>
      <c r="T178" s="457"/>
      <c r="U178" s="457"/>
      <c r="V178" s="327">
        <f>0.4*V174*0.5*V172^2</f>
        <v>3958.2046285787642</v>
      </c>
      <c r="W178" s="339" t="s">
        <v>489</v>
      </c>
      <c r="X178" s="302"/>
      <c r="Y178" s="302"/>
      <c r="Z178" s="302"/>
      <c r="AA178" s="302"/>
      <c r="AB178" s="302"/>
      <c r="AC178" s="302"/>
      <c r="AD178" s="302"/>
      <c r="AE178" s="302"/>
      <c r="AF178" s="302"/>
      <c r="AG178" s="302"/>
      <c r="AH178" s="302"/>
      <c r="AI178" s="302"/>
      <c r="AJ178" s="302"/>
      <c r="AK178" s="140"/>
      <c r="AL178" s="140"/>
      <c r="AM178" s="140"/>
      <c r="AN178" s="140"/>
      <c r="AO178" s="140"/>
      <c r="AP178" s="140"/>
    </row>
    <row r="179" spans="1:42" x14ac:dyDescent="0.3">
      <c r="A179" s="302"/>
      <c r="B179" s="302"/>
      <c r="C179" s="302"/>
      <c r="D179" s="302"/>
      <c r="E179" s="302"/>
      <c r="F179" s="302"/>
      <c r="G179" s="302"/>
      <c r="H179" s="302"/>
      <c r="I179" s="302"/>
      <c r="J179" s="302"/>
      <c r="K179" s="302"/>
      <c r="L179" s="302"/>
      <c r="M179" s="457" t="s">
        <v>483</v>
      </c>
      <c r="N179" s="457"/>
      <c r="O179" s="457"/>
      <c r="P179" s="457"/>
      <c r="Q179" s="457"/>
      <c r="R179" s="457"/>
      <c r="S179" s="457"/>
      <c r="T179" s="457"/>
      <c r="U179" s="457"/>
      <c r="V179" s="327">
        <f>((V178+0.5*V165*C7^2)*(0.5*V174*V172^2))/((V178+V165*0.5*C7^2)+(V174*0.5*V172^2))</f>
        <v>9650.7836255492457</v>
      </c>
      <c r="W179" s="327" t="s">
        <v>489</v>
      </c>
      <c r="X179" s="302"/>
      <c r="Y179" s="302"/>
      <c r="Z179" s="302"/>
      <c r="AA179" s="302"/>
      <c r="AB179" s="302"/>
      <c r="AC179" s="302"/>
      <c r="AD179" s="302"/>
      <c r="AE179" s="302"/>
      <c r="AF179" s="302"/>
      <c r="AG179" s="302"/>
      <c r="AH179" s="302"/>
      <c r="AI179" s="302"/>
      <c r="AJ179" s="302"/>
      <c r="AK179" s="140"/>
      <c r="AL179" s="140"/>
      <c r="AM179" s="140"/>
      <c r="AN179" s="140"/>
      <c r="AO179" s="140"/>
      <c r="AP179" s="140"/>
    </row>
    <row r="180" spans="1:42" x14ac:dyDescent="0.3">
      <c r="A180" s="302"/>
      <c r="B180" s="302"/>
      <c r="C180" s="302"/>
      <c r="D180" s="302"/>
      <c r="E180" s="302"/>
      <c r="F180" s="302"/>
      <c r="G180" s="302"/>
      <c r="H180" s="302"/>
      <c r="I180" s="302"/>
      <c r="J180" s="302"/>
      <c r="K180" s="302"/>
      <c r="L180" s="302"/>
      <c r="M180" s="457" t="s">
        <v>699</v>
      </c>
      <c r="N180" s="457"/>
      <c r="O180" s="457"/>
      <c r="P180" s="457"/>
      <c r="Q180" s="457"/>
      <c r="R180" s="457"/>
      <c r="S180" s="457"/>
      <c r="T180" s="457"/>
      <c r="U180" s="457"/>
      <c r="V180" s="340">
        <f>(-V37*9.81*V34)/(V179+V112)</f>
        <v>-0.12147648073561494</v>
      </c>
      <c r="W180" s="340" t="s">
        <v>700</v>
      </c>
      <c r="X180" s="302"/>
      <c r="Y180" s="302"/>
      <c r="Z180" s="302"/>
      <c r="AA180" s="302"/>
      <c r="AB180" s="302"/>
      <c r="AC180" s="302"/>
      <c r="AD180" s="302"/>
      <c r="AE180" s="302"/>
      <c r="AF180" s="302"/>
      <c r="AG180" s="302"/>
      <c r="AH180" s="302"/>
      <c r="AI180" s="302"/>
      <c r="AJ180" s="302"/>
      <c r="AK180" s="140"/>
      <c r="AL180" s="140"/>
      <c r="AM180" s="140"/>
      <c r="AN180" s="140"/>
      <c r="AO180" s="140"/>
      <c r="AP180" s="140"/>
    </row>
    <row r="181" spans="1:42" x14ac:dyDescent="0.3">
      <c r="A181" s="302"/>
      <c r="B181" s="302"/>
      <c r="C181" s="302"/>
      <c r="D181" s="302"/>
      <c r="E181" s="302"/>
      <c r="F181" s="302"/>
      <c r="G181" s="302"/>
      <c r="H181" s="302"/>
      <c r="I181" s="302"/>
      <c r="J181" s="302"/>
      <c r="K181" s="302"/>
      <c r="L181" s="302"/>
      <c r="M181" s="457" t="s">
        <v>455</v>
      </c>
      <c r="N181" s="457"/>
      <c r="O181" s="457"/>
      <c r="P181" s="457"/>
      <c r="Q181" s="457"/>
      <c r="R181" s="457"/>
      <c r="S181" s="457"/>
      <c r="T181" s="457"/>
      <c r="U181" s="457"/>
      <c r="V181" s="327">
        <f>V108*V109/C7*V34*(V166+V167)/(V166+V167+V179)+(V36/C8)*V31</f>
        <v>99.062898442614241</v>
      </c>
      <c r="W181" s="327" t="s">
        <v>326</v>
      </c>
      <c r="X181" s="302"/>
      <c r="Y181" s="302"/>
      <c r="Z181" s="302"/>
      <c r="AA181" s="302"/>
      <c r="AB181" s="302"/>
      <c r="AC181" s="302"/>
      <c r="AD181" s="302"/>
      <c r="AE181" s="302"/>
      <c r="AF181" s="302"/>
      <c r="AG181" s="302"/>
      <c r="AH181" s="302"/>
      <c r="AI181" s="302"/>
      <c r="AJ181" s="302"/>
      <c r="AK181" s="140"/>
      <c r="AL181" s="140"/>
      <c r="AM181" s="140"/>
      <c r="AN181" s="140"/>
      <c r="AO181" s="140"/>
      <c r="AP181" s="140"/>
    </row>
    <row r="182" spans="1:42" x14ac:dyDescent="0.3">
      <c r="A182" s="302"/>
      <c r="B182" s="302"/>
      <c r="C182" s="302"/>
      <c r="D182" s="302"/>
      <c r="E182" s="302"/>
      <c r="F182" s="302"/>
      <c r="G182" s="302"/>
      <c r="H182" s="302"/>
      <c r="I182" s="302"/>
      <c r="J182" s="302"/>
      <c r="K182" s="302"/>
      <c r="L182" s="302"/>
      <c r="M182" s="457" t="s">
        <v>456</v>
      </c>
      <c r="N182" s="457"/>
      <c r="O182" s="457"/>
      <c r="P182" s="457"/>
      <c r="Q182" s="457"/>
      <c r="R182" s="457"/>
      <c r="S182" s="457"/>
      <c r="T182" s="457"/>
      <c r="U182" s="457"/>
      <c r="V182" s="327">
        <f>V108*V109/C7*V34*(V179)/(V166+V167+V179)+(V35/C8)*V32</f>
        <v>44.037168224052408</v>
      </c>
      <c r="W182" s="327" t="s">
        <v>326</v>
      </c>
      <c r="X182" s="302"/>
      <c r="Y182" s="302"/>
      <c r="Z182" s="302"/>
      <c r="AA182" s="302"/>
      <c r="AB182" s="302"/>
      <c r="AC182" s="302"/>
      <c r="AD182" s="302"/>
      <c r="AE182" s="302"/>
      <c r="AF182" s="302"/>
      <c r="AG182" s="302"/>
      <c r="AH182" s="302"/>
      <c r="AI182" s="302"/>
      <c r="AJ182" s="302"/>
      <c r="AK182" s="140"/>
      <c r="AL182" s="140"/>
      <c r="AM182" s="140"/>
      <c r="AN182" s="140"/>
      <c r="AO182" s="140"/>
      <c r="AP182" s="140"/>
    </row>
    <row r="183" spans="1:42" x14ac:dyDescent="0.3">
      <c r="A183" s="302"/>
      <c r="B183" s="302"/>
      <c r="C183" s="302"/>
      <c r="D183" s="302"/>
      <c r="E183" s="302"/>
      <c r="F183" s="302"/>
      <c r="G183" s="302"/>
      <c r="H183" s="302"/>
      <c r="I183" s="302"/>
      <c r="J183" s="302"/>
      <c r="K183" s="302"/>
      <c r="L183" s="302"/>
      <c r="M183" s="458" t="s">
        <v>460</v>
      </c>
      <c r="N183" s="458"/>
      <c r="O183" s="458"/>
      <c r="P183" s="457" t="s">
        <v>461</v>
      </c>
      <c r="Q183" s="457"/>
      <c r="R183" s="457"/>
      <c r="S183" s="457"/>
      <c r="T183" s="457"/>
      <c r="U183" s="327">
        <f>U117/2+V181</f>
        <v>239.06289844261426</v>
      </c>
      <c r="V183" s="327">
        <f>U183*9.81</f>
        <v>2345.2070337220462</v>
      </c>
      <c r="W183" s="327" t="s">
        <v>458</v>
      </c>
      <c r="X183" s="302"/>
      <c r="Y183" s="302"/>
      <c r="Z183" s="302"/>
      <c r="AA183" s="302"/>
      <c r="AB183" s="302"/>
      <c r="AC183" s="302"/>
      <c r="AD183" s="302"/>
      <c r="AE183" s="302"/>
      <c r="AF183" s="302"/>
      <c r="AG183" s="302"/>
      <c r="AH183" s="302"/>
      <c r="AI183" s="302"/>
      <c r="AJ183" s="302"/>
      <c r="AK183" s="140"/>
      <c r="AL183" s="140"/>
      <c r="AM183" s="140"/>
      <c r="AN183" s="140"/>
      <c r="AO183" s="140"/>
      <c r="AP183" s="140"/>
    </row>
    <row r="184" spans="1:42" x14ac:dyDescent="0.3">
      <c r="A184" s="302"/>
      <c r="B184" s="302"/>
      <c r="C184" s="302"/>
      <c r="D184" s="302"/>
      <c r="E184" s="302"/>
      <c r="F184" s="302"/>
      <c r="G184" s="302"/>
      <c r="H184" s="302"/>
      <c r="I184" s="302"/>
      <c r="J184" s="302"/>
      <c r="K184" s="302"/>
      <c r="L184" s="302"/>
      <c r="M184" s="458"/>
      <c r="N184" s="458"/>
      <c r="O184" s="458"/>
      <c r="P184" s="457" t="s">
        <v>462</v>
      </c>
      <c r="Q184" s="457"/>
      <c r="R184" s="457"/>
      <c r="S184" s="457"/>
      <c r="T184" s="457"/>
      <c r="U184" s="327">
        <f>U117/2-V181</f>
        <v>40.937101557385759</v>
      </c>
      <c r="V184" s="327">
        <f t="shared" ref="V184:V186" si="51">U184*9.81</f>
        <v>401.5929662779543</v>
      </c>
      <c r="W184" s="327" t="s">
        <v>458</v>
      </c>
      <c r="X184" s="302"/>
      <c r="Y184" s="302"/>
      <c r="Z184" s="302"/>
      <c r="AA184" s="302"/>
      <c r="AB184" s="302"/>
      <c r="AC184" s="302"/>
      <c r="AD184" s="302"/>
      <c r="AE184" s="302"/>
      <c r="AF184" s="302"/>
      <c r="AG184" s="302"/>
      <c r="AH184" s="302"/>
      <c r="AI184" s="302"/>
      <c r="AJ184" s="302"/>
      <c r="AK184" s="140"/>
      <c r="AL184" s="140"/>
      <c r="AM184" s="140"/>
      <c r="AN184" s="140"/>
      <c r="AO184" s="140"/>
      <c r="AP184" s="140"/>
    </row>
    <row r="185" spans="1:42" x14ac:dyDescent="0.3">
      <c r="A185" s="302"/>
      <c r="B185" s="302"/>
      <c r="C185" s="302"/>
      <c r="D185" s="302"/>
      <c r="E185" s="302"/>
      <c r="F185" s="302"/>
      <c r="G185" s="302"/>
      <c r="H185" s="302"/>
      <c r="I185" s="302"/>
      <c r="J185" s="302"/>
      <c r="K185" s="302"/>
      <c r="L185" s="302"/>
      <c r="M185" s="458"/>
      <c r="N185" s="458"/>
      <c r="O185" s="458"/>
      <c r="P185" s="457" t="s">
        <v>463</v>
      </c>
      <c r="Q185" s="457"/>
      <c r="R185" s="457"/>
      <c r="S185" s="457"/>
      <c r="T185" s="457"/>
      <c r="U185" s="327">
        <f>U118/2+V182</f>
        <v>254.03716822405241</v>
      </c>
      <c r="V185" s="327">
        <f t="shared" si="51"/>
        <v>2492.1046202779544</v>
      </c>
      <c r="W185" s="327" t="s">
        <v>458</v>
      </c>
      <c r="X185" s="302"/>
      <c r="Y185" s="302"/>
      <c r="Z185" s="302"/>
      <c r="AA185" s="302"/>
      <c r="AB185" s="302"/>
      <c r="AC185" s="302"/>
      <c r="AD185" s="302"/>
      <c r="AE185" s="302"/>
      <c r="AF185" s="302"/>
      <c r="AG185" s="302"/>
      <c r="AH185" s="302"/>
      <c r="AI185" s="302"/>
      <c r="AJ185" s="302"/>
      <c r="AK185" s="140"/>
      <c r="AL185" s="140"/>
      <c r="AM185" s="140"/>
      <c r="AN185" s="140"/>
      <c r="AO185" s="140"/>
      <c r="AP185" s="140"/>
    </row>
    <row r="186" spans="1:42" x14ac:dyDescent="0.3">
      <c r="A186" s="302"/>
      <c r="B186" s="302"/>
      <c r="C186" s="302"/>
      <c r="D186" s="302"/>
      <c r="E186" s="302"/>
      <c r="F186" s="302"/>
      <c r="G186" s="302"/>
      <c r="H186" s="302"/>
      <c r="I186" s="302"/>
      <c r="J186" s="302"/>
      <c r="K186" s="302"/>
      <c r="L186" s="302"/>
      <c r="M186" s="458"/>
      <c r="N186" s="458"/>
      <c r="O186" s="458"/>
      <c r="P186" s="457" t="s">
        <v>464</v>
      </c>
      <c r="Q186" s="457"/>
      <c r="R186" s="457"/>
      <c r="S186" s="457"/>
      <c r="T186" s="457"/>
      <c r="U186" s="327">
        <f>U118/2-V182</f>
        <v>165.96283177594759</v>
      </c>
      <c r="V186" s="327">
        <f t="shared" si="51"/>
        <v>1628.0953797220459</v>
      </c>
      <c r="W186" s="327" t="s">
        <v>458</v>
      </c>
      <c r="X186" s="337"/>
      <c r="Y186" s="302"/>
      <c r="Z186" s="302"/>
      <c r="AA186" s="302"/>
      <c r="AB186" s="302"/>
      <c r="AC186" s="302"/>
      <c r="AD186" s="302"/>
      <c r="AE186" s="302"/>
      <c r="AF186" s="302"/>
      <c r="AG186" s="302"/>
      <c r="AH186" s="302"/>
      <c r="AI186" s="302"/>
      <c r="AJ186" s="302"/>
      <c r="AK186" s="140"/>
      <c r="AL186" s="140"/>
      <c r="AM186" s="140"/>
      <c r="AN186" s="140"/>
      <c r="AO186" s="140"/>
      <c r="AP186" s="140"/>
    </row>
    <row r="187" spans="1:42" x14ac:dyDescent="0.3">
      <c r="A187" s="302"/>
      <c r="B187" s="302"/>
      <c r="C187" s="302"/>
      <c r="D187" s="302"/>
      <c r="E187" s="302"/>
      <c r="F187" s="302"/>
      <c r="G187" s="302"/>
      <c r="H187" s="302"/>
      <c r="I187" s="302"/>
      <c r="J187" s="302"/>
      <c r="K187" s="302"/>
      <c r="L187" s="302"/>
      <c r="M187" s="474"/>
      <c r="N187" s="474"/>
      <c r="O187" s="474"/>
      <c r="P187" s="474"/>
      <c r="Q187" s="474"/>
      <c r="R187" s="474"/>
      <c r="S187" s="474"/>
      <c r="T187" s="474"/>
      <c r="U187" s="474"/>
      <c r="V187" s="474"/>
      <c r="W187" s="474"/>
      <c r="X187" s="302"/>
      <c r="Y187" s="302"/>
      <c r="Z187" s="302"/>
      <c r="AA187" s="302"/>
      <c r="AB187" s="302"/>
      <c r="AC187" s="302"/>
      <c r="AD187" s="302"/>
      <c r="AE187" s="302"/>
      <c r="AF187" s="302"/>
      <c r="AG187" s="302"/>
      <c r="AH187" s="302"/>
      <c r="AI187" s="302"/>
      <c r="AJ187" s="302"/>
      <c r="AK187" s="140"/>
      <c r="AL187" s="140"/>
      <c r="AM187" s="140"/>
      <c r="AN187" s="140"/>
      <c r="AO187" s="140"/>
      <c r="AP187" s="140"/>
    </row>
    <row r="188" spans="1:42" x14ac:dyDescent="0.3">
      <c r="A188" s="302"/>
      <c r="B188" s="302"/>
      <c r="C188" s="302"/>
      <c r="D188" s="302"/>
      <c r="E188" s="302"/>
      <c r="F188" s="302"/>
      <c r="G188" s="302"/>
      <c r="H188" s="302"/>
      <c r="I188" s="302"/>
      <c r="J188" s="302"/>
      <c r="K188" s="302"/>
      <c r="L188" s="302"/>
      <c r="M188" s="474" t="s">
        <v>701</v>
      </c>
      <c r="N188" s="474"/>
      <c r="O188" s="474"/>
      <c r="P188" s="474"/>
      <c r="Q188" s="474"/>
      <c r="R188" s="474"/>
      <c r="S188" s="474"/>
      <c r="T188" s="474"/>
      <c r="U188" s="474"/>
      <c r="V188" s="474"/>
      <c r="W188" s="474"/>
      <c r="X188" s="302"/>
      <c r="Y188" s="302"/>
      <c r="Z188" s="302"/>
      <c r="AA188" s="302"/>
      <c r="AB188" s="302"/>
      <c r="AC188" s="302"/>
      <c r="AD188" s="302"/>
      <c r="AE188" s="302"/>
      <c r="AF188" s="302"/>
      <c r="AG188" s="302"/>
      <c r="AH188" s="302"/>
      <c r="AI188" s="302"/>
      <c r="AJ188" s="302"/>
      <c r="AK188" s="140"/>
      <c r="AL188" s="140"/>
      <c r="AM188" s="140"/>
      <c r="AN188" s="140"/>
      <c r="AO188" s="140"/>
      <c r="AP188" s="140"/>
    </row>
    <row r="189" spans="1:42" x14ac:dyDescent="0.3">
      <c r="A189" s="302"/>
      <c r="B189" s="302"/>
      <c r="C189" s="302"/>
      <c r="D189" s="302"/>
      <c r="E189" s="302"/>
      <c r="F189" s="302"/>
      <c r="G189" s="302"/>
      <c r="H189" s="302"/>
      <c r="I189" s="302"/>
      <c r="J189" s="302"/>
      <c r="K189" s="302"/>
      <c r="L189" s="302"/>
      <c r="M189" s="474"/>
      <c r="N189" s="474"/>
      <c r="O189" s="474"/>
      <c r="P189" s="474"/>
      <c r="Q189" s="474"/>
      <c r="R189" s="474"/>
      <c r="S189" s="474"/>
      <c r="T189" s="474"/>
      <c r="U189" s="474"/>
      <c r="V189" s="474"/>
      <c r="W189" s="474"/>
      <c r="X189" s="302"/>
      <c r="Y189" s="302"/>
      <c r="Z189" s="302"/>
      <c r="AA189" s="302"/>
      <c r="AB189" s="302"/>
      <c r="AC189" s="302"/>
      <c r="AD189" s="302"/>
      <c r="AE189" s="302"/>
      <c r="AF189" s="302"/>
      <c r="AG189" s="302"/>
      <c r="AH189" s="302"/>
      <c r="AI189" s="302"/>
      <c r="AJ189" s="302"/>
      <c r="AK189" s="140"/>
      <c r="AL189" s="140"/>
      <c r="AM189" s="140"/>
      <c r="AN189" s="140"/>
      <c r="AO189" s="140"/>
      <c r="AP189" s="140"/>
    </row>
    <row r="190" spans="1:42" x14ac:dyDescent="0.3">
      <c r="A190" s="302"/>
      <c r="B190" s="302"/>
      <c r="C190" s="302"/>
      <c r="D190" s="302"/>
      <c r="E190" s="302"/>
      <c r="F190" s="302"/>
      <c r="G190" s="302"/>
      <c r="H190" s="341"/>
      <c r="I190" s="304"/>
      <c r="J190" s="304"/>
      <c r="K190" s="304"/>
      <c r="L190" s="304"/>
      <c r="M190" s="457" t="s">
        <v>702</v>
      </c>
      <c r="N190" s="457"/>
      <c r="O190" s="457"/>
      <c r="P190" s="457"/>
      <c r="Q190" s="457"/>
      <c r="R190" s="457"/>
      <c r="S190" s="457"/>
      <c r="T190" s="457"/>
      <c r="U190" s="457"/>
      <c r="V190" s="327">
        <f>V168/V212^2/(C6^2/V192^2)</f>
        <v>2.213909617360696</v>
      </c>
      <c r="W190" s="327" t="s">
        <v>489</v>
      </c>
      <c r="X190" s="302"/>
      <c r="Y190" s="302"/>
      <c r="Z190" s="302"/>
      <c r="AA190" s="302"/>
      <c r="AB190" s="302"/>
      <c r="AC190" s="302"/>
      <c r="AD190" s="302"/>
      <c r="AE190" s="302"/>
      <c r="AF190" s="302"/>
      <c r="AG190" s="302"/>
      <c r="AH190" s="302"/>
      <c r="AI190" s="302"/>
      <c r="AJ190" s="302"/>
      <c r="AK190" s="140"/>
      <c r="AL190" s="140"/>
      <c r="AM190" s="140"/>
      <c r="AN190" s="140"/>
      <c r="AO190" s="140"/>
      <c r="AP190" s="140"/>
    </row>
    <row r="191" spans="1:42" x14ac:dyDescent="0.3">
      <c r="A191" s="302"/>
      <c r="B191" s="302"/>
      <c r="C191" s="302"/>
      <c r="D191" s="302"/>
      <c r="E191" s="302"/>
      <c r="F191" s="302"/>
      <c r="G191" s="302"/>
      <c r="H191" s="304"/>
      <c r="I191" s="304"/>
      <c r="J191" s="304"/>
      <c r="K191" s="304"/>
      <c r="L191" s="304"/>
      <c r="M191" s="457" t="s">
        <v>703</v>
      </c>
      <c r="N191" s="457"/>
      <c r="O191" s="457"/>
      <c r="P191" s="457"/>
      <c r="Q191" s="457"/>
      <c r="R191" s="457"/>
      <c r="S191" s="457"/>
      <c r="T191" s="457"/>
      <c r="U191" s="457"/>
      <c r="V191" s="327">
        <f>V169/V213^2/(C7^2/V193^2)</f>
        <v>88.841484251542596</v>
      </c>
      <c r="W191" s="327" t="s">
        <v>489</v>
      </c>
      <c r="X191" s="302"/>
      <c r="Y191" s="302"/>
      <c r="Z191" s="302"/>
      <c r="AA191" s="302"/>
      <c r="AB191" s="302"/>
      <c r="AC191" s="302"/>
      <c r="AD191" s="302"/>
      <c r="AE191" s="302"/>
      <c r="AF191" s="302"/>
      <c r="AG191" s="302"/>
      <c r="AH191" s="302"/>
      <c r="AI191" s="302"/>
      <c r="AJ191" s="302"/>
      <c r="AK191" s="140"/>
      <c r="AL191" s="140"/>
      <c r="AM191" s="140"/>
      <c r="AN191" s="140"/>
      <c r="AO191" s="140"/>
      <c r="AP191" s="140"/>
    </row>
    <row r="192" spans="1:42" x14ac:dyDescent="0.3">
      <c r="A192" s="302"/>
      <c r="B192" s="302"/>
      <c r="C192" s="302"/>
      <c r="D192" s="302"/>
      <c r="E192" s="302"/>
      <c r="F192" s="302"/>
      <c r="G192" s="302"/>
      <c r="H192" s="302"/>
      <c r="I192" s="302"/>
      <c r="J192" s="302"/>
      <c r="K192" s="302"/>
      <c r="L192" s="302"/>
      <c r="M192" s="447" t="s">
        <v>704</v>
      </c>
      <c r="N192" s="447"/>
      <c r="O192" s="447"/>
      <c r="P192" s="447"/>
      <c r="Q192" s="447"/>
      <c r="R192" s="447"/>
      <c r="S192" s="447"/>
      <c r="T192" s="447"/>
      <c r="U192" s="447"/>
      <c r="V192" s="321">
        <v>0.13</v>
      </c>
      <c r="W192" s="321" t="s">
        <v>339</v>
      </c>
      <c r="X192" s="302"/>
      <c r="Y192" s="302"/>
      <c r="Z192" s="302"/>
      <c r="AA192" s="302"/>
      <c r="AB192" s="302"/>
      <c r="AC192" s="302"/>
      <c r="AD192" s="302"/>
      <c r="AE192" s="302"/>
      <c r="AF192" s="302"/>
      <c r="AG192" s="302"/>
      <c r="AH192" s="302"/>
      <c r="AI192" s="302"/>
      <c r="AJ192" s="302"/>
      <c r="AK192" s="140"/>
      <c r="AL192" s="140"/>
      <c r="AM192" s="140"/>
      <c r="AN192" s="140"/>
      <c r="AO192" s="140"/>
      <c r="AP192" s="140"/>
    </row>
    <row r="193" spans="1:42" x14ac:dyDescent="0.3">
      <c r="A193" s="302"/>
      <c r="B193" s="302"/>
      <c r="C193" s="302"/>
      <c r="D193" s="302"/>
      <c r="E193" s="302"/>
      <c r="F193" s="302"/>
      <c r="G193" s="302"/>
      <c r="H193" s="302"/>
      <c r="I193" s="302"/>
      <c r="J193" s="302"/>
      <c r="K193" s="302"/>
      <c r="L193" s="302"/>
      <c r="M193" s="447" t="s">
        <v>705</v>
      </c>
      <c r="N193" s="447"/>
      <c r="O193" s="447"/>
      <c r="P193" s="447"/>
      <c r="Q193" s="447"/>
      <c r="R193" s="447"/>
      <c r="S193" s="447"/>
      <c r="T193" s="447"/>
      <c r="U193" s="447"/>
      <c r="V193" s="321">
        <v>0.13</v>
      </c>
      <c r="W193" s="321" t="s">
        <v>339</v>
      </c>
      <c r="X193" s="302"/>
      <c r="Y193" s="332"/>
      <c r="Z193" s="332"/>
      <c r="AA193" s="332"/>
      <c r="AB193" s="332"/>
      <c r="AC193" s="332"/>
      <c r="AD193" s="332"/>
      <c r="AE193" s="332"/>
      <c r="AF193" s="332"/>
      <c r="AG193" s="332"/>
      <c r="AH193" s="332"/>
      <c r="AI193" s="332"/>
      <c r="AJ193" s="302"/>
      <c r="AK193" s="140"/>
      <c r="AL193" s="140"/>
      <c r="AM193" s="140"/>
      <c r="AN193" s="140"/>
      <c r="AO193" s="140"/>
      <c r="AP193" s="140"/>
    </row>
    <row r="194" spans="1:42" x14ac:dyDescent="0.3">
      <c r="A194" s="302"/>
      <c r="B194" s="302"/>
      <c r="C194" s="302"/>
      <c r="D194" s="302"/>
      <c r="E194" s="302"/>
      <c r="F194" s="302"/>
      <c r="G194" s="302"/>
      <c r="H194" s="302"/>
      <c r="I194" s="302"/>
      <c r="J194" s="302"/>
      <c r="K194" s="302"/>
      <c r="L194" s="302"/>
      <c r="M194" s="447" t="s">
        <v>706</v>
      </c>
      <c r="N194" s="447"/>
      <c r="O194" s="447"/>
      <c r="P194" s="447"/>
      <c r="Q194" s="447"/>
      <c r="R194" s="447"/>
      <c r="S194" s="447"/>
      <c r="T194" s="447"/>
      <c r="U194" s="321" t="s">
        <v>707</v>
      </c>
      <c r="V194" s="321">
        <v>0.26</v>
      </c>
      <c r="W194" s="321" t="s">
        <v>339</v>
      </c>
      <c r="X194" s="302"/>
      <c r="Y194" s="302"/>
      <c r="Z194" s="302"/>
      <c r="AA194" s="302"/>
      <c r="AB194" s="302"/>
      <c r="AC194" s="302"/>
      <c r="AD194" s="302"/>
      <c r="AE194" s="302"/>
      <c r="AF194" s="302"/>
      <c r="AG194" s="302"/>
      <c r="AH194" s="302"/>
      <c r="AI194" s="302"/>
      <c r="AJ194" s="302"/>
      <c r="AK194" s="140"/>
      <c r="AL194" s="140"/>
      <c r="AM194" s="140"/>
      <c r="AN194" s="140"/>
      <c r="AO194" s="140"/>
      <c r="AP194" s="140"/>
    </row>
    <row r="195" spans="1:42" x14ac:dyDescent="0.3">
      <c r="A195" s="302"/>
      <c r="B195" s="302"/>
      <c r="C195" s="302"/>
      <c r="D195" s="302"/>
      <c r="E195" s="302"/>
      <c r="F195" s="302"/>
      <c r="G195" s="302"/>
      <c r="H195" s="302"/>
      <c r="I195" s="302"/>
      <c r="J195" s="302"/>
      <c r="K195" s="302"/>
      <c r="L195" s="302"/>
      <c r="M195" s="447"/>
      <c r="N195" s="447"/>
      <c r="O195" s="447"/>
      <c r="P195" s="447"/>
      <c r="Q195" s="447"/>
      <c r="R195" s="447"/>
      <c r="S195" s="447"/>
      <c r="T195" s="447"/>
      <c r="U195" s="321" t="s">
        <v>708</v>
      </c>
      <c r="V195" s="321">
        <v>0.3</v>
      </c>
      <c r="W195" s="321" t="s">
        <v>339</v>
      </c>
      <c r="X195" s="302"/>
      <c r="Y195" s="302"/>
      <c r="Z195" s="302"/>
      <c r="AA195" s="302"/>
      <c r="AB195" s="302"/>
      <c r="AC195" s="302"/>
      <c r="AD195" s="302"/>
      <c r="AE195" s="302"/>
      <c r="AF195" s="302"/>
      <c r="AG195" s="302"/>
      <c r="AH195" s="302"/>
      <c r="AI195" s="302"/>
      <c r="AJ195" s="302"/>
      <c r="AK195" s="140"/>
      <c r="AL195" s="140"/>
      <c r="AM195" s="140"/>
      <c r="AN195" s="140"/>
      <c r="AO195" s="140"/>
      <c r="AP195" s="140"/>
    </row>
    <row r="196" spans="1:42" x14ac:dyDescent="0.3">
      <c r="A196" s="302"/>
      <c r="B196" s="302"/>
      <c r="C196" s="302"/>
      <c r="D196" s="302"/>
      <c r="E196" s="302"/>
      <c r="F196" s="302"/>
      <c r="G196" s="302"/>
      <c r="H196" s="302"/>
      <c r="I196" s="302"/>
      <c r="J196" s="302"/>
      <c r="K196" s="302"/>
      <c r="L196" s="302"/>
      <c r="M196" s="447" t="s">
        <v>709</v>
      </c>
      <c r="N196" s="447"/>
      <c r="O196" s="447"/>
      <c r="P196" s="447"/>
      <c r="Q196" s="447"/>
      <c r="R196" s="447"/>
      <c r="S196" s="447"/>
      <c r="T196" s="447"/>
      <c r="U196" s="321" t="s">
        <v>707</v>
      </c>
      <c r="V196" s="321">
        <v>0.26</v>
      </c>
      <c r="W196" s="321" t="s">
        <v>339</v>
      </c>
      <c r="X196" s="302"/>
      <c r="Y196" s="302"/>
      <c r="Z196" s="302"/>
      <c r="AA196" s="302"/>
      <c r="AB196" s="302"/>
      <c r="AC196" s="302"/>
      <c r="AD196" s="302"/>
      <c r="AE196" s="302"/>
      <c r="AF196" s="302"/>
      <c r="AG196" s="302"/>
      <c r="AH196" s="302"/>
      <c r="AI196" s="302"/>
      <c r="AJ196" s="302"/>
      <c r="AK196" s="140"/>
      <c r="AL196" s="140"/>
      <c r="AM196" s="140"/>
      <c r="AN196" s="140"/>
      <c r="AO196" s="140"/>
      <c r="AP196" s="140"/>
    </row>
    <row r="197" spans="1:42" x14ac:dyDescent="0.3">
      <c r="A197" s="302"/>
      <c r="B197" s="302"/>
      <c r="C197" s="302"/>
      <c r="D197" s="302"/>
      <c r="E197" s="302"/>
      <c r="F197" s="302"/>
      <c r="G197" s="302"/>
      <c r="H197" s="302"/>
      <c r="I197" s="302"/>
      <c r="J197" s="302"/>
      <c r="K197" s="302"/>
      <c r="L197" s="302"/>
      <c r="M197" s="447"/>
      <c r="N197" s="447"/>
      <c r="O197" s="447"/>
      <c r="P197" s="447"/>
      <c r="Q197" s="447"/>
      <c r="R197" s="447"/>
      <c r="S197" s="447"/>
      <c r="T197" s="447"/>
      <c r="U197" s="321" t="s">
        <v>708</v>
      </c>
      <c r="V197" s="321">
        <v>0.3</v>
      </c>
      <c r="W197" s="321" t="s">
        <v>339</v>
      </c>
      <c r="X197" s="302"/>
      <c r="Y197" s="302"/>
      <c r="Z197" s="302"/>
      <c r="AA197" s="302"/>
      <c r="AB197" s="302"/>
      <c r="AC197" s="302"/>
      <c r="AD197" s="302"/>
      <c r="AE197" s="302"/>
      <c r="AF197" s="302"/>
      <c r="AG197" s="302"/>
      <c r="AH197" s="302"/>
      <c r="AI197" s="302"/>
      <c r="AJ197" s="302"/>
      <c r="AK197" s="140"/>
      <c r="AL197" s="140"/>
      <c r="AM197" s="140"/>
      <c r="AN197" s="140"/>
      <c r="AO197" s="140"/>
      <c r="AP197" s="140"/>
    </row>
    <row r="198" spans="1:42" x14ac:dyDescent="0.3">
      <c r="A198" s="302"/>
      <c r="B198" s="302"/>
      <c r="C198" s="302"/>
      <c r="D198" s="302"/>
      <c r="E198" s="302"/>
      <c r="F198" s="302"/>
      <c r="G198" s="302"/>
      <c r="H198" s="475" t="s">
        <v>710</v>
      </c>
      <c r="I198" s="476"/>
      <c r="J198" s="476"/>
      <c r="K198" s="476"/>
      <c r="L198" s="476"/>
      <c r="M198" s="481" t="s">
        <v>711</v>
      </c>
      <c r="N198" s="481"/>
      <c r="O198" s="481"/>
      <c r="P198" s="481"/>
      <c r="Q198" s="481"/>
      <c r="R198" s="481"/>
      <c r="S198" s="481" t="s">
        <v>712</v>
      </c>
      <c r="T198" s="481"/>
      <c r="U198" s="342" t="s">
        <v>412</v>
      </c>
      <c r="V198" s="342">
        <v>1</v>
      </c>
      <c r="W198" s="342" t="s">
        <v>339</v>
      </c>
      <c r="X198" s="302"/>
      <c r="Y198" s="302"/>
      <c r="Z198" s="302"/>
      <c r="AA198" s="302"/>
      <c r="AB198" s="302"/>
      <c r="AC198" s="302"/>
      <c r="AD198" s="302"/>
      <c r="AE198" s="302"/>
      <c r="AF198" s="302"/>
      <c r="AG198" s="302"/>
      <c r="AH198" s="302"/>
      <c r="AI198" s="302"/>
      <c r="AJ198" s="302"/>
      <c r="AK198" s="140"/>
      <c r="AL198" s="140"/>
      <c r="AM198" s="140"/>
      <c r="AN198" s="140"/>
      <c r="AO198" s="140"/>
      <c r="AP198" s="140"/>
    </row>
    <row r="199" spans="1:42" x14ac:dyDescent="0.3">
      <c r="A199" s="302"/>
      <c r="B199" s="302"/>
      <c r="C199" s="302"/>
      <c r="D199" s="302"/>
      <c r="E199" s="302"/>
      <c r="F199" s="302"/>
      <c r="G199" s="302"/>
      <c r="H199" s="477"/>
      <c r="I199" s="478"/>
      <c r="J199" s="478"/>
      <c r="K199" s="478"/>
      <c r="L199" s="478"/>
      <c r="M199" s="481"/>
      <c r="N199" s="481"/>
      <c r="O199" s="481"/>
      <c r="P199" s="481"/>
      <c r="Q199" s="481"/>
      <c r="R199" s="481"/>
      <c r="S199" s="481"/>
      <c r="T199" s="481"/>
      <c r="U199" s="342" t="s">
        <v>713</v>
      </c>
      <c r="V199" s="342">
        <v>1</v>
      </c>
      <c r="W199" s="342" t="s">
        <v>339</v>
      </c>
      <c r="X199" s="302"/>
      <c r="Y199" s="302"/>
      <c r="Z199" s="302"/>
      <c r="AA199" s="302"/>
      <c r="AB199" s="302"/>
      <c r="AC199" s="302"/>
      <c r="AD199" s="302"/>
      <c r="AE199" s="302"/>
      <c r="AF199" s="302"/>
      <c r="AG199" s="302"/>
      <c r="AH199" s="302"/>
      <c r="AI199" s="302"/>
      <c r="AJ199" s="302"/>
      <c r="AK199" s="140"/>
      <c r="AL199" s="140"/>
      <c r="AM199" s="140"/>
      <c r="AN199" s="140"/>
      <c r="AO199" s="140"/>
      <c r="AP199" s="140"/>
    </row>
    <row r="200" spans="1:42" x14ac:dyDescent="0.3">
      <c r="A200" s="302"/>
      <c r="B200" s="302"/>
      <c r="C200" s="302"/>
      <c r="D200" s="302"/>
      <c r="E200" s="302"/>
      <c r="F200" s="302"/>
      <c r="G200" s="302"/>
      <c r="H200" s="477"/>
      <c r="I200" s="478"/>
      <c r="J200" s="478"/>
      <c r="K200" s="478"/>
      <c r="L200" s="478"/>
      <c r="M200" s="481"/>
      <c r="N200" s="481"/>
      <c r="O200" s="481"/>
      <c r="P200" s="481"/>
      <c r="Q200" s="481"/>
      <c r="R200" s="481"/>
      <c r="S200" s="481" t="s">
        <v>714</v>
      </c>
      <c r="T200" s="481"/>
      <c r="U200" s="342" t="s">
        <v>412</v>
      </c>
      <c r="V200" s="342">
        <v>1</v>
      </c>
      <c r="W200" s="342" t="s">
        <v>339</v>
      </c>
      <c r="X200" s="302"/>
      <c r="Y200" s="302"/>
      <c r="Z200" s="302"/>
      <c r="AA200" s="302"/>
      <c r="AB200" s="302"/>
      <c r="AC200" s="302"/>
      <c r="AD200" s="302"/>
      <c r="AE200" s="302"/>
      <c r="AF200" s="302"/>
      <c r="AG200" s="302"/>
      <c r="AH200" s="302"/>
      <c r="AI200" s="302"/>
      <c r="AJ200" s="302"/>
      <c r="AK200" s="140"/>
      <c r="AL200" s="140"/>
      <c r="AM200" s="140"/>
      <c r="AN200" s="140"/>
      <c r="AO200" s="140"/>
      <c r="AP200" s="140"/>
    </row>
    <row r="201" spans="1:42" x14ac:dyDescent="0.3">
      <c r="A201" s="302"/>
      <c r="B201" s="302"/>
      <c r="C201" s="302"/>
      <c r="D201" s="302"/>
      <c r="E201" s="302"/>
      <c r="F201" s="302"/>
      <c r="G201" s="302"/>
      <c r="H201" s="479"/>
      <c r="I201" s="480"/>
      <c r="J201" s="480"/>
      <c r="K201" s="480"/>
      <c r="L201" s="480"/>
      <c r="M201" s="481"/>
      <c r="N201" s="481"/>
      <c r="O201" s="481"/>
      <c r="P201" s="481"/>
      <c r="Q201" s="481"/>
      <c r="R201" s="481"/>
      <c r="S201" s="481"/>
      <c r="T201" s="481"/>
      <c r="U201" s="342" t="s">
        <v>713</v>
      </c>
      <c r="V201" s="342">
        <v>1</v>
      </c>
      <c r="W201" s="342" t="s">
        <v>339</v>
      </c>
      <c r="X201" s="302"/>
      <c r="Y201" s="302"/>
      <c r="Z201" s="302"/>
      <c r="AA201" s="302"/>
      <c r="AB201" s="302"/>
      <c r="AC201" s="302"/>
      <c r="AD201" s="302"/>
      <c r="AE201" s="302"/>
      <c r="AF201" s="302"/>
      <c r="AG201" s="302"/>
      <c r="AH201" s="302"/>
      <c r="AI201" s="302"/>
      <c r="AJ201" s="302"/>
      <c r="AK201" s="140"/>
      <c r="AL201" s="140"/>
      <c r="AM201" s="140"/>
      <c r="AN201" s="140"/>
      <c r="AO201" s="140"/>
      <c r="AP201" s="140"/>
    </row>
    <row r="202" spans="1:42" x14ac:dyDescent="0.3">
      <c r="A202" s="302"/>
      <c r="B202" s="302"/>
      <c r="C202" s="302"/>
      <c r="D202" s="302"/>
      <c r="E202" s="302"/>
      <c r="F202" s="302"/>
      <c r="G202" s="302"/>
      <c r="H202" s="302"/>
      <c r="I202" s="302"/>
      <c r="J202" s="302"/>
      <c r="K202" s="302"/>
      <c r="L202" s="302"/>
      <c r="M202" s="447" t="s">
        <v>715</v>
      </c>
      <c r="N202" s="447"/>
      <c r="O202" s="447"/>
      <c r="P202" s="447"/>
      <c r="Q202" s="447"/>
      <c r="R202" s="447"/>
      <c r="S202" s="447"/>
      <c r="T202" s="447"/>
      <c r="U202" s="321" t="s">
        <v>708</v>
      </c>
      <c r="V202" s="321">
        <v>0.26</v>
      </c>
      <c r="W202" s="321" t="s">
        <v>339</v>
      </c>
      <c r="X202" s="302"/>
      <c r="Y202" s="302"/>
      <c r="Z202" s="302"/>
      <c r="AA202" s="302"/>
      <c r="AB202" s="302"/>
      <c r="AC202" s="302"/>
      <c r="AD202" s="302"/>
      <c r="AE202" s="302"/>
      <c r="AF202" s="302"/>
      <c r="AG202" s="302"/>
      <c r="AH202" s="302"/>
      <c r="AI202" s="302"/>
      <c r="AJ202" s="302"/>
      <c r="AK202" s="140"/>
      <c r="AL202" s="140"/>
      <c r="AM202" s="140"/>
      <c r="AN202" s="140"/>
      <c r="AO202" s="140"/>
      <c r="AP202" s="140"/>
    </row>
    <row r="203" spans="1:42" x14ac:dyDescent="0.3">
      <c r="A203" s="302"/>
      <c r="B203" s="302"/>
      <c r="C203" s="302"/>
      <c r="D203" s="302"/>
      <c r="E203" s="302"/>
      <c r="F203" s="302"/>
      <c r="G203" s="302"/>
      <c r="H203" s="302"/>
      <c r="I203" s="302"/>
      <c r="J203" s="302"/>
      <c r="K203" s="302"/>
      <c r="L203" s="302"/>
      <c r="M203" s="447"/>
      <c r="N203" s="447"/>
      <c r="O203" s="447"/>
      <c r="P203" s="447"/>
      <c r="Q203" s="447"/>
      <c r="R203" s="447"/>
      <c r="S203" s="447"/>
      <c r="T203" s="447"/>
      <c r="U203" s="321" t="s">
        <v>707</v>
      </c>
      <c r="V203" s="321">
        <v>0.3</v>
      </c>
      <c r="W203" s="321" t="s">
        <v>339</v>
      </c>
      <c r="X203" s="302"/>
      <c r="Y203" s="302"/>
      <c r="Z203" s="302"/>
      <c r="AA203" s="302"/>
      <c r="AB203" s="302"/>
      <c r="AC203" s="302"/>
      <c r="AD203" s="302"/>
      <c r="AE203" s="302"/>
      <c r="AF203" s="302"/>
      <c r="AG203" s="302"/>
      <c r="AH203" s="302"/>
      <c r="AI203" s="302"/>
      <c r="AJ203" s="302"/>
      <c r="AK203" s="140"/>
      <c r="AL203" s="140"/>
      <c r="AM203" s="140"/>
      <c r="AN203" s="140"/>
      <c r="AO203" s="140"/>
      <c r="AP203" s="140"/>
    </row>
    <row r="204" spans="1:42" x14ac:dyDescent="0.3">
      <c r="A204" s="302"/>
      <c r="B204" s="302"/>
      <c r="C204" s="302"/>
      <c r="D204" s="302"/>
      <c r="E204" s="302"/>
      <c r="F204" s="302"/>
      <c r="G204" s="302"/>
      <c r="H204" s="302"/>
      <c r="I204" s="302"/>
      <c r="J204" s="302"/>
      <c r="K204" s="302"/>
      <c r="L204" s="302"/>
      <c r="M204" s="447" t="s">
        <v>716</v>
      </c>
      <c r="N204" s="447"/>
      <c r="O204" s="447"/>
      <c r="P204" s="447"/>
      <c r="Q204" s="447"/>
      <c r="R204" s="447"/>
      <c r="S204" s="447"/>
      <c r="T204" s="447"/>
      <c r="U204" s="321" t="s">
        <v>708</v>
      </c>
      <c r="V204" s="321">
        <v>0.26</v>
      </c>
      <c r="W204" s="321" t="s">
        <v>339</v>
      </c>
      <c r="X204" s="302"/>
      <c r="Y204" s="302"/>
      <c r="Z204" s="302"/>
      <c r="AA204" s="302"/>
      <c r="AB204" s="302"/>
      <c r="AC204" s="302"/>
      <c r="AD204" s="302"/>
      <c r="AE204" s="302"/>
      <c r="AF204" s="302"/>
      <c r="AG204" s="302"/>
      <c r="AH204" s="302"/>
      <c r="AI204" s="302"/>
      <c r="AJ204" s="302"/>
      <c r="AK204" s="140"/>
      <c r="AL204" s="140"/>
      <c r="AM204" s="140"/>
      <c r="AN204" s="140"/>
      <c r="AO204" s="140"/>
      <c r="AP204" s="140"/>
    </row>
    <row r="205" spans="1:42" x14ac:dyDescent="0.3">
      <c r="A205" s="302"/>
      <c r="B205" s="302"/>
      <c r="C205" s="302"/>
      <c r="D205" s="302"/>
      <c r="E205" s="302"/>
      <c r="F205" s="302"/>
      <c r="G205" s="302"/>
      <c r="H205" s="302"/>
      <c r="I205" s="302"/>
      <c r="J205" s="302"/>
      <c r="K205" s="302"/>
      <c r="L205" s="302"/>
      <c r="M205" s="447"/>
      <c r="N205" s="447"/>
      <c r="O205" s="447"/>
      <c r="P205" s="447"/>
      <c r="Q205" s="447"/>
      <c r="R205" s="447"/>
      <c r="S205" s="447"/>
      <c r="T205" s="447"/>
      <c r="U205" s="321" t="s">
        <v>707</v>
      </c>
      <c r="V205" s="321">
        <v>0.3</v>
      </c>
      <c r="W205" s="321" t="s">
        <v>339</v>
      </c>
      <c r="X205" s="302"/>
      <c r="Y205" s="302"/>
      <c r="Z205" s="302"/>
      <c r="AA205" s="302"/>
      <c r="AB205" s="302"/>
      <c r="AC205" s="302"/>
      <c r="AD205" s="302"/>
      <c r="AE205" s="302"/>
      <c r="AF205" s="302"/>
      <c r="AG205" s="302"/>
      <c r="AH205" s="302"/>
      <c r="AI205" s="302"/>
      <c r="AJ205" s="302"/>
      <c r="AK205" s="140"/>
      <c r="AL205" s="140"/>
      <c r="AM205" s="140"/>
      <c r="AN205" s="140"/>
      <c r="AO205" s="140"/>
      <c r="AP205" s="140"/>
    </row>
    <row r="206" spans="1:42" x14ac:dyDescent="0.3">
      <c r="A206" s="302"/>
      <c r="B206" s="302"/>
      <c r="C206" s="302"/>
      <c r="D206" s="302"/>
      <c r="E206" s="302"/>
      <c r="F206" s="302"/>
      <c r="G206" s="302"/>
      <c r="H206" s="302"/>
      <c r="I206" s="302"/>
      <c r="J206" s="302"/>
      <c r="K206" s="302"/>
      <c r="L206" s="302"/>
      <c r="M206" s="447" t="s">
        <v>717</v>
      </c>
      <c r="N206" s="447"/>
      <c r="O206" s="447"/>
      <c r="P206" s="447"/>
      <c r="Q206" s="447"/>
      <c r="R206" s="447"/>
      <c r="S206" s="447" t="s">
        <v>712</v>
      </c>
      <c r="T206" s="447"/>
      <c r="U206" s="321">
        <v>30</v>
      </c>
      <c r="V206" s="321">
        <f>RADIANS(U206)</f>
        <v>0.52359877559829882</v>
      </c>
      <c r="W206" s="321" t="s">
        <v>718</v>
      </c>
      <c r="X206" s="302"/>
      <c r="Y206" s="302"/>
      <c r="Z206" s="302"/>
      <c r="AA206" s="302"/>
      <c r="AB206" s="302"/>
      <c r="AC206" s="302"/>
      <c r="AD206" s="302"/>
      <c r="AE206" s="302"/>
      <c r="AF206" s="302"/>
      <c r="AG206" s="302"/>
      <c r="AH206" s="302"/>
      <c r="AI206" s="302"/>
      <c r="AJ206" s="302"/>
      <c r="AK206" s="140"/>
      <c r="AL206" s="140"/>
      <c r="AM206" s="140"/>
      <c r="AN206" s="140"/>
      <c r="AO206" s="140"/>
      <c r="AP206" s="140"/>
    </row>
    <row r="207" spans="1:42" x14ac:dyDescent="0.3">
      <c r="A207" s="302"/>
      <c r="B207" s="302"/>
      <c r="C207" s="302"/>
      <c r="D207" s="302"/>
      <c r="E207" s="302"/>
      <c r="F207" s="302"/>
      <c r="G207" s="302"/>
      <c r="H207" s="302"/>
      <c r="I207" s="302"/>
      <c r="J207" s="302"/>
      <c r="K207" s="302"/>
      <c r="L207" s="302"/>
      <c r="M207" s="447"/>
      <c r="N207" s="447"/>
      <c r="O207" s="447"/>
      <c r="P207" s="447"/>
      <c r="Q207" s="447"/>
      <c r="R207" s="447"/>
      <c r="S207" s="447" t="s">
        <v>714</v>
      </c>
      <c r="T207" s="447"/>
      <c r="U207" s="321">
        <v>30</v>
      </c>
      <c r="V207" s="321">
        <f>RADIANS(U207)</f>
        <v>0.52359877559829882</v>
      </c>
      <c r="W207" s="321" t="s">
        <v>718</v>
      </c>
      <c r="X207" s="302"/>
      <c r="Y207" s="302"/>
      <c r="Z207" s="302"/>
      <c r="AA207" s="302"/>
      <c r="AB207" s="302"/>
      <c r="AC207" s="302"/>
      <c r="AD207" s="302"/>
      <c r="AE207" s="302"/>
      <c r="AF207" s="302"/>
      <c r="AG207" s="302"/>
      <c r="AH207" s="302"/>
      <c r="AI207" s="302"/>
      <c r="AJ207" s="302"/>
      <c r="AK207" s="140"/>
      <c r="AL207" s="140"/>
      <c r="AM207" s="140"/>
      <c r="AN207" s="140"/>
      <c r="AO207" s="140"/>
      <c r="AP207" s="140"/>
    </row>
    <row r="208" spans="1:42" x14ac:dyDescent="0.3">
      <c r="A208" s="302"/>
      <c r="B208" s="302"/>
      <c r="C208" s="302"/>
      <c r="D208" s="302"/>
      <c r="E208" s="302"/>
      <c r="F208" s="302"/>
      <c r="G208" s="302"/>
      <c r="H208" s="475" t="s">
        <v>710</v>
      </c>
      <c r="I208" s="476"/>
      <c r="J208" s="476"/>
      <c r="K208" s="476"/>
      <c r="L208" s="476"/>
      <c r="M208" s="481" t="s">
        <v>719</v>
      </c>
      <c r="N208" s="481"/>
      <c r="O208" s="481"/>
      <c r="P208" s="481"/>
      <c r="Q208" s="481"/>
      <c r="R208" s="481"/>
      <c r="S208" s="481" t="s">
        <v>712</v>
      </c>
      <c r="T208" s="481"/>
      <c r="U208" s="342" t="s">
        <v>412</v>
      </c>
      <c r="V208" s="342">
        <v>1</v>
      </c>
      <c r="W208" s="342" t="s">
        <v>339</v>
      </c>
      <c r="X208" s="302"/>
      <c r="Y208" s="302"/>
      <c r="Z208" s="302"/>
      <c r="AA208" s="302"/>
      <c r="AB208" s="302"/>
      <c r="AC208" s="302"/>
      <c r="AD208" s="302"/>
      <c r="AE208" s="302"/>
      <c r="AF208" s="302"/>
      <c r="AG208" s="302"/>
      <c r="AH208" s="302"/>
      <c r="AI208" s="302"/>
      <c r="AJ208" s="302"/>
      <c r="AK208" s="140"/>
      <c r="AL208" s="140"/>
      <c r="AM208" s="140"/>
      <c r="AN208" s="140"/>
      <c r="AO208" s="140"/>
      <c r="AP208" s="140"/>
    </row>
    <row r="209" spans="1:42" x14ac:dyDescent="0.3">
      <c r="A209" s="302"/>
      <c r="B209" s="302"/>
      <c r="C209" s="302"/>
      <c r="D209" s="302"/>
      <c r="E209" s="302"/>
      <c r="F209" s="302"/>
      <c r="G209" s="302"/>
      <c r="H209" s="477"/>
      <c r="I209" s="478"/>
      <c r="J209" s="478"/>
      <c r="K209" s="478"/>
      <c r="L209" s="478"/>
      <c r="M209" s="481"/>
      <c r="N209" s="481"/>
      <c r="O209" s="481"/>
      <c r="P209" s="481"/>
      <c r="Q209" s="481"/>
      <c r="R209" s="481"/>
      <c r="S209" s="481"/>
      <c r="T209" s="481"/>
      <c r="U209" s="342" t="s">
        <v>713</v>
      </c>
      <c r="V209" s="342">
        <v>1</v>
      </c>
      <c r="W209" s="342" t="s">
        <v>339</v>
      </c>
      <c r="X209" s="302"/>
      <c r="Y209" s="302"/>
      <c r="Z209" s="302"/>
      <c r="AA209" s="302"/>
      <c r="AB209" s="302"/>
      <c r="AC209" s="302"/>
      <c r="AD209" s="302"/>
      <c r="AE209" s="302"/>
      <c r="AF209" s="302"/>
      <c r="AG209" s="302"/>
      <c r="AH209" s="302"/>
      <c r="AI209" s="302"/>
      <c r="AJ209" s="302"/>
      <c r="AK209" s="140"/>
      <c r="AL209" s="140"/>
      <c r="AM209" s="140"/>
      <c r="AN209" s="140"/>
      <c r="AO209" s="140"/>
      <c r="AP209" s="140"/>
    </row>
    <row r="210" spans="1:42" x14ac:dyDescent="0.3">
      <c r="A210" s="302"/>
      <c r="B210" s="302"/>
      <c r="C210" s="302"/>
      <c r="D210" s="302"/>
      <c r="E210" s="302"/>
      <c r="F210" s="302"/>
      <c r="G210" s="302"/>
      <c r="H210" s="477"/>
      <c r="I210" s="478"/>
      <c r="J210" s="478"/>
      <c r="K210" s="478"/>
      <c r="L210" s="478"/>
      <c r="M210" s="481"/>
      <c r="N210" s="481"/>
      <c r="O210" s="481"/>
      <c r="P210" s="481"/>
      <c r="Q210" s="481"/>
      <c r="R210" s="481"/>
      <c r="S210" s="481" t="s">
        <v>714</v>
      </c>
      <c r="T210" s="481"/>
      <c r="U210" s="342" t="s">
        <v>412</v>
      </c>
      <c r="V210" s="342">
        <v>1</v>
      </c>
      <c r="W210" s="342" t="s">
        <v>339</v>
      </c>
      <c r="X210" s="302"/>
      <c r="Y210" s="302"/>
      <c r="Z210" s="302"/>
      <c r="AA210" s="302"/>
      <c r="AB210" s="302"/>
      <c r="AC210" s="302"/>
      <c r="AD210" s="302"/>
      <c r="AE210" s="302"/>
      <c r="AF210" s="302"/>
      <c r="AG210" s="302"/>
      <c r="AH210" s="302"/>
      <c r="AI210" s="302"/>
      <c r="AJ210" s="302"/>
      <c r="AK210" s="140"/>
      <c r="AL210" s="140"/>
      <c r="AM210" s="140"/>
      <c r="AN210" s="140"/>
      <c r="AO210" s="140"/>
      <c r="AP210" s="140"/>
    </row>
    <row r="211" spans="1:42" x14ac:dyDescent="0.3">
      <c r="A211" s="302"/>
      <c r="B211" s="302"/>
      <c r="C211" s="302"/>
      <c r="D211" s="302"/>
      <c r="E211" s="302"/>
      <c r="F211" s="302"/>
      <c r="G211" s="302"/>
      <c r="H211" s="479"/>
      <c r="I211" s="480"/>
      <c r="J211" s="480"/>
      <c r="K211" s="480"/>
      <c r="L211" s="480"/>
      <c r="M211" s="481"/>
      <c r="N211" s="481"/>
      <c r="O211" s="481"/>
      <c r="P211" s="481"/>
      <c r="Q211" s="481"/>
      <c r="R211" s="481"/>
      <c r="S211" s="481"/>
      <c r="T211" s="481"/>
      <c r="U211" s="342" t="s">
        <v>713</v>
      </c>
      <c r="V211" s="342">
        <v>1</v>
      </c>
      <c r="W211" s="342" t="s">
        <v>339</v>
      </c>
      <c r="X211" s="302"/>
      <c r="Y211" s="302"/>
      <c r="Z211" s="302"/>
      <c r="AA211" s="302"/>
      <c r="AB211" s="302"/>
      <c r="AC211" s="302"/>
      <c r="AD211" s="302"/>
      <c r="AE211" s="302"/>
      <c r="AF211" s="302"/>
      <c r="AG211" s="302"/>
      <c r="AH211" s="302"/>
      <c r="AI211" s="302"/>
      <c r="AJ211" s="302"/>
      <c r="AK211" s="140"/>
      <c r="AL211" s="140"/>
      <c r="AM211" s="140"/>
      <c r="AN211" s="140"/>
      <c r="AO211" s="140"/>
      <c r="AP211" s="140"/>
    </row>
    <row r="212" spans="1:42" x14ac:dyDescent="0.3">
      <c r="A212" s="302"/>
      <c r="B212" s="302"/>
      <c r="C212" s="302"/>
      <c r="D212" s="302"/>
      <c r="E212" s="302"/>
      <c r="F212" s="302"/>
      <c r="G212" s="302"/>
      <c r="H212" s="302"/>
      <c r="I212" s="302"/>
      <c r="J212" s="302"/>
      <c r="K212" s="302"/>
      <c r="L212" s="302"/>
      <c r="M212" s="457" t="s">
        <v>720</v>
      </c>
      <c r="N212" s="457"/>
      <c r="O212" s="457"/>
      <c r="P212" s="457"/>
      <c r="Q212" s="457"/>
      <c r="R212" s="457"/>
      <c r="S212" s="457"/>
      <c r="T212" s="457"/>
      <c r="U212" s="457"/>
      <c r="V212" s="327">
        <f>V194/V195*COS(V206)*V199/V198</f>
        <v>0.75055534994651352</v>
      </c>
      <c r="W212" s="327" t="s">
        <v>361</v>
      </c>
      <c r="X212" s="302"/>
      <c r="Y212" s="302"/>
      <c r="Z212" s="302"/>
      <c r="AA212" s="302"/>
      <c r="AB212" s="302"/>
      <c r="AC212" s="302"/>
      <c r="AD212" s="302"/>
      <c r="AE212" s="302"/>
      <c r="AF212" s="302"/>
      <c r="AG212" s="302"/>
      <c r="AH212" s="302"/>
      <c r="AI212" s="302"/>
      <c r="AJ212" s="302"/>
      <c r="AK212" s="140"/>
      <c r="AL212" s="140"/>
      <c r="AM212" s="140"/>
      <c r="AN212" s="140"/>
      <c r="AO212" s="140"/>
      <c r="AP212" s="140"/>
    </row>
    <row r="213" spans="1:42" x14ac:dyDescent="0.3">
      <c r="A213" s="302"/>
      <c r="B213" s="302"/>
      <c r="C213" s="302"/>
      <c r="D213" s="302"/>
      <c r="E213" s="302"/>
      <c r="F213" s="302"/>
      <c r="G213" s="302"/>
      <c r="H213" s="302"/>
      <c r="I213" s="302"/>
      <c r="J213" s="302"/>
      <c r="K213" s="302"/>
      <c r="L213" s="329"/>
      <c r="M213" s="457" t="s">
        <v>721</v>
      </c>
      <c r="N213" s="457"/>
      <c r="O213" s="457"/>
      <c r="P213" s="457"/>
      <c r="Q213" s="457"/>
      <c r="R213" s="457"/>
      <c r="S213" s="457"/>
      <c r="T213" s="457"/>
      <c r="U213" s="457"/>
      <c r="V213" s="327">
        <f>V196/V197*COS(V207)*V201/V200</f>
        <v>0.75055534994651352</v>
      </c>
      <c r="W213" s="327" t="s">
        <v>361</v>
      </c>
      <c r="X213" s="302"/>
      <c r="Y213" s="302"/>
      <c r="Z213" s="302"/>
      <c r="AA213" s="302"/>
      <c r="AB213" s="302"/>
      <c r="AC213" s="302"/>
      <c r="AD213" s="302"/>
      <c r="AE213" s="302"/>
      <c r="AF213" s="302"/>
      <c r="AG213" s="302"/>
      <c r="AH213" s="302"/>
      <c r="AI213" s="302"/>
      <c r="AJ213" s="302"/>
      <c r="AK213" s="140"/>
      <c r="AL213" s="140"/>
      <c r="AM213" s="140"/>
      <c r="AN213" s="140"/>
      <c r="AO213" s="140"/>
      <c r="AP213" s="140"/>
    </row>
    <row r="214" spans="1:42" x14ac:dyDescent="0.3">
      <c r="A214" s="302"/>
      <c r="B214" s="302"/>
      <c r="C214" s="302"/>
      <c r="D214" s="302"/>
      <c r="E214" s="302"/>
      <c r="F214" s="302"/>
      <c r="G214" s="302"/>
      <c r="H214" s="302"/>
      <c r="I214" s="302"/>
      <c r="J214" s="302"/>
      <c r="K214" s="302"/>
      <c r="L214" s="329"/>
      <c r="M214" s="457" t="s">
        <v>722</v>
      </c>
      <c r="N214" s="457"/>
      <c r="O214" s="457"/>
      <c r="P214" s="457"/>
      <c r="Q214" s="457"/>
      <c r="R214" s="457"/>
      <c r="S214" s="457"/>
      <c r="T214" s="457"/>
      <c r="U214" s="457"/>
      <c r="V214" s="327">
        <f>V202/V203*COS(V206)*V209/V208</f>
        <v>0.75055534994651352</v>
      </c>
      <c r="W214" s="327" t="s">
        <v>361</v>
      </c>
      <c r="X214" s="302"/>
      <c r="Y214" s="302"/>
      <c r="Z214" s="302"/>
      <c r="AA214" s="302"/>
      <c r="AB214" s="302"/>
      <c r="AC214" s="302"/>
      <c r="AD214" s="302"/>
      <c r="AE214" s="302"/>
      <c r="AF214" s="302"/>
      <c r="AG214" s="302"/>
      <c r="AH214" s="302"/>
      <c r="AI214" s="302"/>
      <c r="AJ214" s="302"/>
      <c r="AK214" s="140"/>
      <c r="AL214" s="140"/>
      <c r="AM214" s="140"/>
      <c r="AN214" s="140"/>
      <c r="AO214" s="140"/>
      <c r="AP214" s="140"/>
    </row>
    <row r="215" spans="1:42" x14ac:dyDescent="0.3">
      <c r="A215" s="302"/>
      <c r="B215" s="302"/>
      <c r="C215" s="302"/>
      <c r="D215" s="302"/>
      <c r="E215" s="302"/>
      <c r="F215" s="302"/>
      <c r="G215" s="302"/>
      <c r="H215" s="302"/>
      <c r="I215" s="302"/>
      <c r="J215" s="302"/>
      <c r="K215" s="302"/>
      <c r="L215" s="329"/>
      <c r="M215" s="457" t="s">
        <v>723</v>
      </c>
      <c r="N215" s="457"/>
      <c r="O215" s="457"/>
      <c r="P215" s="457"/>
      <c r="Q215" s="457"/>
      <c r="R215" s="457"/>
      <c r="S215" s="457"/>
      <c r="T215" s="457"/>
      <c r="U215" s="457"/>
      <c r="V215" s="327">
        <f>V204/V205*COS(V207)*V211/V210</f>
        <v>0.75055534994651352</v>
      </c>
      <c r="W215" s="327" t="s">
        <v>361</v>
      </c>
      <c r="X215" s="302"/>
      <c r="Y215" s="302"/>
      <c r="Z215" s="302"/>
      <c r="AA215" s="302"/>
      <c r="AB215" s="302"/>
      <c r="AC215" s="302"/>
      <c r="AD215" s="302"/>
      <c r="AE215" s="302"/>
      <c r="AF215" s="302"/>
      <c r="AG215" s="302"/>
      <c r="AH215" s="302"/>
      <c r="AI215" s="302"/>
      <c r="AJ215" s="302"/>
      <c r="AK215" s="140"/>
      <c r="AL215" s="140"/>
      <c r="AM215" s="140"/>
      <c r="AN215" s="140"/>
      <c r="AO215" s="140"/>
      <c r="AP215" s="140"/>
    </row>
    <row r="216" spans="1:42" x14ac:dyDescent="0.3">
      <c r="A216" s="302"/>
      <c r="B216" s="302"/>
      <c r="C216" s="302"/>
      <c r="D216" s="302"/>
      <c r="E216" s="302"/>
      <c r="F216" s="302"/>
      <c r="G216" s="302"/>
      <c r="H216" s="302"/>
      <c r="I216" s="302"/>
      <c r="J216" s="302"/>
      <c r="K216" s="302"/>
      <c r="L216" s="329"/>
      <c r="M216" s="457" t="s">
        <v>724</v>
      </c>
      <c r="N216" s="457"/>
      <c r="O216" s="457"/>
      <c r="P216" s="457"/>
      <c r="Q216" s="457"/>
      <c r="R216" s="457"/>
      <c r="S216" s="457"/>
      <c r="T216" s="457"/>
      <c r="U216" s="457"/>
      <c r="V216" s="327">
        <f>V190*V212^2*C6^2/V192^2</f>
        <v>166.04322130205219</v>
      </c>
      <c r="W216" s="327" t="s">
        <v>489</v>
      </c>
      <c r="X216" s="302"/>
      <c r="Y216" s="302"/>
      <c r="Z216" s="302"/>
      <c r="AA216" s="302"/>
      <c r="AB216" s="302"/>
      <c r="AC216" s="302"/>
      <c r="AD216" s="302"/>
      <c r="AE216" s="302"/>
      <c r="AF216" s="302"/>
      <c r="AG216" s="302"/>
      <c r="AH216" s="302"/>
      <c r="AI216" s="302"/>
      <c r="AJ216" s="302"/>
      <c r="AK216" s="140"/>
      <c r="AL216" s="140"/>
      <c r="AM216" s="140"/>
      <c r="AN216" s="140"/>
      <c r="AO216" s="140"/>
      <c r="AP216" s="140"/>
    </row>
    <row r="217" spans="1:42" ht="15" thickBot="1" x14ac:dyDescent="0.35">
      <c r="A217" s="302"/>
      <c r="B217" s="302"/>
      <c r="C217" s="302"/>
      <c r="D217" s="302"/>
      <c r="E217" s="302"/>
      <c r="F217" s="302"/>
      <c r="G217" s="302"/>
      <c r="H217" s="302"/>
      <c r="I217" s="302"/>
      <c r="J217" s="302"/>
      <c r="K217" s="302"/>
      <c r="L217" s="329"/>
      <c r="M217" s="488" t="s">
        <v>725</v>
      </c>
      <c r="N217" s="488"/>
      <c r="O217" s="488"/>
      <c r="P217" s="488"/>
      <c r="Q217" s="488"/>
      <c r="R217" s="488"/>
      <c r="S217" s="488"/>
      <c r="T217" s="488"/>
      <c r="U217" s="488"/>
      <c r="V217" s="319">
        <f>V191*V213^2*C7^2/V193^2</f>
        <v>6663.1113188656936</v>
      </c>
      <c r="W217" s="319" t="s">
        <v>489</v>
      </c>
      <c r="X217" s="302"/>
      <c r="Y217" s="302"/>
      <c r="Z217" s="302"/>
      <c r="AA217" s="302"/>
      <c r="AB217" s="302"/>
      <c r="AC217" s="302"/>
      <c r="AD217" s="302"/>
      <c r="AE217" s="302"/>
      <c r="AF217" s="302"/>
      <c r="AG217" s="302"/>
      <c r="AH217" s="302"/>
      <c r="AI217" s="302"/>
      <c r="AJ217" s="302"/>
      <c r="AK217" s="140"/>
      <c r="AL217" s="140"/>
      <c r="AM217" s="140"/>
      <c r="AN217" s="140"/>
      <c r="AO217" s="140"/>
      <c r="AP217" s="140"/>
    </row>
    <row r="218" spans="1:42" x14ac:dyDescent="0.3">
      <c r="A218" s="302"/>
      <c r="B218" s="302"/>
      <c r="C218" s="302"/>
      <c r="D218" s="302"/>
      <c r="E218" s="302"/>
      <c r="F218" s="302"/>
      <c r="G218" s="302"/>
      <c r="H218" s="302"/>
      <c r="I218" s="302"/>
      <c r="J218" s="302"/>
      <c r="K218" s="302"/>
      <c r="L218" s="329"/>
      <c r="M218" s="482" t="s">
        <v>726</v>
      </c>
      <c r="N218" s="483"/>
      <c r="O218" s="483"/>
      <c r="P218" s="483"/>
      <c r="Q218" s="483"/>
      <c r="R218" s="483"/>
      <c r="S218" s="483"/>
      <c r="T218" s="483"/>
      <c r="U218" s="483"/>
      <c r="V218" s="343">
        <f>V166/V214^2</f>
        <v>19280.011111180786</v>
      </c>
      <c r="W218" s="344" t="s">
        <v>469</v>
      </c>
      <c r="X218" s="302"/>
      <c r="Y218" s="302"/>
      <c r="Z218" s="302"/>
      <c r="AA218" s="302"/>
      <c r="AB218" s="302"/>
      <c r="AC218" s="302"/>
      <c r="AD218" s="302"/>
      <c r="AE218" s="302"/>
      <c r="AF218" s="302"/>
      <c r="AG218" s="302"/>
      <c r="AH218" s="302"/>
      <c r="AI218" s="302"/>
      <c r="AJ218" s="302"/>
      <c r="AK218" s="140"/>
      <c r="AL218" s="140"/>
      <c r="AM218" s="140"/>
      <c r="AN218" s="140"/>
      <c r="AO218" s="140"/>
      <c r="AP218" s="140"/>
    </row>
    <row r="219" spans="1:42" x14ac:dyDescent="0.3">
      <c r="A219" s="302"/>
      <c r="B219" s="302"/>
      <c r="C219" s="302"/>
      <c r="D219" s="302"/>
      <c r="E219" s="302"/>
      <c r="F219" s="302"/>
      <c r="G219" s="302"/>
      <c r="H219" s="302"/>
      <c r="I219" s="302"/>
      <c r="J219" s="302"/>
      <c r="K219" s="302"/>
      <c r="L219" s="329"/>
      <c r="M219" s="484" t="s">
        <v>727</v>
      </c>
      <c r="N219" s="485"/>
      <c r="O219" s="485"/>
      <c r="P219" s="485"/>
      <c r="Q219" s="485"/>
      <c r="R219" s="485"/>
      <c r="S219" s="485"/>
      <c r="T219" s="485"/>
      <c r="U219" s="485"/>
      <c r="V219" s="345">
        <f>V167/V215^2</f>
        <v>19276.814126080615</v>
      </c>
      <c r="W219" s="346" t="s">
        <v>469</v>
      </c>
      <c r="X219" s="302"/>
      <c r="Y219" s="302"/>
      <c r="Z219" s="302"/>
      <c r="AA219" s="302"/>
      <c r="AB219" s="302"/>
      <c r="AC219" s="302"/>
      <c r="AD219" s="302"/>
      <c r="AE219" s="302"/>
      <c r="AF219" s="302"/>
      <c r="AG219" s="302"/>
      <c r="AH219" s="302"/>
      <c r="AI219" s="302"/>
      <c r="AJ219" s="302"/>
      <c r="AK219" s="140"/>
      <c r="AL219" s="140"/>
      <c r="AM219" s="140"/>
      <c r="AN219" s="140"/>
      <c r="AO219" s="140"/>
      <c r="AP219" s="140"/>
    </row>
    <row r="220" spans="1:42" x14ac:dyDescent="0.3">
      <c r="A220" s="302"/>
      <c r="B220" s="302"/>
      <c r="C220" s="302"/>
      <c r="D220" s="302"/>
      <c r="E220" s="302"/>
      <c r="F220" s="302"/>
      <c r="G220" s="302"/>
      <c r="H220" s="302"/>
      <c r="I220" s="302"/>
      <c r="J220" s="302"/>
      <c r="K220" s="302"/>
      <c r="L220" s="329"/>
      <c r="M220" s="484" t="s">
        <v>728</v>
      </c>
      <c r="N220" s="485"/>
      <c r="O220" s="485"/>
      <c r="P220" s="485"/>
      <c r="Q220" s="485"/>
      <c r="R220" s="485"/>
      <c r="S220" s="485"/>
      <c r="T220" s="485"/>
      <c r="U220" s="485"/>
      <c r="V220" s="345">
        <f>V168*V192^2/(V212^2*C6^2)</f>
        <v>2.213909617360696</v>
      </c>
      <c r="W220" s="346" t="s">
        <v>489</v>
      </c>
      <c r="X220" s="302"/>
      <c r="Y220" s="302"/>
      <c r="Z220" s="302"/>
      <c r="AA220" s="302"/>
      <c r="AB220" s="302"/>
      <c r="AC220" s="302"/>
      <c r="AD220" s="302"/>
      <c r="AE220" s="302"/>
      <c r="AF220" s="302"/>
      <c r="AG220" s="302"/>
      <c r="AH220" s="302"/>
      <c r="AI220" s="302"/>
      <c r="AJ220" s="302"/>
      <c r="AK220" s="140"/>
      <c r="AL220" s="140"/>
      <c r="AM220" s="140"/>
      <c r="AN220" s="140"/>
      <c r="AO220" s="140"/>
      <c r="AP220" s="140"/>
    </row>
    <row r="221" spans="1:42" ht="15" thickBot="1" x14ac:dyDescent="0.35">
      <c r="A221" s="302"/>
      <c r="B221" s="302"/>
      <c r="C221" s="302"/>
      <c r="D221" s="302"/>
      <c r="E221" s="302"/>
      <c r="F221" s="302"/>
      <c r="G221" s="302"/>
      <c r="H221" s="302"/>
      <c r="I221" s="302"/>
      <c r="J221" s="302"/>
      <c r="K221" s="302"/>
      <c r="L221" s="329"/>
      <c r="M221" s="486" t="s">
        <v>729</v>
      </c>
      <c r="N221" s="487"/>
      <c r="O221" s="487"/>
      <c r="P221" s="487"/>
      <c r="Q221" s="487"/>
      <c r="R221" s="487"/>
      <c r="S221" s="487"/>
      <c r="T221" s="487"/>
      <c r="U221" s="487"/>
      <c r="V221" s="347">
        <f>V169*V193^2/(V213^2*C7^2)</f>
        <v>88.84148425154261</v>
      </c>
      <c r="W221" s="348" t="s">
        <v>489</v>
      </c>
      <c r="X221" s="302"/>
      <c r="Y221" s="302"/>
      <c r="Z221" s="302"/>
      <c r="AA221" s="302"/>
      <c r="AB221" s="302"/>
      <c r="AC221" s="302"/>
      <c r="AD221" s="302"/>
      <c r="AE221" s="302"/>
      <c r="AF221" s="302"/>
      <c r="AG221" s="302"/>
      <c r="AH221" s="302"/>
      <c r="AI221" s="302"/>
      <c r="AJ221" s="302"/>
      <c r="AK221" s="140"/>
      <c r="AL221" s="140"/>
      <c r="AM221" s="140"/>
      <c r="AN221" s="140"/>
      <c r="AO221" s="140"/>
      <c r="AP221" s="140"/>
    </row>
    <row r="222" spans="1:42" x14ac:dyDescent="0.3">
      <c r="A222" s="302"/>
      <c r="B222" s="302"/>
      <c r="C222" s="302"/>
      <c r="D222" s="302"/>
      <c r="E222" s="302"/>
      <c r="F222" s="302"/>
      <c r="G222" s="302"/>
      <c r="H222" s="302"/>
      <c r="I222" s="302"/>
      <c r="J222" s="302"/>
      <c r="K222" s="302"/>
      <c r="L222" s="302"/>
      <c r="M222" s="302"/>
      <c r="N222" s="302"/>
      <c r="O222" s="302"/>
      <c r="P222" s="302"/>
      <c r="Q222" s="302"/>
      <c r="R222" s="302"/>
      <c r="S222" s="302"/>
      <c r="T222" s="302"/>
      <c r="U222" s="302"/>
      <c r="V222" s="302"/>
      <c r="W222" s="302"/>
      <c r="X222" s="302"/>
      <c r="Y222" s="302"/>
      <c r="Z222" s="302"/>
      <c r="AA222" s="302"/>
      <c r="AB222" s="302"/>
      <c r="AC222" s="302"/>
      <c r="AD222" s="302"/>
      <c r="AE222" s="302"/>
      <c r="AF222" s="302"/>
      <c r="AG222" s="302"/>
      <c r="AH222" s="302"/>
      <c r="AI222" s="302"/>
      <c r="AJ222" s="302"/>
      <c r="AK222" s="140"/>
      <c r="AL222" s="140"/>
      <c r="AM222" s="140"/>
      <c r="AN222" s="140"/>
      <c r="AO222" s="140"/>
      <c r="AP222" s="140"/>
    </row>
    <row r="223" spans="1:42" x14ac:dyDescent="0.3">
      <c r="A223" s="302"/>
      <c r="B223" s="302"/>
      <c r="C223" s="302"/>
      <c r="D223" s="302"/>
      <c r="E223" s="302"/>
      <c r="F223" s="302"/>
      <c r="G223" s="302"/>
      <c r="H223" s="302"/>
      <c r="I223" s="302"/>
      <c r="J223" s="302"/>
      <c r="K223" s="302"/>
      <c r="L223" s="302"/>
      <c r="M223" s="302"/>
      <c r="N223" s="302"/>
      <c r="O223" s="302"/>
      <c r="P223" s="302"/>
      <c r="Q223" s="302"/>
      <c r="R223" s="302"/>
      <c r="S223" s="302"/>
      <c r="T223" s="302"/>
      <c r="U223" s="302"/>
      <c r="V223" s="302"/>
      <c r="W223" s="302"/>
      <c r="X223" s="302"/>
      <c r="Y223" s="302"/>
      <c r="Z223" s="302"/>
      <c r="AA223" s="302"/>
      <c r="AB223" s="302"/>
      <c r="AC223" s="302"/>
      <c r="AD223" s="302"/>
      <c r="AE223" s="302"/>
      <c r="AF223" s="302"/>
      <c r="AG223" s="302"/>
      <c r="AH223" s="302"/>
      <c r="AI223" s="302"/>
      <c r="AJ223" s="302"/>
      <c r="AK223" s="140"/>
      <c r="AL223" s="140"/>
      <c r="AM223" s="140"/>
      <c r="AN223" s="140"/>
      <c r="AO223" s="140"/>
      <c r="AP223" s="140"/>
    </row>
    <row r="224" spans="1:42" x14ac:dyDescent="0.3">
      <c r="A224" s="302"/>
      <c r="B224" s="302"/>
      <c r="C224" s="302"/>
      <c r="D224" s="302"/>
      <c r="E224" s="302"/>
      <c r="F224" s="302"/>
      <c r="G224" s="302"/>
      <c r="H224" s="302"/>
      <c r="I224" s="302"/>
      <c r="J224" s="302"/>
      <c r="K224" s="302"/>
      <c r="L224" s="302"/>
      <c r="M224" s="302"/>
      <c r="N224" s="302"/>
      <c r="O224" s="302"/>
      <c r="P224" s="302"/>
      <c r="Q224" s="302"/>
      <c r="R224" s="302"/>
      <c r="S224" s="302"/>
      <c r="T224" s="302"/>
      <c r="U224" s="302"/>
      <c r="V224" s="302"/>
      <c r="W224" s="302"/>
      <c r="X224" s="302"/>
      <c r="Y224" s="302"/>
      <c r="Z224" s="302"/>
      <c r="AA224" s="302"/>
      <c r="AB224" s="302"/>
      <c r="AC224" s="302"/>
      <c r="AD224" s="302"/>
      <c r="AE224" s="302"/>
      <c r="AF224" s="302"/>
      <c r="AG224" s="302"/>
      <c r="AH224" s="302"/>
      <c r="AI224" s="302"/>
      <c r="AJ224" s="302"/>
      <c r="AK224" s="140"/>
      <c r="AL224" s="140"/>
      <c r="AM224" s="140"/>
      <c r="AN224" s="140"/>
      <c r="AO224" s="140"/>
      <c r="AP224" s="140"/>
    </row>
    <row r="225" spans="1:42" x14ac:dyDescent="0.3">
      <c r="A225" s="302"/>
      <c r="B225" s="302"/>
      <c r="C225" s="302"/>
      <c r="D225" s="302"/>
      <c r="E225" s="302"/>
      <c r="F225" s="302"/>
      <c r="G225" s="302"/>
      <c r="H225" s="302"/>
      <c r="I225" s="302"/>
      <c r="J225" s="302"/>
      <c r="K225" s="302"/>
      <c r="L225" s="302"/>
      <c r="M225" s="302"/>
      <c r="N225" s="302"/>
      <c r="O225" s="302"/>
      <c r="P225" s="302"/>
      <c r="Q225" s="302"/>
      <c r="R225" s="302"/>
      <c r="S225" s="302"/>
      <c r="T225" s="302"/>
      <c r="U225" s="302"/>
      <c r="V225" s="302"/>
      <c r="W225" s="302"/>
      <c r="X225" s="302"/>
      <c r="Y225" s="302"/>
      <c r="Z225" s="302"/>
      <c r="AA225" s="302"/>
      <c r="AB225" s="302"/>
      <c r="AC225" s="302"/>
      <c r="AD225" s="302"/>
      <c r="AE225" s="302"/>
      <c r="AF225" s="302"/>
      <c r="AG225" s="302"/>
      <c r="AH225" s="302"/>
      <c r="AI225" s="302"/>
      <c r="AJ225" s="302"/>
      <c r="AK225" s="140"/>
      <c r="AL225" s="140"/>
      <c r="AM225" s="140"/>
      <c r="AN225" s="140"/>
      <c r="AO225" s="140"/>
      <c r="AP225" s="140"/>
    </row>
    <row r="226" spans="1:42" x14ac:dyDescent="0.3">
      <c r="A226" s="302"/>
      <c r="B226" s="302"/>
      <c r="C226" s="302"/>
      <c r="D226" s="302"/>
      <c r="E226" s="302"/>
      <c r="F226" s="302"/>
      <c r="G226" s="302"/>
      <c r="H226" s="302"/>
      <c r="I226" s="302"/>
      <c r="J226" s="302"/>
      <c r="K226" s="302"/>
      <c r="L226" s="302"/>
      <c r="M226" s="302"/>
      <c r="N226" s="302"/>
      <c r="O226" s="302"/>
      <c r="P226" s="302"/>
      <c r="Q226" s="302"/>
      <c r="R226" s="302"/>
      <c r="S226" s="302"/>
      <c r="T226" s="302"/>
      <c r="U226" s="302"/>
      <c r="V226" s="302"/>
      <c r="W226" s="302"/>
      <c r="X226" s="302"/>
      <c r="Y226" s="302"/>
      <c r="Z226" s="302"/>
      <c r="AA226" s="302"/>
      <c r="AB226" s="302"/>
      <c r="AC226" s="302"/>
      <c r="AD226" s="302"/>
      <c r="AE226" s="302"/>
      <c r="AF226" s="302"/>
      <c r="AG226" s="302"/>
      <c r="AH226" s="302"/>
      <c r="AI226" s="302"/>
      <c r="AJ226" s="302"/>
      <c r="AK226" s="140"/>
      <c r="AL226" s="140"/>
      <c r="AM226" s="140"/>
      <c r="AN226" s="140"/>
      <c r="AO226" s="140"/>
      <c r="AP226" s="140"/>
    </row>
    <row r="227" spans="1:42" x14ac:dyDescent="0.3">
      <c r="A227" s="302"/>
      <c r="B227" s="302"/>
      <c r="C227" s="302"/>
      <c r="D227" s="302"/>
      <c r="E227" s="302"/>
      <c r="F227" s="302"/>
      <c r="G227" s="302"/>
      <c r="H227" s="302"/>
      <c r="I227" s="302"/>
      <c r="J227" s="302"/>
      <c r="K227" s="302"/>
      <c r="L227" s="302"/>
      <c r="M227" s="302"/>
      <c r="N227" s="302"/>
      <c r="O227" s="302"/>
      <c r="P227" s="302"/>
      <c r="Q227" s="302"/>
      <c r="R227" s="302"/>
      <c r="S227" s="302"/>
      <c r="T227" s="302"/>
      <c r="U227" s="302"/>
      <c r="V227" s="302"/>
      <c r="W227" s="302"/>
      <c r="X227" s="302"/>
      <c r="Y227" s="302"/>
      <c r="Z227" s="302"/>
      <c r="AA227" s="302"/>
      <c r="AB227" s="302"/>
      <c r="AC227" s="302"/>
      <c r="AD227" s="302"/>
      <c r="AE227" s="302"/>
      <c r="AF227" s="302"/>
      <c r="AG227" s="302"/>
      <c r="AH227" s="302"/>
      <c r="AI227" s="302"/>
      <c r="AJ227" s="302"/>
      <c r="AK227" s="140"/>
      <c r="AL227" s="140"/>
      <c r="AM227" s="140"/>
      <c r="AN227" s="140"/>
      <c r="AO227" s="140"/>
      <c r="AP227" s="140"/>
    </row>
    <row r="228" spans="1:42" x14ac:dyDescent="0.3">
      <c r="A228" s="302"/>
      <c r="B228" s="302"/>
      <c r="C228" s="302"/>
      <c r="D228" s="302"/>
      <c r="E228" s="302"/>
      <c r="F228" s="302"/>
      <c r="G228" s="302"/>
      <c r="H228" s="302"/>
      <c r="I228" s="302"/>
      <c r="J228" s="302"/>
      <c r="K228" s="302"/>
      <c r="L228" s="302"/>
      <c r="M228" s="302"/>
      <c r="N228" s="302"/>
      <c r="O228" s="302"/>
      <c r="P228" s="302"/>
      <c r="Q228" s="302"/>
      <c r="R228" s="302"/>
      <c r="S228" s="302"/>
      <c r="T228" s="302"/>
      <c r="U228" s="302"/>
      <c r="V228" s="302"/>
      <c r="W228" s="302"/>
      <c r="X228" s="302"/>
      <c r="Y228" s="302"/>
      <c r="Z228" s="302"/>
      <c r="AA228" s="302"/>
      <c r="AB228" s="302"/>
      <c r="AC228" s="302"/>
      <c r="AD228" s="302"/>
      <c r="AE228" s="302"/>
      <c r="AF228" s="302"/>
      <c r="AG228" s="302"/>
      <c r="AH228" s="302"/>
      <c r="AI228" s="302"/>
      <c r="AJ228" s="302"/>
      <c r="AK228" s="140"/>
      <c r="AL228" s="140"/>
      <c r="AM228" s="140"/>
      <c r="AN228" s="140"/>
      <c r="AO228" s="140"/>
      <c r="AP228" s="140"/>
    </row>
    <row r="229" spans="1:42" x14ac:dyDescent="0.3">
      <c r="A229" s="302"/>
      <c r="B229" s="302"/>
      <c r="C229" s="302"/>
      <c r="D229" s="302"/>
      <c r="E229" s="302"/>
      <c r="F229" s="302"/>
      <c r="G229" s="302"/>
      <c r="H229" s="302"/>
      <c r="I229" s="302"/>
      <c r="J229" s="302"/>
      <c r="K229" s="302"/>
      <c r="L229" s="302"/>
      <c r="M229" s="302"/>
      <c r="N229" s="302"/>
      <c r="O229" s="302"/>
      <c r="P229" s="302"/>
      <c r="Q229" s="302"/>
      <c r="R229" s="302"/>
      <c r="S229" s="302"/>
      <c r="T229" s="302"/>
      <c r="U229" s="302"/>
      <c r="V229" s="302"/>
      <c r="W229" s="302"/>
      <c r="X229" s="302"/>
      <c r="Y229" s="302"/>
      <c r="Z229" s="302"/>
      <c r="AA229" s="302"/>
      <c r="AB229" s="302"/>
      <c r="AC229" s="302"/>
      <c r="AD229" s="302"/>
      <c r="AE229" s="302"/>
      <c r="AF229" s="302"/>
      <c r="AG229" s="302"/>
      <c r="AH229" s="302"/>
      <c r="AI229" s="302"/>
      <c r="AJ229" s="302"/>
      <c r="AK229" s="140"/>
      <c r="AL229" s="140"/>
      <c r="AM229" s="140"/>
      <c r="AN229" s="140"/>
      <c r="AO229" s="140"/>
      <c r="AP229" s="140"/>
    </row>
    <row r="230" spans="1:42" x14ac:dyDescent="0.3">
      <c r="A230" s="302"/>
      <c r="B230" s="302"/>
      <c r="C230" s="302"/>
      <c r="D230" s="302"/>
      <c r="E230" s="302"/>
      <c r="F230" s="302"/>
      <c r="G230" s="302"/>
      <c r="H230" s="302"/>
      <c r="I230" s="302"/>
      <c r="J230" s="302"/>
      <c r="K230" s="302"/>
      <c r="L230" s="302"/>
      <c r="M230" s="302"/>
      <c r="N230" s="302"/>
      <c r="O230" s="302"/>
      <c r="P230" s="302"/>
      <c r="Q230" s="302"/>
      <c r="R230" s="302"/>
      <c r="S230" s="302"/>
      <c r="T230" s="302"/>
      <c r="U230" s="302"/>
      <c r="V230" s="302"/>
      <c r="W230" s="302"/>
      <c r="X230" s="302"/>
      <c r="Y230" s="302"/>
      <c r="Z230" s="302"/>
      <c r="AA230" s="302"/>
      <c r="AB230" s="302"/>
      <c r="AC230" s="302"/>
      <c r="AD230" s="302"/>
      <c r="AE230" s="302"/>
      <c r="AF230" s="302"/>
      <c r="AG230" s="302"/>
      <c r="AH230" s="302"/>
      <c r="AI230" s="302"/>
      <c r="AJ230" s="302"/>
      <c r="AK230" s="140"/>
      <c r="AL230" s="140"/>
      <c r="AM230" s="140"/>
      <c r="AN230" s="140"/>
      <c r="AO230" s="140"/>
      <c r="AP230" s="140"/>
    </row>
    <row r="231" spans="1:42" x14ac:dyDescent="0.3">
      <c r="A231" s="302"/>
      <c r="B231" s="302"/>
      <c r="C231" s="302"/>
      <c r="D231" s="302"/>
      <c r="E231" s="302"/>
      <c r="F231" s="302"/>
      <c r="G231" s="302"/>
      <c r="H231" s="302"/>
      <c r="I231" s="302"/>
      <c r="J231" s="302"/>
      <c r="K231" s="302"/>
      <c r="L231" s="302"/>
      <c r="M231" s="302"/>
      <c r="N231" s="302"/>
      <c r="O231" s="302"/>
      <c r="P231" s="302"/>
      <c r="Q231" s="302"/>
      <c r="R231" s="302"/>
      <c r="S231" s="302"/>
      <c r="T231" s="302"/>
      <c r="U231" s="302"/>
      <c r="V231" s="302"/>
      <c r="W231" s="302"/>
      <c r="X231" s="302"/>
      <c r="Y231" s="302"/>
      <c r="Z231" s="302"/>
      <c r="AA231" s="302"/>
      <c r="AB231" s="302"/>
      <c r="AC231" s="302"/>
      <c r="AD231" s="302"/>
      <c r="AE231" s="302"/>
      <c r="AF231" s="302"/>
      <c r="AG231" s="302"/>
      <c r="AH231" s="302"/>
      <c r="AI231" s="302"/>
      <c r="AJ231" s="302"/>
      <c r="AK231" s="140"/>
      <c r="AL231" s="140"/>
      <c r="AM231" s="140"/>
      <c r="AN231" s="140"/>
      <c r="AO231" s="140"/>
      <c r="AP231" s="140"/>
    </row>
    <row r="232" spans="1:42" x14ac:dyDescent="0.3">
      <c r="A232" s="302"/>
      <c r="B232" s="302"/>
      <c r="C232" s="302"/>
      <c r="D232" s="302"/>
      <c r="E232" s="302"/>
      <c r="F232" s="302"/>
      <c r="G232" s="302"/>
      <c r="H232" s="302"/>
      <c r="I232" s="302"/>
      <c r="J232" s="302"/>
      <c r="K232" s="302"/>
      <c r="L232" s="302"/>
      <c r="M232" s="302"/>
      <c r="N232" s="302"/>
      <c r="O232" s="302"/>
      <c r="P232" s="302"/>
      <c r="Q232" s="302"/>
      <c r="R232" s="302"/>
      <c r="S232" s="302"/>
      <c r="T232" s="302"/>
      <c r="U232" s="302"/>
      <c r="V232" s="302"/>
      <c r="W232" s="302"/>
      <c r="X232" s="302"/>
      <c r="Y232" s="302"/>
      <c r="Z232" s="302"/>
      <c r="AA232" s="302"/>
      <c r="AB232" s="302"/>
      <c r="AC232" s="302"/>
      <c r="AD232" s="302"/>
      <c r="AE232" s="302"/>
      <c r="AF232" s="302"/>
      <c r="AG232" s="302"/>
      <c r="AH232" s="302"/>
      <c r="AI232" s="302"/>
      <c r="AJ232" s="302"/>
      <c r="AK232" s="140"/>
      <c r="AL232" s="140"/>
      <c r="AM232" s="140"/>
      <c r="AN232" s="140"/>
      <c r="AO232" s="140"/>
      <c r="AP232" s="140"/>
    </row>
    <row r="233" spans="1:42" x14ac:dyDescent="0.3">
      <c r="A233" s="302"/>
      <c r="B233" s="302"/>
      <c r="C233" s="302"/>
      <c r="D233" s="302"/>
      <c r="E233" s="302"/>
      <c r="F233" s="302"/>
      <c r="G233" s="302"/>
      <c r="H233" s="302"/>
      <c r="I233" s="302"/>
      <c r="J233" s="302"/>
      <c r="K233" s="302"/>
      <c r="L233" s="302"/>
      <c r="M233" s="302"/>
      <c r="N233" s="302"/>
      <c r="O233" s="302"/>
      <c r="P233" s="302"/>
      <c r="Q233" s="302"/>
      <c r="R233" s="302"/>
      <c r="S233" s="302"/>
      <c r="T233" s="302"/>
      <c r="U233" s="302"/>
      <c r="V233" s="302"/>
      <c r="W233" s="302"/>
      <c r="X233" s="302"/>
      <c r="Y233" s="302"/>
      <c r="Z233" s="302"/>
      <c r="AA233" s="302"/>
      <c r="AB233" s="302"/>
      <c r="AC233" s="302"/>
      <c r="AD233" s="302"/>
      <c r="AE233" s="302"/>
      <c r="AF233" s="302"/>
      <c r="AG233" s="302"/>
      <c r="AH233" s="302"/>
      <c r="AI233" s="302"/>
      <c r="AJ233" s="302"/>
      <c r="AK233" s="140"/>
      <c r="AL233" s="140"/>
      <c r="AM233" s="140"/>
      <c r="AN233" s="140"/>
      <c r="AO233" s="140"/>
      <c r="AP233" s="140"/>
    </row>
  </sheetData>
  <mergeCells count="240">
    <mergeCell ref="M218:U218"/>
    <mergeCell ref="M219:U219"/>
    <mergeCell ref="M220:U220"/>
    <mergeCell ref="M221:U221"/>
    <mergeCell ref="M212:U212"/>
    <mergeCell ref="M213:U213"/>
    <mergeCell ref="M214:U214"/>
    <mergeCell ref="M215:U215"/>
    <mergeCell ref="M216:U216"/>
    <mergeCell ref="M217:U217"/>
    <mergeCell ref="M202:T203"/>
    <mergeCell ref="M204:T205"/>
    <mergeCell ref="M206:R207"/>
    <mergeCell ref="S206:T206"/>
    <mergeCell ref="S207:T207"/>
    <mergeCell ref="H208:L211"/>
    <mergeCell ref="M208:R211"/>
    <mergeCell ref="S208:T209"/>
    <mergeCell ref="S210:T211"/>
    <mergeCell ref="M193:U193"/>
    <mergeCell ref="M194:T195"/>
    <mergeCell ref="M196:T197"/>
    <mergeCell ref="H198:L201"/>
    <mergeCell ref="M198:R201"/>
    <mergeCell ref="S198:T199"/>
    <mergeCell ref="S200:T201"/>
    <mergeCell ref="M187:W187"/>
    <mergeCell ref="M188:W188"/>
    <mergeCell ref="M189:W189"/>
    <mergeCell ref="M190:U190"/>
    <mergeCell ref="M191:U191"/>
    <mergeCell ref="M192:U192"/>
    <mergeCell ref="M179:U179"/>
    <mergeCell ref="M180:U180"/>
    <mergeCell ref="M181:U181"/>
    <mergeCell ref="M182:U182"/>
    <mergeCell ref="M183:O186"/>
    <mergeCell ref="P183:T183"/>
    <mergeCell ref="P184:T184"/>
    <mergeCell ref="P185:T185"/>
    <mergeCell ref="P186:T186"/>
    <mergeCell ref="M173:U173"/>
    <mergeCell ref="M174:U174"/>
    <mergeCell ref="M175:W175"/>
    <mergeCell ref="M176:U176"/>
    <mergeCell ref="M177:W177"/>
    <mergeCell ref="M178:U178"/>
    <mergeCell ref="M167:U167"/>
    <mergeCell ref="M168:U168"/>
    <mergeCell ref="M169:U169"/>
    <mergeCell ref="M170:U170"/>
    <mergeCell ref="M171:W171"/>
    <mergeCell ref="M172:U172"/>
    <mergeCell ref="M161:U161"/>
    <mergeCell ref="M162:W162"/>
    <mergeCell ref="M163:W163"/>
    <mergeCell ref="M164:U164"/>
    <mergeCell ref="M165:U165"/>
    <mergeCell ref="M166:U166"/>
    <mergeCell ref="M156:O159"/>
    <mergeCell ref="P156:T156"/>
    <mergeCell ref="P157:T157"/>
    <mergeCell ref="P158:T158"/>
    <mergeCell ref="P159:T159"/>
    <mergeCell ref="M160:U160"/>
    <mergeCell ref="M148:U148"/>
    <mergeCell ref="M149:S149"/>
    <mergeCell ref="M150:U150"/>
    <mergeCell ref="M151:U151"/>
    <mergeCell ref="M152:O155"/>
    <mergeCell ref="P152:T152"/>
    <mergeCell ref="P153:T153"/>
    <mergeCell ref="P154:T154"/>
    <mergeCell ref="P155:T155"/>
    <mergeCell ref="M142:U142"/>
    <mergeCell ref="M143:U143"/>
    <mergeCell ref="M144:U144"/>
    <mergeCell ref="M145:U145"/>
    <mergeCell ref="M146:U146"/>
    <mergeCell ref="M147:U147"/>
    <mergeCell ref="M138:P138"/>
    <mergeCell ref="Q138:W138"/>
    <mergeCell ref="M139:P139"/>
    <mergeCell ref="Q139:W139"/>
    <mergeCell ref="M140:W140"/>
    <mergeCell ref="M141:U141"/>
    <mergeCell ref="M133:U133"/>
    <mergeCell ref="M134:U134"/>
    <mergeCell ref="M135:U135"/>
    <mergeCell ref="M136:P136"/>
    <mergeCell ref="Q136:W136"/>
    <mergeCell ref="M137:P137"/>
    <mergeCell ref="Q137:W137"/>
    <mergeCell ref="M127:W127"/>
    <mergeCell ref="M128:U128"/>
    <mergeCell ref="M129:U129"/>
    <mergeCell ref="M130:U130"/>
    <mergeCell ref="M131:U131"/>
    <mergeCell ref="M132:U132"/>
    <mergeCell ref="M119:O122"/>
    <mergeCell ref="P119:T119"/>
    <mergeCell ref="P120:T120"/>
    <mergeCell ref="P121:T121"/>
    <mergeCell ref="P122:T122"/>
    <mergeCell ref="M123:O126"/>
    <mergeCell ref="P123:T123"/>
    <mergeCell ref="P124:T124"/>
    <mergeCell ref="P125:T125"/>
    <mergeCell ref="P126:T126"/>
    <mergeCell ref="M113:U113"/>
    <mergeCell ref="M114:U114"/>
    <mergeCell ref="M115:U115"/>
    <mergeCell ref="M116:U116"/>
    <mergeCell ref="M117:T117"/>
    <mergeCell ref="M118:T118"/>
    <mergeCell ref="M88:M107"/>
    <mergeCell ref="M108:U108"/>
    <mergeCell ref="M109:U109"/>
    <mergeCell ref="M110:U110"/>
    <mergeCell ref="M111:U111"/>
    <mergeCell ref="M112:U112"/>
    <mergeCell ref="M85:W85"/>
    <mergeCell ref="M86:N87"/>
    <mergeCell ref="O86:W86"/>
    <mergeCell ref="M63:N64"/>
    <mergeCell ref="O63:W63"/>
    <mergeCell ref="F64:K64"/>
    <mergeCell ref="F65:I66"/>
    <mergeCell ref="M65:M84"/>
    <mergeCell ref="F67:I67"/>
    <mergeCell ref="F68:I68"/>
    <mergeCell ref="F69:I69"/>
    <mergeCell ref="F70:I70"/>
    <mergeCell ref="F71:I71"/>
    <mergeCell ref="M62:W62"/>
    <mergeCell ref="M40:N41"/>
    <mergeCell ref="O40:W40"/>
    <mergeCell ref="Y40:AJ40"/>
    <mergeCell ref="Y41:AJ41"/>
    <mergeCell ref="F72:I72"/>
    <mergeCell ref="F73:I73"/>
    <mergeCell ref="F74:I74"/>
    <mergeCell ref="F75:K75"/>
    <mergeCell ref="B42:D42"/>
    <mergeCell ref="M42:M61"/>
    <mergeCell ref="Y44:AJ44"/>
    <mergeCell ref="Y46:AJ46"/>
    <mergeCell ref="F48:K48"/>
    <mergeCell ref="F49:I49"/>
    <mergeCell ref="M36:U36"/>
    <mergeCell ref="AA36:AB36"/>
    <mergeCell ref="M37:U37"/>
    <mergeCell ref="M38:U38"/>
    <mergeCell ref="F39:K39"/>
    <mergeCell ref="M39:W39"/>
    <mergeCell ref="Y39:AJ39"/>
    <mergeCell ref="F50:I51"/>
    <mergeCell ref="F52:K52"/>
    <mergeCell ref="F57:K57"/>
    <mergeCell ref="F58:I59"/>
    <mergeCell ref="F60:K60"/>
    <mergeCell ref="F17:F18"/>
    <mergeCell ref="N17:N18"/>
    <mergeCell ref="O17:O18"/>
    <mergeCell ref="P17:P18"/>
    <mergeCell ref="Q17:Q18"/>
    <mergeCell ref="R17:R18"/>
    <mergeCell ref="B31:D31"/>
    <mergeCell ref="F31:I31"/>
    <mergeCell ref="M31:U31"/>
    <mergeCell ref="F20:K20"/>
    <mergeCell ref="B26:D26"/>
    <mergeCell ref="S17:S18"/>
    <mergeCell ref="T17:T18"/>
    <mergeCell ref="U17:U18"/>
    <mergeCell ref="F32:K32"/>
    <mergeCell ref="M32:U32"/>
    <mergeCell ref="M33:U33"/>
    <mergeCell ref="F34:F35"/>
    <mergeCell ref="M34:U34"/>
    <mergeCell ref="Z34:AD34"/>
    <mergeCell ref="M35:U35"/>
    <mergeCell ref="AA35:AB35"/>
    <mergeCell ref="M28:W28"/>
    <mergeCell ref="M29:U29"/>
    <mergeCell ref="F30:K30"/>
    <mergeCell ref="M30:U30"/>
    <mergeCell ref="O15:O16"/>
    <mergeCell ref="P15:P16"/>
    <mergeCell ref="Q15:Q16"/>
    <mergeCell ref="R15:R16"/>
    <mergeCell ref="S15:S16"/>
    <mergeCell ref="T15:T16"/>
    <mergeCell ref="U15:U16"/>
    <mergeCell ref="V15:V16"/>
    <mergeCell ref="F13:F14"/>
    <mergeCell ref="N13:N14"/>
    <mergeCell ref="O13:O14"/>
    <mergeCell ref="P13:P14"/>
    <mergeCell ref="Q13:Q14"/>
    <mergeCell ref="R13:R14"/>
    <mergeCell ref="S13:S14"/>
    <mergeCell ref="T13:T14"/>
    <mergeCell ref="U13:U14"/>
    <mergeCell ref="V17:V18"/>
    <mergeCell ref="S9:S10"/>
    <mergeCell ref="T9:T10"/>
    <mergeCell ref="U9:U10"/>
    <mergeCell ref="V9:V10"/>
    <mergeCell ref="F11:F12"/>
    <mergeCell ref="N11:N12"/>
    <mergeCell ref="O11:O12"/>
    <mergeCell ref="P11:P12"/>
    <mergeCell ref="Q11:Q12"/>
    <mergeCell ref="R11:R12"/>
    <mergeCell ref="F9:F10"/>
    <mergeCell ref="N9:N10"/>
    <mergeCell ref="O9:O10"/>
    <mergeCell ref="P9:P10"/>
    <mergeCell ref="Q9:Q10"/>
    <mergeCell ref="R9:R10"/>
    <mergeCell ref="S11:S12"/>
    <mergeCell ref="T11:T12"/>
    <mergeCell ref="U11:U12"/>
    <mergeCell ref="V11:V12"/>
    <mergeCell ref="V13:V14"/>
    <mergeCell ref="F15:F16"/>
    <mergeCell ref="N15:N16"/>
    <mergeCell ref="Q7:Q8"/>
    <mergeCell ref="R7:R8"/>
    <mergeCell ref="S7:S8"/>
    <mergeCell ref="T7:T8"/>
    <mergeCell ref="U7:U8"/>
    <mergeCell ref="V7:V8"/>
    <mergeCell ref="B4:B5"/>
    <mergeCell ref="F5:K5"/>
    <mergeCell ref="F7:F8"/>
    <mergeCell ref="N7:N8"/>
    <mergeCell ref="O7:O8"/>
    <mergeCell ref="P7:P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8"/>
  <sheetViews>
    <sheetView topLeftCell="A22" zoomScale="85" zoomScaleNormal="85" workbookViewId="0">
      <selection activeCell="F32" sqref="F32"/>
    </sheetView>
  </sheetViews>
  <sheetFormatPr defaultRowHeight="14.4" x14ac:dyDescent="0.3"/>
  <cols>
    <col min="1" max="1" width="36.6640625" customWidth="1"/>
    <col min="2" max="2" width="30.6640625" customWidth="1"/>
    <col min="3" max="3" width="17.21875" customWidth="1"/>
    <col min="4" max="4" width="18.77734375" customWidth="1"/>
    <col min="5" max="5" width="20.109375" customWidth="1"/>
    <col min="6" max="6" width="32.33203125" customWidth="1"/>
    <col min="7" max="7" width="19.5546875" customWidth="1"/>
    <col min="8" max="8" width="18.6640625" customWidth="1"/>
    <col min="9" max="9" width="10.109375" customWidth="1"/>
    <col min="10" max="10" width="9.109375" customWidth="1"/>
    <col min="11" max="11" width="9.44140625" customWidth="1"/>
    <col min="12" max="12" width="9" customWidth="1"/>
    <col min="13" max="14" width="23.77734375" bestFit="1" customWidth="1"/>
  </cols>
  <sheetData>
    <row r="1" spans="1:9" x14ac:dyDescent="0.3">
      <c r="B1" s="371" t="s">
        <v>0</v>
      </c>
      <c r="C1" s="371"/>
      <c r="D1" s="371"/>
      <c r="E1" s="371"/>
      <c r="F1" s="371"/>
      <c r="G1" s="371"/>
      <c r="H1" s="371"/>
    </row>
    <row r="3" spans="1:9" x14ac:dyDescent="0.3">
      <c r="B3" s="64" t="s">
        <v>1</v>
      </c>
      <c r="C3" s="64" t="s">
        <v>6</v>
      </c>
      <c r="D3" s="64" t="s">
        <v>7</v>
      </c>
      <c r="E3" s="64" t="s">
        <v>76</v>
      </c>
      <c r="F3" s="64" t="s">
        <v>8</v>
      </c>
      <c r="G3" s="64" t="s">
        <v>9</v>
      </c>
      <c r="H3" s="77" t="s">
        <v>77</v>
      </c>
      <c r="I3" s="2"/>
    </row>
    <row r="4" spans="1:9" x14ac:dyDescent="0.3">
      <c r="B4" s="15">
        <v>400</v>
      </c>
      <c r="C4" s="15">
        <v>2.6</v>
      </c>
      <c r="D4" s="15">
        <v>4.2</v>
      </c>
      <c r="E4" s="15">
        <v>1.5</v>
      </c>
      <c r="F4" s="15">
        <v>1.6</v>
      </c>
      <c r="G4" s="15">
        <v>7</v>
      </c>
      <c r="H4" s="15">
        <v>0.125</v>
      </c>
    </row>
    <row r="5" spans="1:9" x14ac:dyDescent="0.3">
      <c r="B5" s="17"/>
      <c r="C5" s="17"/>
      <c r="D5" s="17"/>
      <c r="E5" s="17"/>
      <c r="F5" s="17"/>
      <c r="G5" s="17"/>
      <c r="H5" s="17"/>
    </row>
    <row r="6" spans="1:9" x14ac:dyDescent="0.3">
      <c r="B6" s="5"/>
      <c r="C6" s="5"/>
      <c r="D6" s="5"/>
      <c r="E6" s="5"/>
      <c r="F6" s="5"/>
      <c r="G6" s="5"/>
    </row>
    <row r="7" spans="1:9" x14ac:dyDescent="0.3">
      <c r="B7" s="11" t="s">
        <v>86</v>
      </c>
      <c r="C7" s="4"/>
      <c r="G7" s="5"/>
    </row>
    <row r="8" spans="1:9" x14ac:dyDescent="0.3">
      <c r="A8" t="s">
        <v>39</v>
      </c>
      <c r="B8" s="20" t="s">
        <v>40</v>
      </c>
      <c r="C8" s="10">
        <f>G4</f>
        <v>7</v>
      </c>
      <c r="D8" s="14"/>
      <c r="E8" s="10">
        <v>7.5</v>
      </c>
      <c r="F8" s="10">
        <v>6.5</v>
      </c>
      <c r="G8" s="10">
        <v>6</v>
      </c>
      <c r="H8" s="10">
        <v>5.5</v>
      </c>
      <c r="I8" s="10">
        <v>5</v>
      </c>
    </row>
    <row r="9" spans="1:9" x14ac:dyDescent="0.3">
      <c r="A9" t="s">
        <v>15</v>
      </c>
      <c r="B9" s="20" t="s">
        <v>14</v>
      </c>
      <c r="C9" s="10">
        <f>C8*2</f>
        <v>14</v>
      </c>
      <c r="E9" s="10">
        <f>E8*2</f>
        <v>15</v>
      </c>
      <c r="F9" s="10">
        <f>F8*2</f>
        <v>13</v>
      </c>
      <c r="G9" s="10">
        <f>G8*2</f>
        <v>12</v>
      </c>
      <c r="H9" s="10">
        <f>H8*2</f>
        <v>11</v>
      </c>
      <c r="I9" s="10">
        <f>I8*2</f>
        <v>10</v>
      </c>
    </row>
    <row r="10" spans="1:9" x14ac:dyDescent="0.3">
      <c r="A10" t="s">
        <v>13</v>
      </c>
      <c r="B10" s="20" t="s">
        <v>42</v>
      </c>
      <c r="C10" s="15">
        <v>-0.01</v>
      </c>
      <c r="D10" s="1"/>
      <c r="E10" s="23">
        <f>C10</f>
        <v>-0.01</v>
      </c>
      <c r="F10" s="23">
        <f>C10</f>
        <v>-0.01</v>
      </c>
      <c r="G10" s="23">
        <f>C10</f>
        <v>-0.01</v>
      </c>
      <c r="H10" s="23">
        <f>C10</f>
        <v>-0.01</v>
      </c>
      <c r="I10" s="23">
        <f>C10</f>
        <v>-0.01</v>
      </c>
    </row>
    <row r="11" spans="1:9" x14ac:dyDescent="0.3">
      <c r="B11" s="20" t="s">
        <v>41</v>
      </c>
      <c r="C11" s="10">
        <f>C8-C10</f>
        <v>7.01</v>
      </c>
      <c r="E11" s="10">
        <f>E8-E10</f>
        <v>7.51</v>
      </c>
      <c r="F11" s="10">
        <f>F8-F10</f>
        <v>6.51</v>
      </c>
      <c r="G11" s="10">
        <f>G8-G10</f>
        <v>6.01</v>
      </c>
      <c r="H11" s="10">
        <f>H8-H10</f>
        <v>5.51</v>
      </c>
      <c r="I11" s="10">
        <f>I8-I10</f>
        <v>5.01</v>
      </c>
    </row>
    <row r="12" spans="1:9" x14ac:dyDescent="0.3">
      <c r="B12" s="20" t="s">
        <v>30</v>
      </c>
      <c r="C12" s="16">
        <f>C4/C11</f>
        <v>0.37089871611982883</v>
      </c>
      <c r="E12" s="16">
        <f>C4/E11</f>
        <v>0.34620505992010653</v>
      </c>
      <c r="F12" s="16">
        <f>C4/F11</f>
        <v>0.39938556067588327</v>
      </c>
      <c r="G12" s="16">
        <f>C4/G11</f>
        <v>0.43261231281198004</v>
      </c>
      <c r="H12" s="16">
        <f>C4/H11</f>
        <v>0.47186932849364793</v>
      </c>
      <c r="I12" s="16">
        <f>C4/I11</f>
        <v>0.51896207584830345</v>
      </c>
    </row>
    <row r="13" spans="1:9" x14ac:dyDescent="0.3">
      <c r="B13" s="20" t="s">
        <v>31</v>
      </c>
      <c r="C13" s="16">
        <f>ASIN(C12)</f>
        <v>0.3799765758374315</v>
      </c>
      <c r="E13" s="16">
        <f>ASIN(E12)</f>
        <v>0.35352297567995666</v>
      </c>
      <c r="F13" s="16">
        <f>ASIN(F12)</f>
        <v>0.41084653580111113</v>
      </c>
      <c r="G13" s="16">
        <f>ASIN(G12)</f>
        <v>0.44738825249292652</v>
      </c>
      <c r="H13" s="16">
        <f>ASIN(H12)</f>
        <v>0.49140979496789833</v>
      </c>
      <c r="I13" s="16">
        <f>ASIN(I12)</f>
        <v>0.54563626821858735</v>
      </c>
    </row>
    <row r="14" spans="1:9" x14ac:dyDescent="0.3">
      <c r="A14" t="s">
        <v>4</v>
      </c>
      <c r="B14" s="20" t="s">
        <v>32</v>
      </c>
      <c r="C14" s="34">
        <f>DEGREES(C13)</f>
        <v>21.771054109317479</v>
      </c>
      <c r="E14" s="34">
        <f>DEGREES(E13)</f>
        <v>20.25537446736756</v>
      </c>
      <c r="F14" s="34">
        <f>DEGREES(F13)</f>
        <v>23.539772528974147</v>
      </c>
      <c r="G14" s="34">
        <f>DEGREES(G13)</f>
        <v>25.63345867157792</v>
      </c>
      <c r="H14" s="34">
        <f>DEGREES(H13)</f>
        <v>28.155707263049695</v>
      </c>
      <c r="I14" s="34">
        <f>DEGREES(I13)</f>
        <v>31.262655318193229</v>
      </c>
    </row>
    <row r="15" spans="1:9" x14ac:dyDescent="0.3">
      <c r="B15" s="20" t="s">
        <v>37</v>
      </c>
      <c r="C15" s="16">
        <f>_xlfn.COT(C13)</f>
        <v>2.5038461538461534</v>
      </c>
      <c r="E15" s="16">
        <f>_xlfn.COT(E13)</f>
        <v>2.7098357993006874</v>
      </c>
      <c r="F15" s="16">
        <f>_xlfn.COT(F13)</f>
        <v>2.2954837316195853</v>
      </c>
      <c r="G15" s="16">
        <f>_xlfn.COT(G13)</f>
        <v>2.0840369620454426</v>
      </c>
      <c r="H15" s="16">
        <f>_xlfn.COT(H13)</f>
        <v>1.8684590049702556</v>
      </c>
      <c r="I15" s="16">
        <f>_xlfn.COT(I13)</f>
        <v>1.6471285755455451</v>
      </c>
    </row>
    <row r="16" spans="1:9" x14ac:dyDescent="0.3">
      <c r="B16" s="20" t="s">
        <v>36</v>
      </c>
      <c r="C16" s="16">
        <f>C15-((E4-(2*C10))/C4)</f>
        <v>1.9192307692307686</v>
      </c>
      <c r="E16" s="16">
        <f>E15-((E4-(2*E10))/C4)</f>
        <v>2.1252204146853027</v>
      </c>
      <c r="F16" s="16">
        <f>F15-((E4-(2*F10))/C4)</f>
        <v>1.7108683470042005</v>
      </c>
      <c r="G16" s="16">
        <f>G15-((E4-(2*G10))/C4)</f>
        <v>1.4994215774300579</v>
      </c>
      <c r="H16" s="16">
        <f>H15-((E4-(2*H10))/C4)</f>
        <v>1.2838436203548711</v>
      </c>
      <c r="I16" s="16">
        <f>I15-((E4-(2*I10))/C4)</f>
        <v>1.0625131909301606</v>
      </c>
    </row>
    <row r="17" spans="1:11" x14ac:dyDescent="0.3">
      <c r="B17" s="20" t="s">
        <v>34</v>
      </c>
      <c r="C17" s="16">
        <f>_xlfn.ACOT(C16)</f>
        <v>0.48033922243010885</v>
      </c>
      <c r="E17" s="16">
        <f>_xlfn.ACOT(E16)</f>
        <v>0.43980262433970019</v>
      </c>
      <c r="F17" s="16">
        <f>_xlfn.ACOT(F16)</f>
        <v>0.52894336233351025</v>
      </c>
      <c r="G17" s="16">
        <f>_xlfn.ACOT(G16)</f>
        <v>0.58818062724701992</v>
      </c>
      <c r="H17" s="16">
        <f>_xlfn.ACOT(H16)</f>
        <v>0.66174890546458431</v>
      </c>
      <c r="I17" s="16">
        <f>_xlfn.ACOT(I16)</f>
        <v>0.75509820741281997</v>
      </c>
    </row>
    <row r="18" spans="1:11" x14ac:dyDescent="0.3">
      <c r="A18" t="s">
        <v>33</v>
      </c>
      <c r="B18" s="20" t="s">
        <v>35</v>
      </c>
      <c r="C18" s="34">
        <f>DEGREES(C17)</f>
        <v>27.521410179840924</v>
      </c>
      <c r="E18" s="34">
        <f>DEGREES(E17)</f>
        <v>25.198834193442433</v>
      </c>
      <c r="F18" s="34">
        <f>DEGREES(F17)</f>
        <v>30.306222263169218</v>
      </c>
      <c r="G18" s="34">
        <f>DEGREES(G17)</f>
        <v>33.700267532611711</v>
      </c>
      <c r="H18" s="34">
        <f>DEGREES(H17)</f>
        <v>37.91541938052238</v>
      </c>
      <c r="I18" s="34">
        <f>DEGREES(I17)</f>
        <v>43.263940402648636</v>
      </c>
    </row>
    <row r="19" spans="1:11" x14ac:dyDescent="0.3">
      <c r="A19" t="s">
        <v>29</v>
      </c>
      <c r="B19" s="21" t="s">
        <v>38</v>
      </c>
      <c r="C19" s="34">
        <f>C18-C14</f>
        <v>5.7503560705234449</v>
      </c>
      <c r="D19" s="13"/>
      <c r="E19" s="34">
        <f>E18-E14</f>
        <v>4.9434597260748738</v>
      </c>
      <c r="F19" s="34">
        <f>F18-F14</f>
        <v>6.7664497341950707</v>
      </c>
      <c r="G19" s="34">
        <f>G18-G14</f>
        <v>8.0668088610337918</v>
      </c>
      <c r="H19" s="34">
        <f>H18-H14</f>
        <v>9.7597121174726844</v>
      </c>
      <c r="I19" s="34">
        <f>I18-I14</f>
        <v>12.001285084455407</v>
      </c>
    </row>
    <row r="21" spans="1:11" x14ac:dyDescent="0.3">
      <c r="A21" t="s">
        <v>69</v>
      </c>
      <c r="B21" s="21" t="s">
        <v>68</v>
      </c>
      <c r="C21" s="15">
        <v>0.185</v>
      </c>
      <c r="E21" s="23">
        <f>C21</f>
        <v>0.185</v>
      </c>
      <c r="F21" s="23">
        <f>C21</f>
        <v>0.185</v>
      </c>
      <c r="G21" s="23">
        <f>C21</f>
        <v>0.185</v>
      </c>
      <c r="H21" s="23">
        <f>C21</f>
        <v>0.185</v>
      </c>
      <c r="I21" s="23">
        <f>C21</f>
        <v>0.185</v>
      </c>
    </row>
    <row r="22" spans="1:11" x14ac:dyDescent="0.3">
      <c r="A22" t="s">
        <v>71</v>
      </c>
      <c r="B22" s="21" t="s">
        <v>70</v>
      </c>
      <c r="C22" s="10">
        <f>C9+C21</f>
        <v>14.185</v>
      </c>
      <c r="E22" s="10">
        <f>E9+E21</f>
        <v>15.185</v>
      </c>
      <c r="F22" s="10">
        <f>F9+F21</f>
        <v>13.185</v>
      </c>
      <c r="G22" s="10">
        <f>G9+G21</f>
        <v>12.185</v>
      </c>
      <c r="H22" s="10">
        <f>H9+H21</f>
        <v>11.185</v>
      </c>
      <c r="I22" s="10">
        <f>I9+I21</f>
        <v>10.185</v>
      </c>
    </row>
    <row r="23" spans="1:11" x14ac:dyDescent="0.3">
      <c r="A23" t="s">
        <v>74</v>
      </c>
      <c r="B23" s="21" t="s">
        <v>72</v>
      </c>
      <c r="C23" s="10">
        <f>(SQRT((((C9/2)-C10)^2)-($C$4^2)))+(($E$4-($E$4-(2*C10)))/2)</f>
        <v>6.5</v>
      </c>
      <c r="E23" s="16">
        <f>(SQRT((((E9/2)-E10)^2)-($C$4^2)))+(($E$4-($E$4-(2*E10)))/2)</f>
        <v>7.0355730781817885</v>
      </c>
      <c r="F23" s="16">
        <f>(SQRT((((F9/2)-F10)^2)-($C$4^2)))+(($E$4-($E$4-(2*F10)))/2)</f>
        <v>5.9582577022109229</v>
      </c>
      <c r="G23" s="16">
        <f>(SQRT((((G9/2)-G10)^2)-($C$4^2)))+(($E$4-($E$4-(2*G10)))/2)</f>
        <v>5.4084961013181507</v>
      </c>
      <c r="H23" s="16">
        <f>(SQRT((((H9/2)-H10)^2)-($C$4^2)))+(($E$4-($E$4-(2*H10)))/2)</f>
        <v>4.8479934129226647</v>
      </c>
      <c r="I23" s="16">
        <f>(SQRT((((I9/2)-I10)^2)-($C$4^2)))+(($E$4-($E$4-(2*I10)))/2)</f>
        <v>4.2725342964184181</v>
      </c>
    </row>
    <row r="24" spans="1:11" x14ac:dyDescent="0.3">
      <c r="A24" t="s">
        <v>75</v>
      </c>
      <c r="B24" s="21" t="s">
        <v>73</v>
      </c>
      <c r="C24" s="10">
        <f>C23-$E$4</f>
        <v>5</v>
      </c>
      <c r="E24" s="16">
        <f>E23-$E$4</f>
        <v>5.5355730781817885</v>
      </c>
      <c r="F24" s="16">
        <f>F23-$E$4</f>
        <v>4.4582577022109229</v>
      </c>
      <c r="G24" s="16">
        <f>G23-$E$4</f>
        <v>3.9084961013181507</v>
      </c>
      <c r="H24" s="16">
        <f>H23-$E$4</f>
        <v>3.3479934129226647</v>
      </c>
      <c r="I24" s="16">
        <f>I23-$E$4</f>
        <v>2.7725342964184181</v>
      </c>
    </row>
    <row r="26" spans="1:11" x14ac:dyDescent="0.3">
      <c r="B26" s="7"/>
      <c r="C26" s="8"/>
    </row>
    <row r="27" spans="1:11" x14ac:dyDescent="0.3">
      <c r="B27" s="3" t="s">
        <v>84</v>
      </c>
      <c r="C27" s="9"/>
    </row>
    <row r="28" spans="1:11" x14ac:dyDescent="0.3">
      <c r="B28" s="20" t="s">
        <v>43</v>
      </c>
      <c r="C28" s="6">
        <f>C4/D4</f>
        <v>0.61904761904761907</v>
      </c>
    </row>
    <row r="29" spans="1:11" x14ac:dyDescent="0.3">
      <c r="B29" s="7"/>
      <c r="C29" s="8"/>
      <c r="K29" s="5"/>
    </row>
    <row r="30" spans="1:11" x14ac:dyDescent="0.3">
      <c r="B30" s="3" t="s">
        <v>85</v>
      </c>
      <c r="C30" s="19"/>
    </row>
    <row r="31" spans="1:11" x14ac:dyDescent="0.3">
      <c r="B31" s="20" t="s">
        <v>44</v>
      </c>
      <c r="C31" s="6">
        <f>E4/F4</f>
        <v>0.9375</v>
      </c>
    </row>
    <row r="32" spans="1:11" x14ac:dyDescent="0.3">
      <c r="B32" s="7"/>
      <c r="C32" s="18"/>
    </row>
    <row r="33" spans="1:6" x14ac:dyDescent="0.3">
      <c r="B33" s="22"/>
      <c r="C33" s="27"/>
    </row>
    <row r="34" spans="1:6" x14ac:dyDescent="0.3">
      <c r="B34" s="372" t="s">
        <v>60</v>
      </c>
      <c r="C34" s="372"/>
      <c r="D34" s="372"/>
      <c r="E34" s="372"/>
      <c r="F34" s="372"/>
    </row>
    <row r="35" spans="1:6" x14ac:dyDescent="0.3">
      <c r="B35" s="22"/>
      <c r="C35" s="18"/>
    </row>
    <row r="36" spans="1:6" x14ac:dyDescent="0.3">
      <c r="B36" s="22"/>
      <c r="C36" s="25" t="s">
        <v>45</v>
      </c>
      <c r="D36" s="15" t="s">
        <v>46</v>
      </c>
      <c r="E36" s="15" t="s">
        <v>48</v>
      </c>
      <c r="F36" s="15" t="s">
        <v>47</v>
      </c>
    </row>
    <row r="37" spans="1:6" x14ac:dyDescent="0.3">
      <c r="B37" s="22"/>
      <c r="C37" s="24"/>
      <c r="D37" s="12"/>
      <c r="E37" s="12"/>
      <c r="F37" s="12"/>
    </row>
    <row r="38" spans="1:6" x14ac:dyDescent="0.3">
      <c r="B38" s="20" t="s">
        <v>49</v>
      </c>
      <c r="C38" s="15">
        <v>75</v>
      </c>
      <c r="D38" s="10">
        <f>2*C38</f>
        <v>150</v>
      </c>
      <c r="E38" s="10">
        <f>3*C38</f>
        <v>225</v>
      </c>
      <c r="F38" s="10">
        <f>4*C38</f>
        <v>300</v>
      </c>
    </row>
    <row r="39" spans="1:6" x14ac:dyDescent="0.3">
      <c r="B39" s="20" t="s">
        <v>16</v>
      </c>
      <c r="C39" s="23">
        <f>B4+C38</f>
        <v>475</v>
      </c>
      <c r="D39" s="10">
        <f>D38+B4</f>
        <v>550</v>
      </c>
      <c r="E39" s="10">
        <f>E38+B4</f>
        <v>625</v>
      </c>
      <c r="F39" s="10">
        <f>F38+B4</f>
        <v>700</v>
      </c>
    </row>
    <row r="40" spans="1:6" x14ac:dyDescent="0.3">
      <c r="A40" t="s">
        <v>51</v>
      </c>
      <c r="B40" s="20" t="s">
        <v>50</v>
      </c>
      <c r="C40" s="15">
        <v>9.81</v>
      </c>
      <c r="D40" s="10">
        <f>C40</f>
        <v>9.81</v>
      </c>
      <c r="E40" s="10">
        <f>C40</f>
        <v>9.81</v>
      </c>
      <c r="F40" s="10">
        <f>C40</f>
        <v>9.81</v>
      </c>
    </row>
    <row r="41" spans="1:6" x14ac:dyDescent="0.3">
      <c r="B41" s="20" t="s">
        <v>17</v>
      </c>
      <c r="C41" s="10">
        <f>C39*C40</f>
        <v>4659.75</v>
      </c>
      <c r="D41" s="10">
        <f>D39*D40</f>
        <v>5395.5</v>
      </c>
      <c r="E41" s="10">
        <f>E39*E40</f>
        <v>6131.25</v>
      </c>
      <c r="F41" s="10">
        <f>F39*F40</f>
        <v>6867</v>
      </c>
    </row>
    <row r="42" spans="1:6" x14ac:dyDescent="0.3">
      <c r="A42" t="s">
        <v>63</v>
      </c>
      <c r="B42" s="20" t="s">
        <v>64</v>
      </c>
      <c r="C42" s="10">
        <v>38.381680000000003</v>
      </c>
      <c r="D42" s="10">
        <f>C42</f>
        <v>38.381680000000003</v>
      </c>
      <c r="E42" s="10">
        <f>C42</f>
        <v>38.381680000000003</v>
      </c>
      <c r="F42" s="10">
        <f>C42</f>
        <v>38.381680000000003</v>
      </c>
    </row>
    <row r="43" spans="1:6" x14ac:dyDescent="0.3">
      <c r="B43" s="20" t="s">
        <v>65</v>
      </c>
      <c r="C43" s="28">
        <f>C42*3.6</f>
        <v>138.17404800000003</v>
      </c>
      <c r="D43" s="28">
        <f>C43</f>
        <v>138.17404800000003</v>
      </c>
      <c r="E43" s="28">
        <f>C43</f>
        <v>138.17404800000003</v>
      </c>
      <c r="F43" s="28">
        <f>C43</f>
        <v>138.17404800000003</v>
      </c>
    </row>
    <row r="44" spans="1:6" x14ac:dyDescent="0.3">
      <c r="B44" s="12"/>
      <c r="C44" s="12"/>
      <c r="D44" s="12"/>
      <c r="E44" s="12"/>
      <c r="F44" s="12"/>
    </row>
    <row r="45" spans="1:6" x14ac:dyDescent="0.3">
      <c r="A45" t="s">
        <v>2</v>
      </c>
      <c r="B45" s="20" t="s">
        <v>12</v>
      </c>
      <c r="C45" s="16">
        <f>0.55*C4</f>
        <v>1.4300000000000002</v>
      </c>
      <c r="D45" s="16">
        <f>C45</f>
        <v>1.4300000000000002</v>
      </c>
      <c r="E45" s="16">
        <f>C45</f>
        <v>1.4300000000000002</v>
      </c>
      <c r="F45" s="16">
        <f>C45</f>
        <v>1.4300000000000002</v>
      </c>
    </row>
    <row r="46" spans="1:6" x14ac:dyDescent="0.3">
      <c r="A46" t="s">
        <v>3</v>
      </c>
      <c r="B46" s="20" t="s">
        <v>11</v>
      </c>
      <c r="C46" s="16">
        <f>0.45*C4</f>
        <v>1.1700000000000002</v>
      </c>
      <c r="D46" s="16">
        <f>C46</f>
        <v>1.1700000000000002</v>
      </c>
      <c r="E46" s="16">
        <f>C46</f>
        <v>1.1700000000000002</v>
      </c>
      <c r="F46" s="16">
        <f>C46</f>
        <v>1.1700000000000002</v>
      </c>
    </row>
    <row r="47" spans="1:6" x14ac:dyDescent="0.3">
      <c r="A47" t="s">
        <v>5</v>
      </c>
      <c r="B47" s="20" t="s">
        <v>10</v>
      </c>
      <c r="C47" s="16">
        <v>0.3</v>
      </c>
      <c r="D47" s="16">
        <f>C47</f>
        <v>0.3</v>
      </c>
      <c r="E47" s="16">
        <f>C47</f>
        <v>0.3</v>
      </c>
      <c r="F47" s="16">
        <f>C47</f>
        <v>0.3</v>
      </c>
    </row>
    <row r="49" spans="1:12" x14ac:dyDescent="0.3">
      <c r="B49" s="370" t="s">
        <v>78</v>
      </c>
      <c r="C49" s="370"/>
      <c r="D49" s="370"/>
      <c r="E49" s="370"/>
      <c r="F49" s="370"/>
    </row>
    <row r="50" spans="1:12" x14ac:dyDescent="0.3">
      <c r="B50" s="40"/>
      <c r="C50" s="40"/>
      <c r="D50" s="40"/>
      <c r="E50" s="40"/>
      <c r="F50" s="40"/>
    </row>
    <row r="51" spans="1:12" x14ac:dyDescent="0.3">
      <c r="A51" t="s">
        <v>52</v>
      </c>
      <c r="B51" s="20" t="s">
        <v>25</v>
      </c>
      <c r="C51" s="16">
        <f>(C41*C45)/$C$4</f>
        <v>2562.8625000000002</v>
      </c>
      <c r="D51" s="16">
        <f t="shared" ref="D51:F51" si="0">(D41*D45)/$C$4</f>
        <v>2967.5250000000001</v>
      </c>
      <c r="E51" s="16">
        <f t="shared" si="0"/>
        <v>3372.1875000000005</v>
      </c>
      <c r="F51" s="16">
        <f t="shared" si="0"/>
        <v>3776.8500000000004</v>
      </c>
    </row>
    <row r="52" spans="1:12" x14ac:dyDescent="0.3">
      <c r="A52" t="s">
        <v>53</v>
      </c>
      <c r="B52" s="20" t="s">
        <v>26</v>
      </c>
      <c r="C52" s="16">
        <f>C41-C51</f>
        <v>2096.8874999999998</v>
      </c>
      <c r="D52" s="16">
        <f t="shared" ref="D52:F52" si="1">D41-D51</f>
        <v>2427.9749999999999</v>
      </c>
      <c r="E52" s="16">
        <f t="shared" si="1"/>
        <v>2759.0624999999995</v>
      </c>
      <c r="F52" s="16">
        <f t="shared" si="1"/>
        <v>3090.1499999999996</v>
      </c>
    </row>
    <row r="53" spans="1:12" x14ac:dyDescent="0.3">
      <c r="A53" t="s">
        <v>54</v>
      </c>
      <c r="B53" s="20" t="s">
        <v>28</v>
      </c>
      <c r="C53" s="26">
        <f>C51/2</f>
        <v>1281.4312500000001</v>
      </c>
      <c r="D53" s="26">
        <f t="shared" ref="D53:F53" si="2">D51/2</f>
        <v>1483.7625</v>
      </c>
      <c r="E53" s="26">
        <f t="shared" si="2"/>
        <v>1686.0937500000002</v>
      </c>
      <c r="F53" s="26">
        <f t="shared" si="2"/>
        <v>1888.4250000000002</v>
      </c>
    </row>
    <row r="54" spans="1:12" x14ac:dyDescent="0.3">
      <c r="A54" t="s">
        <v>55</v>
      </c>
      <c r="B54" s="20" t="s">
        <v>27</v>
      </c>
      <c r="C54" s="26">
        <f>C51/2</f>
        <v>1281.4312500000001</v>
      </c>
      <c r="D54" s="26">
        <f t="shared" ref="D54:F54" si="3">D51/2</f>
        <v>1483.7625</v>
      </c>
      <c r="E54" s="26">
        <f t="shared" si="3"/>
        <v>1686.0937500000002</v>
      </c>
      <c r="F54" s="26">
        <f t="shared" si="3"/>
        <v>1888.4250000000002</v>
      </c>
    </row>
    <row r="55" spans="1:12" x14ac:dyDescent="0.3">
      <c r="A55" t="s">
        <v>56</v>
      </c>
      <c r="B55" s="20" t="s">
        <v>24</v>
      </c>
      <c r="C55" s="26">
        <f>C52/2</f>
        <v>1048.4437499999999</v>
      </c>
      <c r="D55" s="26">
        <f t="shared" ref="D55:F55" si="4">D52/2</f>
        <v>1213.9875</v>
      </c>
      <c r="E55" s="26">
        <f t="shared" si="4"/>
        <v>1379.5312499999998</v>
      </c>
      <c r="F55" s="26">
        <f t="shared" si="4"/>
        <v>1545.0749999999998</v>
      </c>
    </row>
    <row r="56" spans="1:12" x14ac:dyDescent="0.3">
      <c r="A56" t="s">
        <v>57</v>
      </c>
      <c r="B56" s="20" t="s">
        <v>23</v>
      </c>
      <c r="C56" s="26">
        <f>C52/2</f>
        <v>1048.4437499999999</v>
      </c>
      <c r="D56" s="26">
        <f t="shared" ref="D56:F56" si="5">D52/2</f>
        <v>1213.9875</v>
      </c>
      <c r="E56" s="26">
        <f t="shared" si="5"/>
        <v>1379.5312499999998</v>
      </c>
      <c r="F56" s="26">
        <f t="shared" si="5"/>
        <v>1545.0749999999998</v>
      </c>
    </row>
    <row r="57" spans="1:12" x14ac:dyDescent="0.3">
      <c r="A57" t="s">
        <v>87</v>
      </c>
      <c r="B57" s="20" t="s">
        <v>89</v>
      </c>
      <c r="C57" s="26">
        <f>C$52/(2*C$40)</f>
        <v>106.87499999999999</v>
      </c>
      <c r="D57" s="26">
        <f t="shared" ref="D57:F57" si="6">D$52/(2*D$40)</f>
        <v>123.74999999999999</v>
      </c>
      <c r="E57" s="26">
        <f t="shared" si="6"/>
        <v>140.62499999999997</v>
      </c>
      <c r="F57" s="26">
        <f t="shared" si="6"/>
        <v>157.49999999999997</v>
      </c>
    </row>
    <row r="58" spans="1:12" x14ac:dyDescent="0.3">
      <c r="A58" t="s">
        <v>88</v>
      </c>
      <c r="B58" s="20" t="s">
        <v>90</v>
      </c>
      <c r="C58" s="26">
        <f>C$51/(2*C$40)</f>
        <v>130.625</v>
      </c>
      <c r="D58" s="26">
        <f t="shared" ref="D58:F58" si="7">D$51/(2*D$40)</f>
        <v>151.25</v>
      </c>
      <c r="E58" s="26">
        <f t="shared" si="7"/>
        <v>171.87500000000003</v>
      </c>
      <c r="F58" s="26">
        <f t="shared" si="7"/>
        <v>192.5</v>
      </c>
      <c r="H58" s="17"/>
      <c r="I58" s="7"/>
      <c r="J58" s="7"/>
      <c r="K58" s="7"/>
      <c r="L58" s="7"/>
    </row>
    <row r="59" spans="1:12" x14ac:dyDescent="0.3">
      <c r="B59" s="7"/>
      <c r="C59" s="8"/>
      <c r="H59" s="17"/>
      <c r="I59" s="7"/>
      <c r="J59" s="7"/>
      <c r="K59" s="7"/>
      <c r="L59" s="7"/>
    </row>
    <row r="60" spans="1:12" x14ac:dyDescent="0.3">
      <c r="B60" s="370" t="s">
        <v>83</v>
      </c>
      <c r="C60" s="370"/>
      <c r="D60" s="370"/>
      <c r="E60" s="370"/>
      <c r="F60" s="370"/>
      <c r="H60" s="17"/>
      <c r="I60" s="368"/>
      <c r="J60" s="368"/>
      <c r="K60" s="368"/>
      <c r="L60" s="368"/>
    </row>
    <row r="61" spans="1:12" x14ac:dyDescent="0.3">
      <c r="B61" s="7"/>
      <c r="C61" s="8"/>
      <c r="E61" s="5"/>
      <c r="H61" s="35"/>
      <c r="I61" s="7"/>
      <c r="J61" s="7"/>
      <c r="K61" s="7"/>
      <c r="L61" s="7"/>
    </row>
    <row r="62" spans="1:12" x14ac:dyDescent="0.3">
      <c r="B62" s="367" t="s">
        <v>80</v>
      </c>
      <c r="C62" s="367"/>
      <c r="D62" s="367"/>
      <c r="E62" s="367"/>
      <c r="F62" s="367"/>
      <c r="H62" s="368"/>
      <c r="I62" s="368"/>
      <c r="J62" s="368"/>
      <c r="K62" s="368"/>
      <c r="L62" s="368"/>
    </row>
    <row r="63" spans="1:12" x14ac:dyDescent="0.3">
      <c r="A63" t="s">
        <v>79</v>
      </c>
      <c r="B63" s="31" t="s">
        <v>20</v>
      </c>
      <c r="C63" s="32">
        <v>1</v>
      </c>
      <c r="D63" s="33">
        <f>C63</f>
        <v>1</v>
      </c>
      <c r="E63" s="33">
        <f>C63</f>
        <v>1</v>
      </c>
      <c r="F63" s="33">
        <f>C63</f>
        <v>1</v>
      </c>
      <c r="H63" s="36"/>
      <c r="I63" s="35"/>
      <c r="J63" s="35"/>
      <c r="K63" s="35"/>
      <c r="L63" s="35"/>
    </row>
    <row r="64" spans="1:12" x14ac:dyDescent="0.3">
      <c r="A64" t="s">
        <v>18</v>
      </c>
      <c r="B64" s="29" t="s">
        <v>19</v>
      </c>
      <c r="C64" s="26">
        <f>C$41*C63</f>
        <v>4659.75</v>
      </c>
      <c r="D64" s="26">
        <f t="shared" ref="D64:F64" si="8">D$41*D63</f>
        <v>5395.5</v>
      </c>
      <c r="E64" s="26">
        <f t="shared" si="8"/>
        <v>6131.25</v>
      </c>
      <c r="F64" s="26">
        <f t="shared" si="8"/>
        <v>6867</v>
      </c>
      <c r="H64" s="17"/>
      <c r="I64" s="35"/>
      <c r="J64" s="35"/>
      <c r="K64" s="35"/>
      <c r="L64" s="35"/>
    </row>
    <row r="65" spans="1:12" x14ac:dyDescent="0.3">
      <c r="A65" t="s">
        <v>22</v>
      </c>
      <c r="B65" s="30" t="s">
        <v>21</v>
      </c>
      <c r="C65" s="26">
        <f>(C64*C$47)/$C$4</f>
        <v>537.66346153846155</v>
      </c>
      <c r="D65" s="26">
        <f>(D64*D$47)/$C$4</f>
        <v>622.55769230769226</v>
      </c>
      <c r="E65" s="26">
        <f>(E64*E$47)/$C$4</f>
        <v>707.45192307692309</v>
      </c>
      <c r="F65" s="26">
        <f>(F64*F$47)/$C$4</f>
        <v>792.34615384615381</v>
      </c>
      <c r="H65" s="37"/>
      <c r="I65" s="35"/>
      <c r="J65" s="35"/>
      <c r="K65" s="35"/>
      <c r="L65" s="35"/>
    </row>
    <row r="66" spans="1:12" x14ac:dyDescent="0.3">
      <c r="A66" t="s">
        <v>53</v>
      </c>
      <c r="B66" s="30" t="s">
        <v>26</v>
      </c>
      <c r="C66" s="26">
        <f>C$52+C65</f>
        <v>2634.5509615384613</v>
      </c>
      <c r="D66" s="26">
        <f t="shared" ref="D66:F66" si="9">D$52+D65</f>
        <v>3050.5326923076923</v>
      </c>
      <c r="E66" s="26">
        <f t="shared" si="9"/>
        <v>3466.5144230769229</v>
      </c>
      <c r="F66" s="26">
        <f t="shared" si="9"/>
        <v>3882.4961538461534</v>
      </c>
      <c r="H66" s="37"/>
      <c r="I66" s="35"/>
      <c r="J66" s="35"/>
      <c r="K66" s="35"/>
      <c r="L66" s="35"/>
    </row>
    <row r="67" spans="1:12" x14ac:dyDescent="0.3">
      <c r="A67" t="s">
        <v>56</v>
      </c>
      <c r="B67" s="30" t="s">
        <v>24</v>
      </c>
      <c r="C67" s="16">
        <f>(C$52+C65)/2</f>
        <v>1317.2754807692306</v>
      </c>
      <c r="D67" s="16">
        <f t="shared" ref="D67:F67" si="10">(D$52+D65)/2</f>
        <v>1525.2663461538461</v>
      </c>
      <c r="E67" s="16">
        <f t="shared" si="10"/>
        <v>1733.2572115384614</v>
      </c>
      <c r="F67" s="16">
        <f t="shared" si="10"/>
        <v>1941.2480769230767</v>
      </c>
      <c r="H67" s="37"/>
      <c r="I67" s="35"/>
      <c r="J67" s="35"/>
      <c r="K67" s="35"/>
      <c r="L67" s="35"/>
    </row>
    <row r="68" spans="1:12" x14ac:dyDescent="0.3">
      <c r="A68" t="s">
        <v>57</v>
      </c>
      <c r="B68" s="30" t="s">
        <v>23</v>
      </c>
      <c r="C68" s="16">
        <f>C67</f>
        <v>1317.2754807692306</v>
      </c>
      <c r="D68" s="16">
        <f t="shared" ref="D68:F68" si="11">D67</f>
        <v>1525.2663461538461</v>
      </c>
      <c r="E68" s="16">
        <f t="shared" si="11"/>
        <v>1733.2572115384614</v>
      </c>
      <c r="F68" s="16">
        <f t="shared" si="11"/>
        <v>1941.2480769230767</v>
      </c>
      <c r="H68" s="37"/>
      <c r="I68" s="35"/>
      <c r="J68" s="35"/>
      <c r="K68" s="35"/>
      <c r="L68" s="35"/>
    </row>
    <row r="69" spans="1:12" x14ac:dyDescent="0.3">
      <c r="A69" t="s">
        <v>52</v>
      </c>
      <c r="B69" s="30" t="s">
        <v>25</v>
      </c>
      <c r="C69" s="16">
        <f>C$51-C65</f>
        <v>2025.1990384615387</v>
      </c>
      <c r="D69" s="16">
        <f t="shared" ref="D69:F69" si="12">D$51-D65</f>
        <v>2344.9673076923077</v>
      </c>
      <c r="E69" s="16">
        <f t="shared" si="12"/>
        <v>2664.7355769230771</v>
      </c>
      <c r="F69" s="16">
        <f t="shared" si="12"/>
        <v>2984.5038461538466</v>
      </c>
      <c r="H69" s="37"/>
      <c r="I69" s="35"/>
      <c r="J69" s="35"/>
      <c r="K69" s="35"/>
      <c r="L69" s="35"/>
    </row>
    <row r="70" spans="1:12" x14ac:dyDescent="0.3">
      <c r="A70" t="s">
        <v>62</v>
      </c>
      <c r="B70" s="30" t="s">
        <v>28</v>
      </c>
      <c r="C70" s="16">
        <f>(C$51-C65)/2</f>
        <v>1012.5995192307694</v>
      </c>
      <c r="D70" s="16">
        <f t="shared" ref="D70:F70" si="13">(D$51-D65)/2</f>
        <v>1172.4836538461539</v>
      </c>
      <c r="E70" s="16">
        <f t="shared" si="13"/>
        <v>1332.3677884615386</v>
      </c>
      <c r="F70" s="16">
        <f t="shared" si="13"/>
        <v>1492.2519230769233</v>
      </c>
      <c r="H70" s="37"/>
      <c r="I70" s="35"/>
      <c r="J70" s="35"/>
      <c r="K70" s="35"/>
      <c r="L70" s="35"/>
    </row>
    <row r="71" spans="1:12" x14ac:dyDescent="0.3">
      <c r="A71" t="s">
        <v>55</v>
      </c>
      <c r="B71" s="30" t="s">
        <v>27</v>
      </c>
      <c r="C71" s="26">
        <f>C70</f>
        <v>1012.5995192307694</v>
      </c>
      <c r="D71" s="26">
        <f t="shared" ref="D71:F71" si="14">D70</f>
        <v>1172.4836538461539</v>
      </c>
      <c r="E71" s="26">
        <f t="shared" si="14"/>
        <v>1332.3677884615386</v>
      </c>
      <c r="F71" s="26">
        <f t="shared" si="14"/>
        <v>1492.2519230769233</v>
      </c>
      <c r="G71" s="7"/>
      <c r="H71" s="37"/>
      <c r="I71" s="35"/>
      <c r="J71" s="35"/>
      <c r="K71" s="35"/>
      <c r="L71" s="35"/>
    </row>
    <row r="72" spans="1:12" x14ac:dyDescent="0.3">
      <c r="A72" t="s">
        <v>61</v>
      </c>
      <c r="B72" s="30" t="s">
        <v>58</v>
      </c>
      <c r="C72" s="34">
        <f>C64/C$39</f>
        <v>9.81</v>
      </c>
      <c r="D72" s="26">
        <f t="shared" ref="D72:F72" si="15">D64/D$39</f>
        <v>9.81</v>
      </c>
      <c r="E72" s="26">
        <f t="shared" si="15"/>
        <v>9.81</v>
      </c>
      <c r="F72" s="26">
        <f t="shared" si="15"/>
        <v>9.81</v>
      </c>
      <c r="H72" s="37"/>
      <c r="I72" s="35"/>
      <c r="J72" s="35"/>
      <c r="K72" s="35"/>
      <c r="L72" s="35"/>
    </row>
    <row r="73" spans="1:12" x14ac:dyDescent="0.3">
      <c r="B73" s="30" t="s">
        <v>59</v>
      </c>
      <c r="C73" s="26">
        <f>C72/C$40</f>
        <v>1</v>
      </c>
      <c r="D73" s="26">
        <f t="shared" ref="D73:F73" si="16">D72/D$40</f>
        <v>1</v>
      </c>
      <c r="E73" s="26">
        <f t="shared" si="16"/>
        <v>1</v>
      </c>
      <c r="F73" s="26">
        <f t="shared" si="16"/>
        <v>1</v>
      </c>
      <c r="H73" s="37"/>
      <c r="I73" s="35"/>
      <c r="J73" s="35"/>
      <c r="K73" s="35"/>
      <c r="L73" s="35"/>
    </row>
    <row r="74" spans="1:12" x14ac:dyDescent="0.3">
      <c r="A74" t="s">
        <v>67</v>
      </c>
      <c r="B74" s="30" t="s">
        <v>66</v>
      </c>
      <c r="C74" s="34">
        <f>(C$42^2)/(2*C72)</f>
        <v>75.084269093904197</v>
      </c>
      <c r="D74" s="26">
        <f t="shared" ref="D74:F74" si="17">(D$42^2)/(2*D72)</f>
        <v>75.084269093904197</v>
      </c>
      <c r="E74" s="26">
        <f t="shared" si="17"/>
        <v>75.084269093904197</v>
      </c>
      <c r="F74" s="26">
        <f t="shared" si="17"/>
        <v>75.084269093904197</v>
      </c>
      <c r="H74" s="37"/>
      <c r="I74" s="35"/>
      <c r="J74" s="35"/>
      <c r="K74" s="35"/>
      <c r="L74" s="35"/>
    </row>
    <row r="75" spans="1:12" x14ac:dyDescent="0.3">
      <c r="A75" t="s">
        <v>91</v>
      </c>
      <c r="B75" s="30" t="s">
        <v>89</v>
      </c>
      <c r="C75" s="26">
        <f>(C$52+C65)/(2*C$40)</f>
        <v>134.27884615384613</v>
      </c>
      <c r="D75" s="26">
        <f t="shared" ref="D75:F75" si="18">(D$52+D65)/(2*D$40)</f>
        <v>155.48076923076923</v>
      </c>
      <c r="E75" s="26">
        <f t="shared" si="18"/>
        <v>176.68269230769229</v>
      </c>
      <c r="F75" s="26">
        <f t="shared" si="18"/>
        <v>197.88461538461536</v>
      </c>
      <c r="H75" s="37"/>
      <c r="I75" s="35"/>
      <c r="J75" s="35"/>
      <c r="K75" s="35"/>
      <c r="L75" s="35"/>
    </row>
    <row r="76" spans="1:12" x14ac:dyDescent="0.3">
      <c r="A76" t="s">
        <v>92</v>
      </c>
      <c r="B76" s="30" t="s">
        <v>90</v>
      </c>
      <c r="C76" s="26">
        <f>(C$51-C65)/(2*C$40)</f>
        <v>103.22115384615385</v>
      </c>
      <c r="D76" s="26">
        <f t="shared" ref="D76:F76" si="19">(D$51-D65)/(2*D$40)</f>
        <v>119.51923076923076</v>
      </c>
      <c r="E76" s="26">
        <f t="shared" si="19"/>
        <v>135.81730769230771</v>
      </c>
      <c r="F76" s="26">
        <f t="shared" si="19"/>
        <v>152.11538461538464</v>
      </c>
      <c r="H76" s="37"/>
      <c r="I76" s="35"/>
      <c r="J76" s="35"/>
      <c r="K76" s="35"/>
      <c r="L76" s="35"/>
    </row>
    <row r="77" spans="1:12" x14ac:dyDescent="0.3">
      <c r="B77" s="7"/>
      <c r="C77" s="7"/>
      <c r="H77" s="7"/>
      <c r="I77" s="7"/>
      <c r="J77" s="7"/>
      <c r="K77" s="7"/>
      <c r="L77" s="7"/>
    </row>
    <row r="78" spans="1:12" x14ac:dyDescent="0.3">
      <c r="B78" s="367" t="s">
        <v>81</v>
      </c>
      <c r="C78" s="367"/>
      <c r="D78" s="367"/>
      <c r="E78" s="367"/>
      <c r="F78" s="367"/>
      <c r="H78" s="368"/>
      <c r="I78" s="368"/>
      <c r="J78" s="368"/>
      <c r="K78" s="368"/>
      <c r="L78" s="368"/>
    </row>
    <row r="79" spans="1:12" x14ac:dyDescent="0.3">
      <c r="A79" t="s">
        <v>79</v>
      </c>
      <c r="B79" s="31" t="s">
        <v>20</v>
      </c>
      <c r="C79" s="32">
        <v>0.6</v>
      </c>
      <c r="D79" s="33">
        <f>C79</f>
        <v>0.6</v>
      </c>
      <c r="E79" s="33">
        <f>C79</f>
        <v>0.6</v>
      </c>
      <c r="F79" s="33">
        <f>C79</f>
        <v>0.6</v>
      </c>
      <c r="H79" s="36"/>
      <c r="I79" s="35"/>
      <c r="J79" s="35"/>
      <c r="K79" s="35"/>
      <c r="L79" s="35"/>
    </row>
    <row r="80" spans="1:12" x14ac:dyDescent="0.3">
      <c r="A80" t="s">
        <v>18</v>
      </c>
      <c r="B80" s="29" t="s">
        <v>19</v>
      </c>
      <c r="C80" s="26">
        <f>C$41*C79</f>
        <v>2795.85</v>
      </c>
      <c r="D80" s="26">
        <f t="shared" ref="D80" si="20">D$41*D79</f>
        <v>3237.2999999999997</v>
      </c>
      <c r="E80" s="26">
        <f t="shared" ref="E80" si="21">E$41*E79</f>
        <v>3678.75</v>
      </c>
      <c r="F80" s="26">
        <f t="shared" ref="F80" si="22">F$41*F79</f>
        <v>4120.2</v>
      </c>
      <c r="H80" s="17"/>
      <c r="I80" s="35"/>
      <c r="J80" s="35"/>
      <c r="K80" s="35"/>
      <c r="L80" s="35"/>
    </row>
    <row r="81" spans="1:12" x14ac:dyDescent="0.3">
      <c r="A81" t="s">
        <v>22</v>
      </c>
      <c r="B81" s="30" t="s">
        <v>21</v>
      </c>
      <c r="C81" s="26">
        <f>(C80*C$47)/$C$4</f>
        <v>322.59807692307692</v>
      </c>
      <c r="D81" s="26">
        <f>(D80*D$47)/$C$4</f>
        <v>373.53461538461528</v>
      </c>
      <c r="E81" s="26">
        <f>(E80*E$47)/$C$4</f>
        <v>424.47115384615381</v>
      </c>
      <c r="F81" s="26">
        <f>(F80*F$47)/$C$4</f>
        <v>475.40769230769229</v>
      </c>
      <c r="H81" s="37"/>
      <c r="I81" s="35"/>
      <c r="J81" s="35"/>
      <c r="K81" s="35"/>
      <c r="L81" s="35"/>
    </row>
    <row r="82" spans="1:12" x14ac:dyDescent="0.3">
      <c r="A82" t="s">
        <v>53</v>
      </c>
      <c r="B82" s="30" t="s">
        <v>26</v>
      </c>
      <c r="C82" s="26">
        <f>C$52+C81</f>
        <v>2419.4855769230767</v>
      </c>
      <c r="D82" s="26">
        <f t="shared" ref="D82" si="23">D$52+D81</f>
        <v>2801.5096153846152</v>
      </c>
      <c r="E82" s="26">
        <f t="shared" ref="E82" si="24">E$52+E81</f>
        <v>3183.5336538461534</v>
      </c>
      <c r="F82" s="26">
        <f t="shared" ref="F82" si="25">F$52+F81</f>
        <v>3565.5576923076919</v>
      </c>
      <c r="H82" s="37"/>
      <c r="I82" s="35"/>
      <c r="J82" s="35"/>
      <c r="K82" s="35"/>
      <c r="L82" s="35"/>
    </row>
    <row r="83" spans="1:12" x14ac:dyDescent="0.3">
      <c r="A83" t="s">
        <v>56</v>
      </c>
      <c r="B83" s="30" t="s">
        <v>24</v>
      </c>
      <c r="C83" s="16">
        <f>(C$52+C81)/2</f>
        <v>1209.7427884615383</v>
      </c>
      <c r="D83" s="16">
        <f t="shared" ref="D83:F83" si="26">(D$52+D81)/2</f>
        <v>1400.7548076923076</v>
      </c>
      <c r="E83" s="16">
        <f t="shared" si="26"/>
        <v>1591.7668269230767</v>
      </c>
      <c r="F83" s="16">
        <f t="shared" si="26"/>
        <v>1782.778846153846</v>
      </c>
      <c r="H83" s="37"/>
      <c r="I83" s="35"/>
      <c r="J83" s="35"/>
      <c r="K83" s="35"/>
      <c r="L83" s="35"/>
    </row>
    <row r="84" spans="1:12" x14ac:dyDescent="0.3">
      <c r="A84" t="s">
        <v>57</v>
      </c>
      <c r="B84" s="30" t="s">
        <v>23</v>
      </c>
      <c r="C84" s="16">
        <f>C83</f>
        <v>1209.7427884615383</v>
      </c>
      <c r="D84" s="16">
        <f t="shared" ref="D84:F84" si="27">D83</f>
        <v>1400.7548076923076</v>
      </c>
      <c r="E84" s="16">
        <f t="shared" si="27"/>
        <v>1591.7668269230767</v>
      </c>
      <c r="F84" s="16">
        <f t="shared" si="27"/>
        <v>1782.778846153846</v>
      </c>
      <c r="H84" s="37"/>
      <c r="I84" s="35"/>
      <c r="J84" s="35"/>
      <c r="K84" s="35"/>
      <c r="L84" s="35"/>
    </row>
    <row r="85" spans="1:12" x14ac:dyDescent="0.3">
      <c r="A85" t="s">
        <v>52</v>
      </c>
      <c r="B85" s="30" t="s">
        <v>25</v>
      </c>
      <c r="C85" s="16">
        <f>C$51-C81</f>
        <v>2240.2644230769233</v>
      </c>
      <c r="D85" s="16">
        <f t="shared" ref="D85:F85" si="28">D$51-D81</f>
        <v>2593.9903846153848</v>
      </c>
      <c r="E85" s="16">
        <f t="shared" si="28"/>
        <v>2947.7163461538466</v>
      </c>
      <c r="F85" s="16">
        <f t="shared" si="28"/>
        <v>3301.4423076923081</v>
      </c>
      <c r="H85" s="37"/>
      <c r="I85" s="35"/>
      <c r="J85" s="35"/>
      <c r="K85" s="35"/>
      <c r="L85" s="35"/>
    </row>
    <row r="86" spans="1:12" x14ac:dyDescent="0.3">
      <c r="A86" t="s">
        <v>62</v>
      </c>
      <c r="B86" s="30" t="s">
        <v>28</v>
      </c>
      <c r="C86" s="16">
        <f>(C$51-C81)/2</f>
        <v>1120.1322115384617</v>
      </c>
      <c r="D86" s="16">
        <f t="shared" ref="D86:F86" si="29">(D$51-D81)/2</f>
        <v>1296.9951923076924</v>
      </c>
      <c r="E86" s="16">
        <f t="shared" si="29"/>
        <v>1473.8581730769233</v>
      </c>
      <c r="F86" s="16">
        <f t="shared" si="29"/>
        <v>1650.721153846154</v>
      </c>
      <c r="H86" s="37"/>
      <c r="I86" s="35"/>
      <c r="J86" s="35"/>
      <c r="K86" s="35"/>
      <c r="L86" s="35"/>
    </row>
    <row r="87" spans="1:12" x14ac:dyDescent="0.3">
      <c r="A87" t="s">
        <v>55</v>
      </c>
      <c r="B87" s="30" t="s">
        <v>27</v>
      </c>
      <c r="C87" s="26">
        <f>C86</f>
        <v>1120.1322115384617</v>
      </c>
      <c r="D87" s="26">
        <f t="shared" ref="D87:F87" si="30">D86</f>
        <v>1296.9951923076924</v>
      </c>
      <c r="E87" s="26">
        <f t="shared" si="30"/>
        <v>1473.8581730769233</v>
      </c>
      <c r="F87" s="26">
        <f t="shared" si="30"/>
        <v>1650.721153846154</v>
      </c>
      <c r="H87" s="37"/>
      <c r="I87" s="35"/>
      <c r="J87" s="35"/>
      <c r="K87" s="35"/>
      <c r="L87" s="35"/>
    </row>
    <row r="88" spans="1:12" x14ac:dyDescent="0.3">
      <c r="A88" t="s">
        <v>61</v>
      </c>
      <c r="B88" s="30" t="s">
        <v>58</v>
      </c>
      <c r="C88" s="34">
        <f>C80/C$39</f>
        <v>5.8860000000000001</v>
      </c>
      <c r="D88" s="26">
        <f t="shared" ref="D88:F88" si="31">D80/D$39</f>
        <v>5.8859999999999992</v>
      </c>
      <c r="E88" s="26">
        <f t="shared" si="31"/>
        <v>5.8860000000000001</v>
      </c>
      <c r="F88" s="26">
        <f t="shared" si="31"/>
        <v>5.8860000000000001</v>
      </c>
      <c r="H88" s="37"/>
      <c r="I88" s="35"/>
      <c r="J88" s="35"/>
      <c r="K88" s="35"/>
      <c r="L88" s="35"/>
    </row>
    <row r="89" spans="1:12" x14ac:dyDescent="0.3">
      <c r="B89" s="30" t="s">
        <v>59</v>
      </c>
      <c r="C89" s="26">
        <f>C88/C$40</f>
        <v>0.6</v>
      </c>
      <c r="D89" s="26">
        <f t="shared" ref="D89" si="32">D88/D$40</f>
        <v>0.59999999999999987</v>
      </c>
      <c r="E89" s="26">
        <f t="shared" ref="E89" si="33">E88/E$40</f>
        <v>0.6</v>
      </c>
      <c r="F89" s="26">
        <f t="shared" ref="F89" si="34">F88/F$40</f>
        <v>0.6</v>
      </c>
      <c r="H89" s="37"/>
      <c r="I89" s="35"/>
      <c r="J89" s="35"/>
      <c r="K89" s="35"/>
      <c r="L89" s="35"/>
    </row>
    <row r="90" spans="1:12" x14ac:dyDescent="0.3">
      <c r="A90" t="s">
        <v>67</v>
      </c>
      <c r="B90" s="30" t="s">
        <v>66</v>
      </c>
      <c r="C90" s="34">
        <f>(C$42^2)/(2*C88)</f>
        <v>125.14044848984032</v>
      </c>
      <c r="D90" s="26">
        <f t="shared" ref="D90:F90" si="35">(D$42^2)/(2*D88)</f>
        <v>125.14044848984034</v>
      </c>
      <c r="E90" s="26">
        <f t="shared" si="35"/>
        <v>125.14044848984032</v>
      </c>
      <c r="F90" s="26">
        <f t="shared" si="35"/>
        <v>125.14044848984032</v>
      </c>
      <c r="H90" s="37"/>
      <c r="I90" s="35"/>
      <c r="J90" s="35"/>
      <c r="K90" s="35"/>
      <c r="L90" s="35"/>
    </row>
    <row r="91" spans="1:12" x14ac:dyDescent="0.3">
      <c r="A91" t="s">
        <v>91</v>
      </c>
      <c r="B91" s="30" t="s">
        <v>89</v>
      </c>
      <c r="C91" s="26">
        <f>(C$52+C81)/(2*C$40)</f>
        <v>123.31730769230768</v>
      </c>
      <c r="D91" s="26">
        <f t="shared" ref="D91:F91" si="36">(D$52+D81)/(2*D$40)</f>
        <v>142.78846153846152</v>
      </c>
      <c r="E91" s="26">
        <f t="shared" si="36"/>
        <v>162.25961538461536</v>
      </c>
      <c r="F91" s="26">
        <f t="shared" si="36"/>
        <v>181.7307692307692</v>
      </c>
      <c r="H91" s="37"/>
      <c r="I91" s="35"/>
      <c r="J91" s="35"/>
      <c r="K91" s="35"/>
      <c r="L91" s="35"/>
    </row>
    <row r="92" spans="1:12" x14ac:dyDescent="0.3">
      <c r="A92" t="s">
        <v>92</v>
      </c>
      <c r="B92" s="30" t="s">
        <v>90</v>
      </c>
      <c r="C92" s="26">
        <f>(C$51-C81)/(2*C$40)</f>
        <v>114.18269230769232</v>
      </c>
      <c r="D92" s="26">
        <f t="shared" ref="D92:F92" si="37">(D$51-D81)/(2*D$40)</f>
        <v>132.21153846153845</v>
      </c>
      <c r="E92" s="26">
        <f t="shared" si="37"/>
        <v>150.24038461538464</v>
      </c>
      <c r="F92" s="26">
        <f t="shared" si="37"/>
        <v>168.26923076923077</v>
      </c>
      <c r="H92" s="37"/>
      <c r="I92" s="35"/>
      <c r="J92" s="35"/>
      <c r="K92" s="35"/>
      <c r="L92" s="35"/>
    </row>
    <row r="93" spans="1:12" x14ac:dyDescent="0.3">
      <c r="H93" s="7"/>
      <c r="I93" s="7"/>
      <c r="J93" s="7"/>
      <c r="K93" s="7"/>
      <c r="L93" s="7"/>
    </row>
    <row r="94" spans="1:12" x14ac:dyDescent="0.3">
      <c r="B94" s="367" t="s">
        <v>82</v>
      </c>
      <c r="C94" s="367"/>
      <c r="D94" s="367"/>
      <c r="E94" s="367"/>
      <c r="F94" s="367"/>
      <c r="H94" s="368"/>
      <c r="I94" s="368"/>
      <c r="J94" s="368"/>
      <c r="K94" s="368"/>
      <c r="L94" s="368"/>
    </row>
    <row r="95" spans="1:12" x14ac:dyDescent="0.3">
      <c r="A95" t="s">
        <v>79</v>
      </c>
      <c r="B95" s="31" t="s">
        <v>20</v>
      </c>
      <c r="C95" s="32">
        <v>0.15</v>
      </c>
      <c r="D95" s="33">
        <f>C95</f>
        <v>0.15</v>
      </c>
      <c r="E95" s="33">
        <f>C95</f>
        <v>0.15</v>
      </c>
      <c r="F95" s="33">
        <f>C95</f>
        <v>0.15</v>
      </c>
      <c r="H95" s="36"/>
      <c r="I95" s="35"/>
      <c r="J95" s="35"/>
      <c r="K95" s="35"/>
      <c r="L95" s="35"/>
    </row>
    <row r="96" spans="1:12" x14ac:dyDescent="0.3">
      <c r="A96" t="s">
        <v>18</v>
      </c>
      <c r="B96" s="29" t="s">
        <v>19</v>
      </c>
      <c r="C96" s="26">
        <f>C$41*C95</f>
        <v>698.96249999999998</v>
      </c>
      <c r="D96" s="26">
        <f t="shared" ref="D96" si="38">D$41*D95</f>
        <v>809.32499999999993</v>
      </c>
      <c r="E96" s="26">
        <f t="shared" ref="E96" si="39">E$41*E95</f>
        <v>919.6875</v>
      </c>
      <c r="F96" s="26">
        <f t="shared" ref="F96" si="40">F$41*F95</f>
        <v>1030.05</v>
      </c>
      <c r="H96" s="17"/>
      <c r="I96" s="35"/>
      <c r="J96" s="35"/>
      <c r="K96" s="35"/>
      <c r="L96" s="35"/>
    </row>
    <row r="97" spans="1:12" x14ac:dyDescent="0.3">
      <c r="A97" t="s">
        <v>22</v>
      </c>
      <c r="B97" s="30" t="s">
        <v>21</v>
      </c>
      <c r="C97" s="26">
        <f>(C96*C$47)/$C$4</f>
        <v>80.649519230769229</v>
      </c>
      <c r="D97" s="26">
        <f>(D96*D$47)/$C$4</f>
        <v>93.38365384615382</v>
      </c>
      <c r="E97" s="26">
        <f>(E96*E$47)/$C$4</f>
        <v>106.11778846153845</v>
      </c>
      <c r="F97" s="26">
        <f>(F96*F$47)/$C$4</f>
        <v>118.85192307692307</v>
      </c>
      <c r="H97" s="37"/>
      <c r="I97" s="35"/>
      <c r="J97" s="35"/>
      <c r="K97" s="35"/>
      <c r="L97" s="35"/>
    </row>
    <row r="98" spans="1:12" x14ac:dyDescent="0.3">
      <c r="A98" t="s">
        <v>53</v>
      </c>
      <c r="B98" s="30" t="s">
        <v>26</v>
      </c>
      <c r="C98" s="26">
        <f>C$52+C97</f>
        <v>2177.5370192307691</v>
      </c>
      <c r="D98" s="26">
        <f t="shared" ref="D98" si="41">D$52+D97</f>
        <v>2521.3586538461536</v>
      </c>
      <c r="E98" s="26">
        <f t="shared" ref="E98" si="42">E$52+E97</f>
        <v>2865.1802884615381</v>
      </c>
      <c r="F98" s="26">
        <f t="shared" ref="F98" si="43">F$52+F97</f>
        <v>3209.0019230769226</v>
      </c>
      <c r="H98" s="37"/>
      <c r="I98" s="35"/>
      <c r="J98" s="35"/>
      <c r="K98" s="35"/>
      <c r="L98" s="35"/>
    </row>
    <row r="99" spans="1:12" x14ac:dyDescent="0.3">
      <c r="A99" t="s">
        <v>56</v>
      </c>
      <c r="B99" s="30" t="s">
        <v>24</v>
      </c>
      <c r="C99" s="16">
        <f>(C$52+C97)/2</f>
        <v>1088.7685096153846</v>
      </c>
      <c r="D99" s="16">
        <f t="shared" ref="D99:F99" si="44">(D$52+D97)/2</f>
        <v>1260.6793269230768</v>
      </c>
      <c r="E99" s="16">
        <f t="shared" si="44"/>
        <v>1432.5901442307691</v>
      </c>
      <c r="F99" s="16">
        <f t="shared" si="44"/>
        <v>1604.5009615384613</v>
      </c>
      <c r="H99" s="37"/>
      <c r="I99" s="35"/>
      <c r="J99" s="35"/>
      <c r="K99" s="35"/>
      <c r="L99" s="35"/>
    </row>
    <row r="100" spans="1:12" x14ac:dyDescent="0.3">
      <c r="A100" t="s">
        <v>57</v>
      </c>
      <c r="B100" s="30" t="s">
        <v>23</v>
      </c>
      <c r="C100" s="16">
        <f>C99</f>
        <v>1088.7685096153846</v>
      </c>
      <c r="D100" s="16">
        <f t="shared" ref="D100:F100" si="45">D99</f>
        <v>1260.6793269230768</v>
      </c>
      <c r="E100" s="16">
        <f t="shared" si="45"/>
        <v>1432.5901442307691</v>
      </c>
      <c r="F100" s="16">
        <f t="shared" si="45"/>
        <v>1604.5009615384613</v>
      </c>
      <c r="H100" s="37"/>
      <c r="I100" s="35"/>
      <c r="J100" s="35"/>
      <c r="K100" s="35"/>
      <c r="L100" s="35"/>
    </row>
    <row r="101" spans="1:12" x14ac:dyDescent="0.3">
      <c r="A101" t="s">
        <v>52</v>
      </c>
      <c r="B101" s="30" t="s">
        <v>25</v>
      </c>
      <c r="C101" s="16">
        <f>C$51-C97</f>
        <v>2482.2129807692309</v>
      </c>
      <c r="D101" s="16">
        <f t="shared" ref="D101:F101" si="46">D$51-D97</f>
        <v>2874.1413461538464</v>
      </c>
      <c r="E101" s="16">
        <f t="shared" si="46"/>
        <v>3266.0697115384619</v>
      </c>
      <c r="F101" s="16">
        <f t="shared" si="46"/>
        <v>3657.9980769230774</v>
      </c>
      <c r="H101" s="37"/>
      <c r="I101" s="35"/>
      <c r="J101" s="35"/>
      <c r="K101" s="35"/>
      <c r="L101" s="35"/>
    </row>
    <row r="102" spans="1:12" x14ac:dyDescent="0.3">
      <c r="A102" t="s">
        <v>62</v>
      </c>
      <c r="B102" s="30" t="s">
        <v>28</v>
      </c>
      <c r="C102" s="16">
        <f>(C$51-C97)/2</f>
        <v>1241.1064903846154</v>
      </c>
      <c r="D102" s="16">
        <f t="shared" ref="D102:F102" si="47">(D$51-D97)/2</f>
        <v>1437.0706730769232</v>
      </c>
      <c r="E102" s="16">
        <f t="shared" si="47"/>
        <v>1633.0348557692309</v>
      </c>
      <c r="F102" s="16">
        <f t="shared" si="47"/>
        <v>1828.9990384615387</v>
      </c>
      <c r="H102" s="37"/>
      <c r="I102" s="35"/>
      <c r="J102" s="35"/>
      <c r="K102" s="35"/>
      <c r="L102" s="35"/>
    </row>
    <row r="103" spans="1:12" x14ac:dyDescent="0.3">
      <c r="A103" t="s">
        <v>55</v>
      </c>
      <c r="B103" s="30" t="s">
        <v>27</v>
      </c>
      <c r="C103" s="26">
        <f>C102</f>
        <v>1241.1064903846154</v>
      </c>
      <c r="D103" s="26">
        <f t="shared" ref="D103:F103" si="48">D102</f>
        <v>1437.0706730769232</v>
      </c>
      <c r="E103" s="26">
        <f t="shared" si="48"/>
        <v>1633.0348557692309</v>
      </c>
      <c r="F103" s="26">
        <f t="shared" si="48"/>
        <v>1828.9990384615387</v>
      </c>
      <c r="H103" s="37"/>
      <c r="I103" s="35"/>
      <c r="J103" s="35"/>
      <c r="K103" s="35"/>
      <c r="L103" s="35"/>
    </row>
    <row r="104" spans="1:12" x14ac:dyDescent="0.3">
      <c r="A104" t="s">
        <v>61</v>
      </c>
      <c r="B104" s="30" t="s">
        <v>58</v>
      </c>
      <c r="C104" s="34">
        <f>C96/C$39</f>
        <v>1.4715</v>
      </c>
      <c r="D104" s="26">
        <f t="shared" ref="D104:F104" si="49">D96/D$39</f>
        <v>1.4714999999999998</v>
      </c>
      <c r="E104" s="26">
        <f t="shared" si="49"/>
        <v>1.4715</v>
      </c>
      <c r="F104" s="26">
        <f t="shared" si="49"/>
        <v>1.4715</v>
      </c>
      <c r="H104" s="37"/>
      <c r="I104" s="35"/>
      <c r="J104" s="35"/>
      <c r="K104" s="35"/>
      <c r="L104" s="35"/>
    </row>
    <row r="105" spans="1:12" x14ac:dyDescent="0.3">
      <c r="B105" s="30" t="s">
        <v>59</v>
      </c>
      <c r="C105" s="26">
        <f>C104/C$40</f>
        <v>0.15</v>
      </c>
      <c r="D105" s="26">
        <f t="shared" ref="D105" si="50">D104/D$40</f>
        <v>0.14999999999999997</v>
      </c>
      <c r="E105" s="26">
        <f t="shared" ref="E105" si="51">E104/E$40</f>
        <v>0.15</v>
      </c>
      <c r="F105" s="26">
        <f t="shared" ref="F105" si="52">F104/F$40</f>
        <v>0.15</v>
      </c>
      <c r="H105" s="37"/>
      <c r="I105" s="35"/>
      <c r="J105" s="35"/>
      <c r="K105" s="35"/>
      <c r="L105" s="35"/>
    </row>
    <row r="106" spans="1:12" x14ac:dyDescent="0.3">
      <c r="A106" t="s">
        <v>67</v>
      </c>
      <c r="B106" s="30" t="s">
        <v>66</v>
      </c>
      <c r="C106" s="34">
        <f>(C$42^2)/(2*C104)</f>
        <v>500.5617939593613</v>
      </c>
      <c r="D106" s="26">
        <f t="shared" ref="D106:F106" si="53">(D$42^2)/(2*D104)</f>
        <v>500.56179395936135</v>
      </c>
      <c r="E106" s="26">
        <f t="shared" si="53"/>
        <v>500.5617939593613</v>
      </c>
      <c r="F106" s="26">
        <f t="shared" si="53"/>
        <v>500.5617939593613</v>
      </c>
      <c r="H106" s="37"/>
      <c r="I106" s="35"/>
      <c r="J106" s="35"/>
      <c r="K106" s="35"/>
      <c r="L106" s="35"/>
    </row>
    <row r="107" spans="1:12" x14ac:dyDescent="0.3">
      <c r="A107" t="s">
        <v>91</v>
      </c>
      <c r="B107" s="30" t="s">
        <v>89</v>
      </c>
      <c r="C107" s="26">
        <f>(C$52+C97)/(2*C$40)</f>
        <v>110.98557692307692</v>
      </c>
      <c r="D107" s="26">
        <f t="shared" ref="D107:F107" si="54">(D$52+D97)/(2*D$40)</f>
        <v>128.50961538461536</v>
      </c>
      <c r="E107" s="26">
        <f t="shared" si="54"/>
        <v>146.03365384615381</v>
      </c>
      <c r="F107" s="26">
        <f t="shared" si="54"/>
        <v>163.55769230769226</v>
      </c>
      <c r="H107" s="37"/>
      <c r="I107" s="35"/>
      <c r="J107" s="35"/>
      <c r="K107" s="35"/>
      <c r="L107" s="35"/>
    </row>
    <row r="108" spans="1:12" x14ac:dyDescent="0.3">
      <c r="A108" t="s">
        <v>92</v>
      </c>
      <c r="B108" s="30" t="s">
        <v>90</v>
      </c>
      <c r="C108" s="26">
        <f>(C$51-C97)/(2*C$40)</f>
        <v>126.51442307692308</v>
      </c>
      <c r="D108" s="26">
        <f t="shared" ref="D108:F108" si="55">(D$51-D97)/(2*D$40)</f>
        <v>146.49038461538461</v>
      </c>
      <c r="E108" s="26">
        <f t="shared" si="55"/>
        <v>166.46634615384616</v>
      </c>
      <c r="F108" s="26">
        <f t="shared" si="55"/>
        <v>186.44230769230771</v>
      </c>
      <c r="H108" s="37"/>
      <c r="I108" s="35"/>
      <c r="J108" s="35"/>
      <c r="K108" s="35"/>
      <c r="L108" s="35"/>
    </row>
    <row r="109" spans="1:12" x14ac:dyDescent="0.3">
      <c r="H109" s="7"/>
      <c r="I109" s="7"/>
      <c r="J109" s="7"/>
      <c r="K109" s="7"/>
      <c r="L109" s="7"/>
    </row>
    <row r="110" spans="1:12" x14ac:dyDescent="0.3">
      <c r="B110" s="30" t="s">
        <v>94</v>
      </c>
    </row>
    <row r="111" spans="1:12" x14ac:dyDescent="0.3">
      <c r="B111" s="39">
        <v>100</v>
      </c>
    </row>
    <row r="112" spans="1:12" x14ac:dyDescent="0.3">
      <c r="B112" s="30" t="s">
        <v>95</v>
      </c>
      <c r="C112" s="369" t="s">
        <v>93</v>
      </c>
      <c r="D112" s="370"/>
      <c r="E112" s="370"/>
      <c r="F112" s="370"/>
    </row>
    <row r="113" spans="1:6" x14ac:dyDescent="0.3">
      <c r="B113" s="38">
        <f>B111/3.6</f>
        <v>27.777777777777779</v>
      </c>
    </row>
    <row r="114" spans="1:6" x14ac:dyDescent="0.3">
      <c r="B114" s="367" t="s">
        <v>80</v>
      </c>
      <c r="C114" s="367"/>
      <c r="D114" s="367"/>
      <c r="E114" s="367"/>
      <c r="F114" s="367"/>
    </row>
    <row r="115" spans="1:6" x14ac:dyDescent="0.3">
      <c r="A115" t="s">
        <v>67</v>
      </c>
      <c r="B115" s="20" t="s">
        <v>66</v>
      </c>
      <c r="C115" s="16">
        <f>($B$113^2)/(2*C$72)</f>
        <v>39.32746882118272</v>
      </c>
      <c r="D115" s="16">
        <f t="shared" ref="D115:F115" si="56">($B$113^2)/(2*D$72)</f>
        <v>39.32746882118272</v>
      </c>
      <c r="E115" s="16">
        <f t="shared" si="56"/>
        <v>39.32746882118272</v>
      </c>
      <c r="F115" s="16">
        <f t="shared" si="56"/>
        <v>39.32746882118272</v>
      </c>
    </row>
    <row r="116" spans="1:6" x14ac:dyDescent="0.3">
      <c r="B116" s="367" t="s">
        <v>81</v>
      </c>
      <c r="C116" s="367"/>
      <c r="D116" s="367"/>
      <c r="E116" s="367"/>
      <c r="F116" s="367"/>
    </row>
    <row r="117" spans="1:6" x14ac:dyDescent="0.3">
      <c r="A117" t="s">
        <v>67</v>
      </c>
      <c r="B117" s="20" t="s">
        <v>66</v>
      </c>
      <c r="C117" s="16">
        <f>($B$113^2)/(2*C$88)</f>
        <v>65.545781368637861</v>
      </c>
      <c r="D117" s="16">
        <f t="shared" ref="D117:F117" si="57">($B$113^2)/(2*D$88)</f>
        <v>65.545781368637876</v>
      </c>
      <c r="E117" s="16">
        <f t="shared" si="57"/>
        <v>65.545781368637861</v>
      </c>
      <c r="F117" s="16">
        <f t="shared" si="57"/>
        <v>65.545781368637861</v>
      </c>
    </row>
    <row r="118" spans="1:6" x14ac:dyDescent="0.3">
      <c r="B118" s="367" t="s">
        <v>82</v>
      </c>
      <c r="C118" s="367"/>
      <c r="D118" s="367"/>
      <c r="E118" s="367"/>
      <c r="F118" s="367"/>
    </row>
    <row r="119" spans="1:6" x14ac:dyDescent="0.3">
      <c r="A119" t="s">
        <v>67</v>
      </c>
      <c r="B119" s="20" t="s">
        <v>66</v>
      </c>
      <c r="C119" s="16">
        <f>($B$113^2)/(2*C$104)</f>
        <v>262.18312547455145</v>
      </c>
      <c r="D119" s="16">
        <f t="shared" ref="D119:F119" si="58">($B$113^2)/(2*D$104)</f>
        <v>262.1831254745515</v>
      </c>
      <c r="E119" s="16">
        <f t="shared" si="58"/>
        <v>262.18312547455145</v>
      </c>
      <c r="F119" s="16">
        <f t="shared" si="58"/>
        <v>262.18312547455145</v>
      </c>
    </row>
    <row r="121" spans="1:6" x14ac:dyDescent="0.3">
      <c r="A121" s="370" t="s">
        <v>273</v>
      </c>
      <c r="B121" s="370"/>
      <c r="C121" s="370"/>
    </row>
    <row r="122" spans="1:6" x14ac:dyDescent="0.3">
      <c r="B122" s="41"/>
      <c r="C122" s="41"/>
    </row>
    <row r="123" spans="1:6" x14ac:dyDescent="0.3">
      <c r="A123" s="51" t="s">
        <v>108</v>
      </c>
      <c r="B123" s="20"/>
      <c r="C123" s="61">
        <v>5.5E-2</v>
      </c>
    </row>
    <row r="124" spans="1:6" x14ac:dyDescent="0.3">
      <c r="A124" s="51" t="s">
        <v>109</v>
      </c>
      <c r="B124" s="20" t="s">
        <v>115</v>
      </c>
      <c r="C124" s="61">
        <v>16</v>
      </c>
    </row>
    <row r="125" spans="1:6" x14ac:dyDescent="0.3">
      <c r="A125" s="51" t="s">
        <v>110</v>
      </c>
      <c r="B125" s="20"/>
      <c r="C125" s="42">
        <f>2*C123</f>
        <v>0.11</v>
      </c>
    </row>
    <row r="126" spans="1:6" x14ac:dyDescent="0.3">
      <c r="A126" s="52" t="s">
        <v>109</v>
      </c>
      <c r="B126" s="20" t="s">
        <v>114</v>
      </c>
      <c r="C126" s="45">
        <f>C124*25.4/1000</f>
        <v>0.40639999999999998</v>
      </c>
    </row>
    <row r="127" spans="1:6" x14ac:dyDescent="0.3">
      <c r="A127" s="52" t="s">
        <v>111</v>
      </c>
      <c r="B127" s="20" t="s">
        <v>113</v>
      </c>
      <c r="C127" s="45">
        <f>C126+C125</f>
        <v>0.51639999999999997</v>
      </c>
    </row>
    <row r="128" spans="1:6" x14ac:dyDescent="0.3">
      <c r="A128" s="52" t="s">
        <v>112</v>
      </c>
      <c r="B128" s="20" t="s">
        <v>98</v>
      </c>
      <c r="C128" s="45">
        <f>C127/2</f>
        <v>0.25819999999999999</v>
      </c>
    </row>
    <row r="129" spans="1:6" x14ac:dyDescent="0.3">
      <c r="A129" s="52" t="s">
        <v>99</v>
      </c>
      <c r="B129" s="20" t="s">
        <v>100</v>
      </c>
      <c r="C129" s="45">
        <f>0.98*C128</f>
        <v>0.25303599999999998</v>
      </c>
    </row>
    <row r="130" spans="1:6" x14ac:dyDescent="0.3">
      <c r="A130" s="51" t="s">
        <v>96</v>
      </c>
      <c r="B130" s="20" t="s">
        <v>97</v>
      </c>
      <c r="C130" s="28">
        <f>3*(C129-((2/3)*C128))</f>
        <v>0.24270800000000003</v>
      </c>
      <c r="F130" s="47"/>
    </row>
    <row r="131" spans="1:6" x14ac:dyDescent="0.3">
      <c r="A131" s="51" t="s">
        <v>116</v>
      </c>
      <c r="B131" s="20" t="s">
        <v>117</v>
      </c>
      <c r="C131" s="28">
        <f>2*PI()*C129</f>
        <v>1.5898720773874937</v>
      </c>
    </row>
    <row r="132" spans="1:6" x14ac:dyDescent="0.3">
      <c r="A132" s="51"/>
      <c r="B132" s="54"/>
      <c r="C132" s="62"/>
    </row>
    <row r="133" spans="1:6" x14ac:dyDescent="0.3">
      <c r="A133" s="381" t="s">
        <v>662</v>
      </c>
      <c r="B133" s="381"/>
      <c r="C133" s="381"/>
      <c r="D133" s="381"/>
      <c r="E133" s="381"/>
      <c r="F133" s="381"/>
    </row>
    <row r="134" spans="1:6" x14ac:dyDescent="0.3">
      <c r="A134" s="51"/>
      <c r="B134" s="204"/>
      <c r="C134" s="62"/>
    </row>
    <row r="135" spans="1:6" x14ac:dyDescent="0.3">
      <c r="B135" s="367" t="s">
        <v>80</v>
      </c>
      <c r="C135" s="367"/>
      <c r="D135" s="367"/>
      <c r="E135" s="367"/>
      <c r="F135" s="367"/>
    </row>
    <row r="136" spans="1:6" ht="15" thickBot="1" x14ac:dyDescent="0.35">
      <c r="A136" t="s">
        <v>79</v>
      </c>
      <c r="B136" s="219" t="s">
        <v>20</v>
      </c>
      <c r="C136" s="220">
        <v>1</v>
      </c>
      <c r="D136" s="221">
        <f>C136</f>
        <v>1</v>
      </c>
      <c r="E136" s="221">
        <f>C136</f>
        <v>1</v>
      </c>
      <c r="F136" s="221">
        <f>C136</f>
        <v>1</v>
      </c>
    </row>
    <row r="137" spans="1:6" x14ac:dyDescent="0.3">
      <c r="A137" s="207" t="s">
        <v>53</v>
      </c>
      <c r="B137" s="213" t="s">
        <v>26</v>
      </c>
      <c r="C137" s="214">
        <f>C52</f>
        <v>2096.8874999999998</v>
      </c>
      <c r="D137" s="214">
        <f t="shared" ref="D137:F137" si="59">D52</f>
        <v>2427.9749999999999</v>
      </c>
      <c r="E137" s="214">
        <f t="shared" si="59"/>
        <v>2759.0624999999995</v>
      </c>
      <c r="F137" s="215">
        <f t="shared" si="59"/>
        <v>3090.1499999999996</v>
      </c>
    </row>
    <row r="138" spans="1:6" ht="15" thickBot="1" x14ac:dyDescent="0.35">
      <c r="A138" s="210" t="s">
        <v>434</v>
      </c>
      <c r="B138" s="216" t="s">
        <v>663</v>
      </c>
      <c r="C138" s="217">
        <f>C136*C137</f>
        <v>2096.8874999999998</v>
      </c>
      <c r="D138" s="217">
        <f t="shared" ref="D138:F138" si="60">D136*D137</f>
        <v>2427.9749999999999</v>
      </c>
      <c r="E138" s="217">
        <f t="shared" si="60"/>
        <v>2759.0624999999995</v>
      </c>
      <c r="F138" s="218">
        <f t="shared" si="60"/>
        <v>3090.1499999999996</v>
      </c>
    </row>
    <row r="139" spans="1:6" x14ac:dyDescent="0.3">
      <c r="A139" s="207" t="s">
        <v>56</v>
      </c>
      <c r="B139" s="213" t="s">
        <v>24</v>
      </c>
      <c r="C139" s="208">
        <f>C55</f>
        <v>1048.4437499999999</v>
      </c>
      <c r="D139" s="208">
        <f t="shared" ref="D139:F139" si="61">D55</f>
        <v>1213.9875</v>
      </c>
      <c r="E139" s="208">
        <f t="shared" si="61"/>
        <v>1379.5312499999998</v>
      </c>
      <c r="F139" s="209">
        <f t="shared" si="61"/>
        <v>1545.0749999999998</v>
      </c>
    </row>
    <row r="140" spans="1:6" ht="15" thickBot="1" x14ac:dyDescent="0.35">
      <c r="A140" s="210" t="s">
        <v>434</v>
      </c>
      <c r="B140" s="216" t="s">
        <v>663</v>
      </c>
      <c r="C140" s="211">
        <f>C136*C139</f>
        <v>1048.4437499999999</v>
      </c>
      <c r="D140" s="211">
        <f t="shared" ref="D140:F140" si="62">D136*D139</f>
        <v>1213.9875</v>
      </c>
      <c r="E140" s="211">
        <f t="shared" si="62"/>
        <v>1379.5312499999998</v>
      </c>
      <c r="F140" s="212">
        <f t="shared" si="62"/>
        <v>1545.0749999999998</v>
      </c>
    </row>
    <row r="141" spans="1:6" x14ac:dyDescent="0.3">
      <c r="A141" s="207" t="s">
        <v>57</v>
      </c>
      <c r="B141" s="213" t="s">
        <v>23</v>
      </c>
      <c r="C141" s="208">
        <f>C56</f>
        <v>1048.4437499999999</v>
      </c>
      <c r="D141" s="208">
        <f t="shared" ref="D141:F141" si="63">D139</f>
        <v>1213.9875</v>
      </c>
      <c r="E141" s="208">
        <f t="shared" si="63"/>
        <v>1379.5312499999998</v>
      </c>
      <c r="F141" s="209">
        <f t="shared" si="63"/>
        <v>1545.0749999999998</v>
      </c>
    </row>
    <row r="142" spans="1:6" ht="15" thickBot="1" x14ac:dyDescent="0.35">
      <c r="A142" s="210" t="s">
        <v>434</v>
      </c>
      <c r="B142" s="216" t="s">
        <v>663</v>
      </c>
      <c r="C142" s="211">
        <f>C136*C141</f>
        <v>1048.4437499999999</v>
      </c>
      <c r="D142" s="211">
        <f t="shared" ref="D142:F142" si="64">D136*D141</f>
        <v>1213.9875</v>
      </c>
      <c r="E142" s="211">
        <f t="shared" si="64"/>
        <v>1379.5312499999998</v>
      </c>
      <c r="F142" s="212">
        <f t="shared" si="64"/>
        <v>1545.0749999999998</v>
      </c>
    </row>
    <row r="143" spans="1:6" x14ac:dyDescent="0.3">
      <c r="A143" s="207" t="s">
        <v>52</v>
      </c>
      <c r="B143" s="213" t="s">
        <v>25</v>
      </c>
      <c r="C143" s="208">
        <f>C51</f>
        <v>2562.8625000000002</v>
      </c>
      <c r="D143" s="208">
        <f t="shared" ref="D143:F143" si="65">D51</f>
        <v>2967.5250000000001</v>
      </c>
      <c r="E143" s="208">
        <f t="shared" si="65"/>
        <v>3372.1875000000005</v>
      </c>
      <c r="F143" s="209">
        <f t="shared" si="65"/>
        <v>3776.8500000000004</v>
      </c>
    </row>
    <row r="144" spans="1:6" ht="15" thickBot="1" x14ac:dyDescent="0.35">
      <c r="A144" s="210" t="s">
        <v>434</v>
      </c>
      <c r="B144" s="216" t="s">
        <v>663</v>
      </c>
      <c r="C144" s="211">
        <f>C136*C143</f>
        <v>2562.8625000000002</v>
      </c>
      <c r="D144" s="211">
        <f t="shared" ref="D144:F144" si="66">D136*D143</f>
        <v>2967.5250000000001</v>
      </c>
      <c r="E144" s="211">
        <f t="shared" si="66"/>
        <v>3372.1875000000005</v>
      </c>
      <c r="F144" s="212">
        <f t="shared" si="66"/>
        <v>3776.8500000000004</v>
      </c>
    </row>
    <row r="145" spans="1:6" x14ac:dyDescent="0.3">
      <c r="A145" s="207" t="s">
        <v>62</v>
      </c>
      <c r="B145" s="213" t="s">
        <v>28</v>
      </c>
      <c r="C145" s="208">
        <f>C53</f>
        <v>1281.4312500000001</v>
      </c>
      <c r="D145" s="208">
        <f t="shared" ref="D145:F145" si="67">D53</f>
        <v>1483.7625</v>
      </c>
      <c r="E145" s="208">
        <f t="shared" si="67"/>
        <v>1686.0937500000002</v>
      </c>
      <c r="F145" s="209">
        <f t="shared" si="67"/>
        <v>1888.4250000000002</v>
      </c>
    </row>
    <row r="146" spans="1:6" ht="15" thickBot="1" x14ac:dyDescent="0.35">
      <c r="A146" s="210" t="s">
        <v>434</v>
      </c>
      <c r="B146" s="216" t="s">
        <v>663</v>
      </c>
      <c r="C146" s="211">
        <f>C136*C145</f>
        <v>1281.4312500000001</v>
      </c>
      <c r="D146" s="211">
        <f t="shared" ref="D146:F146" si="68">D136*D145</f>
        <v>1483.7625</v>
      </c>
      <c r="E146" s="211">
        <f t="shared" si="68"/>
        <v>1686.0937500000002</v>
      </c>
      <c r="F146" s="212">
        <f t="shared" si="68"/>
        <v>1888.4250000000002</v>
      </c>
    </row>
    <row r="147" spans="1:6" x14ac:dyDescent="0.3">
      <c r="A147" s="222" t="s">
        <v>55</v>
      </c>
      <c r="B147" s="205" t="s">
        <v>27</v>
      </c>
      <c r="C147" s="206">
        <f>C54</f>
        <v>1281.4312500000001</v>
      </c>
      <c r="D147" s="206">
        <f t="shared" ref="D147:F147" si="69">D54</f>
        <v>1483.7625</v>
      </c>
      <c r="E147" s="206">
        <f t="shared" si="69"/>
        <v>1686.0937500000002</v>
      </c>
      <c r="F147" s="223">
        <f t="shared" si="69"/>
        <v>1888.4250000000002</v>
      </c>
    </row>
    <row r="148" spans="1:6" ht="15" thickBot="1" x14ac:dyDescent="0.35">
      <c r="A148" s="210" t="s">
        <v>434</v>
      </c>
      <c r="B148" s="216" t="s">
        <v>663</v>
      </c>
      <c r="C148" s="217">
        <f>C136*C147</f>
        <v>1281.4312500000001</v>
      </c>
      <c r="D148" s="217">
        <f t="shared" ref="D148:F148" si="70">D136*D147</f>
        <v>1483.7625</v>
      </c>
      <c r="E148" s="217">
        <f t="shared" si="70"/>
        <v>1686.0937500000002</v>
      </c>
      <c r="F148" s="218">
        <f t="shared" si="70"/>
        <v>1888.4250000000002</v>
      </c>
    </row>
    <row r="149" spans="1:6" x14ac:dyDescent="0.3">
      <c r="B149" s="37"/>
      <c r="C149" s="35"/>
      <c r="D149" s="35"/>
      <c r="E149" s="35"/>
      <c r="F149" s="35"/>
    </row>
    <row r="150" spans="1:6" x14ac:dyDescent="0.3">
      <c r="B150" s="367" t="s">
        <v>81</v>
      </c>
      <c r="C150" s="367"/>
      <c r="D150" s="367"/>
      <c r="E150" s="367"/>
      <c r="F150" s="367"/>
    </row>
    <row r="151" spans="1:6" ht="15" thickBot="1" x14ac:dyDescent="0.35">
      <c r="A151" t="s">
        <v>79</v>
      </c>
      <c r="B151" s="219" t="s">
        <v>20</v>
      </c>
      <c r="C151" s="220">
        <v>0.6</v>
      </c>
      <c r="D151" s="221">
        <f>C151</f>
        <v>0.6</v>
      </c>
      <c r="E151" s="221">
        <f>C151</f>
        <v>0.6</v>
      </c>
      <c r="F151" s="221">
        <f>C151</f>
        <v>0.6</v>
      </c>
    </row>
    <row r="152" spans="1:6" x14ac:dyDescent="0.3">
      <c r="A152" s="207" t="s">
        <v>53</v>
      </c>
      <c r="B152" s="213" t="s">
        <v>26</v>
      </c>
      <c r="C152" s="214">
        <f>C67</f>
        <v>1317.2754807692306</v>
      </c>
      <c r="D152" s="214">
        <f t="shared" ref="D152:F152" si="71">D67</f>
        <v>1525.2663461538461</v>
      </c>
      <c r="E152" s="214">
        <f t="shared" si="71"/>
        <v>1733.2572115384614</v>
      </c>
      <c r="F152" s="215">
        <f t="shared" si="71"/>
        <v>1941.2480769230767</v>
      </c>
    </row>
    <row r="153" spans="1:6" ht="15" thickBot="1" x14ac:dyDescent="0.35">
      <c r="A153" s="210" t="s">
        <v>434</v>
      </c>
      <c r="B153" s="216" t="s">
        <v>663</v>
      </c>
      <c r="C153" s="217">
        <f>C151*C152</f>
        <v>790.3652884615384</v>
      </c>
      <c r="D153" s="217">
        <f t="shared" ref="D153" si="72">D151*D152</f>
        <v>915.15980769230771</v>
      </c>
      <c r="E153" s="217">
        <f t="shared" ref="E153" si="73">E151*E152</f>
        <v>1039.9543269230769</v>
      </c>
      <c r="F153" s="218">
        <f t="shared" ref="F153" si="74">F151*F152</f>
        <v>1164.748846153846</v>
      </c>
    </row>
    <row r="154" spans="1:6" x14ac:dyDescent="0.3">
      <c r="A154" s="207" t="s">
        <v>56</v>
      </c>
      <c r="B154" s="213" t="s">
        <v>24</v>
      </c>
      <c r="C154" s="208">
        <f>C70</f>
        <v>1012.5995192307694</v>
      </c>
      <c r="D154" s="208">
        <f t="shared" ref="D154:F154" si="75">D70</f>
        <v>1172.4836538461539</v>
      </c>
      <c r="E154" s="208">
        <f t="shared" si="75"/>
        <v>1332.3677884615386</v>
      </c>
      <c r="F154" s="209">
        <f t="shared" si="75"/>
        <v>1492.2519230769233</v>
      </c>
    </row>
    <row r="155" spans="1:6" ht="15" thickBot="1" x14ac:dyDescent="0.35">
      <c r="A155" s="210" t="s">
        <v>434</v>
      </c>
      <c r="B155" s="216" t="s">
        <v>663</v>
      </c>
      <c r="C155" s="211">
        <f>C151*C154</f>
        <v>607.55971153846156</v>
      </c>
      <c r="D155" s="211">
        <f t="shared" ref="D155" si="76">D151*D154</f>
        <v>703.49019230769227</v>
      </c>
      <c r="E155" s="211">
        <f t="shared" ref="E155" si="77">E151*E154</f>
        <v>799.42067307692309</v>
      </c>
      <c r="F155" s="212">
        <f t="shared" ref="F155" si="78">F151*F154</f>
        <v>895.35115384615392</v>
      </c>
    </row>
    <row r="156" spans="1:6" x14ac:dyDescent="0.3">
      <c r="A156" s="207" t="s">
        <v>57</v>
      </c>
      <c r="B156" s="213" t="s">
        <v>23</v>
      </c>
      <c r="C156" s="208">
        <f>C71</f>
        <v>1012.5995192307694</v>
      </c>
      <c r="D156" s="208">
        <f t="shared" ref="D156:F156" si="79">D154</f>
        <v>1172.4836538461539</v>
      </c>
      <c r="E156" s="208">
        <f t="shared" si="79"/>
        <v>1332.3677884615386</v>
      </c>
      <c r="F156" s="209">
        <f t="shared" si="79"/>
        <v>1492.2519230769233</v>
      </c>
    </row>
    <row r="157" spans="1:6" ht="15" thickBot="1" x14ac:dyDescent="0.35">
      <c r="A157" s="210" t="s">
        <v>434</v>
      </c>
      <c r="B157" s="216" t="s">
        <v>663</v>
      </c>
      <c r="C157" s="211">
        <f>C151*C156</f>
        <v>607.55971153846156</v>
      </c>
      <c r="D157" s="211">
        <f t="shared" ref="D157" si="80">D151*D156</f>
        <v>703.49019230769227</v>
      </c>
      <c r="E157" s="211">
        <f t="shared" ref="E157" si="81">E151*E156</f>
        <v>799.42067307692309</v>
      </c>
      <c r="F157" s="212">
        <f t="shared" ref="F157" si="82">F151*F156</f>
        <v>895.35115384615392</v>
      </c>
    </row>
    <row r="158" spans="1:6" x14ac:dyDescent="0.3">
      <c r="A158" s="207" t="s">
        <v>52</v>
      </c>
      <c r="B158" s="213" t="s">
        <v>25</v>
      </c>
      <c r="C158" s="208">
        <f>C66</f>
        <v>2634.5509615384613</v>
      </c>
      <c r="D158" s="208">
        <f t="shared" ref="D158:F158" si="83">D66</f>
        <v>3050.5326923076923</v>
      </c>
      <c r="E158" s="208">
        <f t="shared" si="83"/>
        <v>3466.5144230769229</v>
      </c>
      <c r="F158" s="209">
        <f t="shared" si="83"/>
        <v>3882.4961538461534</v>
      </c>
    </row>
    <row r="159" spans="1:6" ht="15" thickBot="1" x14ac:dyDescent="0.35">
      <c r="A159" s="210" t="s">
        <v>434</v>
      </c>
      <c r="B159" s="216" t="s">
        <v>663</v>
      </c>
      <c r="C159" s="211">
        <f>C151*C158</f>
        <v>1580.7305769230768</v>
      </c>
      <c r="D159" s="211">
        <f t="shared" ref="D159" si="84">D151*D158</f>
        <v>1830.3196153846154</v>
      </c>
      <c r="E159" s="211">
        <f t="shared" ref="E159" si="85">E151*E158</f>
        <v>2079.9086538461538</v>
      </c>
      <c r="F159" s="212">
        <f t="shared" ref="F159" si="86">F151*F158</f>
        <v>2329.497692307692</v>
      </c>
    </row>
    <row r="160" spans="1:6" x14ac:dyDescent="0.3">
      <c r="A160" s="207" t="s">
        <v>62</v>
      </c>
      <c r="B160" s="213" t="s">
        <v>28</v>
      </c>
      <c r="C160" s="208">
        <f>C68</f>
        <v>1317.2754807692306</v>
      </c>
      <c r="D160" s="208">
        <f t="shared" ref="D160:F160" si="87">D68</f>
        <v>1525.2663461538461</v>
      </c>
      <c r="E160" s="208">
        <f t="shared" si="87"/>
        <v>1733.2572115384614</v>
      </c>
      <c r="F160" s="209">
        <f t="shared" si="87"/>
        <v>1941.2480769230767</v>
      </c>
    </row>
    <row r="161" spans="1:6" ht="15" thickBot="1" x14ac:dyDescent="0.35">
      <c r="A161" s="210" t="s">
        <v>434</v>
      </c>
      <c r="B161" s="216" t="s">
        <v>663</v>
      </c>
      <c r="C161" s="211">
        <f>C151*C160</f>
        <v>790.3652884615384</v>
      </c>
      <c r="D161" s="211">
        <f t="shared" ref="D161" si="88">D151*D160</f>
        <v>915.15980769230771</v>
      </c>
      <c r="E161" s="211">
        <f t="shared" ref="E161" si="89">E151*E160</f>
        <v>1039.9543269230769</v>
      </c>
      <c r="F161" s="212">
        <f t="shared" ref="F161" si="90">F151*F160</f>
        <v>1164.748846153846</v>
      </c>
    </row>
    <row r="162" spans="1:6" x14ac:dyDescent="0.3">
      <c r="A162" s="222" t="s">
        <v>55</v>
      </c>
      <c r="B162" s="205" t="s">
        <v>27</v>
      </c>
      <c r="C162" s="206">
        <f>C69</f>
        <v>2025.1990384615387</v>
      </c>
      <c r="D162" s="206">
        <f t="shared" ref="D162:F162" si="91">D69</f>
        <v>2344.9673076923077</v>
      </c>
      <c r="E162" s="206">
        <f t="shared" si="91"/>
        <v>2664.7355769230771</v>
      </c>
      <c r="F162" s="223">
        <f t="shared" si="91"/>
        <v>2984.5038461538466</v>
      </c>
    </row>
    <row r="163" spans="1:6" ht="15" thickBot="1" x14ac:dyDescent="0.35">
      <c r="A163" s="210" t="s">
        <v>434</v>
      </c>
      <c r="B163" s="216" t="s">
        <v>663</v>
      </c>
      <c r="C163" s="217">
        <f>C151*C162</f>
        <v>1215.1194230769231</v>
      </c>
      <c r="D163" s="217">
        <f t="shared" ref="D163" si="92">D151*D162</f>
        <v>1406.9803846153845</v>
      </c>
      <c r="E163" s="217">
        <f t="shared" ref="E163" si="93">E151*E162</f>
        <v>1598.8413461538462</v>
      </c>
      <c r="F163" s="218">
        <f t="shared" ref="F163" si="94">F151*F162</f>
        <v>1790.7023076923078</v>
      </c>
    </row>
    <row r="164" spans="1:6" x14ac:dyDescent="0.3">
      <c r="A164" s="7"/>
      <c r="B164" s="37"/>
      <c r="C164" s="35"/>
      <c r="D164" s="35"/>
      <c r="E164" s="35"/>
      <c r="F164" s="35"/>
    </row>
    <row r="165" spans="1:6" x14ac:dyDescent="0.3">
      <c r="B165" s="367" t="s">
        <v>664</v>
      </c>
      <c r="C165" s="367"/>
      <c r="D165" s="367"/>
      <c r="E165" s="367"/>
      <c r="F165" s="367"/>
    </row>
    <row r="166" spans="1:6" ht="15" thickBot="1" x14ac:dyDescent="0.35">
      <c r="A166" t="s">
        <v>79</v>
      </c>
      <c r="B166" s="219" t="s">
        <v>20</v>
      </c>
      <c r="C166" s="220">
        <v>0.15</v>
      </c>
      <c r="D166" s="221">
        <f>C166</f>
        <v>0.15</v>
      </c>
      <c r="E166" s="221">
        <f>C166</f>
        <v>0.15</v>
      </c>
      <c r="F166" s="221">
        <f>C166</f>
        <v>0.15</v>
      </c>
    </row>
    <row r="167" spans="1:6" x14ac:dyDescent="0.3">
      <c r="A167" s="207" t="s">
        <v>53</v>
      </c>
      <c r="B167" s="213" t="s">
        <v>26</v>
      </c>
      <c r="C167" s="214">
        <f>C82</f>
        <v>2419.4855769230767</v>
      </c>
      <c r="D167" s="214">
        <f t="shared" ref="D167:F167" si="95">D82</f>
        <v>2801.5096153846152</v>
      </c>
      <c r="E167" s="214">
        <f t="shared" si="95"/>
        <v>3183.5336538461534</v>
      </c>
      <c r="F167" s="215">
        <f t="shared" si="95"/>
        <v>3565.5576923076919</v>
      </c>
    </row>
    <row r="168" spans="1:6" ht="15" thickBot="1" x14ac:dyDescent="0.35">
      <c r="A168" s="210" t="s">
        <v>434</v>
      </c>
      <c r="B168" s="216" t="s">
        <v>663</v>
      </c>
      <c r="C168" s="217">
        <f>C166*C167</f>
        <v>362.92283653846147</v>
      </c>
      <c r="D168" s="217">
        <f t="shared" ref="D168" si="96">D166*D167</f>
        <v>420.22644230769225</v>
      </c>
      <c r="E168" s="217">
        <f t="shared" ref="E168" si="97">E166*E167</f>
        <v>477.53004807692298</v>
      </c>
      <c r="F168" s="218">
        <f t="shared" ref="F168" si="98">F166*F167</f>
        <v>534.83365384615377</v>
      </c>
    </row>
    <row r="169" spans="1:6" x14ac:dyDescent="0.3">
      <c r="A169" s="207" t="s">
        <v>56</v>
      </c>
      <c r="B169" s="213" t="s">
        <v>24</v>
      </c>
      <c r="C169" s="208">
        <f>C85</f>
        <v>2240.2644230769233</v>
      </c>
      <c r="D169" s="208">
        <f t="shared" ref="D169:F169" si="99">D85</f>
        <v>2593.9903846153848</v>
      </c>
      <c r="E169" s="208">
        <f t="shared" si="99"/>
        <v>2947.7163461538466</v>
      </c>
      <c r="F169" s="209">
        <f t="shared" si="99"/>
        <v>3301.4423076923081</v>
      </c>
    </row>
    <row r="170" spans="1:6" ht="15" thickBot="1" x14ac:dyDescent="0.35">
      <c r="A170" s="210" t="s">
        <v>434</v>
      </c>
      <c r="B170" s="216" t="s">
        <v>663</v>
      </c>
      <c r="C170" s="211">
        <f>C166*C169</f>
        <v>336.03966346153851</v>
      </c>
      <c r="D170" s="211">
        <f t="shared" ref="D170" si="100">D166*D169</f>
        <v>389.09855769230768</v>
      </c>
      <c r="E170" s="211">
        <f t="shared" ref="E170" si="101">E166*E169</f>
        <v>442.15745192307696</v>
      </c>
      <c r="F170" s="212">
        <f t="shared" ref="F170" si="102">F166*F169</f>
        <v>495.21634615384619</v>
      </c>
    </row>
    <row r="171" spans="1:6" x14ac:dyDescent="0.3">
      <c r="A171" s="207" t="s">
        <v>57</v>
      </c>
      <c r="B171" s="213" t="s">
        <v>23</v>
      </c>
      <c r="C171" s="208">
        <f>C86</f>
        <v>1120.1322115384617</v>
      </c>
      <c r="D171" s="208">
        <f t="shared" ref="D171:F171" si="103">D169</f>
        <v>2593.9903846153848</v>
      </c>
      <c r="E171" s="208">
        <f t="shared" si="103"/>
        <v>2947.7163461538466</v>
      </c>
      <c r="F171" s="209">
        <f t="shared" si="103"/>
        <v>3301.4423076923081</v>
      </c>
    </row>
    <row r="172" spans="1:6" ht="15" thickBot="1" x14ac:dyDescent="0.35">
      <c r="A172" s="210" t="s">
        <v>434</v>
      </c>
      <c r="B172" s="216" t="s">
        <v>663</v>
      </c>
      <c r="C172" s="211">
        <f>C166*C171</f>
        <v>168.01983173076925</v>
      </c>
      <c r="D172" s="211">
        <f t="shared" ref="D172" si="104">D166*D171</f>
        <v>389.09855769230768</v>
      </c>
      <c r="E172" s="211">
        <f t="shared" ref="E172" si="105">E166*E171</f>
        <v>442.15745192307696</v>
      </c>
      <c r="F172" s="212">
        <f t="shared" ref="F172" si="106">F166*F171</f>
        <v>495.21634615384619</v>
      </c>
    </row>
    <row r="173" spans="1:6" x14ac:dyDescent="0.3">
      <c r="A173" s="207" t="s">
        <v>52</v>
      </c>
      <c r="B173" s="213" t="s">
        <v>25</v>
      </c>
      <c r="C173" s="208">
        <f>C81</f>
        <v>322.59807692307692</v>
      </c>
      <c r="D173" s="208">
        <f t="shared" ref="D173:F173" si="107">D81</f>
        <v>373.53461538461528</v>
      </c>
      <c r="E173" s="208">
        <f t="shared" si="107"/>
        <v>424.47115384615381</v>
      </c>
      <c r="F173" s="209">
        <f t="shared" si="107"/>
        <v>475.40769230769229</v>
      </c>
    </row>
    <row r="174" spans="1:6" ht="15" thickBot="1" x14ac:dyDescent="0.35">
      <c r="A174" s="210" t="s">
        <v>434</v>
      </c>
      <c r="B174" s="216" t="s">
        <v>663</v>
      </c>
      <c r="C174" s="211">
        <f>C166*C173</f>
        <v>48.389711538461533</v>
      </c>
      <c r="D174" s="211">
        <f t="shared" ref="D174" si="108">D166*D173</f>
        <v>56.030192307692289</v>
      </c>
      <c r="E174" s="211">
        <f t="shared" ref="E174" si="109">E166*E173</f>
        <v>63.670673076923066</v>
      </c>
      <c r="F174" s="212">
        <f t="shared" ref="F174" si="110">F166*F173</f>
        <v>71.311153846153843</v>
      </c>
    </row>
    <row r="175" spans="1:6" x14ac:dyDescent="0.3">
      <c r="A175" s="207" t="s">
        <v>62</v>
      </c>
      <c r="B175" s="213" t="s">
        <v>28</v>
      </c>
      <c r="C175" s="208">
        <f>C83</f>
        <v>1209.7427884615383</v>
      </c>
      <c r="D175" s="208">
        <f t="shared" ref="D175:F175" si="111">D83</f>
        <v>1400.7548076923076</v>
      </c>
      <c r="E175" s="208">
        <f t="shared" si="111"/>
        <v>1591.7668269230767</v>
      </c>
      <c r="F175" s="209">
        <f t="shared" si="111"/>
        <v>1782.778846153846</v>
      </c>
    </row>
    <row r="176" spans="1:6" ht="15" thickBot="1" x14ac:dyDescent="0.35">
      <c r="A176" s="210" t="s">
        <v>434</v>
      </c>
      <c r="B176" s="216" t="s">
        <v>663</v>
      </c>
      <c r="C176" s="211">
        <f>C166*C175</f>
        <v>181.46141826923073</v>
      </c>
      <c r="D176" s="211">
        <f t="shared" ref="D176" si="112">D166*D175</f>
        <v>210.11322115384613</v>
      </c>
      <c r="E176" s="211">
        <f t="shared" ref="E176" si="113">E166*E175</f>
        <v>238.76502403846149</v>
      </c>
      <c r="F176" s="212">
        <f t="shared" ref="F176" si="114">F166*F175</f>
        <v>267.41682692307688</v>
      </c>
    </row>
    <row r="177" spans="1:14" x14ac:dyDescent="0.3">
      <c r="A177" s="222" t="s">
        <v>55</v>
      </c>
      <c r="B177" s="205" t="s">
        <v>27</v>
      </c>
      <c r="C177" s="206">
        <f>C84</f>
        <v>1209.7427884615383</v>
      </c>
      <c r="D177" s="206">
        <f t="shared" ref="D177:F177" si="115">D84</f>
        <v>1400.7548076923076</v>
      </c>
      <c r="E177" s="206">
        <f t="shared" si="115"/>
        <v>1591.7668269230767</v>
      </c>
      <c r="F177" s="223">
        <f t="shared" si="115"/>
        <v>1782.778846153846</v>
      </c>
    </row>
    <row r="178" spans="1:14" ht="15" thickBot="1" x14ac:dyDescent="0.35">
      <c r="A178" s="210" t="s">
        <v>434</v>
      </c>
      <c r="B178" s="216" t="s">
        <v>663</v>
      </c>
      <c r="C178" s="217">
        <f>C166*C177</f>
        <v>181.46141826923073</v>
      </c>
      <c r="D178" s="217">
        <f t="shared" ref="D178" si="116">D166*D177</f>
        <v>210.11322115384613</v>
      </c>
      <c r="E178" s="217">
        <f t="shared" ref="E178" si="117">E166*E177</f>
        <v>238.76502403846149</v>
      </c>
      <c r="F178" s="218">
        <f t="shared" ref="F178" si="118">F166*F177</f>
        <v>267.41682692307688</v>
      </c>
    </row>
    <row r="179" spans="1:14" x14ac:dyDescent="0.3">
      <c r="A179" s="7"/>
      <c r="B179" s="37"/>
      <c r="C179" s="35"/>
      <c r="D179" s="35"/>
      <c r="E179" s="35"/>
      <c r="F179" s="35"/>
    </row>
    <row r="180" spans="1:14" x14ac:dyDescent="0.3">
      <c r="A180" s="373" t="s">
        <v>270</v>
      </c>
      <c r="B180" s="374"/>
      <c r="C180" s="375"/>
    </row>
    <row r="181" spans="1:14" x14ac:dyDescent="0.3">
      <c r="A181" s="51"/>
      <c r="B181" s="53"/>
      <c r="C181" s="56"/>
    </row>
    <row r="182" spans="1:14" x14ac:dyDescent="0.3">
      <c r="A182" s="5"/>
      <c r="C182" s="10" t="s">
        <v>128</v>
      </c>
      <c r="D182" s="53"/>
    </row>
    <row r="183" spans="1:14" x14ac:dyDescent="0.3">
      <c r="A183" s="5" t="s">
        <v>101</v>
      </c>
      <c r="B183" s="20" t="s">
        <v>95</v>
      </c>
      <c r="C183" s="16">
        <f>C42</f>
        <v>38.381680000000003</v>
      </c>
      <c r="D183" s="35"/>
      <c r="E183" s="41"/>
    </row>
    <row r="184" spans="1:14" x14ac:dyDescent="0.3">
      <c r="A184" s="5" t="s">
        <v>103</v>
      </c>
      <c r="B184" s="50" t="s">
        <v>102</v>
      </c>
      <c r="C184" s="16">
        <f>C183/$C$128</f>
        <v>148.65096824167316</v>
      </c>
      <c r="D184" s="35"/>
      <c r="E184" s="46"/>
    </row>
    <row r="185" spans="1:14" x14ac:dyDescent="0.3">
      <c r="A185" s="5" t="s">
        <v>104</v>
      </c>
      <c r="B185" s="50" t="s">
        <v>105</v>
      </c>
      <c r="C185" s="16">
        <f>C183-(C184*$C$129)</f>
        <v>0.76763359999999636</v>
      </c>
      <c r="D185" s="35"/>
      <c r="E185" s="46"/>
    </row>
    <row r="186" spans="1:14" x14ac:dyDescent="0.3">
      <c r="A186" s="5" t="s">
        <v>106</v>
      </c>
      <c r="B186" s="50" t="s">
        <v>130</v>
      </c>
      <c r="C186" s="43">
        <f>(C185/(C184*$C$129))*100</f>
        <v>2.0408163265306025</v>
      </c>
      <c r="D186" s="24"/>
      <c r="E186" s="44"/>
    </row>
    <row r="187" spans="1:14" x14ac:dyDescent="0.3">
      <c r="A187" s="5" t="s">
        <v>107</v>
      </c>
      <c r="B187" s="50" t="s">
        <v>129</v>
      </c>
      <c r="C187" s="43">
        <f>(C185/C183)*100</f>
        <v>1.9999999999999902</v>
      </c>
      <c r="D187" s="24"/>
      <c r="E187" s="44"/>
    </row>
    <row r="188" spans="1:14" x14ac:dyDescent="0.3">
      <c r="A188" s="7"/>
      <c r="B188" s="37"/>
      <c r="C188" s="24"/>
      <c r="D188" s="24"/>
      <c r="E188" s="44"/>
    </row>
    <row r="189" spans="1:14" x14ac:dyDescent="0.3">
      <c r="A189" s="370" t="s">
        <v>138</v>
      </c>
      <c r="B189" s="370"/>
      <c r="C189" s="370"/>
      <c r="D189" s="370"/>
      <c r="E189" s="370"/>
      <c r="F189" s="370"/>
    </row>
    <row r="190" spans="1:14" x14ac:dyDescent="0.3">
      <c r="A190" s="5"/>
      <c r="B190" s="37"/>
      <c r="C190" s="44"/>
      <c r="D190" s="44"/>
      <c r="E190" s="44"/>
    </row>
    <row r="191" spans="1:14" x14ac:dyDescent="0.3">
      <c r="A191" s="376" t="s">
        <v>272</v>
      </c>
      <c r="B191" s="376"/>
      <c r="C191" s="376"/>
      <c r="D191" s="377">
        <f>C42</f>
        <v>38.381680000000003</v>
      </c>
      <c r="E191" s="377"/>
      <c r="F191" s="377"/>
    </row>
    <row r="192" spans="1:14" x14ac:dyDescent="0.3">
      <c r="A192" s="48" t="s">
        <v>121</v>
      </c>
      <c r="B192" s="50" t="s">
        <v>136</v>
      </c>
      <c r="C192" s="63">
        <v>7</v>
      </c>
      <c r="D192" s="63">
        <v>8</v>
      </c>
      <c r="E192" s="63">
        <v>9</v>
      </c>
      <c r="F192" s="63">
        <v>10</v>
      </c>
      <c r="G192" s="63">
        <v>15</v>
      </c>
      <c r="H192" s="63">
        <v>20</v>
      </c>
      <c r="I192" s="63">
        <v>25</v>
      </c>
      <c r="J192" s="63">
        <v>30</v>
      </c>
      <c r="K192" s="63">
        <v>35</v>
      </c>
      <c r="L192" s="63">
        <v>40</v>
      </c>
      <c r="M192" s="63">
        <v>45</v>
      </c>
      <c r="N192" s="63">
        <v>50</v>
      </c>
    </row>
    <row r="193" spans="1:14" x14ac:dyDescent="0.3">
      <c r="A193" s="48" t="s">
        <v>118</v>
      </c>
      <c r="B193" s="21" t="s">
        <v>140</v>
      </c>
      <c r="C193" s="16">
        <f t="shared" ref="C193:N193" si="119">$D$191/C192</f>
        <v>5.4830971428571429</v>
      </c>
      <c r="D193" s="16">
        <f t="shared" si="119"/>
        <v>4.7977100000000004</v>
      </c>
      <c r="E193" s="16">
        <f t="shared" si="119"/>
        <v>4.264631111111111</v>
      </c>
      <c r="F193" s="16">
        <f t="shared" si="119"/>
        <v>3.8381680000000005</v>
      </c>
      <c r="G193" s="16">
        <f t="shared" si="119"/>
        <v>2.558778666666667</v>
      </c>
      <c r="H193" s="16">
        <f t="shared" si="119"/>
        <v>1.9190840000000002</v>
      </c>
      <c r="I193" s="16">
        <f t="shared" si="119"/>
        <v>1.5352672000000001</v>
      </c>
      <c r="J193" s="16">
        <f t="shared" si="119"/>
        <v>1.2793893333333335</v>
      </c>
      <c r="K193" s="16">
        <f t="shared" si="119"/>
        <v>1.0966194285714286</v>
      </c>
      <c r="L193" s="16">
        <f t="shared" si="119"/>
        <v>0.95954200000000012</v>
      </c>
      <c r="M193" s="16">
        <f t="shared" si="119"/>
        <v>0.85292622222222225</v>
      </c>
      <c r="N193" s="16">
        <f t="shared" si="119"/>
        <v>0.76763360000000003</v>
      </c>
    </row>
    <row r="194" spans="1:14" x14ac:dyDescent="0.3">
      <c r="A194" s="48" t="s">
        <v>119</v>
      </c>
      <c r="B194" s="50" t="s">
        <v>120</v>
      </c>
      <c r="C194" s="49">
        <f t="shared" ref="C194:N194" si="120">($D$191^2)/C192</f>
        <v>210.45047994605719</v>
      </c>
      <c r="D194" s="49">
        <f t="shared" si="120"/>
        <v>184.14416995280004</v>
      </c>
      <c r="E194" s="49">
        <f t="shared" si="120"/>
        <v>163.68370662471114</v>
      </c>
      <c r="F194" s="49">
        <f t="shared" si="120"/>
        <v>147.31533596224003</v>
      </c>
      <c r="G194" s="49">
        <f t="shared" si="120"/>
        <v>98.21022397482669</v>
      </c>
      <c r="H194" s="49">
        <f t="shared" si="120"/>
        <v>73.657667981120014</v>
      </c>
      <c r="I194" s="49">
        <f t="shared" si="120"/>
        <v>58.926134384896017</v>
      </c>
      <c r="J194" s="49">
        <f t="shared" si="120"/>
        <v>49.105111987413345</v>
      </c>
      <c r="K194" s="49">
        <f t="shared" si="120"/>
        <v>42.090095989211441</v>
      </c>
      <c r="L194" s="49">
        <f t="shared" si="120"/>
        <v>36.828833990560007</v>
      </c>
      <c r="M194" s="49">
        <f t="shared" si="120"/>
        <v>32.73674132494223</v>
      </c>
      <c r="N194" s="49">
        <f t="shared" si="120"/>
        <v>29.463067192448008</v>
      </c>
    </row>
    <row r="195" spans="1:14" x14ac:dyDescent="0.3">
      <c r="A195" s="378" t="s">
        <v>126</v>
      </c>
      <c r="B195" s="58" t="s">
        <v>122</v>
      </c>
      <c r="C195" s="59">
        <f t="shared" ref="C195:N195" si="121">($C$39*$C$46*($D$191^2))/($C$4*C$192)</f>
        <v>44983.790088469737</v>
      </c>
      <c r="D195" s="59">
        <f t="shared" si="121"/>
        <v>39360.816327411019</v>
      </c>
      <c r="E195" s="59">
        <f t="shared" si="121"/>
        <v>34987.392291032011</v>
      </c>
      <c r="F195" s="59">
        <f t="shared" si="121"/>
        <v>31488.653061928813</v>
      </c>
      <c r="G195" s="59">
        <f t="shared" si="121"/>
        <v>20992.43537461921</v>
      </c>
      <c r="H195" s="59">
        <f t="shared" si="121"/>
        <v>15744.326530964407</v>
      </c>
      <c r="I195" s="59">
        <f t="shared" si="121"/>
        <v>12595.461224771525</v>
      </c>
      <c r="J195" s="59">
        <f t="shared" si="121"/>
        <v>10496.217687309605</v>
      </c>
      <c r="K195" s="59">
        <f t="shared" si="121"/>
        <v>8996.7580176939464</v>
      </c>
      <c r="L195" s="59">
        <f t="shared" si="121"/>
        <v>7872.1632654822033</v>
      </c>
      <c r="M195" s="59">
        <f t="shared" si="121"/>
        <v>6997.478458206403</v>
      </c>
      <c r="N195" s="59">
        <f t="shared" si="121"/>
        <v>6297.7306123857625</v>
      </c>
    </row>
    <row r="196" spans="1:14" x14ac:dyDescent="0.3">
      <c r="A196" s="379"/>
      <c r="B196" s="58" t="s">
        <v>123</v>
      </c>
      <c r="C196" s="59">
        <f t="shared" ref="C196:N196" si="122">($D$39*$D$46*($D$191^2))/($C$4*C$192)</f>
        <v>52086.493786649167</v>
      </c>
      <c r="D196" s="59">
        <f t="shared" si="122"/>
        <v>45575.682063318018</v>
      </c>
      <c r="E196" s="59">
        <f t="shared" si="122"/>
        <v>40511.717389616009</v>
      </c>
      <c r="F196" s="59">
        <f t="shared" si="122"/>
        <v>36460.545650654414</v>
      </c>
      <c r="G196" s="59">
        <f t="shared" si="122"/>
        <v>24307.030433769611</v>
      </c>
      <c r="H196" s="59">
        <f t="shared" si="122"/>
        <v>18230.272825327207</v>
      </c>
      <c r="I196" s="59">
        <f t="shared" si="122"/>
        <v>14584.218260261765</v>
      </c>
      <c r="J196" s="59">
        <f t="shared" si="122"/>
        <v>12153.515216884805</v>
      </c>
      <c r="K196" s="59">
        <f t="shared" si="122"/>
        <v>10417.298757329832</v>
      </c>
      <c r="L196" s="59">
        <f t="shared" si="122"/>
        <v>9115.1364126636036</v>
      </c>
      <c r="M196" s="59">
        <f t="shared" si="122"/>
        <v>8102.343477923203</v>
      </c>
      <c r="N196" s="59">
        <f t="shared" si="122"/>
        <v>7292.1091301308825</v>
      </c>
    </row>
    <row r="197" spans="1:14" x14ac:dyDescent="0.3">
      <c r="A197" s="379"/>
      <c r="B197" s="58" t="s">
        <v>124</v>
      </c>
      <c r="C197" s="59">
        <f t="shared" ref="C197:N197" si="123">($E$39*$E$46*($D$191^2))/($C$4*C$192)</f>
        <v>59189.197484828597</v>
      </c>
      <c r="D197" s="59">
        <f t="shared" si="123"/>
        <v>51790.547799225023</v>
      </c>
      <c r="E197" s="59">
        <f t="shared" si="123"/>
        <v>46036.042488200015</v>
      </c>
      <c r="F197" s="59">
        <f t="shared" si="123"/>
        <v>41432.438239380019</v>
      </c>
      <c r="G197" s="59">
        <f t="shared" si="123"/>
        <v>27621.625492920011</v>
      </c>
      <c r="H197" s="59">
        <f t="shared" si="123"/>
        <v>20716.219119690009</v>
      </c>
      <c r="I197" s="59">
        <f t="shared" si="123"/>
        <v>16572.975295752007</v>
      </c>
      <c r="J197" s="59">
        <f t="shared" si="123"/>
        <v>13810.812746460006</v>
      </c>
      <c r="K197" s="59">
        <f t="shared" si="123"/>
        <v>11837.83949696572</v>
      </c>
      <c r="L197" s="59">
        <f t="shared" si="123"/>
        <v>10358.109559845005</v>
      </c>
      <c r="M197" s="59">
        <f t="shared" si="123"/>
        <v>9207.2084976400038</v>
      </c>
      <c r="N197" s="59">
        <f t="shared" si="123"/>
        <v>8286.4876478760034</v>
      </c>
    </row>
    <row r="198" spans="1:14" x14ac:dyDescent="0.3">
      <c r="A198" s="380"/>
      <c r="B198" s="58" t="s">
        <v>125</v>
      </c>
      <c r="C198" s="59">
        <f t="shared" ref="C198:N198" si="124">($F$39*$F$46*($D$191^2))/($C$4*C$192)</f>
        <v>66291.901183008027</v>
      </c>
      <c r="D198" s="59">
        <f t="shared" si="124"/>
        <v>58005.413535132022</v>
      </c>
      <c r="E198" s="59">
        <f t="shared" si="124"/>
        <v>51560.367586784014</v>
      </c>
      <c r="F198" s="59">
        <f t="shared" si="124"/>
        <v>46404.330828105616</v>
      </c>
      <c r="G198" s="59">
        <f t="shared" si="124"/>
        <v>30936.220552070412</v>
      </c>
      <c r="H198" s="59">
        <f t="shared" si="124"/>
        <v>23202.165414052808</v>
      </c>
      <c r="I198" s="59">
        <f t="shared" si="124"/>
        <v>18561.732331242249</v>
      </c>
      <c r="J198" s="59">
        <f t="shared" si="124"/>
        <v>15468.110276035206</v>
      </c>
      <c r="K198" s="59">
        <f t="shared" si="124"/>
        <v>13258.380236601606</v>
      </c>
      <c r="L198" s="59">
        <f t="shared" si="124"/>
        <v>11601.082707026404</v>
      </c>
      <c r="M198" s="59">
        <f t="shared" si="124"/>
        <v>10312.073517356805</v>
      </c>
      <c r="N198" s="59">
        <f t="shared" si="124"/>
        <v>9280.8661656211243</v>
      </c>
    </row>
    <row r="199" spans="1:14" x14ac:dyDescent="0.3">
      <c r="A199" s="396" t="s">
        <v>127</v>
      </c>
      <c r="B199" s="55" t="s">
        <v>122</v>
      </c>
      <c r="C199" s="57">
        <f t="shared" ref="C199:N199" si="125">($C$39*$C$45*($D$191^2))/($C$4*C$192)</f>
        <v>54980.187885907457</v>
      </c>
      <c r="D199" s="57">
        <f t="shared" si="125"/>
        <v>48107.664400169022</v>
      </c>
      <c r="E199" s="57">
        <f t="shared" si="125"/>
        <v>42762.368355705788</v>
      </c>
      <c r="F199" s="57">
        <f t="shared" si="125"/>
        <v>38486.131520135219</v>
      </c>
      <c r="G199" s="57">
        <f t="shared" si="125"/>
        <v>25657.421013423478</v>
      </c>
      <c r="H199" s="57">
        <f t="shared" si="125"/>
        <v>19243.06576006761</v>
      </c>
      <c r="I199" s="57">
        <f t="shared" si="125"/>
        <v>15394.452608054087</v>
      </c>
      <c r="J199" s="57">
        <f t="shared" si="125"/>
        <v>12828.710506711739</v>
      </c>
      <c r="K199" s="57">
        <f t="shared" si="125"/>
        <v>10996.037577181491</v>
      </c>
      <c r="L199" s="57">
        <f t="shared" si="125"/>
        <v>9621.5328800338048</v>
      </c>
      <c r="M199" s="57">
        <f t="shared" si="125"/>
        <v>8552.4736711411588</v>
      </c>
      <c r="N199" s="57">
        <f t="shared" si="125"/>
        <v>7697.2263040270436</v>
      </c>
    </row>
    <row r="200" spans="1:14" x14ac:dyDescent="0.3">
      <c r="A200" s="396"/>
      <c r="B200" s="55" t="s">
        <v>123</v>
      </c>
      <c r="C200" s="57">
        <f t="shared" ref="C200:N200" si="126">($D$39*$D$45*($D$191^2))/($C$4*C$192)</f>
        <v>63661.270183682311</v>
      </c>
      <c r="D200" s="57">
        <f t="shared" si="126"/>
        <v>55703.61141072202</v>
      </c>
      <c r="E200" s="57">
        <f t="shared" si="126"/>
        <v>49514.321253975126</v>
      </c>
      <c r="F200" s="57">
        <f t="shared" si="126"/>
        <v>44562.889128577619</v>
      </c>
      <c r="G200" s="57">
        <f t="shared" si="126"/>
        <v>29708.592752385077</v>
      </c>
      <c r="H200" s="57">
        <f t="shared" si="126"/>
        <v>22281.444564288809</v>
      </c>
      <c r="I200" s="57">
        <f t="shared" si="126"/>
        <v>17825.155651431047</v>
      </c>
      <c r="J200" s="57">
        <f t="shared" si="126"/>
        <v>14854.296376192538</v>
      </c>
      <c r="K200" s="57">
        <f t="shared" si="126"/>
        <v>12732.254036736462</v>
      </c>
      <c r="L200" s="57">
        <f t="shared" si="126"/>
        <v>11140.722282144405</v>
      </c>
      <c r="M200" s="57">
        <f t="shared" si="126"/>
        <v>9902.8642507950262</v>
      </c>
      <c r="N200" s="57">
        <f t="shared" si="126"/>
        <v>8912.5778257155234</v>
      </c>
    </row>
    <row r="201" spans="1:14" x14ac:dyDescent="0.3">
      <c r="A201" s="396"/>
      <c r="B201" s="55" t="s">
        <v>124</v>
      </c>
      <c r="C201" s="57">
        <f t="shared" ref="C201:N201" si="127">($E$39*$E$45*($D$191^2))/($C$4*C$192)</f>
        <v>72342.352481457172</v>
      </c>
      <c r="D201" s="57">
        <f t="shared" si="127"/>
        <v>63299.558421275018</v>
      </c>
      <c r="E201" s="57">
        <f t="shared" si="127"/>
        <v>56266.274152244456</v>
      </c>
      <c r="F201" s="57">
        <f t="shared" si="127"/>
        <v>50639.646737020012</v>
      </c>
      <c r="G201" s="57">
        <f t="shared" si="127"/>
        <v>33759.764491346679</v>
      </c>
      <c r="H201" s="57">
        <f t="shared" si="127"/>
        <v>25319.823368510006</v>
      </c>
      <c r="I201" s="57">
        <f t="shared" si="127"/>
        <v>20255.858694808005</v>
      </c>
      <c r="J201" s="57">
        <f t="shared" si="127"/>
        <v>16879.88224567334</v>
      </c>
      <c r="K201" s="57">
        <f t="shared" si="127"/>
        <v>14468.470496291433</v>
      </c>
      <c r="L201" s="57">
        <f t="shared" si="127"/>
        <v>12659.911684255003</v>
      </c>
      <c r="M201" s="57">
        <f t="shared" si="127"/>
        <v>11253.254830448892</v>
      </c>
      <c r="N201" s="57">
        <f t="shared" si="127"/>
        <v>10127.929347404002</v>
      </c>
    </row>
    <row r="202" spans="1:14" x14ac:dyDescent="0.3">
      <c r="A202" s="396"/>
      <c r="B202" s="55" t="s">
        <v>125</v>
      </c>
      <c r="C202" s="57">
        <f t="shared" ref="C202:N202" si="128">($F$39*$F$45*($D$191^2))/($C$4*C$192)</f>
        <v>81023.434779232033</v>
      </c>
      <c r="D202" s="57">
        <f t="shared" si="128"/>
        <v>70895.505431828031</v>
      </c>
      <c r="E202" s="57">
        <f t="shared" si="128"/>
        <v>63018.227050513793</v>
      </c>
      <c r="F202" s="57">
        <f t="shared" si="128"/>
        <v>56716.404345462419</v>
      </c>
      <c r="G202" s="57">
        <f t="shared" si="128"/>
        <v>37810.936230308282</v>
      </c>
      <c r="H202" s="57">
        <f t="shared" si="128"/>
        <v>28358.202172731209</v>
      </c>
      <c r="I202" s="57">
        <f t="shared" si="128"/>
        <v>22686.56173818497</v>
      </c>
      <c r="J202" s="57">
        <f t="shared" si="128"/>
        <v>18905.468115154141</v>
      </c>
      <c r="K202" s="57">
        <f t="shared" si="128"/>
        <v>16204.686955846406</v>
      </c>
      <c r="L202" s="57">
        <f t="shared" si="128"/>
        <v>14179.101086365605</v>
      </c>
      <c r="M202" s="57">
        <f t="shared" si="128"/>
        <v>12603.645410102759</v>
      </c>
      <c r="N202" s="57">
        <f t="shared" si="128"/>
        <v>11343.280869092485</v>
      </c>
    </row>
    <row r="203" spans="1:14" x14ac:dyDescent="0.3">
      <c r="A203" s="51"/>
      <c r="B203" s="37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</row>
    <row r="204" spans="1:14" x14ac:dyDescent="0.3">
      <c r="A204" s="397" t="s">
        <v>271</v>
      </c>
      <c r="B204" s="397"/>
      <c r="C204" s="397"/>
      <c r="D204" s="377">
        <f>B113</f>
        <v>27.777777777777779</v>
      </c>
      <c r="E204" s="377"/>
      <c r="F204" s="377"/>
      <c r="G204" s="60"/>
      <c r="H204" s="60"/>
      <c r="I204" s="60"/>
      <c r="J204" s="60"/>
      <c r="K204" s="60"/>
      <c r="L204" s="60"/>
      <c r="M204" s="60"/>
      <c r="N204" s="60"/>
    </row>
    <row r="205" spans="1:14" x14ac:dyDescent="0.3">
      <c r="A205" s="48" t="s">
        <v>121</v>
      </c>
      <c r="B205" s="50" t="s">
        <v>135</v>
      </c>
      <c r="C205" s="63">
        <v>7</v>
      </c>
      <c r="D205" s="63">
        <v>8</v>
      </c>
      <c r="E205" s="63">
        <v>9</v>
      </c>
      <c r="F205" s="63">
        <v>10</v>
      </c>
      <c r="G205" s="63">
        <v>15</v>
      </c>
      <c r="H205" s="63">
        <v>20</v>
      </c>
      <c r="I205" s="63">
        <v>25</v>
      </c>
      <c r="J205" s="63">
        <v>30</v>
      </c>
      <c r="K205" s="63">
        <v>35</v>
      </c>
      <c r="L205" s="63">
        <v>40</v>
      </c>
      <c r="M205" s="63">
        <v>45</v>
      </c>
      <c r="N205" s="63">
        <v>50</v>
      </c>
    </row>
    <row r="206" spans="1:14" x14ac:dyDescent="0.3">
      <c r="A206" s="48" t="s">
        <v>118</v>
      </c>
      <c r="B206" s="21" t="s">
        <v>140</v>
      </c>
      <c r="C206" s="16">
        <f t="shared" ref="C206:N206" si="129">$D$204/C205</f>
        <v>3.9682539682539684</v>
      </c>
      <c r="D206" s="16">
        <f t="shared" si="129"/>
        <v>3.4722222222222223</v>
      </c>
      <c r="E206" s="16">
        <f t="shared" si="129"/>
        <v>3.0864197530864197</v>
      </c>
      <c r="F206" s="16">
        <f t="shared" si="129"/>
        <v>2.7777777777777777</v>
      </c>
      <c r="G206" s="16">
        <f t="shared" si="129"/>
        <v>1.8518518518518519</v>
      </c>
      <c r="H206" s="16">
        <f t="shared" si="129"/>
        <v>1.3888888888888888</v>
      </c>
      <c r="I206" s="16">
        <f t="shared" si="129"/>
        <v>1.1111111111111112</v>
      </c>
      <c r="J206" s="16">
        <f t="shared" si="129"/>
        <v>0.92592592592592593</v>
      </c>
      <c r="K206" s="16">
        <f t="shared" si="129"/>
        <v>0.79365079365079372</v>
      </c>
      <c r="L206" s="16">
        <f t="shared" si="129"/>
        <v>0.69444444444444442</v>
      </c>
      <c r="M206" s="16">
        <f t="shared" si="129"/>
        <v>0.61728395061728392</v>
      </c>
      <c r="N206" s="16">
        <f t="shared" si="129"/>
        <v>0.55555555555555558</v>
      </c>
    </row>
    <row r="207" spans="1:14" x14ac:dyDescent="0.3">
      <c r="A207" s="48" t="s">
        <v>119</v>
      </c>
      <c r="B207" s="50" t="s">
        <v>120</v>
      </c>
      <c r="C207" s="49">
        <f t="shared" ref="C207:N207" si="130">($D$204^2)/C205</f>
        <v>110.22927689594357</v>
      </c>
      <c r="D207" s="49">
        <f t="shared" si="130"/>
        <v>96.450617283950621</v>
      </c>
      <c r="E207" s="49">
        <f t="shared" si="130"/>
        <v>85.733882030178336</v>
      </c>
      <c r="F207" s="49">
        <f t="shared" si="130"/>
        <v>77.160493827160494</v>
      </c>
      <c r="G207" s="49">
        <f t="shared" si="130"/>
        <v>51.440329218106996</v>
      </c>
      <c r="H207" s="49">
        <f t="shared" si="130"/>
        <v>38.580246913580247</v>
      </c>
      <c r="I207" s="49">
        <f t="shared" si="130"/>
        <v>30.8641975308642</v>
      </c>
      <c r="J207" s="49">
        <f t="shared" si="130"/>
        <v>25.720164609053498</v>
      </c>
      <c r="K207" s="49">
        <f t="shared" si="130"/>
        <v>22.045855379188712</v>
      </c>
      <c r="L207" s="49">
        <f t="shared" si="130"/>
        <v>19.290123456790123</v>
      </c>
      <c r="M207" s="49">
        <f t="shared" si="130"/>
        <v>17.146776406035666</v>
      </c>
      <c r="N207" s="49">
        <f t="shared" si="130"/>
        <v>15.4320987654321</v>
      </c>
    </row>
    <row r="208" spans="1:14" x14ac:dyDescent="0.3">
      <c r="A208" s="378" t="s">
        <v>126</v>
      </c>
      <c r="B208" s="58" t="s">
        <v>122</v>
      </c>
      <c r="C208" s="59">
        <f t="shared" ref="C208:N208" si="131">($C$39*$C$46*($D$204^2))/($C$4*C$205)</f>
        <v>23561.507936507944</v>
      </c>
      <c r="D208" s="59">
        <f t="shared" si="131"/>
        <v>20616.319444444449</v>
      </c>
      <c r="E208" s="59">
        <f t="shared" si="131"/>
        <v>18325.617283950622</v>
      </c>
      <c r="F208" s="59">
        <f t="shared" si="131"/>
        <v>16493.055555555558</v>
      </c>
      <c r="G208" s="59">
        <f t="shared" si="131"/>
        <v>10995.370370370374</v>
      </c>
      <c r="H208" s="59">
        <f t="shared" si="131"/>
        <v>8246.5277777777792</v>
      </c>
      <c r="I208" s="59">
        <f t="shared" si="131"/>
        <v>6597.2222222222235</v>
      </c>
      <c r="J208" s="59">
        <f t="shared" si="131"/>
        <v>5497.685185185187</v>
      </c>
      <c r="K208" s="59">
        <f t="shared" si="131"/>
        <v>4712.3015873015884</v>
      </c>
      <c r="L208" s="59">
        <f t="shared" si="131"/>
        <v>4123.2638888888896</v>
      </c>
      <c r="M208" s="59">
        <f t="shared" si="131"/>
        <v>3665.1234567901242</v>
      </c>
      <c r="N208" s="59">
        <f t="shared" si="131"/>
        <v>3298.6111111111118</v>
      </c>
    </row>
    <row r="209" spans="1:14" x14ac:dyDescent="0.3">
      <c r="A209" s="379"/>
      <c r="B209" s="58" t="s">
        <v>123</v>
      </c>
      <c r="C209" s="59">
        <f t="shared" ref="C209:N209" si="132">($D$39*$D$46*($D$204^2))/($C$4*C$205)</f>
        <v>27281.746031746039</v>
      </c>
      <c r="D209" s="59">
        <f t="shared" si="132"/>
        <v>23871.527777777781</v>
      </c>
      <c r="E209" s="59">
        <f t="shared" si="132"/>
        <v>21219.135802469136</v>
      </c>
      <c r="F209" s="59">
        <f t="shared" si="132"/>
        <v>19097.222222222226</v>
      </c>
      <c r="G209" s="59">
        <f t="shared" si="132"/>
        <v>12731.481481481484</v>
      </c>
      <c r="H209" s="59">
        <f t="shared" si="132"/>
        <v>9548.6111111111131</v>
      </c>
      <c r="I209" s="59">
        <f t="shared" si="132"/>
        <v>7638.8888888888905</v>
      </c>
      <c r="J209" s="59">
        <f t="shared" si="132"/>
        <v>6365.7407407407418</v>
      </c>
      <c r="K209" s="59">
        <f t="shared" si="132"/>
        <v>5456.3492063492076</v>
      </c>
      <c r="L209" s="59">
        <f t="shared" si="132"/>
        <v>4774.3055555555566</v>
      </c>
      <c r="M209" s="59">
        <f t="shared" si="132"/>
        <v>4243.8271604938282</v>
      </c>
      <c r="N209" s="59">
        <f t="shared" si="132"/>
        <v>3819.4444444444453</v>
      </c>
    </row>
    <row r="210" spans="1:14" x14ac:dyDescent="0.3">
      <c r="A210" s="379"/>
      <c r="B210" s="58" t="s">
        <v>124</v>
      </c>
      <c r="C210" s="59">
        <f t="shared" ref="C210:N210" si="133">($E$39*$E$46*($D$204^2))/($C$4*C$205)</f>
        <v>31001.984126984134</v>
      </c>
      <c r="D210" s="59">
        <f t="shared" si="133"/>
        <v>27126.736111111117</v>
      </c>
      <c r="E210" s="59">
        <f t="shared" si="133"/>
        <v>24112.654320987658</v>
      </c>
      <c r="F210" s="59">
        <f t="shared" si="133"/>
        <v>21701.388888888894</v>
      </c>
      <c r="G210" s="59">
        <f t="shared" si="133"/>
        <v>14467.592592592597</v>
      </c>
      <c r="H210" s="59">
        <f t="shared" si="133"/>
        <v>10850.694444444447</v>
      </c>
      <c r="I210" s="59">
        <f t="shared" si="133"/>
        <v>8680.5555555555584</v>
      </c>
      <c r="J210" s="59">
        <f t="shared" si="133"/>
        <v>7233.7962962962984</v>
      </c>
      <c r="K210" s="59">
        <f t="shared" si="133"/>
        <v>6200.3968253968269</v>
      </c>
      <c r="L210" s="59">
        <f t="shared" si="133"/>
        <v>5425.3472222222235</v>
      </c>
      <c r="M210" s="59">
        <f t="shared" si="133"/>
        <v>4822.5308641975316</v>
      </c>
      <c r="N210" s="59">
        <f t="shared" si="133"/>
        <v>4340.2777777777792</v>
      </c>
    </row>
    <row r="211" spans="1:14" x14ac:dyDescent="0.3">
      <c r="A211" s="380"/>
      <c r="B211" s="58" t="s">
        <v>125</v>
      </c>
      <c r="C211" s="59">
        <f t="shared" ref="C211:N211" si="134">($F$39*$F$46*($D$204^2))/($C$4*C$205)</f>
        <v>34722.222222222226</v>
      </c>
      <c r="D211" s="59">
        <f t="shared" si="134"/>
        <v>30381.944444444445</v>
      </c>
      <c r="E211" s="59">
        <f t="shared" si="134"/>
        <v>27006.172839506173</v>
      </c>
      <c r="F211" s="59">
        <f t="shared" si="134"/>
        <v>24305.555555555558</v>
      </c>
      <c r="G211" s="59">
        <f t="shared" si="134"/>
        <v>16203.703703703704</v>
      </c>
      <c r="H211" s="59">
        <f t="shared" si="134"/>
        <v>12152.777777777779</v>
      </c>
      <c r="I211" s="59">
        <f t="shared" si="134"/>
        <v>9722.2222222222226</v>
      </c>
      <c r="J211" s="59">
        <f t="shared" si="134"/>
        <v>8101.8518518518522</v>
      </c>
      <c r="K211" s="59">
        <f t="shared" si="134"/>
        <v>6944.4444444444453</v>
      </c>
      <c r="L211" s="59">
        <f t="shared" si="134"/>
        <v>6076.3888888888896</v>
      </c>
      <c r="M211" s="59">
        <f t="shared" si="134"/>
        <v>5401.2345679012351</v>
      </c>
      <c r="N211" s="59">
        <f t="shared" si="134"/>
        <v>4861.1111111111113</v>
      </c>
    </row>
    <row r="212" spans="1:14" x14ac:dyDescent="0.3">
      <c r="A212" s="396" t="s">
        <v>127</v>
      </c>
      <c r="B212" s="55" t="s">
        <v>122</v>
      </c>
      <c r="C212" s="57">
        <f t="shared" ref="C212:N212" si="135">($C$39*$C$45*($D$204^2))/($C$4*C$205)</f>
        <v>28797.398589065262</v>
      </c>
      <c r="D212" s="57">
        <f t="shared" si="135"/>
        <v>25197.723765432103</v>
      </c>
      <c r="E212" s="57">
        <f t="shared" si="135"/>
        <v>22397.97668038409</v>
      </c>
      <c r="F212" s="57">
        <f t="shared" si="135"/>
        <v>20158.179012345681</v>
      </c>
      <c r="G212" s="57">
        <f t="shared" si="135"/>
        <v>13438.786008230456</v>
      </c>
      <c r="H212" s="57">
        <f t="shared" si="135"/>
        <v>10079.089506172841</v>
      </c>
      <c r="I212" s="57">
        <f t="shared" si="135"/>
        <v>8063.2716049382734</v>
      </c>
      <c r="J212" s="57">
        <f t="shared" si="135"/>
        <v>6719.393004115228</v>
      </c>
      <c r="K212" s="57">
        <f t="shared" si="135"/>
        <v>5759.479717813052</v>
      </c>
      <c r="L212" s="57">
        <f t="shared" si="135"/>
        <v>5039.5447530864203</v>
      </c>
      <c r="M212" s="57">
        <f t="shared" si="135"/>
        <v>4479.5953360768181</v>
      </c>
      <c r="N212" s="57">
        <f t="shared" si="135"/>
        <v>4031.6358024691367</v>
      </c>
    </row>
    <row r="213" spans="1:14" x14ac:dyDescent="0.3">
      <c r="A213" s="396"/>
      <c r="B213" s="55" t="s">
        <v>123</v>
      </c>
      <c r="C213" s="57">
        <f t="shared" ref="C213:N213" si="136">($D$39*$D$45*($D$204^2))/($C$4*C$205)</f>
        <v>33344.356261022935</v>
      </c>
      <c r="D213" s="57">
        <f t="shared" si="136"/>
        <v>29176.311728395067</v>
      </c>
      <c r="E213" s="57">
        <f t="shared" si="136"/>
        <v>25934.499314128949</v>
      </c>
      <c r="F213" s="57">
        <f t="shared" si="136"/>
        <v>23341.049382716054</v>
      </c>
      <c r="G213" s="57">
        <f t="shared" si="136"/>
        <v>15560.69958847737</v>
      </c>
      <c r="H213" s="57">
        <f t="shared" si="136"/>
        <v>11670.524691358027</v>
      </c>
      <c r="I213" s="57">
        <f t="shared" si="136"/>
        <v>9336.4197530864221</v>
      </c>
      <c r="J213" s="57">
        <f t="shared" si="136"/>
        <v>7780.3497942386848</v>
      </c>
      <c r="K213" s="57">
        <f t="shared" si="136"/>
        <v>6668.8712522045871</v>
      </c>
      <c r="L213" s="57">
        <f t="shared" si="136"/>
        <v>5835.2623456790134</v>
      </c>
      <c r="M213" s="57">
        <f t="shared" si="136"/>
        <v>5186.8998628257896</v>
      </c>
      <c r="N213" s="57">
        <f t="shared" si="136"/>
        <v>4668.2098765432111</v>
      </c>
    </row>
    <row r="214" spans="1:14" x14ac:dyDescent="0.3">
      <c r="A214" s="396"/>
      <c r="B214" s="55" t="s">
        <v>124</v>
      </c>
      <c r="C214" s="57">
        <f t="shared" ref="C214:N214" si="137">($E$39*$E$45*($D$204^2))/($C$4*C$205)</f>
        <v>37891.313932980607</v>
      </c>
      <c r="D214" s="57">
        <f t="shared" si="137"/>
        <v>33154.899691358027</v>
      </c>
      <c r="E214" s="57">
        <f t="shared" si="137"/>
        <v>29471.0219478738</v>
      </c>
      <c r="F214" s="57">
        <f t="shared" si="137"/>
        <v>26523.919753086422</v>
      </c>
      <c r="G214" s="57">
        <f t="shared" si="137"/>
        <v>17682.613168724281</v>
      </c>
      <c r="H214" s="57">
        <f t="shared" si="137"/>
        <v>13261.959876543211</v>
      </c>
      <c r="I214" s="57">
        <f t="shared" si="137"/>
        <v>10609.567901234568</v>
      </c>
      <c r="J214" s="57">
        <f t="shared" si="137"/>
        <v>8841.3065843621407</v>
      </c>
      <c r="K214" s="57">
        <f t="shared" si="137"/>
        <v>7578.2627865961203</v>
      </c>
      <c r="L214" s="57">
        <f t="shared" si="137"/>
        <v>6630.9799382716055</v>
      </c>
      <c r="M214" s="57">
        <f t="shared" si="137"/>
        <v>5894.2043895747602</v>
      </c>
      <c r="N214" s="57">
        <f t="shared" si="137"/>
        <v>5304.7839506172841</v>
      </c>
    </row>
    <row r="215" spans="1:14" x14ac:dyDescent="0.3">
      <c r="A215" s="396"/>
      <c r="B215" s="55" t="s">
        <v>125</v>
      </c>
      <c r="C215" s="57">
        <f t="shared" ref="C215:N215" si="138">($F$39*$F$45*($D$204^2))/($C$4*C$205)</f>
        <v>42438.27160493828</v>
      </c>
      <c r="D215" s="57">
        <f t="shared" si="138"/>
        <v>37133.48765432099</v>
      </c>
      <c r="E215" s="57">
        <f t="shared" si="138"/>
        <v>33007.544581618655</v>
      </c>
      <c r="F215" s="57">
        <f t="shared" si="138"/>
        <v>29706.790123456794</v>
      </c>
      <c r="G215" s="57">
        <f t="shared" si="138"/>
        <v>19804.526748971195</v>
      </c>
      <c r="H215" s="57">
        <f t="shared" si="138"/>
        <v>14853.395061728397</v>
      </c>
      <c r="I215" s="57">
        <f t="shared" si="138"/>
        <v>11882.716049382718</v>
      </c>
      <c r="J215" s="57">
        <f t="shared" si="138"/>
        <v>9902.2633744855975</v>
      </c>
      <c r="K215" s="57">
        <f t="shared" si="138"/>
        <v>8487.6543209876545</v>
      </c>
      <c r="L215" s="57">
        <f t="shared" si="138"/>
        <v>7426.6975308641986</v>
      </c>
      <c r="M215" s="57">
        <f t="shared" si="138"/>
        <v>6601.5089163237317</v>
      </c>
      <c r="N215" s="57">
        <f t="shared" si="138"/>
        <v>5941.3580246913589</v>
      </c>
    </row>
    <row r="216" spans="1:14" x14ac:dyDescent="0.3">
      <c r="A216" s="51"/>
      <c r="B216" s="37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</row>
    <row r="217" spans="1:14" x14ac:dyDescent="0.3">
      <c r="A217" s="381" t="s">
        <v>139</v>
      </c>
      <c r="B217" s="381"/>
      <c r="C217" s="381"/>
      <c r="D217" s="381"/>
      <c r="E217" s="381"/>
      <c r="F217" s="381"/>
      <c r="G217" s="60"/>
      <c r="H217" s="60"/>
      <c r="I217" s="60"/>
      <c r="J217" s="60"/>
      <c r="K217" s="60"/>
      <c r="L217" s="60"/>
      <c r="M217" s="60"/>
      <c r="N217" s="60"/>
    </row>
    <row r="218" spans="1:14" ht="15" thickBot="1" x14ac:dyDescent="0.35">
      <c r="A218" s="51"/>
      <c r="B218" s="37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</row>
    <row r="219" spans="1:14" ht="15" thickBot="1" x14ac:dyDescent="0.35">
      <c r="A219" s="382" t="s">
        <v>137</v>
      </c>
      <c r="B219" s="383"/>
      <c r="C219" s="383"/>
      <c r="D219" s="384">
        <v>5</v>
      </c>
      <c r="E219" s="384"/>
      <c r="F219" s="385"/>
      <c r="G219" s="60"/>
      <c r="H219" s="60"/>
      <c r="I219" s="60"/>
      <c r="J219" s="60"/>
      <c r="K219" s="60"/>
      <c r="L219" s="60"/>
      <c r="M219" s="60"/>
      <c r="N219" s="60"/>
    </row>
    <row r="220" spans="1:14" ht="15" thickBot="1" x14ac:dyDescent="0.35">
      <c r="A220" s="258" t="s">
        <v>121</v>
      </c>
      <c r="B220" s="259" t="s">
        <v>135</v>
      </c>
      <c r="C220" s="260">
        <v>7</v>
      </c>
      <c r="D220" s="260">
        <v>8</v>
      </c>
      <c r="E220" s="260">
        <v>9</v>
      </c>
      <c r="F220" s="260">
        <v>10</v>
      </c>
      <c r="G220" s="260">
        <v>15</v>
      </c>
      <c r="H220" s="260">
        <v>20</v>
      </c>
      <c r="I220" s="260">
        <v>25</v>
      </c>
      <c r="J220" s="260">
        <v>30</v>
      </c>
      <c r="K220" s="260">
        <v>35</v>
      </c>
      <c r="L220" s="260">
        <v>40</v>
      </c>
      <c r="M220" s="260">
        <v>45</v>
      </c>
      <c r="N220" s="261">
        <v>50</v>
      </c>
    </row>
    <row r="221" spans="1:14" x14ac:dyDescent="0.3">
      <c r="A221" s="386" t="s">
        <v>667</v>
      </c>
      <c r="B221" s="245" t="s">
        <v>665</v>
      </c>
      <c r="C221" s="206">
        <f>$C$4/C$220</f>
        <v>0.37142857142857144</v>
      </c>
      <c r="D221" s="206">
        <f t="shared" ref="D221:N221" si="139">$C$4/D$220</f>
        <v>0.32500000000000001</v>
      </c>
      <c r="E221" s="206">
        <f t="shared" si="139"/>
        <v>0.28888888888888892</v>
      </c>
      <c r="F221" s="206">
        <f t="shared" si="139"/>
        <v>0.26</v>
      </c>
      <c r="G221" s="206">
        <f t="shared" si="139"/>
        <v>0.17333333333333334</v>
      </c>
      <c r="H221" s="206">
        <f t="shared" si="139"/>
        <v>0.13</v>
      </c>
      <c r="I221" s="206">
        <f t="shared" si="139"/>
        <v>0.10400000000000001</v>
      </c>
      <c r="J221" s="206">
        <f t="shared" si="139"/>
        <v>8.666666666666667E-2</v>
      </c>
      <c r="K221" s="206">
        <f t="shared" si="139"/>
        <v>7.4285714285714288E-2</v>
      </c>
      <c r="L221" s="206">
        <f t="shared" si="139"/>
        <v>6.5000000000000002E-2</v>
      </c>
      <c r="M221" s="206">
        <f t="shared" si="139"/>
        <v>5.7777777777777782E-2</v>
      </c>
      <c r="N221" s="223">
        <f t="shared" si="139"/>
        <v>5.2000000000000005E-2</v>
      </c>
    </row>
    <row r="222" spans="1:14" x14ac:dyDescent="0.3">
      <c r="A222" s="387"/>
      <c r="B222" s="21" t="s">
        <v>666</v>
      </c>
      <c r="C222" s="26">
        <f>DEGREES(C221)</f>
        <v>21.281289533430577</v>
      </c>
      <c r="D222" s="26">
        <f t="shared" ref="D222:N222" si="140">DEGREES(D221)</f>
        <v>18.621128341751756</v>
      </c>
      <c r="E222" s="26">
        <f t="shared" si="140"/>
        <v>16.552114081557118</v>
      </c>
      <c r="F222" s="26">
        <f t="shared" si="140"/>
        <v>14.896902673401405</v>
      </c>
      <c r="G222" s="26">
        <f t="shared" si="140"/>
        <v>9.9312684489342704</v>
      </c>
      <c r="H222" s="26">
        <f t="shared" si="140"/>
        <v>7.4484513367007024</v>
      </c>
      <c r="I222" s="26">
        <f t="shared" si="140"/>
        <v>5.9587610693605617</v>
      </c>
      <c r="J222" s="26">
        <f t="shared" si="140"/>
        <v>4.9656342244671352</v>
      </c>
      <c r="K222" s="26">
        <f t="shared" si="140"/>
        <v>4.2562579066861153</v>
      </c>
      <c r="L222" s="26">
        <f t="shared" si="140"/>
        <v>3.7242256683503512</v>
      </c>
      <c r="M222" s="26">
        <f t="shared" si="140"/>
        <v>3.3104228163114233</v>
      </c>
      <c r="N222" s="234">
        <f t="shared" si="140"/>
        <v>2.9793805346802809</v>
      </c>
    </row>
    <row r="223" spans="1:14" x14ac:dyDescent="0.3">
      <c r="A223" s="253" t="s">
        <v>118</v>
      </c>
      <c r="B223" s="21" t="s">
        <v>140</v>
      </c>
      <c r="C223" s="16">
        <f t="shared" ref="C223:N223" si="141">$D$219/C220</f>
        <v>0.7142857142857143</v>
      </c>
      <c r="D223" s="16">
        <f t="shared" si="141"/>
        <v>0.625</v>
      </c>
      <c r="E223" s="16">
        <f t="shared" si="141"/>
        <v>0.55555555555555558</v>
      </c>
      <c r="F223" s="16">
        <f t="shared" si="141"/>
        <v>0.5</v>
      </c>
      <c r="G223" s="16">
        <f t="shared" si="141"/>
        <v>0.33333333333333331</v>
      </c>
      <c r="H223" s="16">
        <f t="shared" si="141"/>
        <v>0.25</v>
      </c>
      <c r="I223" s="16">
        <f t="shared" si="141"/>
        <v>0.2</v>
      </c>
      <c r="J223" s="16">
        <f t="shared" si="141"/>
        <v>0.16666666666666666</v>
      </c>
      <c r="K223" s="16">
        <f t="shared" si="141"/>
        <v>0.14285714285714285</v>
      </c>
      <c r="L223" s="16">
        <f t="shared" si="141"/>
        <v>0.125</v>
      </c>
      <c r="M223" s="16">
        <f t="shared" si="141"/>
        <v>0.1111111111111111</v>
      </c>
      <c r="N223" s="254">
        <f t="shared" si="141"/>
        <v>0.1</v>
      </c>
    </row>
    <row r="224" spans="1:14" ht="15" thickBot="1" x14ac:dyDescent="0.35">
      <c r="A224" s="255" t="s">
        <v>119</v>
      </c>
      <c r="B224" s="246" t="s">
        <v>120</v>
      </c>
      <c r="C224" s="256">
        <f t="shared" ref="C224:N224" si="142">($D$219^2)/C220</f>
        <v>3.5714285714285716</v>
      </c>
      <c r="D224" s="256">
        <f t="shared" si="142"/>
        <v>3.125</v>
      </c>
      <c r="E224" s="256">
        <f t="shared" si="142"/>
        <v>2.7777777777777777</v>
      </c>
      <c r="F224" s="256">
        <f t="shared" si="142"/>
        <v>2.5</v>
      </c>
      <c r="G224" s="256">
        <f t="shared" si="142"/>
        <v>1.6666666666666667</v>
      </c>
      <c r="H224" s="256">
        <f t="shared" si="142"/>
        <v>1.25</v>
      </c>
      <c r="I224" s="256">
        <f t="shared" si="142"/>
        <v>1</v>
      </c>
      <c r="J224" s="256">
        <f t="shared" si="142"/>
        <v>0.83333333333333337</v>
      </c>
      <c r="K224" s="256">
        <f t="shared" si="142"/>
        <v>0.7142857142857143</v>
      </c>
      <c r="L224" s="256">
        <f t="shared" si="142"/>
        <v>0.625</v>
      </c>
      <c r="M224" s="256">
        <f t="shared" si="142"/>
        <v>0.55555555555555558</v>
      </c>
      <c r="N224" s="257">
        <f t="shared" si="142"/>
        <v>0.5</v>
      </c>
    </row>
    <row r="225" spans="1:14" x14ac:dyDescent="0.3">
      <c r="A225" s="388" t="s">
        <v>675</v>
      </c>
      <c r="B225" s="239" t="s">
        <v>122</v>
      </c>
      <c r="C225" s="247">
        <f t="shared" ref="C225:N225" si="143">($C$39*$C$46*($D$219^2))/($C$4*C$220)</f>
        <v>763.39285714285734</v>
      </c>
      <c r="D225" s="247">
        <f t="shared" si="143"/>
        <v>667.96875000000011</v>
      </c>
      <c r="E225" s="247">
        <f t="shared" si="143"/>
        <v>593.75000000000011</v>
      </c>
      <c r="F225" s="247">
        <f t="shared" si="143"/>
        <v>534.37500000000011</v>
      </c>
      <c r="G225" s="247">
        <f t="shared" si="143"/>
        <v>356.25000000000011</v>
      </c>
      <c r="H225" s="247">
        <f t="shared" si="143"/>
        <v>267.18750000000006</v>
      </c>
      <c r="I225" s="247">
        <f t="shared" si="143"/>
        <v>213.75000000000006</v>
      </c>
      <c r="J225" s="247">
        <f t="shared" si="143"/>
        <v>178.12500000000006</v>
      </c>
      <c r="K225" s="247">
        <f t="shared" si="143"/>
        <v>152.67857142857147</v>
      </c>
      <c r="L225" s="247">
        <f t="shared" si="143"/>
        <v>133.59375000000003</v>
      </c>
      <c r="M225" s="247">
        <f t="shared" si="143"/>
        <v>118.75000000000003</v>
      </c>
      <c r="N225" s="248">
        <f t="shared" si="143"/>
        <v>106.87500000000003</v>
      </c>
    </row>
    <row r="226" spans="1:14" x14ac:dyDescent="0.3">
      <c r="A226" s="386"/>
      <c r="B226" s="58" t="s">
        <v>123</v>
      </c>
      <c r="C226" s="249">
        <f t="shared" ref="C226:N226" si="144">($D$39*$D$46*($D$219^2))/($C$4*C$220)</f>
        <v>883.92857142857167</v>
      </c>
      <c r="D226" s="249">
        <f t="shared" si="144"/>
        <v>773.43750000000011</v>
      </c>
      <c r="E226" s="249">
        <f t="shared" si="144"/>
        <v>687.50000000000011</v>
      </c>
      <c r="F226" s="249">
        <f t="shared" si="144"/>
        <v>618.75000000000011</v>
      </c>
      <c r="G226" s="249">
        <f t="shared" si="144"/>
        <v>412.50000000000011</v>
      </c>
      <c r="H226" s="249">
        <f t="shared" si="144"/>
        <v>309.37500000000006</v>
      </c>
      <c r="I226" s="249">
        <f t="shared" si="144"/>
        <v>247.50000000000006</v>
      </c>
      <c r="J226" s="249">
        <f t="shared" si="144"/>
        <v>206.25000000000006</v>
      </c>
      <c r="K226" s="249">
        <f t="shared" si="144"/>
        <v>176.78571428571433</v>
      </c>
      <c r="L226" s="249">
        <f t="shared" si="144"/>
        <v>154.68750000000003</v>
      </c>
      <c r="M226" s="249">
        <f t="shared" si="144"/>
        <v>137.50000000000003</v>
      </c>
      <c r="N226" s="250">
        <f t="shared" si="144"/>
        <v>123.75000000000003</v>
      </c>
    </row>
    <row r="227" spans="1:14" x14ac:dyDescent="0.3">
      <c r="A227" s="386"/>
      <c r="B227" s="58" t="s">
        <v>124</v>
      </c>
      <c r="C227" s="249">
        <f t="shared" ref="C227:N227" si="145">($E$39*$E$46*($D$219^2))/($C$4*C$220)</f>
        <v>1004.464285714286</v>
      </c>
      <c r="D227" s="249">
        <f t="shared" si="145"/>
        <v>878.90625000000011</v>
      </c>
      <c r="E227" s="249">
        <f t="shared" si="145"/>
        <v>781.25000000000011</v>
      </c>
      <c r="F227" s="249">
        <f t="shared" si="145"/>
        <v>703.12500000000011</v>
      </c>
      <c r="G227" s="249">
        <f t="shared" si="145"/>
        <v>468.75000000000011</v>
      </c>
      <c r="H227" s="249">
        <f t="shared" si="145"/>
        <v>351.56250000000006</v>
      </c>
      <c r="I227" s="249">
        <f t="shared" si="145"/>
        <v>281.25000000000006</v>
      </c>
      <c r="J227" s="249">
        <f t="shared" si="145"/>
        <v>234.37500000000006</v>
      </c>
      <c r="K227" s="249">
        <f t="shared" si="145"/>
        <v>200.8928571428572</v>
      </c>
      <c r="L227" s="249">
        <f t="shared" si="145"/>
        <v>175.78125000000003</v>
      </c>
      <c r="M227" s="249">
        <f t="shared" si="145"/>
        <v>156.25000000000003</v>
      </c>
      <c r="N227" s="250">
        <f t="shared" si="145"/>
        <v>140.62500000000003</v>
      </c>
    </row>
    <row r="228" spans="1:14" ht="15" thickBot="1" x14ac:dyDescent="0.35">
      <c r="A228" s="389"/>
      <c r="B228" s="240" t="s">
        <v>125</v>
      </c>
      <c r="C228" s="251">
        <f t="shared" ref="C228:N228" si="146">($F$39*$F$46*($D$219^2))/($C$4*C$220)</f>
        <v>1125.0000000000002</v>
      </c>
      <c r="D228" s="251">
        <f t="shared" si="146"/>
        <v>984.37500000000011</v>
      </c>
      <c r="E228" s="251">
        <f t="shared" si="146"/>
        <v>875.00000000000011</v>
      </c>
      <c r="F228" s="251">
        <f t="shared" si="146"/>
        <v>787.50000000000011</v>
      </c>
      <c r="G228" s="251">
        <f t="shared" si="146"/>
        <v>525.00000000000011</v>
      </c>
      <c r="H228" s="251">
        <f t="shared" si="146"/>
        <v>393.75000000000006</v>
      </c>
      <c r="I228" s="251">
        <f t="shared" si="146"/>
        <v>315.00000000000006</v>
      </c>
      <c r="J228" s="251">
        <f t="shared" si="146"/>
        <v>262.50000000000006</v>
      </c>
      <c r="K228" s="251">
        <f t="shared" si="146"/>
        <v>225.00000000000003</v>
      </c>
      <c r="L228" s="251">
        <f t="shared" si="146"/>
        <v>196.87500000000003</v>
      </c>
      <c r="M228" s="251">
        <f t="shared" si="146"/>
        <v>175.00000000000003</v>
      </c>
      <c r="N228" s="252">
        <f t="shared" si="146"/>
        <v>157.50000000000003</v>
      </c>
    </row>
    <row r="229" spans="1:14" x14ac:dyDescent="0.3">
      <c r="A229" s="390" t="s">
        <v>676</v>
      </c>
      <c r="B229" s="237" t="s">
        <v>122</v>
      </c>
      <c r="C229" s="247">
        <f t="shared" ref="C229:N229" si="147">($C$39*$C$45*($D$219^2))/($C$4*C$220)</f>
        <v>933.03571428571456</v>
      </c>
      <c r="D229" s="247">
        <f t="shared" si="147"/>
        <v>816.40625000000011</v>
      </c>
      <c r="E229" s="247">
        <f t="shared" si="147"/>
        <v>725.69444444444457</v>
      </c>
      <c r="F229" s="247">
        <f t="shared" si="147"/>
        <v>653.12500000000011</v>
      </c>
      <c r="G229" s="247">
        <f t="shared" si="147"/>
        <v>435.41666666666674</v>
      </c>
      <c r="H229" s="247">
        <f t="shared" si="147"/>
        <v>326.56250000000006</v>
      </c>
      <c r="I229" s="247">
        <f t="shared" si="147"/>
        <v>261.25000000000006</v>
      </c>
      <c r="J229" s="247">
        <f t="shared" si="147"/>
        <v>217.70833333333337</v>
      </c>
      <c r="K229" s="247">
        <f t="shared" si="147"/>
        <v>186.60714285714289</v>
      </c>
      <c r="L229" s="247">
        <f t="shared" si="147"/>
        <v>163.28125000000003</v>
      </c>
      <c r="M229" s="247">
        <f t="shared" si="147"/>
        <v>145.13888888888891</v>
      </c>
      <c r="N229" s="248">
        <f t="shared" si="147"/>
        <v>130.62500000000003</v>
      </c>
    </row>
    <row r="230" spans="1:14" x14ac:dyDescent="0.3">
      <c r="A230" s="391"/>
      <c r="B230" s="55" t="s">
        <v>123</v>
      </c>
      <c r="C230" s="249">
        <f t="shared" ref="C230:N230" si="148">($D$39*$D$45*($D$219^2))/($C$4*C$220)</f>
        <v>1080.3571428571431</v>
      </c>
      <c r="D230" s="249">
        <f t="shared" si="148"/>
        <v>945.31250000000011</v>
      </c>
      <c r="E230" s="249">
        <f t="shared" si="148"/>
        <v>840.27777777777783</v>
      </c>
      <c r="F230" s="249">
        <f t="shared" si="148"/>
        <v>756.25000000000011</v>
      </c>
      <c r="G230" s="249">
        <f t="shared" si="148"/>
        <v>504.16666666666674</v>
      </c>
      <c r="H230" s="249">
        <f t="shared" si="148"/>
        <v>378.12500000000006</v>
      </c>
      <c r="I230" s="249">
        <f t="shared" si="148"/>
        <v>302.50000000000006</v>
      </c>
      <c r="J230" s="249">
        <f t="shared" si="148"/>
        <v>252.08333333333337</v>
      </c>
      <c r="K230" s="249">
        <f t="shared" si="148"/>
        <v>216.07142857142861</v>
      </c>
      <c r="L230" s="249">
        <f t="shared" si="148"/>
        <v>189.06250000000003</v>
      </c>
      <c r="M230" s="249">
        <f t="shared" si="148"/>
        <v>168.0555555555556</v>
      </c>
      <c r="N230" s="250">
        <f t="shared" si="148"/>
        <v>151.25000000000003</v>
      </c>
    </row>
    <row r="231" spans="1:14" x14ac:dyDescent="0.3">
      <c r="A231" s="391"/>
      <c r="B231" s="55" t="s">
        <v>124</v>
      </c>
      <c r="C231" s="249">
        <f t="shared" ref="C231:N231" si="149">($E$39*$E$45*($D$219^2))/($C$4*C$220)</f>
        <v>1227.6785714285718</v>
      </c>
      <c r="D231" s="249">
        <f t="shared" si="149"/>
        <v>1074.2187500000002</v>
      </c>
      <c r="E231" s="249">
        <f t="shared" si="149"/>
        <v>954.8611111111112</v>
      </c>
      <c r="F231" s="249">
        <f t="shared" si="149"/>
        <v>859.37500000000011</v>
      </c>
      <c r="G231" s="249">
        <f t="shared" si="149"/>
        <v>572.91666666666674</v>
      </c>
      <c r="H231" s="249">
        <f t="shared" si="149"/>
        <v>429.68750000000006</v>
      </c>
      <c r="I231" s="249">
        <f t="shared" si="149"/>
        <v>343.75000000000006</v>
      </c>
      <c r="J231" s="249">
        <f t="shared" si="149"/>
        <v>286.45833333333337</v>
      </c>
      <c r="K231" s="249">
        <f t="shared" si="149"/>
        <v>245.53571428571433</v>
      </c>
      <c r="L231" s="249">
        <f t="shared" si="149"/>
        <v>214.84375000000003</v>
      </c>
      <c r="M231" s="249">
        <f t="shared" si="149"/>
        <v>190.97222222222226</v>
      </c>
      <c r="N231" s="250">
        <f t="shared" si="149"/>
        <v>171.87500000000003</v>
      </c>
    </row>
    <row r="232" spans="1:14" ht="15" thickBot="1" x14ac:dyDescent="0.35">
      <c r="A232" s="392"/>
      <c r="B232" s="267" t="s">
        <v>125</v>
      </c>
      <c r="C232" s="268">
        <f t="shared" ref="C232:N232" si="150">($F$39*$F$45*($D$219^2))/($C$4*C$220)</f>
        <v>1375.0000000000002</v>
      </c>
      <c r="D232" s="268">
        <f t="shared" si="150"/>
        <v>1203.1250000000002</v>
      </c>
      <c r="E232" s="268">
        <f t="shared" si="150"/>
        <v>1069.4444444444446</v>
      </c>
      <c r="F232" s="268">
        <f t="shared" si="150"/>
        <v>962.50000000000011</v>
      </c>
      <c r="G232" s="268">
        <f t="shared" si="150"/>
        <v>641.66666666666674</v>
      </c>
      <c r="H232" s="268">
        <f t="shared" si="150"/>
        <v>481.25000000000006</v>
      </c>
      <c r="I232" s="268">
        <f t="shared" si="150"/>
        <v>385.00000000000006</v>
      </c>
      <c r="J232" s="268">
        <f t="shared" si="150"/>
        <v>320.83333333333337</v>
      </c>
      <c r="K232" s="268">
        <f t="shared" si="150"/>
        <v>275.00000000000006</v>
      </c>
      <c r="L232" s="268">
        <f t="shared" si="150"/>
        <v>240.62500000000003</v>
      </c>
      <c r="M232" s="268">
        <f t="shared" si="150"/>
        <v>213.88888888888891</v>
      </c>
      <c r="N232" s="269">
        <f t="shared" si="150"/>
        <v>192.50000000000003</v>
      </c>
    </row>
    <row r="233" spans="1:14" x14ac:dyDescent="0.3">
      <c r="A233" s="393" t="s">
        <v>673</v>
      </c>
      <c r="B233" s="239" t="s">
        <v>122</v>
      </c>
      <c r="C233" s="271">
        <v>16000</v>
      </c>
      <c r="D233" s="247">
        <v>16000</v>
      </c>
      <c r="E233" s="247">
        <v>16000</v>
      </c>
      <c r="F233" s="247">
        <v>16000</v>
      </c>
      <c r="G233" s="247">
        <v>16000</v>
      </c>
      <c r="H233" s="247">
        <v>16000</v>
      </c>
      <c r="I233" s="247">
        <v>16000</v>
      </c>
      <c r="J233" s="247">
        <v>16000</v>
      </c>
      <c r="K233" s="247">
        <v>16000</v>
      </c>
      <c r="L233" s="247">
        <v>16000</v>
      </c>
      <c r="M233" s="247">
        <v>16000</v>
      </c>
      <c r="N233" s="248">
        <v>16000</v>
      </c>
    </row>
    <row r="234" spans="1:14" x14ac:dyDescent="0.3">
      <c r="A234" s="394"/>
      <c r="B234" s="58" t="s">
        <v>123</v>
      </c>
      <c r="C234" s="63">
        <v>19000</v>
      </c>
      <c r="D234" s="249">
        <v>19000</v>
      </c>
      <c r="E234" s="249">
        <v>19000</v>
      </c>
      <c r="F234" s="249">
        <v>19000</v>
      </c>
      <c r="G234" s="249">
        <v>19000</v>
      </c>
      <c r="H234" s="249">
        <v>19000</v>
      </c>
      <c r="I234" s="249">
        <v>19000</v>
      </c>
      <c r="J234" s="249">
        <v>19000</v>
      </c>
      <c r="K234" s="249">
        <v>19000</v>
      </c>
      <c r="L234" s="249">
        <v>19000</v>
      </c>
      <c r="M234" s="249">
        <v>19000</v>
      </c>
      <c r="N234" s="250">
        <v>19000</v>
      </c>
    </row>
    <row r="235" spans="1:14" x14ac:dyDescent="0.3">
      <c r="A235" s="394"/>
      <c r="B235" s="58" t="s">
        <v>124</v>
      </c>
      <c r="C235" s="63">
        <v>20500</v>
      </c>
      <c r="D235" s="249">
        <v>20500</v>
      </c>
      <c r="E235" s="249">
        <v>20500</v>
      </c>
      <c r="F235" s="249">
        <v>20500</v>
      </c>
      <c r="G235" s="249">
        <v>20500</v>
      </c>
      <c r="H235" s="249">
        <v>20500</v>
      </c>
      <c r="I235" s="249">
        <v>20500</v>
      </c>
      <c r="J235" s="249">
        <v>20500</v>
      </c>
      <c r="K235" s="249">
        <v>20500</v>
      </c>
      <c r="L235" s="249">
        <v>20500</v>
      </c>
      <c r="M235" s="249">
        <v>20500</v>
      </c>
      <c r="N235" s="250">
        <v>20500</v>
      </c>
    </row>
    <row r="236" spans="1:14" ht="15" thickBot="1" x14ac:dyDescent="0.35">
      <c r="A236" s="395"/>
      <c r="B236" s="240" t="s">
        <v>125</v>
      </c>
      <c r="C236" s="272">
        <v>22000</v>
      </c>
      <c r="D236" s="251">
        <v>22000</v>
      </c>
      <c r="E236" s="251">
        <v>22000</v>
      </c>
      <c r="F236" s="251">
        <v>22000</v>
      </c>
      <c r="G236" s="251">
        <v>22000</v>
      </c>
      <c r="H236" s="251">
        <v>22000</v>
      </c>
      <c r="I236" s="251">
        <v>22000</v>
      </c>
      <c r="J236" s="251">
        <v>22000</v>
      </c>
      <c r="K236" s="251">
        <v>22000</v>
      </c>
      <c r="L236" s="251">
        <v>22000</v>
      </c>
      <c r="M236" s="251">
        <v>22000</v>
      </c>
      <c r="N236" s="252">
        <v>22000</v>
      </c>
    </row>
    <row r="237" spans="1:14" x14ac:dyDescent="0.3">
      <c r="A237" s="393" t="s">
        <v>674</v>
      </c>
      <c r="B237" s="237" t="s">
        <v>122</v>
      </c>
      <c r="C237" s="271">
        <v>20000</v>
      </c>
      <c r="D237" s="247">
        <v>20000</v>
      </c>
      <c r="E237" s="247">
        <v>20000</v>
      </c>
      <c r="F237" s="247">
        <v>20000</v>
      </c>
      <c r="G237" s="247">
        <v>20000</v>
      </c>
      <c r="H237" s="247">
        <v>20000</v>
      </c>
      <c r="I237" s="247">
        <v>20000</v>
      </c>
      <c r="J237" s="247">
        <v>20000</v>
      </c>
      <c r="K237" s="247">
        <v>20000</v>
      </c>
      <c r="L237" s="247">
        <v>20000</v>
      </c>
      <c r="M237" s="247">
        <v>20000</v>
      </c>
      <c r="N237" s="248">
        <v>20000</v>
      </c>
    </row>
    <row r="238" spans="1:14" x14ac:dyDescent="0.3">
      <c r="A238" s="394"/>
      <c r="B238" s="55" t="s">
        <v>123</v>
      </c>
      <c r="C238" s="63">
        <v>21000</v>
      </c>
      <c r="D238" s="249">
        <v>21000</v>
      </c>
      <c r="E238" s="249">
        <v>21000</v>
      </c>
      <c r="F238" s="249">
        <v>21000</v>
      </c>
      <c r="G238" s="249">
        <v>21000</v>
      </c>
      <c r="H238" s="249">
        <v>21000</v>
      </c>
      <c r="I238" s="249">
        <v>21000</v>
      </c>
      <c r="J238" s="249">
        <v>21000</v>
      </c>
      <c r="K238" s="249">
        <v>21000</v>
      </c>
      <c r="L238" s="249">
        <v>21000</v>
      </c>
      <c r="M238" s="249">
        <v>21000</v>
      </c>
      <c r="N238" s="250">
        <v>21000</v>
      </c>
    </row>
    <row r="239" spans="1:14" x14ac:dyDescent="0.3">
      <c r="A239" s="394"/>
      <c r="B239" s="55" t="s">
        <v>124</v>
      </c>
      <c r="C239" s="63">
        <v>23000</v>
      </c>
      <c r="D239" s="249">
        <v>23000</v>
      </c>
      <c r="E239" s="249">
        <v>23000</v>
      </c>
      <c r="F239" s="249">
        <v>23000</v>
      </c>
      <c r="G239" s="249">
        <v>23000</v>
      </c>
      <c r="H239" s="249">
        <v>23000</v>
      </c>
      <c r="I239" s="249">
        <v>23000</v>
      </c>
      <c r="J239" s="249">
        <v>23000</v>
      </c>
      <c r="K239" s="249">
        <v>23000</v>
      </c>
      <c r="L239" s="249">
        <v>23000</v>
      </c>
      <c r="M239" s="249">
        <v>23000</v>
      </c>
      <c r="N239" s="250">
        <v>23000</v>
      </c>
    </row>
    <row r="240" spans="1:14" ht="15" thickBot="1" x14ac:dyDescent="0.35">
      <c r="A240" s="395"/>
      <c r="B240" s="238" t="s">
        <v>125</v>
      </c>
      <c r="C240" s="272">
        <v>26000</v>
      </c>
      <c r="D240" s="251">
        <v>26000</v>
      </c>
      <c r="E240" s="251">
        <v>26000</v>
      </c>
      <c r="F240" s="251">
        <v>26000</v>
      </c>
      <c r="G240" s="251">
        <v>26000</v>
      </c>
      <c r="H240" s="251">
        <v>26000</v>
      </c>
      <c r="I240" s="251">
        <v>26000</v>
      </c>
      <c r="J240" s="251">
        <v>26000</v>
      </c>
      <c r="K240" s="251">
        <v>26000</v>
      </c>
      <c r="L240" s="251">
        <v>26000</v>
      </c>
      <c r="M240" s="251">
        <v>26000</v>
      </c>
      <c r="N240" s="252">
        <v>26000</v>
      </c>
    </row>
    <row r="241" spans="1:16" x14ac:dyDescent="0.3">
      <c r="A241" s="390" t="s">
        <v>131</v>
      </c>
      <c r="B241" s="239" t="s">
        <v>122</v>
      </c>
      <c r="C241" s="262">
        <f>C$225/C$233</f>
        <v>4.7712053571428582E-2</v>
      </c>
      <c r="D241" s="262">
        <f t="shared" ref="D241:N241" si="151">D$225/D$233</f>
        <v>4.1748046875000007E-2</v>
      </c>
      <c r="E241" s="262">
        <f t="shared" si="151"/>
        <v>3.7109375000000007E-2</v>
      </c>
      <c r="F241" s="262">
        <f t="shared" si="151"/>
        <v>3.339843750000001E-2</v>
      </c>
      <c r="G241" s="262">
        <f t="shared" si="151"/>
        <v>2.2265625000000008E-2</v>
      </c>
      <c r="H241" s="262">
        <f t="shared" si="151"/>
        <v>1.6699218750000005E-2</v>
      </c>
      <c r="I241" s="262">
        <f t="shared" si="151"/>
        <v>1.3359375000000003E-2</v>
      </c>
      <c r="J241" s="262">
        <f t="shared" si="151"/>
        <v>1.1132812500000004E-2</v>
      </c>
      <c r="K241" s="262">
        <f t="shared" si="151"/>
        <v>9.5424107142857168E-3</v>
      </c>
      <c r="L241" s="262">
        <f t="shared" si="151"/>
        <v>8.3496093750000024E-3</v>
      </c>
      <c r="M241" s="262">
        <f t="shared" si="151"/>
        <v>7.4218750000000014E-3</v>
      </c>
      <c r="N241" s="263">
        <f t="shared" si="151"/>
        <v>6.6796875000000016E-3</v>
      </c>
    </row>
    <row r="242" spans="1:16" x14ac:dyDescent="0.3">
      <c r="A242" s="391"/>
      <c r="B242" s="58" t="s">
        <v>123</v>
      </c>
      <c r="C242" s="224">
        <f>C$226/C$234</f>
        <v>4.6522556390977458E-2</v>
      </c>
      <c r="D242" s="224">
        <f t="shared" ref="D242:N242" si="152">D$226/D$234</f>
        <v>4.0707236842105268E-2</v>
      </c>
      <c r="E242" s="224">
        <f t="shared" si="152"/>
        <v>3.6184210526315798E-2</v>
      </c>
      <c r="F242" s="224">
        <f t="shared" si="152"/>
        <v>3.2565789473684215E-2</v>
      </c>
      <c r="G242" s="224">
        <f t="shared" si="152"/>
        <v>2.1710526315789479E-2</v>
      </c>
      <c r="H242" s="224">
        <f t="shared" si="152"/>
        <v>1.6282894736842107E-2</v>
      </c>
      <c r="I242" s="224">
        <f t="shared" si="152"/>
        <v>1.3026315789473688E-2</v>
      </c>
      <c r="J242" s="224">
        <f t="shared" si="152"/>
        <v>1.0855263157894739E-2</v>
      </c>
      <c r="K242" s="224">
        <f t="shared" si="152"/>
        <v>9.3045112781954906E-3</v>
      </c>
      <c r="L242" s="224">
        <f t="shared" si="152"/>
        <v>8.1414473684210537E-3</v>
      </c>
      <c r="M242" s="224">
        <f t="shared" si="152"/>
        <v>7.2368421052631596E-3</v>
      </c>
      <c r="N242" s="264">
        <f t="shared" si="152"/>
        <v>6.513157894736844E-3</v>
      </c>
    </row>
    <row r="243" spans="1:16" x14ac:dyDescent="0.3">
      <c r="A243" s="391"/>
      <c r="B243" s="58" t="s">
        <v>124</v>
      </c>
      <c r="C243" s="224">
        <f>C$227/C$235</f>
        <v>4.8998257839721268E-2</v>
      </c>
      <c r="D243" s="224">
        <f t="shared" ref="D243:N243" si="153">D$227/D$235</f>
        <v>4.2873475609756101E-2</v>
      </c>
      <c r="E243" s="224">
        <f t="shared" si="153"/>
        <v>3.8109756097560982E-2</v>
      </c>
      <c r="F243" s="224">
        <f t="shared" si="153"/>
        <v>3.4298780487804881E-2</v>
      </c>
      <c r="G243" s="224">
        <f t="shared" si="153"/>
        <v>2.2865853658536592E-2</v>
      </c>
      <c r="H243" s="224">
        <f t="shared" si="153"/>
        <v>1.714939024390244E-2</v>
      </c>
      <c r="I243" s="224">
        <f t="shared" si="153"/>
        <v>1.3719512195121955E-2</v>
      </c>
      <c r="J243" s="224">
        <f t="shared" si="153"/>
        <v>1.1432926829268296E-2</v>
      </c>
      <c r="K243" s="224">
        <f t="shared" si="153"/>
        <v>9.7996515679442536E-3</v>
      </c>
      <c r="L243" s="224">
        <f t="shared" si="153"/>
        <v>8.5746951219512202E-3</v>
      </c>
      <c r="M243" s="224">
        <f t="shared" si="153"/>
        <v>7.6219512195121967E-3</v>
      </c>
      <c r="N243" s="264">
        <f t="shared" si="153"/>
        <v>6.8597560975609774E-3</v>
      </c>
    </row>
    <row r="244" spans="1:16" ht="15" thickBot="1" x14ac:dyDescent="0.35">
      <c r="A244" s="402"/>
      <c r="B244" s="240" t="s">
        <v>125</v>
      </c>
      <c r="C244" s="265">
        <f>C$228/C$236</f>
        <v>5.1136363636363646E-2</v>
      </c>
      <c r="D244" s="265">
        <f t="shared" ref="D244:N244" si="154">D$228/D$236</f>
        <v>4.4744318181818184E-2</v>
      </c>
      <c r="E244" s="265">
        <f t="shared" si="154"/>
        <v>3.9772727272727279E-2</v>
      </c>
      <c r="F244" s="265">
        <f t="shared" si="154"/>
        <v>3.5795454545454554E-2</v>
      </c>
      <c r="G244" s="265">
        <f t="shared" si="154"/>
        <v>2.3863636363636368E-2</v>
      </c>
      <c r="H244" s="265">
        <f t="shared" si="154"/>
        <v>1.7897727272727277E-2</v>
      </c>
      <c r="I244" s="265">
        <f t="shared" si="154"/>
        <v>1.431818181818182E-2</v>
      </c>
      <c r="J244" s="265">
        <f t="shared" si="154"/>
        <v>1.1931818181818184E-2</v>
      </c>
      <c r="K244" s="265">
        <f t="shared" si="154"/>
        <v>1.0227272727272729E-2</v>
      </c>
      <c r="L244" s="265">
        <f t="shared" si="154"/>
        <v>8.9488636363636385E-3</v>
      </c>
      <c r="M244" s="265">
        <f t="shared" si="154"/>
        <v>7.9545454545454555E-3</v>
      </c>
      <c r="N244" s="266">
        <f t="shared" si="154"/>
        <v>7.1590909090909101E-3</v>
      </c>
    </row>
    <row r="245" spans="1:16" x14ac:dyDescent="0.3">
      <c r="A245" s="386" t="s">
        <v>133</v>
      </c>
      <c r="B245" s="270" t="s">
        <v>122</v>
      </c>
      <c r="C245" s="206">
        <f>DEGREES(C241)</f>
        <v>2.7336993015449442</v>
      </c>
      <c r="D245" s="206">
        <f t="shared" ref="D245:N245" si="155">DEGREES(D241)</f>
        <v>2.3919868888518261</v>
      </c>
      <c r="E245" s="206">
        <f t="shared" si="155"/>
        <v>2.1262105678682897</v>
      </c>
      <c r="F245" s="206">
        <f t="shared" si="155"/>
        <v>1.9135895110814609</v>
      </c>
      <c r="G245" s="206">
        <f t="shared" si="155"/>
        <v>1.275726340720974</v>
      </c>
      <c r="H245" s="206">
        <f t="shared" si="155"/>
        <v>0.95679475554073046</v>
      </c>
      <c r="I245" s="206">
        <f t="shared" si="155"/>
        <v>0.7654358044325843</v>
      </c>
      <c r="J245" s="206">
        <f t="shared" si="155"/>
        <v>0.63786317036048701</v>
      </c>
      <c r="K245" s="206">
        <f t="shared" si="155"/>
        <v>0.5467398603089888</v>
      </c>
      <c r="L245" s="206">
        <f t="shared" si="155"/>
        <v>0.47839737777036523</v>
      </c>
      <c r="M245" s="206">
        <f t="shared" si="155"/>
        <v>0.42524211357365793</v>
      </c>
      <c r="N245" s="223">
        <f t="shared" si="155"/>
        <v>0.38271790221629215</v>
      </c>
    </row>
    <row r="246" spans="1:16" x14ac:dyDescent="0.3">
      <c r="A246" s="386"/>
      <c r="B246" s="58" t="s">
        <v>123</v>
      </c>
      <c r="C246" s="26">
        <f>DEGREES(C242)</f>
        <v>2.6655461333623833</v>
      </c>
      <c r="D246" s="26">
        <f t="shared" ref="D246:N246" si="156">DEGREES(D242)</f>
        <v>2.332352866692085</v>
      </c>
      <c r="E246" s="26">
        <f t="shared" si="156"/>
        <v>2.0732025481707423</v>
      </c>
      <c r="F246" s="26">
        <f t="shared" si="156"/>
        <v>1.8658822933536681</v>
      </c>
      <c r="G246" s="26">
        <f t="shared" si="156"/>
        <v>1.2439215289024455</v>
      </c>
      <c r="H246" s="26">
        <f t="shared" si="156"/>
        <v>0.93294114667683403</v>
      </c>
      <c r="I246" s="26">
        <f t="shared" si="156"/>
        <v>0.74635291734146736</v>
      </c>
      <c r="J246" s="26">
        <f t="shared" si="156"/>
        <v>0.62196076445122273</v>
      </c>
      <c r="K246" s="26">
        <f t="shared" si="156"/>
        <v>0.53310922667247662</v>
      </c>
      <c r="L246" s="26">
        <f t="shared" si="156"/>
        <v>0.46647057333841702</v>
      </c>
      <c r="M246" s="26">
        <f t="shared" si="156"/>
        <v>0.4146405096341485</v>
      </c>
      <c r="N246" s="234">
        <f t="shared" si="156"/>
        <v>0.37317645867073368</v>
      </c>
    </row>
    <row r="247" spans="1:16" x14ac:dyDescent="0.3">
      <c r="A247" s="386"/>
      <c r="B247" s="58" t="s">
        <v>124</v>
      </c>
      <c r="C247" s="26">
        <f t="shared" ref="C247:N248" si="157">DEGREES(C243)</f>
        <v>2.8073933777098272</v>
      </c>
      <c r="D247" s="26">
        <f t="shared" si="157"/>
        <v>2.4564692054960982</v>
      </c>
      <c r="E247" s="26">
        <f t="shared" si="157"/>
        <v>2.1835281826631987</v>
      </c>
      <c r="F247" s="26">
        <f t="shared" si="157"/>
        <v>1.9651753643968786</v>
      </c>
      <c r="G247" s="26">
        <f t="shared" si="157"/>
        <v>1.3101169095979193</v>
      </c>
      <c r="H247" s="26">
        <f t="shared" si="157"/>
        <v>0.98258768219843928</v>
      </c>
      <c r="I247" s="26">
        <f t="shared" si="157"/>
        <v>0.78607014575875156</v>
      </c>
      <c r="J247" s="26">
        <f t="shared" si="157"/>
        <v>0.65505845479895963</v>
      </c>
      <c r="K247" s="26">
        <f t="shared" si="157"/>
        <v>0.5614786755419654</v>
      </c>
      <c r="L247" s="26">
        <f t="shared" si="157"/>
        <v>0.49129384109921964</v>
      </c>
      <c r="M247" s="26">
        <f t="shared" si="157"/>
        <v>0.43670563653263972</v>
      </c>
      <c r="N247" s="234">
        <f t="shared" si="157"/>
        <v>0.39303507287937578</v>
      </c>
    </row>
    <row r="248" spans="1:16" ht="15" thickBot="1" x14ac:dyDescent="0.35">
      <c r="A248" s="389"/>
      <c r="B248" s="240" t="s">
        <v>125</v>
      </c>
      <c r="C248" s="217">
        <f t="shared" si="157"/>
        <v>2.9298978160098921</v>
      </c>
      <c r="D248" s="217">
        <f t="shared" si="157"/>
        <v>2.5636605890086552</v>
      </c>
      <c r="E248" s="217">
        <f t="shared" si="157"/>
        <v>2.2788094124521381</v>
      </c>
      <c r="F248" s="217">
        <f t="shared" si="157"/>
        <v>2.0509284712069245</v>
      </c>
      <c r="G248" s="217">
        <f t="shared" si="157"/>
        <v>1.3672856474712829</v>
      </c>
      <c r="H248" s="217">
        <f t="shared" si="157"/>
        <v>1.0254642356034622</v>
      </c>
      <c r="I248" s="217">
        <f t="shared" si="157"/>
        <v>0.82037138848276969</v>
      </c>
      <c r="J248" s="217">
        <f t="shared" si="157"/>
        <v>0.68364282373564145</v>
      </c>
      <c r="K248" s="217">
        <f t="shared" si="157"/>
        <v>0.58597956320197842</v>
      </c>
      <c r="L248" s="217">
        <f t="shared" si="157"/>
        <v>0.51273211780173111</v>
      </c>
      <c r="M248" s="217">
        <f t="shared" si="157"/>
        <v>0.45576188249042759</v>
      </c>
      <c r="N248" s="218">
        <f t="shared" si="157"/>
        <v>0.41018569424138485</v>
      </c>
    </row>
    <row r="249" spans="1:16" x14ac:dyDescent="0.3">
      <c r="A249" s="388" t="s">
        <v>132</v>
      </c>
      <c r="B249" s="237" t="s">
        <v>122</v>
      </c>
      <c r="C249" s="262">
        <f>C$229/C$237</f>
        <v>4.6651785714285729E-2</v>
      </c>
      <c r="D249" s="262">
        <f t="shared" ref="D249:N249" si="158">D$229/D$237</f>
        <v>4.0820312500000004E-2</v>
      </c>
      <c r="E249" s="262">
        <f t="shared" si="158"/>
        <v>3.6284722222222225E-2</v>
      </c>
      <c r="F249" s="262">
        <f t="shared" si="158"/>
        <v>3.2656250000000005E-2</v>
      </c>
      <c r="G249" s="262">
        <f t="shared" si="158"/>
        <v>2.1770833333333336E-2</v>
      </c>
      <c r="H249" s="262">
        <f t="shared" si="158"/>
        <v>1.6328125000000002E-2</v>
      </c>
      <c r="I249" s="262">
        <f t="shared" si="158"/>
        <v>1.3062500000000003E-2</v>
      </c>
      <c r="J249" s="262">
        <f t="shared" si="158"/>
        <v>1.0885416666666668E-2</v>
      </c>
      <c r="K249" s="262">
        <f t="shared" si="158"/>
        <v>9.3303571428571437E-3</v>
      </c>
      <c r="L249" s="262">
        <f t="shared" si="158"/>
        <v>8.1640625000000012E-3</v>
      </c>
      <c r="M249" s="262">
        <f t="shared" si="158"/>
        <v>7.2569444444444461E-3</v>
      </c>
      <c r="N249" s="263">
        <f t="shared" si="158"/>
        <v>6.5312500000000015E-3</v>
      </c>
    </row>
    <row r="250" spans="1:16" x14ac:dyDescent="0.3">
      <c r="A250" s="386"/>
      <c r="B250" s="55" t="s">
        <v>123</v>
      </c>
      <c r="C250" s="224">
        <f>C$230/C$238</f>
        <v>5.1445578231292532E-2</v>
      </c>
      <c r="D250" s="224">
        <f t="shared" ref="D250:N250" si="159">D$230/D$238</f>
        <v>4.5014880952380959E-2</v>
      </c>
      <c r="E250" s="224">
        <f t="shared" si="159"/>
        <v>4.0013227513227514E-2</v>
      </c>
      <c r="F250" s="224">
        <f t="shared" si="159"/>
        <v>3.6011904761904766E-2</v>
      </c>
      <c r="G250" s="224">
        <f t="shared" si="159"/>
        <v>2.4007936507936513E-2</v>
      </c>
      <c r="H250" s="224">
        <f t="shared" si="159"/>
        <v>1.8005952380952383E-2</v>
      </c>
      <c r="I250" s="224">
        <f t="shared" si="159"/>
        <v>1.4404761904761908E-2</v>
      </c>
      <c r="J250" s="224">
        <f t="shared" si="159"/>
        <v>1.2003968253968256E-2</v>
      </c>
      <c r="K250" s="224">
        <f t="shared" si="159"/>
        <v>1.0289115646258505E-2</v>
      </c>
      <c r="L250" s="224">
        <f t="shared" si="159"/>
        <v>9.0029761904761915E-3</v>
      </c>
      <c r="M250" s="224">
        <f t="shared" si="159"/>
        <v>8.0026455026455043E-3</v>
      </c>
      <c r="N250" s="264">
        <f t="shared" si="159"/>
        <v>7.202380952380954E-3</v>
      </c>
    </row>
    <row r="251" spans="1:16" x14ac:dyDescent="0.3">
      <c r="A251" s="386"/>
      <c r="B251" s="55" t="s">
        <v>124</v>
      </c>
      <c r="C251" s="224">
        <f>C$231/C$239</f>
        <v>5.3377329192546598E-2</v>
      </c>
      <c r="D251" s="224">
        <f t="shared" ref="D251:N251" si="160">D$231/D$239</f>
        <v>4.6705163043478271E-2</v>
      </c>
      <c r="E251" s="224">
        <f t="shared" si="160"/>
        <v>4.1515700483091791E-2</v>
      </c>
      <c r="F251" s="224">
        <f t="shared" si="160"/>
        <v>3.7364130434782615E-2</v>
      </c>
      <c r="G251" s="224">
        <f t="shared" si="160"/>
        <v>2.4909420289855076E-2</v>
      </c>
      <c r="H251" s="224">
        <f t="shared" si="160"/>
        <v>1.8682065217391308E-2</v>
      </c>
      <c r="I251" s="224">
        <f t="shared" si="160"/>
        <v>1.4945652173913046E-2</v>
      </c>
      <c r="J251" s="224">
        <f t="shared" si="160"/>
        <v>1.2454710144927538E-2</v>
      </c>
      <c r="K251" s="224">
        <f t="shared" si="160"/>
        <v>1.067546583850932E-2</v>
      </c>
      <c r="L251" s="224">
        <f t="shared" si="160"/>
        <v>9.3410326086956538E-3</v>
      </c>
      <c r="M251" s="224">
        <f t="shared" si="160"/>
        <v>8.3031400966183597E-3</v>
      </c>
      <c r="N251" s="264">
        <f t="shared" si="160"/>
        <v>7.4728260869565228E-3</v>
      </c>
      <c r="P251" s="35"/>
    </row>
    <row r="252" spans="1:16" ht="15" thickBot="1" x14ac:dyDescent="0.35">
      <c r="A252" s="389"/>
      <c r="B252" s="238" t="s">
        <v>125</v>
      </c>
      <c r="C252" s="265">
        <f>C$232/C$240</f>
        <v>5.2884615384615391E-2</v>
      </c>
      <c r="D252" s="265">
        <f t="shared" ref="D252:N252" si="161">D$232/D$240</f>
        <v>4.6274038461538471E-2</v>
      </c>
      <c r="E252" s="265">
        <f t="shared" si="161"/>
        <v>4.1132478632478639E-2</v>
      </c>
      <c r="F252" s="265">
        <f t="shared" si="161"/>
        <v>3.7019230769230776E-2</v>
      </c>
      <c r="G252" s="265">
        <f t="shared" si="161"/>
        <v>2.4679487179487182E-2</v>
      </c>
      <c r="H252" s="265">
        <f t="shared" si="161"/>
        <v>1.8509615384615388E-2</v>
      </c>
      <c r="I252" s="265">
        <f t="shared" si="161"/>
        <v>1.480769230769231E-2</v>
      </c>
      <c r="J252" s="265">
        <f t="shared" si="161"/>
        <v>1.2339743589743591E-2</v>
      </c>
      <c r="K252" s="265">
        <f t="shared" si="161"/>
        <v>1.0576923076923079E-2</v>
      </c>
      <c r="L252" s="265">
        <f t="shared" si="161"/>
        <v>9.2548076923076941E-3</v>
      </c>
      <c r="M252" s="265">
        <f t="shared" si="161"/>
        <v>8.2264957264957268E-3</v>
      </c>
      <c r="N252" s="266">
        <f t="shared" si="161"/>
        <v>7.403846153846155E-3</v>
      </c>
    </row>
    <row r="253" spans="1:16" x14ac:dyDescent="0.3">
      <c r="A253" s="390" t="s">
        <v>134</v>
      </c>
      <c r="B253" s="237" t="s">
        <v>122</v>
      </c>
      <c r="C253" s="214">
        <f>DEGREES(C249)</f>
        <v>2.6729504281772787</v>
      </c>
      <c r="D253" s="214">
        <f t="shared" ref="D253:N253" si="162">DEGREES(D249)</f>
        <v>2.3388316246551186</v>
      </c>
      <c r="E253" s="214">
        <f t="shared" si="162"/>
        <v>2.078961444137883</v>
      </c>
      <c r="F253" s="214">
        <f t="shared" si="162"/>
        <v>1.8710652997240949</v>
      </c>
      <c r="G253" s="214">
        <f t="shared" si="162"/>
        <v>1.2473768664827298</v>
      </c>
      <c r="H253" s="214">
        <f t="shared" si="162"/>
        <v>0.93553264986204743</v>
      </c>
      <c r="I253" s="214">
        <f t="shared" si="162"/>
        <v>0.74842611988963803</v>
      </c>
      <c r="J253" s="214">
        <f t="shared" si="162"/>
        <v>0.62368843324136491</v>
      </c>
      <c r="K253" s="214">
        <f t="shared" si="162"/>
        <v>0.53459008563545563</v>
      </c>
      <c r="L253" s="214">
        <f t="shared" si="162"/>
        <v>0.46776632493102371</v>
      </c>
      <c r="M253" s="214">
        <f t="shared" si="162"/>
        <v>0.41579228882757668</v>
      </c>
      <c r="N253" s="215">
        <f t="shared" si="162"/>
        <v>0.37421305994481902</v>
      </c>
    </row>
    <row r="254" spans="1:16" x14ac:dyDescent="0.3">
      <c r="A254" s="391"/>
      <c r="B254" s="55" t="s">
        <v>123</v>
      </c>
      <c r="C254" s="26">
        <f>DEGREES(C250)</f>
        <v>2.9476145072631645</v>
      </c>
      <c r="D254" s="26">
        <f t="shared" ref="D254:N254" si="163">DEGREES(D250)</f>
        <v>2.5791626938552685</v>
      </c>
      <c r="E254" s="26">
        <f t="shared" si="163"/>
        <v>2.2925890612046831</v>
      </c>
      <c r="F254" s="26">
        <f t="shared" si="163"/>
        <v>2.0633301550842149</v>
      </c>
      <c r="G254" s="26">
        <f t="shared" si="163"/>
        <v>1.3755534367228099</v>
      </c>
      <c r="H254" s="26">
        <f t="shared" si="163"/>
        <v>1.0316650775421075</v>
      </c>
      <c r="I254" s="26">
        <f t="shared" si="163"/>
        <v>0.82533206203368603</v>
      </c>
      <c r="J254" s="26">
        <f t="shared" si="163"/>
        <v>0.68777671836140497</v>
      </c>
      <c r="K254" s="26">
        <f t="shared" si="163"/>
        <v>0.58952290145263286</v>
      </c>
      <c r="L254" s="26">
        <f t="shared" si="163"/>
        <v>0.51583253877105373</v>
      </c>
      <c r="M254" s="26">
        <f t="shared" si="163"/>
        <v>0.45851781224093668</v>
      </c>
      <c r="N254" s="234">
        <f t="shared" si="163"/>
        <v>0.41266603101684302</v>
      </c>
    </row>
    <row r="255" spans="1:16" x14ac:dyDescent="0.3">
      <c r="A255" s="391"/>
      <c r="B255" s="55" t="s">
        <v>124</v>
      </c>
      <c r="C255" s="26">
        <f t="shared" ref="C255:N255" si="164">DEGREES(C251)</f>
        <v>3.0582956844133622</v>
      </c>
      <c r="D255" s="26">
        <f t="shared" si="164"/>
        <v>2.6760087238616919</v>
      </c>
      <c r="E255" s="26">
        <f t="shared" si="164"/>
        <v>2.3786744212103925</v>
      </c>
      <c r="F255" s="26">
        <f t="shared" si="164"/>
        <v>2.1408069790893536</v>
      </c>
      <c r="G255" s="26">
        <f t="shared" si="164"/>
        <v>1.4272046527262356</v>
      </c>
      <c r="H255" s="26">
        <f t="shared" si="164"/>
        <v>1.0704034895446768</v>
      </c>
      <c r="I255" s="26">
        <f t="shared" si="164"/>
        <v>0.85632279163574132</v>
      </c>
      <c r="J255" s="26">
        <f t="shared" si="164"/>
        <v>0.71360232636311782</v>
      </c>
      <c r="K255" s="26">
        <f t="shared" si="164"/>
        <v>0.61165913688267248</v>
      </c>
      <c r="L255" s="26">
        <f t="shared" si="164"/>
        <v>0.53520174477233839</v>
      </c>
      <c r="M255" s="26">
        <f t="shared" si="164"/>
        <v>0.4757348842420786</v>
      </c>
      <c r="N255" s="234">
        <f t="shared" si="164"/>
        <v>0.42816139581787066</v>
      </c>
    </row>
    <row r="256" spans="1:16" ht="15" thickBot="1" x14ac:dyDescent="0.35">
      <c r="A256" s="402"/>
      <c r="B256" s="238" t="s">
        <v>125</v>
      </c>
      <c r="C256" s="217">
        <f t="shared" ref="C256:N256" si="165">DEGREES(C252)</f>
        <v>3.0300652627110849</v>
      </c>
      <c r="D256" s="217">
        <f t="shared" si="165"/>
        <v>2.6513071048721994</v>
      </c>
      <c r="E256" s="217">
        <f t="shared" si="165"/>
        <v>2.3567174265530659</v>
      </c>
      <c r="F256" s="217">
        <f t="shared" si="165"/>
        <v>2.1210456838977594</v>
      </c>
      <c r="G256" s="217">
        <f t="shared" si="165"/>
        <v>1.4140304559318395</v>
      </c>
      <c r="H256" s="217">
        <f t="shared" si="165"/>
        <v>1.0605228419488797</v>
      </c>
      <c r="I256" s="217">
        <f t="shared" si="165"/>
        <v>0.84841827355910371</v>
      </c>
      <c r="J256" s="217">
        <f t="shared" si="165"/>
        <v>0.70701522796591976</v>
      </c>
      <c r="K256" s="217">
        <f t="shared" si="165"/>
        <v>0.60601305254221705</v>
      </c>
      <c r="L256" s="217">
        <f t="shared" si="165"/>
        <v>0.53026142097443985</v>
      </c>
      <c r="M256" s="217">
        <f t="shared" si="165"/>
        <v>0.47134348531061315</v>
      </c>
      <c r="N256" s="218">
        <f t="shared" si="165"/>
        <v>0.42420913677955185</v>
      </c>
    </row>
    <row r="257" spans="1:14" x14ac:dyDescent="0.3">
      <c r="A257" s="398" t="s">
        <v>668</v>
      </c>
      <c r="B257" s="227" t="s">
        <v>122</v>
      </c>
      <c r="C257" s="228">
        <f>($C39/$C$4)*((($C46*C237)-($C45*C233))/(C233*C237))</f>
        <v>2.9687499999999994E-4</v>
      </c>
      <c r="D257" s="228">
        <f t="shared" ref="D257:N257" si="166">($C39/$C$4)*((($C46*D237)-($C45*D233))/(D233*D237))</f>
        <v>2.9687499999999994E-4</v>
      </c>
      <c r="E257" s="228">
        <f t="shared" si="166"/>
        <v>2.9687499999999994E-4</v>
      </c>
      <c r="F257" s="228">
        <f t="shared" si="166"/>
        <v>2.9687499999999994E-4</v>
      </c>
      <c r="G257" s="228">
        <f t="shared" si="166"/>
        <v>2.9687499999999994E-4</v>
      </c>
      <c r="H257" s="228">
        <f t="shared" si="166"/>
        <v>2.9687499999999994E-4</v>
      </c>
      <c r="I257" s="228">
        <f t="shared" si="166"/>
        <v>2.9687499999999994E-4</v>
      </c>
      <c r="J257" s="228">
        <f t="shared" si="166"/>
        <v>2.9687499999999994E-4</v>
      </c>
      <c r="K257" s="228">
        <f t="shared" si="166"/>
        <v>2.9687499999999994E-4</v>
      </c>
      <c r="L257" s="228">
        <f t="shared" si="166"/>
        <v>2.9687499999999994E-4</v>
      </c>
      <c r="M257" s="228">
        <f t="shared" si="166"/>
        <v>2.9687499999999994E-4</v>
      </c>
      <c r="N257" s="229">
        <f t="shared" si="166"/>
        <v>2.9687499999999994E-4</v>
      </c>
    </row>
    <row r="258" spans="1:14" x14ac:dyDescent="0.3">
      <c r="A258" s="399"/>
      <c r="B258" s="97" t="s">
        <v>123</v>
      </c>
      <c r="C258" s="225">
        <f>($D39/$C$4)*((($D46*C238)-($D45*C234))/(C234*C238))</f>
        <v>-1.3784461152882203E-3</v>
      </c>
      <c r="D258" s="225">
        <f t="shared" ref="D258:N258" si="167">($D39/$C$4)*((($D46*D238)-($D45*D234))/(D234*D238))</f>
        <v>-1.3784461152882203E-3</v>
      </c>
      <c r="E258" s="225">
        <f t="shared" si="167"/>
        <v>-1.3784461152882203E-3</v>
      </c>
      <c r="F258" s="225">
        <f t="shared" si="167"/>
        <v>-1.3784461152882203E-3</v>
      </c>
      <c r="G258" s="225">
        <f t="shared" si="167"/>
        <v>-1.3784461152882203E-3</v>
      </c>
      <c r="H258" s="225">
        <f t="shared" si="167"/>
        <v>-1.3784461152882203E-3</v>
      </c>
      <c r="I258" s="225">
        <f t="shared" si="167"/>
        <v>-1.3784461152882203E-3</v>
      </c>
      <c r="J258" s="225">
        <f t="shared" si="167"/>
        <v>-1.3784461152882203E-3</v>
      </c>
      <c r="K258" s="225">
        <f t="shared" si="167"/>
        <v>-1.3784461152882203E-3</v>
      </c>
      <c r="L258" s="225">
        <f t="shared" si="167"/>
        <v>-1.3784461152882203E-3</v>
      </c>
      <c r="M258" s="225">
        <f t="shared" si="167"/>
        <v>-1.3784461152882203E-3</v>
      </c>
      <c r="N258" s="230">
        <f t="shared" si="167"/>
        <v>-1.3784461152882203E-3</v>
      </c>
    </row>
    <row r="259" spans="1:14" x14ac:dyDescent="0.3">
      <c r="A259" s="399"/>
      <c r="B259" s="97" t="s">
        <v>124</v>
      </c>
      <c r="C259" s="225">
        <f>($E39/$C$4)*((($E46*C239)-($E45*C235))/(C235*C239))</f>
        <v>-1.2261399787910922E-3</v>
      </c>
      <c r="D259" s="225">
        <f t="shared" ref="D259:N259" si="168">($E39/$C$4)*((($E46*D239)-($E45*D235))/(D235*D239))</f>
        <v>-1.2261399787910922E-3</v>
      </c>
      <c r="E259" s="225">
        <f t="shared" si="168"/>
        <v>-1.2261399787910922E-3</v>
      </c>
      <c r="F259" s="225">
        <f t="shared" si="168"/>
        <v>-1.2261399787910922E-3</v>
      </c>
      <c r="G259" s="225">
        <f t="shared" si="168"/>
        <v>-1.2261399787910922E-3</v>
      </c>
      <c r="H259" s="225">
        <f t="shared" si="168"/>
        <v>-1.2261399787910922E-3</v>
      </c>
      <c r="I259" s="225">
        <f t="shared" si="168"/>
        <v>-1.2261399787910922E-3</v>
      </c>
      <c r="J259" s="225">
        <f t="shared" si="168"/>
        <v>-1.2261399787910922E-3</v>
      </c>
      <c r="K259" s="225">
        <f t="shared" si="168"/>
        <v>-1.2261399787910922E-3</v>
      </c>
      <c r="L259" s="225">
        <f t="shared" si="168"/>
        <v>-1.2261399787910922E-3</v>
      </c>
      <c r="M259" s="225">
        <f t="shared" si="168"/>
        <v>-1.2261399787910922E-3</v>
      </c>
      <c r="N259" s="230">
        <f t="shared" si="168"/>
        <v>-1.2261399787910922E-3</v>
      </c>
    </row>
    <row r="260" spans="1:14" ht="15" thickBot="1" x14ac:dyDescent="0.35">
      <c r="A260" s="401"/>
      <c r="B260" s="231" t="s">
        <v>125</v>
      </c>
      <c r="C260" s="232">
        <f>($F39/$C$4)*((($F46*C240)-($F45*C236))/(C236*C240))</f>
        <v>-4.8951048951048951E-4</v>
      </c>
      <c r="D260" s="232">
        <f t="shared" ref="D260:N260" si="169">($F39/$C$4)*((($F46*D240)-($F45*D236))/(D236*D240))</f>
        <v>-4.8951048951048951E-4</v>
      </c>
      <c r="E260" s="232">
        <f t="shared" si="169"/>
        <v>-4.8951048951048951E-4</v>
      </c>
      <c r="F260" s="232">
        <f t="shared" si="169"/>
        <v>-4.8951048951048951E-4</v>
      </c>
      <c r="G260" s="232">
        <f t="shared" si="169"/>
        <v>-4.8951048951048951E-4</v>
      </c>
      <c r="H260" s="232">
        <f t="shared" si="169"/>
        <v>-4.8951048951048951E-4</v>
      </c>
      <c r="I260" s="232">
        <f t="shared" si="169"/>
        <v>-4.8951048951048951E-4</v>
      </c>
      <c r="J260" s="232">
        <f t="shared" si="169"/>
        <v>-4.8951048951048951E-4</v>
      </c>
      <c r="K260" s="232">
        <f t="shared" si="169"/>
        <v>-4.8951048951048951E-4</v>
      </c>
      <c r="L260" s="232">
        <f t="shared" si="169"/>
        <v>-4.8951048951048951E-4</v>
      </c>
      <c r="M260" s="232">
        <f t="shared" si="169"/>
        <v>-4.8951048951048951E-4</v>
      </c>
      <c r="N260" s="233">
        <f t="shared" si="169"/>
        <v>-4.8951048951048951E-4</v>
      </c>
    </row>
    <row r="261" spans="1:14" ht="15" customHeight="1" x14ac:dyDescent="0.3">
      <c r="A261" s="393" t="s">
        <v>671</v>
      </c>
      <c r="B261" s="227" t="s">
        <v>122</v>
      </c>
      <c r="C261" s="228">
        <f t="shared" ref="C261:N261" si="170">($C46/C220)-(($C39*$C45*($D$219^2))/(C234*$C$4*C220))</f>
        <v>0.1180357142857143</v>
      </c>
      <c r="D261" s="228">
        <f t="shared" si="170"/>
        <v>0.10328125000000002</v>
      </c>
      <c r="E261" s="228">
        <f t="shared" si="170"/>
        <v>9.1805555555555557E-2</v>
      </c>
      <c r="F261" s="228">
        <f t="shared" si="170"/>
        <v>8.2625000000000004E-2</v>
      </c>
      <c r="G261" s="228">
        <f t="shared" si="170"/>
        <v>5.5083333333333345E-2</v>
      </c>
      <c r="H261" s="228">
        <f t="shared" si="170"/>
        <v>4.1312500000000002E-2</v>
      </c>
      <c r="I261" s="228">
        <f t="shared" si="170"/>
        <v>3.3050000000000003E-2</v>
      </c>
      <c r="J261" s="228">
        <f t="shared" si="170"/>
        <v>2.7541666666666673E-2</v>
      </c>
      <c r="K261" s="228">
        <f t="shared" si="170"/>
        <v>2.3607142857142861E-2</v>
      </c>
      <c r="L261" s="228">
        <f t="shared" si="170"/>
        <v>2.0656250000000001E-2</v>
      </c>
      <c r="M261" s="228">
        <f t="shared" si="170"/>
        <v>1.8361111111111113E-2</v>
      </c>
      <c r="N261" s="229">
        <f t="shared" si="170"/>
        <v>1.6525000000000001E-2</v>
      </c>
    </row>
    <row r="262" spans="1:14" x14ac:dyDescent="0.3">
      <c r="A262" s="394"/>
      <c r="B262" s="97" t="s">
        <v>123</v>
      </c>
      <c r="C262" s="225">
        <f t="shared" ref="C262:N262" si="171">($D46/C220)-(($D39*$D45*($D$219^2))/(C234*$C$4*C220))</f>
        <v>0.11028195488721806</v>
      </c>
      <c r="D262" s="225">
        <f t="shared" si="171"/>
        <v>9.6496710526315796E-2</v>
      </c>
      <c r="E262" s="225">
        <f t="shared" si="171"/>
        <v>8.5774853801169587E-2</v>
      </c>
      <c r="F262" s="225">
        <f t="shared" si="171"/>
        <v>7.7197368421052653E-2</v>
      </c>
      <c r="G262" s="225">
        <f t="shared" si="171"/>
        <v>5.1464912280701762E-2</v>
      </c>
      <c r="H262" s="225">
        <f t="shared" si="171"/>
        <v>3.8598684210526327E-2</v>
      </c>
      <c r="I262" s="225">
        <f t="shared" si="171"/>
        <v>3.0878947368421058E-2</v>
      </c>
      <c r="J262" s="225">
        <f t="shared" si="171"/>
        <v>2.5732456140350881E-2</v>
      </c>
      <c r="K262" s="225">
        <f t="shared" si="171"/>
        <v>2.2056390977443611E-2</v>
      </c>
      <c r="L262" s="225">
        <f t="shared" si="171"/>
        <v>1.9299342105263163E-2</v>
      </c>
      <c r="M262" s="225">
        <f t="shared" si="171"/>
        <v>1.715497076023392E-2</v>
      </c>
      <c r="N262" s="230">
        <f t="shared" si="171"/>
        <v>1.5439473684210529E-2</v>
      </c>
    </row>
    <row r="263" spans="1:14" x14ac:dyDescent="0.3">
      <c r="A263" s="394"/>
      <c r="B263" s="97" t="s">
        <v>124</v>
      </c>
      <c r="C263" s="225">
        <f t="shared" ref="C263:N263" si="172">($E46/C220)-(($E39*$E45*($D$219^2))/(C234*$C$4*C220))</f>
        <v>0.10252819548872183</v>
      </c>
      <c r="D263" s="225">
        <f t="shared" si="172"/>
        <v>8.9712171052631587E-2</v>
      </c>
      <c r="E263" s="225">
        <f t="shared" si="172"/>
        <v>7.9744152046783617E-2</v>
      </c>
      <c r="F263" s="225">
        <f t="shared" si="172"/>
        <v>7.1769736842105275E-2</v>
      </c>
      <c r="G263" s="225">
        <f t="shared" si="172"/>
        <v>4.7846491228070186E-2</v>
      </c>
      <c r="H263" s="225">
        <f t="shared" si="172"/>
        <v>3.5884868421052638E-2</v>
      </c>
      <c r="I263" s="225">
        <f t="shared" si="172"/>
        <v>2.8707894736842109E-2</v>
      </c>
      <c r="J263" s="225">
        <f t="shared" si="172"/>
        <v>2.3923245614035093E-2</v>
      </c>
      <c r="K263" s="225">
        <f t="shared" si="172"/>
        <v>2.050563909774436E-2</v>
      </c>
      <c r="L263" s="225">
        <f t="shared" si="172"/>
        <v>1.7942434210526319E-2</v>
      </c>
      <c r="M263" s="225">
        <f t="shared" si="172"/>
        <v>1.5948830409356726E-2</v>
      </c>
      <c r="N263" s="230">
        <f t="shared" si="172"/>
        <v>1.4353947368421055E-2</v>
      </c>
    </row>
    <row r="264" spans="1:14" ht="15" thickBot="1" x14ac:dyDescent="0.35">
      <c r="A264" s="395"/>
      <c r="B264" s="231" t="s">
        <v>125</v>
      </c>
      <c r="C264" s="232">
        <f t="shared" ref="C264:N264" si="173">($F46/C220)-(($F39*$F45*($D$219^2))/(C234*$C$4*C220))</f>
        <v>9.4774436090225581E-2</v>
      </c>
      <c r="D264" s="232">
        <f t="shared" si="173"/>
        <v>8.2927631578947378E-2</v>
      </c>
      <c r="E264" s="232">
        <f t="shared" si="173"/>
        <v>7.3713450292397648E-2</v>
      </c>
      <c r="F264" s="232">
        <f t="shared" si="173"/>
        <v>6.6342105263157911E-2</v>
      </c>
      <c r="G264" s="232">
        <f t="shared" si="173"/>
        <v>4.4228070175438602E-2</v>
      </c>
      <c r="H264" s="232">
        <f t="shared" si="173"/>
        <v>3.3171052631578955E-2</v>
      </c>
      <c r="I264" s="232">
        <f t="shared" si="173"/>
        <v>2.6536842105263164E-2</v>
      </c>
      <c r="J264" s="232">
        <f t="shared" si="173"/>
        <v>2.2114035087719301E-2</v>
      </c>
      <c r="K264" s="232">
        <f t="shared" si="173"/>
        <v>1.8954887218045113E-2</v>
      </c>
      <c r="L264" s="232">
        <f t="shared" si="173"/>
        <v>1.6585526315789478E-2</v>
      </c>
      <c r="M264" s="232">
        <f t="shared" si="173"/>
        <v>1.4742690058479533E-2</v>
      </c>
      <c r="N264" s="233">
        <f t="shared" si="173"/>
        <v>1.3268421052631582E-2</v>
      </c>
    </row>
    <row r="265" spans="1:14" x14ac:dyDescent="0.3">
      <c r="A265" s="393" t="s">
        <v>672</v>
      </c>
      <c r="B265" s="227" t="s">
        <v>122</v>
      </c>
      <c r="C265" s="228">
        <f>DEGREES(C261)</f>
        <v>6.7629482603834674</v>
      </c>
      <c r="D265" s="228">
        <f t="shared" ref="D265:N265" si="174">DEGREES(D261)</f>
        <v>5.9175797278355349</v>
      </c>
      <c r="E265" s="228">
        <f t="shared" si="174"/>
        <v>5.2600708691871407</v>
      </c>
      <c r="F265" s="228">
        <f t="shared" si="174"/>
        <v>4.7340637822684268</v>
      </c>
      <c r="G265" s="228">
        <f t="shared" si="174"/>
        <v>3.1560425215122851</v>
      </c>
      <c r="H265" s="228">
        <f t="shared" si="174"/>
        <v>2.3670318911342134</v>
      </c>
      <c r="I265" s="228">
        <f t="shared" si="174"/>
        <v>1.8936255129073709</v>
      </c>
      <c r="J265" s="228">
        <f t="shared" si="174"/>
        <v>1.5780212607561426</v>
      </c>
      <c r="K265" s="228">
        <f t="shared" si="174"/>
        <v>1.3525896520766936</v>
      </c>
      <c r="L265" s="228">
        <f t="shared" si="174"/>
        <v>1.1835159455671067</v>
      </c>
      <c r="M265" s="228">
        <f t="shared" si="174"/>
        <v>1.0520141738374282</v>
      </c>
      <c r="N265" s="229">
        <f t="shared" si="174"/>
        <v>0.94681275645368546</v>
      </c>
    </row>
    <row r="266" spans="1:14" x14ac:dyDescent="0.3">
      <c r="A266" s="394"/>
      <c r="B266" s="97" t="s">
        <v>123</v>
      </c>
      <c r="C266" s="241">
        <f t="shared" ref="C266:N268" si="175">DEGREES(C262)</f>
        <v>6.3186905714897375</v>
      </c>
      <c r="D266" s="241">
        <f t="shared" si="175"/>
        <v>5.52885425005352</v>
      </c>
      <c r="E266" s="241">
        <f t="shared" si="175"/>
        <v>4.9145371111586842</v>
      </c>
      <c r="F266" s="241">
        <f t="shared" si="175"/>
        <v>4.4230834000428167</v>
      </c>
      <c r="G266" s="241">
        <f t="shared" si="175"/>
        <v>2.9487222666952109</v>
      </c>
      <c r="H266" s="241">
        <f t="shared" si="175"/>
        <v>2.2115417000214084</v>
      </c>
      <c r="I266" s="241">
        <f t="shared" si="175"/>
        <v>1.7692333600171266</v>
      </c>
      <c r="J266" s="241">
        <f t="shared" si="175"/>
        <v>1.4743611333476054</v>
      </c>
      <c r="K266" s="241">
        <f t="shared" si="175"/>
        <v>1.2637381142979474</v>
      </c>
      <c r="L266" s="241">
        <f t="shared" si="175"/>
        <v>1.1057708500107042</v>
      </c>
      <c r="M266" s="241">
        <f t="shared" si="175"/>
        <v>0.98290742223173688</v>
      </c>
      <c r="N266" s="242">
        <f t="shared" si="175"/>
        <v>0.88461668000856331</v>
      </c>
    </row>
    <row r="267" spans="1:14" x14ac:dyDescent="0.3">
      <c r="A267" s="394"/>
      <c r="B267" s="97" t="s">
        <v>124</v>
      </c>
      <c r="C267" s="241">
        <f t="shared" si="175"/>
        <v>5.8744328825960075</v>
      </c>
      <c r="D267" s="241">
        <f t="shared" si="175"/>
        <v>5.1401287722715061</v>
      </c>
      <c r="E267" s="241">
        <f t="shared" si="175"/>
        <v>4.5690033531302268</v>
      </c>
      <c r="F267" s="241">
        <f t="shared" si="175"/>
        <v>4.1121030178172049</v>
      </c>
      <c r="G267" s="241">
        <f t="shared" si="175"/>
        <v>2.741402011878137</v>
      </c>
      <c r="H267" s="241">
        <f t="shared" si="175"/>
        <v>2.0560515089086024</v>
      </c>
      <c r="I267" s="241">
        <f t="shared" si="175"/>
        <v>1.6448412071268819</v>
      </c>
      <c r="J267" s="241">
        <f t="shared" si="175"/>
        <v>1.3707010059390685</v>
      </c>
      <c r="K267" s="241">
        <f t="shared" si="175"/>
        <v>1.1748865765192011</v>
      </c>
      <c r="L267" s="241">
        <f t="shared" si="175"/>
        <v>1.0280257544543012</v>
      </c>
      <c r="M267" s="241">
        <f t="shared" si="175"/>
        <v>0.91380067062604542</v>
      </c>
      <c r="N267" s="242">
        <f t="shared" si="175"/>
        <v>0.82242060356344093</v>
      </c>
    </row>
    <row r="268" spans="1:14" ht="15" thickBot="1" x14ac:dyDescent="0.35">
      <c r="A268" s="395"/>
      <c r="B268" s="231" t="s">
        <v>125</v>
      </c>
      <c r="C268" s="243">
        <f t="shared" si="175"/>
        <v>5.4301751937022766</v>
      </c>
      <c r="D268" s="243">
        <f t="shared" si="175"/>
        <v>4.7514032944894922</v>
      </c>
      <c r="E268" s="243">
        <f t="shared" si="175"/>
        <v>4.2234695951017693</v>
      </c>
      <c r="F268" s="243">
        <f t="shared" si="175"/>
        <v>3.8011226355915939</v>
      </c>
      <c r="G268" s="243">
        <f t="shared" si="175"/>
        <v>2.5340817570610623</v>
      </c>
      <c r="H268" s="243">
        <f t="shared" si="175"/>
        <v>1.900561317795797</v>
      </c>
      <c r="I268" s="243">
        <f t="shared" si="175"/>
        <v>1.5204490542366376</v>
      </c>
      <c r="J268" s="243">
        <f t="shared" si="175"/>
        <v>1.2670408785305312</v>
      </c>
      <c r="K268" s="243">
        <f t="shared" si="175"/>
        <v>1.0860350387404551</v>
      </c>
      <c r="L268" s="243">
        <f t="shared" si="175"/>
        <v>0.95028065889789848</v>
      </c>
      <c r="M268" s="243">
        <f t="shared" si="175"/>
        <v>0.84469391902035407</v>
      </c>
      <c r="N268" s="244">
        <f t="shared" si="175"/>
        <v>0.76022452711831878</v>
      </c>
    </row>
    <row r="269" spans="1:14" ht="15.6" customHeight="1" x14ac:dyDescent="0.3">
      <c r="A269" s="394" t="s">
        <v>669</v>
      </c>
      <c r="B269" s="226" t="s">
        <v>122</v>
      </c>
      <c r="C269" s="206">
        <f t="shared" ref="C269:N269" si="176">C221+(C257*C224)</f>
        <v>0.3724888392857143</v>
      </c>
      <c r="D269" s="206">
        <f t="shared" si="176"/>
        <v>0.325927734375</v>
      </c>
      <c r="E269" s="206">
        <f t="shared" si="176"/>
        <v>0.28971354166666669</v>
      </c>
      <c r="F269" s="206">
        <f t="shared" si="176"/>
        <v>0.2607421875</v>
      </c>
      <c r="G269" s="206">
        <f t="shared" si="176"/>
        <v>0.173828125</v>
      </c>
      <c r="H269" s="206">
        <f t="shared" si="176"/>
        <v>0.13037109375</v>
      </c>
      <c r="I269" s="206">
        <f t="shared" si="176"/>
        <v>0.10429687500000001</v>
      </c>
      <c r="J269" s="206">
        <f t="shared" si="176"/>
        <v>8.69140625E-2</v>
      </c>
      <c r="K269" s="206">
        <f t="shared" si="176"/>
        <v>7.4497767857142863E-2</v>
      </c>
      <c r="L269" s="206">
        <f t="shared" si="176"/>
        <v>6.5185546875E-2</v>
      </c>
      <c r="M269" s="206">
        <f t="shared" si="176"/>
        <v>5.7942708333333336E-2</v>
      </c>
      <c r="N269" s="223">
        <f t="shared" si="176"/>
        <v>5.2148437500000006E-2</v>
      </c>
    </row>
    <row r="270" spans="1:14" x14ac:dyDescent="0.3">
      <c r="A270" s="394"/>
      <c r="B270" s="97" t="s">
        <v>123</v>
      </c>
      <c r="C270" s="206">
        <f t="shared" ref="C270:N270" si="177">C221+(C258*C224)</f>
        <v>0.36650554958825637</v>
      </c>
      <c r="D270" s="206">
        <f t="shared" si="177"/>
        <v>0.32069235588972433</v>
      </c>
      <c r="E270" s="206">
        <f t="shared" si="177"/>
        <v>0.28505987190197718</v>
      </c>
      <c r="F270" s="206">
        <f t="shared" si="177"/>
        <v>0.25655388471177948</v>
      </c>
      <c r="G270" s="206">
        <f t="shared" si="177"/>
        <v>0.17103592314118632</v>
      </c>
      <c r="H270" s="206">
        <f t="shared" si="177"/>
        <v>0.12827694235588974</v>
      </c>
      <c r="I270" s="206">
        <f t="shared" si="177"/>
        <v>0.10262155388471179</v>
      </c>
      <c r="J270" s="206">
        <f t="shared" si="177"/>
        <v>8.551796157059316E-2</v>
      </c>
      <c r="K270" s="206">
        <f t="shared" si="177"/>
        <v>7.3301109917651278E-2</v>
      </c>
      <c r="L270" s="206">
        <f t="shared" si="177"/>
        <v>6.413847117794487E-2</v>
      </c>
      <c r="M270" s="206">
        <f t="shared" si="177"/>
        <v>5.7011974380395437E-2</v>
      </c>
      <c r="N270" s="223">
        <f t="shared" si="177"/>
        <v>5.1310776942355897E-2</v>
      </c>
    </row>
    <row r="271" spans="1:14" x14ac:dyDescent="0.3">
      <c r="A271" s="394"/>
      <c r="B271" s="97" t="s">
        <v>124</v>
      </c>
      <c r="C271" s="206">
        <f t="shared" ref="C271:N271" si="178">C221+(C259*C224)</f>
        <v>0.3670495000757461</v>
      </c>
      <c r="D271" s="206">
        <f t="shared" si="178"/>
        <v>0.32116831256627787</v>
      </c>
      <c r="E271" s="206">
        <f t="shared" si="178"/>
        <v>0.28548294450335809</v>
      </c>
      <c r="F271" s="206">
        <f t="shared" si="178"/>
        <v>0.2569346500530223</v>
      </c>
      <c r="G271" s="206">
        <f t="shared" si="178"/>
        <v>0.17128976670201485</v>
      </c>
      <c r="H271" s="206">
        <f t="shared" si="178"/>
        <v>0.12846732502651115</v>
      </c>
      <c r="I271" s="206">
        <f t="shared" si="178"/>
        <v>0.10277386002120892</v>
      </c>
      <c r="J271" s="206">
        <f t="shared" si="178"/>
        <v>8.5644883351007423E-2</v>
      </c>
      <c r="K271" s="206">
        <f t="shared" si="178"/>
        <v>7.3409900015149215E-2</v>
      </c>
      <c r="L271" s="206">
        <f t="shared" si="178"/>
        <v>6.4233662513255574E-2</v>
      </c>
      <c r="M271" s="206">
        <f t="shared" si="178"/>
        <v>5.7096588900671617E-2</v>
      </c>
      <c r="N271" s="223">
        <f t="shared" si="178"/>
        <v>5.1386930010604459E-2</v>
      </c>
    </row>
    <row r="272" spans="1:14" ht="15" thickBot="1" x14ac:dyDescent="0.35">
      <c r="A272" s="395"/>
      <c r="B272" s="231" t="s">
        <v>125</v>
      </c>
      <c r="C272" s="235">
        <f t="shared" ref="C272:N272" si="179">C221+(C260*C224)</f>
        <v>0.36968031968031967</v>
      </c>
      <c r="D272" s="235">
        <f t="shared" si="179"/>
        <v>0.32347027972027975</v>
      </c>
      <c r="E272" s="235">
        <f t="shared" si="179"/>
        <v>0.28752913752913756</v>
      </c>
      <c r="F272" s="235">
        <f t="shared" si="179"/>
        <v>0.25877622377622378</v>
      </c>
      <c r="G272" s="235">
        <f t="shared" si="179"/>
        <v>0.17251748251748253</v>
      </c>
      <c r="H272" s="235">
        <f t="shared" si="179"/>
        <v>0.12938811188811189</v>
      </c>
      <c r="I272" s="235">
        <f t="shared" si="179"/>
        <v>0.10351048951048952</v>
      </c>
      <c r="J272" s="235">
        <f t="shared" si="179"/>
        <v>8.6258741258741264E-2</v>
      </c>
      <c r="K272" s="235">
        <f t="shared" si="179"/>
        <v>7.3936063936063945E-2</v>
      </c>
      <c r="L272" s="235">
        <f t="shared" si="179"/>
        <v>6.4694055944055945E-2</v>
      </c>
      <c r="M272" s="235">
        <f t="shared" si="179"/>
        <v>5.7505827505827507E-2</v>
      </c>
      <c r="N272" s="236">
        <f t="shared" si="179"/>
        <v>5.1755244755244761E-2</v>
      </c>
    </row>
    <row r="273" spans="1:14" x14ac:dyDescent="0.3">
      <c r="A273" s="398" t="s">
        <v>670</v>
      </c>
      <c r="B273" s="227" t="s">
        <v>122</v>
      </c>
      <c r="C273" s="214">
        <f>DEGREES(C269)</f>
        <v>21.342038406798242</v>
      </c>
      <c r="D273" s="214">
        <f t="shared" ref="D273:N273" si="180">DEGREES(D269)</f>
        <v>18.674283605948464</v>
      </c>
      <c r="E273" s="214">
        <f t="shared" si="180"/>
        <v>16.599363205287524</v>
      </c>
      <c r="F273" s="214">
        <f t="shared" si="180"/>
        <v>14.93942688475877</v>
      </c>
      <c r="G273" s="214">
        <f t="shared" si="180"/>
        <v>9.9596179231725124</v>
      </c>
      <c r="H273" s="214">
        <f t="shared" si="180"/>
        <v>7.4697134423793852</v>
      </c>
      <c r="I273" s="214">
        <f t="shared" si="180"/>
        <v>5.9757707539035083</v>
      </c>
      <c r="J273" s="214">
        <f t="shared" si="180"/>
        <v>4.9798089615862562</v>
      </c>
      <c r="K273" s="214">
        <f t="shared" si="180"/>
        <v>4.2684076813596485</v>
      </c>
      <c r="L273" s="214">
        <f t="shared" si="180"/>
        <v>3.7348567211896926</v>
      </c>
      <c r="M273" s="214">
        <f t="shared" si="180"/>
        <v>3.3198726410575046</v>
      </c>
      <c r="N273" s="215">
        <f t="shared" si="180"/>
        <v>2.9878853769517542</v>
      </c>
    </row>
    <row r="274" spans="1:14" x14ac:dyDescent="0.3">
      <c r="A274" s="399"/>
      <c r="B274" s="97" t="s">
        <v>123</v>
      </c>
      <c r="C274" s="26">
        <f t="shared" ref="C274:N276" si="181">DEGREES(C270)</f>
        <v>20.999221159529796</v>
      </c>
      <c r="D274" s="26">
        <f t="shared" si="181"/>
        <v>18.374318514588573</v>
      </c>
      <c r="E274" s="26">
        <f t="shared" si="181"/>
        <v>16.332727568523175</v>
      </c>
      <c r="F274" s="26">
        <f t="shared" si="181"/>
        <v>14.69945481167086</v>
      </c>
      <c r="G274" s="26">
        <f t="shared" si="181"/>
        <v>9.7996365411139053</v>
      </c>
      <c r="H274" s="26">
        <f t="shared" si="181"/>
        <v>7.3497274058354298</v>
      </c>
      <c r="I274" s="26">
        <f t="shared" si="181"/>
        <v>5.879781924668344</v>
      </c>
      <c r="J274" s="26">
        <f t="shared" si="181"/>
        <v>4.8998182705569526</v>
      </c>
      <c r="K274" s="26">
        <f t="shared" si="181"/>
        <v>4.1998442319059599</v>
      </c>
      <c r="L274" s="26">
        <f t="shared" si="181"/>
        <v>3.6748637029177149</v>
      </c>
      <c r="M274" s="26">
        <f t="shared" si="181"/>
        <v>3.2665455137046351</v>
      </c>
      <c r="N274" s="234">
        <f t="shared" si="181"/>
        <v>2.939890962334172</v>
      </c>
    </row>
    <row r="275" spans="1:14" x14ac:dyDescent="0.3">
      <c r="A275" s="399"/>
      <c r="B275" s="97" t="s">
        <v>124</v>
      </c>
      <c r="C275" s="26">
        <f t="shared" si="181"/>
        <v>21.030387226727044</v>
      </c>
      <c r="D275" s="26">
        <f t="shared" si="181"/>
        <v>18.401588823386163</v>
      </c>
      <c r="E275" s="26">
        <f t="shared" si="181"/>
        <v>16.356967843009922</v>
      </c>
      <c r="F275" s="26">
        <f t="shared" si="181"/>
        <v>14.721271058708931</v>
      </c>
      <c r="G275" s="26">
        <f t="shared" si="181"/>
        <v>9.8141807058059527</v>
      </c>
      <c r="H275" s="26">
        <f t="shared" si="181"/>
        <v>7.3606355293544654</v>
      </c>
      <c r="I275" s="26">
        <f t="shared" si="181"/>
        <v>5.8885084234835725</v>
      </c>
      <c r="J275" s="26">
        <f t="shared" si="181"/>
        <v>4.9070903529029763</v>
      </c>
      <c r="K275" s="26">
        <f t="shared" si="181"/>
        <v>4.2060774453454082</v>
      </c>
      <c r="L275" s="26">
        <f t="shared" si="181"/>
        <v>3.6803177646772327</v>
      </c>
      <c r="M275" s="26">
        <f t="shared" si="181"/>
        <v>3.2713935686019844</v>
      </c>
      <c r="N275" s="234">
        <f t="shared" si="181"/>
        <v>2.9442542117417863</v>
      </c>
    </row>
    <row r="276" spans="1:14" ht="15" thickBot="1" x14ac:dyDescent="0.35">
      <c r="A276" s="400"/>
      <c r="B276" s="276" t="s">
        <v>125</v>
      </c>
      <c r="C276" s="274">
        <f t="shared" si="181"/>
        <v>21.181122086729385</v>
      </c>
      <c r="D276" s="274">
        <f t="shared" si="181"/>
        <v>18.533481825888213</v>
      </c>
      <c r="E276" s="274">
        <f t="shared" si="181"/>
        <v>16.474206067456191</v>
      </c>
      <c r="F276" s="274">
        <f t="shared" si="181"/>
        <v>14.826785460710569</v>
      </c>
      <c r="G276" s="274">
        <f t="shared" si="181"/>
        <v>9.8845236404737129</v>
      </c>
      <c r="H276" s="274">
        <f t="shared" si="181"/>
        <v>7.4133927303552847</v>
      </c>
      <c r="I276" s="274">
        <f t="shared" si="181"/>
        <v>5.9307141842842279</v>
      </c>
      <c r="J276" s="274">
        <f t="shared" si="181"/>
        <v>4.9422618202368565</v>
      </c>
      <c r="K276" s="274">
        <f t="shared" si="181"/>
        <v>4.236224417345877</v>
      </c>
      <c r="L276" s="274">
        <f t="shared" si="181"/>
        <v>3.7066963651776423</v>
      </c>
      <c r="M276" s="274">
        <f t="shared" si="181"/>
        <v>3.2948412134912375</v>
      </c>
      <c r="N276" s="275">
        <f t="shared" si="181"/>
        <v>2.965357092142114</v>
      </c>
    </row>
    <row r="277" spans="1:14" x14ac:dyDescent="0.3">
      <c r="A277" s="398" t="s">
        <v>677</v>
      </c>
      <c r="B277" s="227" t="s">
        <v>122</v>
      </c>
      <c r="C277" s="214">
        <f>($D$219*C269)/($C$4+(C257*($D$219^2)))</f>
        <v>0.71428571428571441</v>
      </c>
      <c r="D277" s="214">
        <f t="shared" ref="D277:N277" si="182">($D$219*D269)/($C$4+(D257*($D$219^2)))</f>
        <v>0.625</v>
      </c>
      <c r="E277" s="214">
        <f t="shared" si="182"/>
        <v>0.55555555555555558</v>
      </c>
      <c r="F277" s="214">
        <f t="shared" si="182"/>
        <v>0.5</v>
      </c>
      <c r="G277" s="214">
        <f t="shared" si="182"/>
        <v>0.33333333333333331</v>
      </c>
      <c r="H277" s="214">
        <f t="shared" si="182"/>
        <v>0.25</v>
      </c>
      <c r="I277" s="214">
        <f t="shared" si="182"/>
        <v>0.2</v>
      </c>
      <c r="J277" s="214">
        <f t="shared" si="182"/>
        <v>0.16666666666666666</v>
      </c>
      <c r="K277" s="214">
        <f t="shared" si="182"/>
        <v>0.14285714285714288</v>
      </c>
      <c r="L277" s="214">
        <f t="shared" si="182"/>
        <v>0.125</v>
      </c>
      <c r="M277" s="214">
        <f t="shared" si="182"/>
        <v>0.11111111111111112</v>
      </c>
      <c r="N277" s="215">
        <f t="shared" si="182"/>
        <v>0.1</v>
      </c>
    </row>
    <row r="278" spans="1:14" x14ac:dyDescent="0.3">
      <c r="A278" s="399"/>
      <c r="B278" s="97" t="s">
        <v>123</v>
      </c>
      <c r="C278" s="26">
        <f t="shared" ref="C278:N280" si="183">($D$219*C270)/($C$4+(C258*($D$219^2)))</f>
        <v>0.7142857142857143</v>
      </c>
      <c r="D278" s="26">
        <f t="shared" si="183"/>
        <v>0.625</v>
      </c>
      <c r="E278" s="26">
        <f t="shared" si="183"/>
        <v>0.55555555555555558</v>
      </c>
      <c r="F278" s="26">
        <f t="shared" si="183"/>
        <v>0.5</v>
      </c>
      <c r="G278" s="26">
        <f t="shared" si="183"/>
        <v>0.33333333333333337</v>
      </c>
      <c r="H278" s="26">
        <f t="shared" si="183"/>
        <v>0.25</v>
      </c>
      <c r="I278" s="26">
        <f t="shared" si="183"/>
        <v>0.2</v>
      </c>
      <c r="J278" s="26">
        <f t="shared" si="183"/>
        <v>0.16666666666666669</v>
      </c>
      <c r="K278" s="26">
        <f t="shared" si="183"/>
        <v>0.14285714285714285</v>
      </c>
      <c r="L278" s="26">
        <f t="shared" si="183"/>
        <v>0.125</v>
      </c>
      <c r="M278" s="26">
        <f t="shared" si="183"/>
        <v>0.1111111111111111</v>
      </c>
      <c r="N278" s="234">
        <f t="shared" si="183"/>
        <v>0.1</v>
      </c>
    </row>
    <row r="279" spans="1:14" x14ac:dyDescent="0.3">
      <c r="A279" s="399"/>
      <c r="B279" s="97" t="s">
        <v>124</v>
      </c>
      <c r="C279" s="26">
        <f t="shared" si="183"/>
        <v>0.71428571428571419</v>
      </c>
      <c r="D279" s="26">
        <f t="shared" si="183"/>
        <v>0.625</v>
      </c>
      <c r="E279" s="26">
        <f t="shared" si="183"/>
        <v>0.55555555555555558</v>
      </c>
      <c r="F279" s="26">
        <f t="shared" si="183"/>
        <v>0.5</v>
      </c>
      <c r="G279" s="26">
        <f t="shared" si="183"/>
        <v>0.33333333333333326</v>
      </c>
      <c r="H279" s="26">
        <f t="shared" si="183"/>
        <v>0.25</v>
      </c>
      <c r="I279" s="26">
        <f t="shared" si="183"/>
        <v>0.2</v>
      </c>
      <c r="J279" s="26">
        <f t="shared" si="183"/>
        <v>0.16666666666666663</v>
      </c>
      <c r="K279" s="26">
        <f t="shared" si="183"/>
        <v>0.14285714285714285</v>
      </c>
      <c r="L279" s="26">
        <f t="shared" si="183"/>
        <v>0.125</v>
      </c>
      <c r="M279" s="26">
        <f t="shared" si="183"/>
        <v>0.1111111111111111</v>
      </c>
      <c r="N279" s="234">
        <f t="shared" si="183"/>
        <v>0.1</v>
      </c>
    </row>
    <row r="280" spans="1:14" ht="15" thickBot="1" x14ac:dyDescent="0.35">
      <c r="A280" s="401"/>
      <c r="B280" s="231" t="s">
        <v>125</v>
      </c>
      <c r="C280" s="217">
        <f t="shared" si="183"/>
        <v>0.71428571428571419</v>
      </c>
      <c r="D280" s="217">
        <f t="shared" si="183"/>
        <v>0.625</v>
      </c>
      <c r="E280" s="217">
        <f t="shared" si="183"/>
        <v>0.55555555555555558</v>
      </c>
      <c r="F280" s="217">
        <f t="shared" si="183"/>
        <v>0.5</v>
      </c>
      <c r="G280" s="217">
        <f t="shared" si="183"/>
        <v>0.33333333333333331</v>
      </c>
      <c r="H280" s="217">
        <f t="shared" si="183"/>
        <v>0.25</v>
      </c>
      <c r="I280" s="217">
        <f t="shared" si="183"/>
        <v>0.19999999999999998</v>
      </c>
      <c r="J280" s="217">
        <f t="shared" si="183"/>
        <v>0.16666666666666666</v>
      </c>
      <c r="K280" s="217">
        <f t="shared" si="183"/>
        <v>0.14285714285714285</v>
      </c>
      <c r="L280" s="217">
        <f t="shared" si="183"/>
        <v>0.125</v>
      </c>
      <c r="M280" s="217">
        <f t="shared" si="183"/>
        <v>0.1111111111111111</v>
      </c>
      <c r="N280" s="218">
        <f t="shared" si="183"/>
        <v>9.9999999999999992E-2</v>
      </c>
    </row>
    <row r="281" spans="1:14" x14ac:dyDescent="0.3">
      <c r="A281" s="398" t="s">
        <v>678</v>
      </c>
      <c r="B281" s="227" t="s">
        <v>122</v>
      </c>
      <c r="C281" s="214">
        <f>SQRT($C$4/C257)</f>
        <v>93.583624298496304</v>
      </c>
      <c r="D281" s="214">
        <f t="shared" ref="D281:N281" si="184">SQRT($C$4/D257)</f>
        <v>93.583624298496304</v>
      </c>
      <c r="E281" s="214">
        <f t="shared" si="184"/>
        <v>93.583624298496304</v>
      </c>
      <c r="F281" s="214">
        <f t="shared" si="184"/>
        <v>93.583624298496304</v>
      </c>
      <c r="G281" s="214">
        <f t="shared" si="184"/>
        <v>93.583624298496304</v>
      </c>
      <c r="H281" s="214">
        <f t="shared" si="184"/>
        <v>93.583624298496304</v>
      </c>
      <c r="I281" s="214">
        <f t="shared" si="184"/>
        <v>93.583624298496304</v>
      </c>
      <c r="J281" s="214">
        <f t="shared" si="184"/>
        <v>93.583624298496304</v>
      </c>
      <c r="K281" s="214">
        <f t="shared" si="184"/>
        <v>93.583624298496304</v>
      </c>
      <c r="L281" s="214">
        <f t="shared" si="184"/>
        <v>93.583624298496304</v>
      </c>
      <c r="M281" s="214">
        <f t="shared" si="184"/>
        <v>93.583624298496304</v>
      </c>
      <c r="N281" s="215">
        <f t="shared" si="184"/>
        <v>93.583624298496304</v>
      </c>
    </row>
    <row r="282" spans="1:14" x14ac:dyDescent="0.3">
      <c r="A282" s="399"/>
      <c r="B282" s="97" t="s">
        <v>123</v>
      </c>
      <c r="C282" s="26">
        <f t="shared" ref="C282:N284" si="185">SQRT(-$C$4/C258)</f>
        <v>43.430194774854726</v>
      </c>
      <c r="D282" s="26">
        <f t="shared" si="185"/>
        <v>43.430194774854726</v>
      </c>
      <c r="E282" s="26">
        <f t="shared" si="185"/>
        <v>43.430194774854726</v>
      </c>
      <c r="F282" s="26">
        <f t="shared" si="185"/>
        <v>43.430194774854726</v>
      </c>
      <c r="G282" s="26">
        <f t="shared" si="185"/>
        <v>43.430194774854726</v>
      </c>
      <c r="H282" s="26">
        <f t="shared" si="185"/>
        <v>43.430194774854726</v>
      </c>
      <c r="I282" s="26">
        <f t="shared" si="185"/>
        <v>43.430194774854726</v>
      </c>
      <c r="J282" s="26">
        <f t="shared" si="185"/>
        <v>43.430194774854726</v>
      </c>
      <c r="K282" s="26">
        <f t="shared" si="185"/>
        <v>43.430194774854726</v>
      </c>
      <c r="L282" s="26">
        <f t="shared" si="185"/>
        <v>43.430194774854726</v>
      </c>
      <c r="M282" s="26">
        <f t="shared" si="185"/>
        <v>43.430194774854726</v>
      </c>
      <c r="N282" s="234">
        <f t="shared" si="185"/>
        <v>43.430194774854726</v>
      </c>
    </row>
    <row r="283" spans="1:14" x14ac:dyDescent="0.3">
      <c r="A283" s="399"/>
      <c r="B283" s="97" t="s">
        <v>124</v>
      </c>
      <c r="C283" s="26">
        <f t="shared" si="185"/>
        <v>46.048622950916517</v>
      </c>
      <c r="D283" s="26">
        <f t="shared" si="185"/>
        <v>46.048622950916517</v>
      </c>
      <c r="E283" s="26">
        <f t="shared" si="185"/>
        <v>46.048622950916517</v>
      </c>
      <c r="F283" s="26">
        <f t="shared" si="185"/>
        <v>46.048622950916517</v>
      </c>
      <c r="G283" s="26">
        <f t="shared" si="185"/>
        <v>46.048622950916517</v>
      </c>
      <c r="H283" s="26">
        <f t="shared" si="185"/>
        <v>46.048622950916517</v>
      </c>
      <c r="I283" s="26">
        <f t="shared" si="185"/>
        <v>46.048622950916517</v>
      </c>
      <c r="J283" s="26">
        <f t="shared" si="185"/>
        <v>46.048622950916517</v>
      </c>
      <c r="K283" s="26">
        <f t="shared" si="185"/>
        <v>46.048622950916517</v>
      </c>
      <c r="L283" s="26">
        <f t="shared" si="185"/>
        <v>46.048622950916517</v>
      </c>
      <c r="M283" s="26">
        <f t="shared" si="185"/>
        <v>46.048622950916517</v>
      </c>
      <c r="N283" s="234">
        <f t="shared" si="185"/>
        <v>46.048622950916517</v>
      </c>
    </row>
    <row r="284" spans="1:14" ht="15" thickBot="1" x14ac:dyDescent="0.35">
      <c r="A284" s="401"/>
      <c r="B284" s="231" t="s">
        <v>125</v>
      </c>
      <c r="C284" s="217">
        <f t="shared" si="185"/>
        <v>72.879548375580455</v>
      </c>
      <c r="D284" s="217">
        <f t="shared" si="185"/>
        <v>72.879548375580455</v>
      </c>
      <c r="E284" s="217">
        <f t="shared" si="185"/>
        <v>72.879548375580455</v>
      </c>
      <c r="F284" s="217">
        <f t="shared" si="185"/>
        <v>72.879548375580455</v>
      </c>
      <c r="G284" s="217">
        <f t="shared" si="185"/>
        <v>72.879548375580455</v>
      </c>
      <c r="H284" s="217">
        <f t="shared" si="185"/>
        <v>72.879548375580455</v>
      </c>
      <c r="I284" s="217">
        <f t="shared" si="185"/>
        <v>72.879548375580455</v>
      </c>
      <c r="J284" s="217">
        <f t="shared" si="185"/>
        <v>72.879548375580455</v>
      </c>
      <c r="K284" s="217">
        <f t="shared" si="185"/>
        <v>72.879548375580455</v>
      </c>
      <c r="L284" s="217">
        <f t="shared" si="185"/>
        <v>72.879548375580455</v>
      </c>
      <c r="M284" s="217">
        <f t="shared" si="185"/>
        <v>72.879548375580455</v>
      </c>
      <c r="N284" s="218">
        <f t="shared" si="185"/>
        <v>72.879548375580455</v>
      </c>
    </row>
    <row r="285" spans="1:14" x14ac:dyDescent="0.3">
      <c r="A285" s="273"/>
      <c r="B285" s="37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</row>
    <row r="286" spans="1:14" x14ac:dyDescent="0.3">
      <c r="A286" s="273"/>
      <c r="B286" s="37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</row>
    <row r="287" spans="1:14" x14ac:dyDescent="0.3">
      <c r="A287" s="273"/>
      <c r="B287" s="37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</row>
    <row r="288" spans="1:14" x14ac:dyDescent="0.3">
      <c r="A288" s="273"/>
      <c r="B288" s="37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</row>
    <row r="289" spans="1:14" x14ac:dyDescent="0.3">
      <c r="A289" s="273"/>
      <c r="B289" s="37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</row>
    <row r="290" spans="1:14" x14ac:dyDescent="0.3">
      <c r="A290" s="273"/>
      <c r="B290" s="37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</row>
    <row r="291" spans="1:14" x14ac:dyDescent="0.3">
      <c r="A291" s="273"/>
      <c r="B291" s="37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</row>
    <row r="292" spans="1:14" x14ac:dyDescent="0.3">
      <c r="A292" s="273"/>
      <c r="B292" s="37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</row>
    <row r="293" spans="1:14" x14ac:dyDescent="0.3">
      <c r="A293" s="273"/>
      <c r="B293" s="37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</row>
    <row r="294" spans="1:14" x14ac:dyDescent="0.3">
      <c r="A294" s="273"/>
      <c r="B294" s="37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</row>
    <row r="295" spans="1:14" x14ac:dyDescent="0.3">
      <c r="A295" s="273"/>
      <c r="B295" s="37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</row>
    <row r="296" spans="1:14" x14ac:dyDescent="0.3">
      <c r="A296" s="273"/>
      <c r="B296" s="37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</row>
    <row r="297" spans="1:14" x14ac:dyDescent="0.3">
      <c r="A297" s="273"/>
      <c r="B297" s="37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</row>
    <row r="298" spans="1:14" x14ac:dyDescent="0.3">
      <c r="A298" s="273"/>
      <c r="B298" s="37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</row>
    <row r="299" spans="1:14" x14ac:dyDescent="0.3">
      <c r="A299" s="273"/>
      <c r="B299" s="37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</row>
    <row r="300" spans="1:14" x14ac:dyDescent="0.3">
      <c r="A300" s="273"/>
      <c r="B300" s="37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</row>
    <row r="301" spans="1:14" x14ac:dyDescent="0.3">
      <c r="A301" s="273"/>
      <c r="B301" s="37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</row>
    <row r="302" spans="1:14" x14ac:dyDescent="0.3">
      <c r="A302" s="273"/>
      <c r="B302" s="37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</row>
    <row r="303" spans="1:14" x14ac:dyDescent="0.3">
      <c r="A303" s="273"/>
      <c r="B303" s="37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</row>
    <row r="304" spans="1:14" x14ac:dyDescent="0.3">
      <c r="A304" s="273"/>
      <c r="B304" s="37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</row>
    <row r="305" spans="1:14" x14ac:dyDescent="0.3">
      <c r="A305" s="273"/>
      <c r="B305" s="37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</row>
    <row r="306" spans="1:14" x14ac:dyDescent="0.3">
      <c r="A306" s="273"/>
      <c r="B306" s="37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</row>
    <row r="307" spans="1:14" x14ac:dyDescent="0.3">
      <c r="A307" s="273"/>
      <c r="B307" s="37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</row>
    <row r="308" spans="1:14" x14ac:dyDescent="0.3">
      <c r="A308" s="51"/>
      <c r="B308" s="37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</row>
    <row r="309" spans="1:14" x14ac:dyDescent="0.3">
      <c r="A309" s="7"/>
      <c r="B309" s="36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</row>
    <row r="310" spans="1:14" x14ac:dyDescent="0.3">
      <c r="A310" s="7"/>
      <c r="B310" s="36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</row>
    <row r="311" spans="1:14" x14ac:dyDescent="0.3">
      <c r="A311" s="7"/>
      <c r="B311" s="36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</row>
    <row r="312" spans="1:14" x14ac:dyDescent="0.3">
      <c r="A312" s="7"/>
      <c r="B312" s="36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</row>
    <row r="313" spans="1:14" x14ac:dyDescent="0.3">
      <c r="A313" s="370" t="s">
        <v>269</v>
      </c>
      <c r="B313" s="370"/>
      <c r="C313" s="370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</row>
    <row r="314" spans="1:14" x14ac:dyDescent="0.3">
      <c r="A314" s="7"/>
      <c r="B314" s="36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</row>
    <row r="315" spans="1:14" x14ac:dyDescent="0.3">
      <c r="A315" s="7" t="s">
        <v>168</v>
      </c>
      <c r="B315" s="21" t="s">
        <v>166</v>
      </c>
      <c r="C315" s="26">
        <f>C55/C40</f>
        <v>106.87499999999999</v>
      </c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</row>
    <row r="316" spans="1:14" x14ac:dyDescent="0.3">
      <c r="A316" s="7" t="s">
        <v>169</v>
      </c>
      <c r="B316" s="21" t="s">
        <v>167</v>
      </c>
      <c r="C316" s="26">
        <f>C53/C40</f>
        <v>130.625</v>
      </c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</row>
    <row r="317" spans="1:14" x14ac:dyDescent="0.3">
      <c r="A317" s="7" t="s">
        <v>170</v>
      </c>
      <c r="B317" s="21" t="s">
        <v>162</v>
      </c>
      <c r="C317" s="70">
        <v>0.12</v>
      </c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</row>
    <row r="318" spans="1:14" x14ac:dyDescent="0.3">
      <c r="A318" s="7" t="s">
        <v>171</v>
      </c>
      <c r="B318" s="21" t="s">
        <v>163</v>
      </c>
      <c r="C318" s="70">
        <v>0.13</v>
      </c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</row>
    <row r="319" spans="1:14" x14ac:dyDescent="0.3">
      <c r="A319" s="7" t="s">
        <v>172</v>
      </c>
      <c r="B319" s="21" t="s">
        <v>164</v>
      </c>
      <c r="C319" s="26">
        <f>((C317*C315)/(1+C317))*0.5</f>
        <v>5.725446428571427</v>
      </c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</row>
    <row r="320" spans="1:14" x14ac:dyDescent="0.3">
      <c r="A320" s="7" t="s">
        <v>173</v>
      </c>
      <c r="B320" s="21" t="s">
        <v>165</v>
      </c>
      <c r="C320" s="26">
        <f>((C318*C316)/(1+C318))*0.5</f>
        <v>7.5138274336283191</v>
      </c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</row>
    <row r="321" spans="1:14" x14ac:dyDescent="0.3">
      <c r="A321" s="7" t="s">
        <v>174</v>
      </c>
      <c r="B321" s="21" t="s">
        <v>177</v>
      </c>
      <c r="C321" s="26">
        <f>2*C319</f>
        <v>11.450892857142854</v>
      </c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</row>
    <row r="322" spans="1:14" x14ac:dyDescent="0.3">
      <c r="A322" s="7" t="s">
        <v>175</v>
      </c>
      <c r="B322" s="21" t="s">
        <v>178</v>
      </c>
      <c r="C322" s="26">
        <f>2*C320</f>
        <v>15.027654867256638</v>
      </c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</row>
    <row r="323" spans="1:14" x14ac:dyDescent="0.3">
      <c r="A323" s="7" t="s">
        <v>176</v>
      </c>
      <c r="B323" s="21" t="s">
        <v>179</v>
      </c>
      <c r="C323" s="26">
        <f>C321+C322</f>
        <v>26.47854772439949</v>
      </c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</row>
    <row r="324" spans="1:14" x14ac:dyDescent="0.3">
      <c r="A324" s="7"/>
      <c r="B324" s="36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</row>
    <row r="325" spans="1:14" x14ac:dyDescent="0.3">
      <c r="A325" s="370" t="s">
        <v>268</v>
      </c>
      <c r="B325" s="370"/>
      <c r="C325" s="370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</row>
    <row r="326" spans="1:14" x14ac:dyDescent="0.3">
      <c r="A326" s="7"/>
      <c r="B326" s="36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</row>
    <row r="327" spans="1:14" x14ac:dyDescent="0.3">
      <c r="A327" s="7" t="s">
        <v>180</v>
      </c>
      <c r="B327" s="21" t="s">
        <v>164</v>
      </c>
      <c r="C327" s="26">
        <f>(C55/C40)-C319</f>
        <v>101.14955357142856</v>
      </c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</row>
    <row r="328" spans="1:14" x14ac:dyDescent="0.3">
      <c r="A328" s="7" t="s">
        <v>181</v>
      </c>
      <c r="B328" s="21" t="s">
        <v>165</v>
      </c>
      <c r="C328" s="26">
        <f>(C53/C40)-C320</f>
        <v>123.11117256637168</v>
      </c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</row>
    <row r="329" spans="1:14" x14ac:dyDescent="0.3">
      <c r="A329" s="7" t="s">
        <v>182</v>
      </c>
      <c r="B329" s="21" t="s">
        <v>177</v>
      </c>
      <c r="C329" s="26">
        <f>(C52/C40)-C321</f>
        <v>202.29910714285711</v>
      </c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</row>
    <row r="330" spans="1:14" x14ac:dyDescent="0.3">
      <c r="A330" s="7" t="s">
        <v>183</v>
      </c>
      <c r="B330" s="21" t="s">
        <v>178</v>
      </c>
      <c r="C330" s="26">
        <f>(C51/C40)-C322</f>
        <v>246.22234513274336</v>
      </c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</row>
    <row r="331" spans="1:14" x14ac:dyDescent="0.3">
      <c r="A331" s="7" t="s">
        <v>184</v>
      </c>
      <c r="B331" s="21" t="s">
        <v>179</v>
      </c>
      <c r="C331" s="26">
        <f>(C41/C40)-C323</f>
        <v>448.5214522756005</v>
      </c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</row>
    <row r="332" spans="1:14" x14ac:dyDescent="0.3">
      <c r="A332" s="7"/>
      <c r="B332" s="36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</row>
    <row r="333" spans="1:14" x14ac:dyDescent="0.3">
      <c r="A333" s="404" t="s">
        <v>221</v>
      </c>
      <c r="B333" s="40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</row>
    <row r="334" spans="1:14" x14ac:dyDescent="0.3">
      <c r="A334" s="7" t="s">
        <v>222</v>
      </c>
      <c r="B334" s="21" t="s">
        <v>185</v>
      </c>
      <c r="C334" s="70">
        <v>0.3</v>
      </c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</row>
    <row r="335" spans="1:14" x14ac:dyDescent="0.3">
      <c r="A335" s="7"/>
      <c r="B335" s="36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</row>
    <row r="336" spans="1:14" x14ac:dyDescent="0.3">
      <c r="A336" s="406" t="s">
        <v>186</v>
      </c>
      <c r="B336" s="407"/>
      <c r="C336" s="407"/>
      <c r="D336" s="407"/>
      <c r="E336" s="407"/>
      <c r="F336" s="407"/>
      <c r="G336" s="408"/>
      <c r="H336" s="35"/>
      <c r="I336" s="35"/>
      <c r="J336" s="35"/>
      <c r="K336" s="35"/>
      <c r="L336" s="35"/>
      <c r="M336" s="35"/>
      <c r="N336" s="35"/>
    </row>
    <row r="337" spans="1:14" x14ac:dyDescent="0.3">
      <c r="A337" s="7"/>
      <c r="B337" s="36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</row>
    <row r="338" spans="1:14" x14ac:dyDescent="0.3">
      <c r="A338" s="367" t="s">
        <v>226</v>
      </c>
      <c r="B338" s="367"/>
      <c r="C338" s="35"/>
      <c r="D338" s="35"/>
      <c r="E338" s="35"/>
      <c r="F338" s="199" t="s">
        <v>227</v>
      </c>
      <c r="G338" s="199"/>
      <c r="H338" s="35"/>
      <c r="I338" s="35"/>
      <c r="J338" s="35"/>
      <c r="K338" s="35"/>
      <c r="L338" s="35"/>
      <c r="M338" s="35"/>
      <c r="N338" s="35"/>
    </row>
    <row r="339" spans="1:14" x14ac:dyDescent="0.3">
      <c r="A339" s="2" t="s">
        <v>196</v>
      </c>
      <c r="B339" s="71">
        <f>E4</f>
        <v>1.5</v>
      </c>
      <c r="C339" s="35"/>
      <c r="D339" s="35"/>
      <c r="E339" s="35"/>
      <c r="F339" s="2" t="s">
        <v>196</v>
      </c>
      <c r="G339" s="71">
        <f>E4</f>
        <v>1.5</v>
      </c>
      <c r="H339" s="35"/>
      <c r="I339" s="35"/>
      <c r="J339" s="35"/>
      <c r="K339" s="35"/>
      <c r="L339" s="35"/>
      <c r="M339" s="35"/>
      <c r="N339" s="35"/>
    </row>
    <row r="340" spans="1:14" x14ac:dyDescent="0.3">
      <c r="A340" s="2" t="s">
        <v>187</v>
      </c>
      <c r="B340" s="67">
        <v>0</v>
      </c>
      <c r="C340" s="35"/>
      <c r="D340" s="35"/>
      <c r="E340" s="35"/>
      <c r="F340" s="2" t="s">
        <v>187</v>
      </c>
      <c r="G340" s="67">
        <v>0</v>
      </c>
      <c r="H340" s="35"/>
      <c r="I340" s="35"/>
      <c r="J340" s="35"/>
      <c r="K340" s="35"/>
      <c r="L340" s="35"/>
      <c r="M340" s="35"/>
      <c r="N340" s="35"/>
    </row>
    <row r="341" spans="1:14" x14ac:dyDescent="0.3">
      <c r="A341" s="23" t="s">
        <v>189</v>
      </c>
      <c r="B341" s="75">
        <f>RADIANS(B340)</f>
        <v>0</v>
      </c>
      <c r="C341" s="35"/>
      <c r="D341" s="35"/>
      <c r="E341" s="35"/>
      <c r="F341" s="23" t="s">
        <v>189</v>
      </c>
      <c r="G341" s="75">
        <f>RADIANS(G340)</f>
        <v>0</v>
      </c>
      <c r="H341" s="35"/>
      <c r="I341" s="35"/>
      <c r="J341" s="35"/>
      <c r="K341" s="35"/>
      <c r="L341" s="35"/>
      <c r="M341" s="35"/>
      <c r="N341" s="35"/>
    </row>
    <row r="342" spans="1:14" x14ac:dyDescent="0.3">
      <c r="A342" s="2" t="s">
        <v>188</v>
      </c>
      <c r="B342" s="67">
        <v>8</v>
      </c>
      <c r="C342" s="35"/>
      <c r="D342" s="35"/>
      <c r="E342" s="35"/>
      <c r="F342" s="2" t="s">
        <v>188</v>
      </c>
      <c r="G342" s="67">
        <v>8</v>
      </c>
      <c r="H342" s="35"/>
      <c r="I342" s="35"/>
      <c r="J342" s="35"/>
      <c r="K342" s="35"/>
      <c r="L342" s="35"/>
      <c r="M342" s="35"/>
      <c r="N342" s="35"/>
    </row>
    <row r="343" spans="1:14" x14ac:dyDescent="0.3">
      <c r="A343" s="23" t="s">
        <v>189</v>
      </c>
      <c r="B343" s="75">
        <f>RADIANS(B342)</f>
        <v>0.13962634015954636</v>
      </c>
      <c r="C343" s="35"/>
      <c r="D343" s="35"/>
      <c r="E343" s="35"/>
      <c r="F343" s="23" t="s">
        <v>189</v>
      </c>
      <c r="G343" s="75">
        <f>RADIANS(G342)</f>
        <v>0.13962634015954636</v>
      </c>
      <c r="H343" s="35"/>
      <c r="I343" s="35"/>
      <c r="J343" s="35"/>
      <c r="K343" s="35"/>
      <c r="L343" s="35"/>
      <c r="M343" s="35"/>
      <c r="N343" s="35"/>
    </row>
    <row r="344" spans="1:14" x14ac:dyDescent="0.3">
      <c r="A344" s="376" t="s">
        <v>192</v>
      </c>
      <c r="B344" s="376"/>
      <c r="C344" s="35"/>
      <c r="D344" s="35"/>
      <c r="E344" s="35"/>
      <c r="F344" s="200" t="s">
        <v>192</v>
      </c>
      <c r="G344" s="200"/>
      <c r="H344" s="35"/>
      <c r="I344" s="35"/>
      <c r="J344" s="35"/>
      <c r="K344" s="35"/>
      <c r="L344" s="35"/>
      <c r="M344" s="35"/>
      <c r="N344" s="35"/>
    </row>
    <row r="345" spans="1:14" x14ac:dyDescent="0.3">
      <c r="A345" s="403" t="s">
        <v>190</v>
      </c>
      <c r="B345" s="403"/>
      <c r="C345" s="35"/>
      <c r="D345" s="35"/>
      <c r="E345" s="35"/>
      <c r="F345" s="201" t="s">
        <v>190</v>
      </c>
      <c r="G345" s="201"/>
      <c r="H345" s="35"/>
      <c r="I345" s="35"/>
      <c r="J345" s="35"/>
      <c r="K345" s="35"/>
      <c r="L345" s="35"/>
      <c r="M345" s="35"/>
      <c r="N345" s="35"/>
    </row>
    <row r="346" spans="1:14" x14ac:dyDescent="0.3">
      <c r="A346" s="376" t="s">
        <v>191</v>
      </c>
      <c r="B346" s="376"/>
      <c r="C346" s="35"/>
      <c r="D346" s="35"/>
      <c r="E346" s="35"/>
      <c r="F346" s="200" t="s">
        <v>191</v>
      </c>
      <c r="G346" s="200"/>
      <c r="H346" s="35"/>
      <c r="I346" s="35"/>
      <c r="J346" s="35"/>
      <c r="K346" s="35"/>
      <c r="L346" s="35"/>
      <c r="M346" s="35"/>
      <c r="N346" s="35"/>
    </row>
    <row r="347" spans="1:14" x14ac:dyDescent="0.3">
      <c r="A347" s="403" t="s">
        <v>193</v>
      </c>
      <c r="B347" s="403"/>
      <c r="C347" s="35"/>
      <c r="D347" s="35"/>
      <c r="E347" s="35"/>
      <c r="F347" s="201" t="s">
        <v>193</v>
      </c>
      <c r="G347" s="201"/>
      <c r="H347" s="35"/>
      <c r="I347" s="35"/>
      <c r="J347" s="35"/>
      <c r="K347" s="35"/>
      <c r="L347" s="35"/>
      <c r="M347" s="35"/>
      <c r="N347" s="35"/>
    </row>
    <row r="348" spans="1:14" x14ac:dyDescent="0.3">
      <c r="A348" s="64" t="s">
        <v>194</v>
      </c>
      <c r="B348" s="23">
        <f>(-TAN(B341))</f>
        <v>0</v>
      </c>
      <c r="C348" s="73" t="s">
        <v>206</v>
      </c>
      <c r="D348" s="35"/>
      <c r="E348" s="35"/>
      <c r="F348" s="64" t="s">
        <v>194</v>
      </c>
      <c r="G348" s="23">
        <f>TAN(G341)</f>
        <v>0</v>
      </c>
      <c r="H348" s="35"/>
      <c r="I348" s="35"/>
      <c r="J348" s="35"/>
      <c r="K348" s="35"/>
      <c r="L348" s="35"/>
      <c r="M348" s="35"/>
      <c r="N348" s="35"/>
    </row>
    <row r="349" spans="1:14" x14ac:dyDescent="0.3">
      <c r="A349" s="64" t="s">
        <v>195</v>
      </c>
      <c r="B349" s="74">
        <f>TAN(B343)</f>
        <v>0.14054083470239145</v>
      </c>
      <c r="C349" s="35"/>
      <c r="D349" s="35"/>
      <c r="E349" s="35"/>
      <c r="F349" s="64" t="s">
        <v>195</v>
      </c>
      <c r="G349" s="74">
        <f>(-TAN(G343))</f>
        <v>-0.14054083470239145</v>
      </c>
      <c r="H349" s="73" t="s">
        <v>223</v>
      </c>
      <c r="I349" s="35"/>
      <c r="J349" s="35"/>
      <c r="K349" s="35"/>
      <c r="L349" s="35"/>
      <c r="M349" s="35"/>
      <c r="N349" s="35"/>
    </row>
    <row r="350" spans="1:14" x14ac:dyDescent="0.3">
      <c r="A350" s="77" t="s">
        <v>197</v>
      </c>
      <c r="B350" s="66">
        <v>8</v>
      </c>
      <c r="C350" s="35"/>
      <c r="D350" s="35"/>
      <c r="E350" s="35"/>
      <c r="F350" s="77" t="s">
        <v>197</v>
      </c>
      <c r="G350" s="66">
        <v>8</v>
      </c>
      <c r="H350" s="35"/>
      <c r="I350" s="35"/>
      <c r="J350" s="35"/>
      <c r="K350" s="35"/>
      <c r="L350" s="35"/>
      <c r="M350" s="35"/>
      <c r="N350" s="35"/>
    </row>
    <row r="351" spans="1:14" x14ac:dyDescent="0.3">
      <c r="A351" s="23" t="s">
        <v>189</v>
      </c>
      <c r="B351" s="74">
        <f>RADIANS(B350)</f>
        <v>0.13962634015954636</v>
      </c>
      <c r="C351" s="35"/>
      <c r="D351" s="35"/>
      <c r="E351" s="35"/>
      <c r="F351" s="23" t="s">
        <v>189</v>
      </c>
      <c r="G351" s="74">
        <f>RADIANS(G350)</f>
        <v>0.13962634015954636</v>
      </c>
      <c r="H351" s="35"/>
      <c r="I351" s="35"/>
      <c r="J351" s="35"/>
      <c r="K351" s="35"/>
      <c r="L351" s="35"/>
      <c r="M351" s="35"/>
      <c r="N351" s="35"/>
    </row>
    <row r="352" spans="1:14" x14ac:dyDescent="0.3">
      <c r="A352" s="64" t="s">
        <v>209</v>
      </c>
      <c r="B352" s="66">
        <v>0.10299999999999999</v>
      </c>
      <c r="C352" s="73" t="s">
        <v>208</v>
      </c>
      <c r="D352" s="35"/>
      <c r="E352" s="35"/>
      <c r="F352" s="64" t="s">
        <v>209</v>
      </c>
      <c r="G352" s="66">
        <v>0.10299999999999999</v>
      </c>
      <c r="H352" s="73" t="s">
        <v>208</v>
      </c>
      <c r="I352" s="35"/>
      <c r="J352" s="35"/>
      <c r="K352" s="35"/>
      <c r="L352" s="35"/>
      <c r="M352" s="35"/>
      <c r="N352" s="35"/>
    </row>
    <row r="353" spans="1:14" x14ac:dyDescent="0.3">
      <c r="A353" s="64" t="s">
        <v>210</v>
      </c>
      <c r="B353" s="66">
        <v>0.1</v>
      </c>
      <c r="C353" s="73" t="s">
        <v>208</v>
      </c>
      <c r="D353" s="35"/>
      <c r="E353" s="35"/>
      <c r="F353" s="64" t="s">
        <v>210</v>
      </c>
      <c r="G353" s="66">
        <v>0.1</v>
      </c>
      <c r="H353" s="73" t="s">
        <v>208</v>
      </c>
      <c r="I353" s="35"/>
      <c r="J353" s="35"/>
      <c r="K353" s="35"/>
      <c r="L353" s="35"/>
      <c r="M353" s="35"/>
      <c r="N353" s="35"/>
    </row>
    <row r="354" spans="1:14" x14ac:dyDescent="0.3">
      <c r="A354" s="64" t="s">
        <v>200</v>
      </c>
      <c r="B354" s="74">
        <f>(B352+B353)*TAN(B351)</f>
        <v>2.8529789444585466E-2</v>
      </c>
      <c r="C354" s="35"/>
      <c r="D354" s="35"/>
      <c r="E354" s="35"/>
      <c r="F354" s="64" t="s">
        <v>200</v>
      </c>
      <c r="G354" s="74">
        <f>(G352+G353)*TAN(G351)</f>
        <v>2.8529789444585466E-2</v>
      </c>
      <c r="H354" s="35"/>
      <c r="I354" s="35"/>
      <c r="J354" s="35"/>
      <c r="K354" s="35"/>
      <c r="L354" s="35"/>
      <c r="M354" s="35"/>
      <c r="N354" s="35"/>
    </row>
    <row r="355" spans="1:14" x14ac:dyDescent="0.3">
      <c r="A355" s="64" t="s">
        <v>201</v>
      </c>
      <c r="B355" s="66">
        <v>4.7192999999999999E-2</v>
      </c>
      <c r="C355" s="35"/>
      <c r="D355" s="35"/>
      <c r="E355" s="35"/>
      <c r="F355" s="64" t="s">
        <v>201</v>
      </c>
      <c r="G355" s="66">
        <v>4.7192999999999999E-2</v>
      </c>
      <c r="H355" s="35"/>
      <c r="I355" s="35"/>
      <c r="J355" s="35"/>
      <c r="K355" s="35"/>
      <c r="L355" s="35"/>
      <c r="M355" s="35"/>
      <c r="N355" s="35"/>
    </row>
    <row r="356" spans="1:14" x14ac:dyDescent="0.3">
      <c r="A356" s="64" t="s">
        <v>203</v>
      </c>
      <c r="B356" s="23">
        <f>((0.5*B339)-B355)*TAN(B341)</f>
        <v>0</v>
      </c>
      <c r="C356" s="35"/>
      <c r="D356" s="35"/>
      <c r="E356" s="35"/>
      <c r="F356" s="64" t="s">
        <v>203</v>
      </c>
      <c r="G356" s="23">
        <f>((0.5*G339)-G355)*TAN(G341)</f>
        <v>0</v>
      </c>
      <c r="H356" s="35"/>
      <c r="I356" s="35"/>
      <c r="J356" s="35"/>
      <c r="K356" s="35"/>
      <c r="L356" s="35"/>
      <c r="M356" s="35"/>
      <c r="N356" s="35"/>
    </row>
    <row r="357" spans="1:14" x14ac:dyDescent="0.3">
      <c r="A357" s="64" t="s">
        <v>204</v>
      </c>
      <c r="B357" s="23">
        <f>B356</f>
        <v>0</v>
      </c>
      <c r="C357" s="35"/>
      <c r="D357" s="35"/>
      <c r="E357" s="35"/>
      <c r="F357" s="64" t="s">
        <v>204</v>
      </c>
      <c r="G357" s="23">
        <f>G356</f>
        <v>0</v>
      </c>
      <c r="H357" s="35"/>
      <c r="I357" s="35"/>
      <c r="J357" s="35"/>
      <c r="K357" s="35"/>
      <c r="L357" s="35"/>
      <c r="M357" s="35"/>
      <c r="N357" s="35"/>
    </row>
    <row r="358" spans="1:14" x14ac:dyDescent="0.3">
      <c r="A358" s="64" t="s">
        <v>202</v>
      </c>
      <c r="B358" s="74">
        <f>((0.5*B339)-B354-B355)*TAN(B343)</f>
        <v>9.4763481992258106E-2</v>
      </c>
      <c r="C358" s="73" t="s">
        <v>198</v>
      </c>
      <c r="D358" s="35"/>
      <c r="E358" s="35"/>
      <c r="F358" s="64" t="s">
        <v>202</v>
      </c>
      <c r="G358" s="74">
        <f>((0.5*G339)-G354-G355)*TAN(G343)</f>
        <v>9.4763481992258106E-2</v>
      </c>
      <c r="H358" s="73" t="s">
        <v>198</v>
      </c>
      <c r="I358" s="35"/>
      <c r="J358" s="35"/>
      <c r="K358" s="35"/>
      <c r="L358" s="35"/>
      <c r="M358" s="35"/>
      <c r="N358" s="35"/>
    </row>
    <row r="359" spans="1:14" x14ac:dyDescent="0.3">
      <c r="A359" s="64" t="s">
        <v>199</v>
      </c>
      <c r="B359" s="74">
        <f>(B352+B353)-B358</f>
        <v>0.10823651800774191</v>
      </c>
      <c r="C359" s="35"/>
      <c r="D359" s="35"/>
      <c r="E359" s="35"/>
      <c r="F359" s="64" t="s">
        <v>199</v>
      </c>
      <c r="G359" s="74">
        <f>(G352+G353)-G358</f>
        <v>0.10823651800774191</v>
      </c>
      <c r="H359" s="35"/>
      <c r="I359" s="35"/>
      <c r="J359" s="35"/>
      <c r="K359" s="35"/>
      <c r="L359" s="35"/>
      <c r="M359" s="35"/>
      <c r="N359" s="35"/>
    </row>
    <row r="360" spans="1:14" x14ac:dyDescent="0.3">
      <c r="A360" s="64" t="s">
        <v>205</v>
      </c>
      <c r="B360" s="74">
        <f>(B359-B357)/(B348-B349)</f>
        <v>-0.77014284308857994</v>
      </c>
      <c r="C360" s="78" t="s">
        <v>225</v>
      </c>
      <c r="D360" s="35"/>
      <c r="E360" s="35"/>
      <c r="F360" s="64" t="s">
        <v>205</v>
      </c>
      <c r="G360" s="74">
        <f>(G359-G357)/(G348-G349)</f>
        <v>0.77014284308857994</v>
      </c>
      <c r="H360" s="73" t="s">
        <v>224</v>
      </c>
      <c r="I360" s="35"/>
      <c r="J360" s="35"/>
      <c r="K360" s="35"/>
      <c r="L360" s="35"/>
      <c r="M360" s="35"/>
      <c r="N360" s="35"/>
    </row>
    <row r="361" spans="1:14" x14ac:dyDescent="0.3">
      <c r="A361" s="68"/>
      <c r="B361" s="68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</row>
    <row r="362" spans="1:14" x14ac:dyDescent="0.3">
      <c r="A362" s="357" t="s">
        <v>283</v>
      </c>
      <c r="B362" s="358"/>
      <c r="C362" s="358"/>
      <c r="D362" s="358"/>
      <c r="E362" s="358"/>
      <c r="F362" s="358"/>
      <c r="G362" s="359"/>
      <c r="H362" s="35"/>
      <c r="I362" s="35"/>
      <c r="J362" s="35"/>
      <c r="K362" s="35"/>
      <c r="L362" s="35"/>
      <c r="M362" s="35"/>
      <c r="N362" s="35"/>
    </row>
    <row r="363" spans="1:14" x14ac:dyDescent="0.3">
      <c r="A363" s="68"/>
      <c r="B363" s="68"/>
      <c r="C363" s="68"/>
      <c r="D363" s="68"/>
      <c r="E363" s="68"/>
      <c r="F363" s="68"/>
      <c r="G363" s="68"/>
      <c r="H363" s="35"/>
      <c r="I363" s="35"/>
      <c r="J363" s="35"/>
      <c r="K363" s="35"/>
      <c r="L363" s="35"/>
      <c r="M363" s="35"/>
      <c r="N363" s="35"/>
    </row>
    <row r="364" spans="1:14" x14ac:dyDescent="0.3">
      <c r="A364" s="64" t="s">
        <v>252</v>
      </c>
      <c r="B364" s="74">
        <f>(0.5*B339)+ABS(B360)</f>
        <v>1.5201428430885799</v>
      </c>
      <c r="C364" s="73" t="s">
        <v>274</v>
      </c>
      <c r="D364" s="35"/>
      <c r="E364" s="35"/>
      <c r="F364" s="65" t="s">
        <v>252</v>
      </c>
      <c r="G364" s="74">
        <f>(0.5*G339)+(ABS(G360))</f>
        <v>1.5201428430885799</v>
      </c>
      <c r="H364" s="73" t="s">
        <v>274</v>
      </c>
      <c r="I364" s="35"/>
      <c r="J364" s="35"/>
      <c r="K364" s="35"/>
      <c r="L364" s="35"/>
      <c r="M364" s="35"/>
      <c r="N364" s="35"/>
    </row>
    <row r="365" spans="1:14" x14ac:dyDescent="0.3">
      <c r="A365" s="68"/>
      <c r="B365" s="68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</row>
    <row r="366" spans="1:14" x14ac:dyDescent="0.3">
      <c r="A366" s="357" t="s">
        <v>254</v>
      </c>
      <c r="B366" s="358"/>
      <c r="C366" s="358"/>
      <c r="D366" s="358"/>
      <c r="E366" s="358"/>
      <c r="F366" s="358"/>
      <c r="G366" s="359"/>
      <c r="H366" s="35"/>
      <c r="I366" s="35"/>
      <c r="J366" s="35"/>
      <c r="K366" s="35"/>
      <c r="L366" s="35"/>
      <c r="M366" s="35"/>
      <c r="N366" s="35"/>
    </row>
    <row r="367" spans="1:14" x14ac:dyDescent="0.3">
      <c r="A367" s="72"/>
      <c r="B367" s="68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</row>
    <row r="368" spans="1:14" x14ac:dyDescent="0.3">
      <c r="A368" s="64" t="s">
        <v>212</v>
      </c>
      <c r="B368" s="74">
        <f>C127</f>
        <v>0.51639999999999997</v>
      </c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</row>
    <row r="369" spans="1:14" x14ac:dyDescent="0.3">
      <c r="A369" s="68"/>
      <c r="B369" s="62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</row>
    <row r="370" spans="1:14" x14ac:dyDescent="0.3">
      <c r="A370" s="404" t="s">
        <v>211</v>
      </c>
      <c r="B370" s="404"/>
      <c r="C370" s="35"/>
      <c r="D370" s="35"/>
      <c r="E370" s="35"/>
      <c r="F370" s="202" t="s">
        <v>207</v>
      </c>
      <c r="G370" s="202"/>
      <c r="H370" s="35"/>
      <c r="I370" s="35"/>
      <c r="J370" s="35"/>
      <c r="K370" s="35"/>
      <c r="L370" s="35"/>
      <c r="M370" s="35"/>
      <c r="N370" s="35"/>
    </row>
    <row r="371" spans="1:14" x14ac:dyDescent="0.3">
      <c r="A371" s="81" t="s">
        <v>229</v>
      </c>
      <c r="B371" s="82">
        <f>B364*TAN(B341)</f>
        <v>0</v>
      </c>
      <c r="C371" s="35"/>
      <c r="D371" s="35"/>
      <c r="E371" s="35"/>
      <c r="F371" s="81" t="s">
        <v>229</v>
      </c>
      <c r="G371" s="82">
        <f>G364*TAN(G341)</f>
        <v>0</v>
      </c>
      <c r="H371" s="35"/>
      <c r="I371" s="35"/>
      <c r="J371" s="35"/>
      <c r="K371" s="35"/>
      <c r="L371" s="35"/>
      <c r="M371" s="35"/>
      <c r="N371" s="35"/>
    </row>
    <row r="372" spans="1:14" x14ac:dyDescent="0.3">
      <c r="A372" s="64" t="s">
        <v>213</v>
      </c>
      <c r="B372" s="74">
        <f>(0.5*B368)-B352+B371</f>
        <v>0.1552</v>
      </c>
      <c r="C372" s="35"/>
      <c r="D372" s="35"/>
      <c r="E372" s="35"/>
      <c r="F372" s="64" t="s">
        <v>213</v>
      </c>
      <c r="G372" s="74">
        <f>(0.5*B368)-G352+G371</f>
        <v>0.1552</v>
      </c>
      <c r="H372" s="35"/>
      <c r="I372" s="35"/>
      <c r="J372" s="35"/>
      <c r="K372" s="35"/>
      <c r="L372" s="35"/>
      <c r="M372" s="35"/>
      <c r="N372" s="35"/>
    </row>
    <row r="373" spans="1:14" x14ac:dyDescent="0.3">
      <c r="A373" s="64" t="s">
        <v>214</v>
      </c>
      <c r="B373" s="74">
        <f>ABS(B360)</f>
        <v>0.77014284308857994</v>
      </c>
      <c r="C373" s="73" t="s">
        <v>215</v>
      </c>
      <c r="D373" s="35"/>
      <c r="E373" s="35"/>
      <c r="F373" s="64" t="s">
        <v>214</v>
      </c>
      <c r="G373" s="74">
        <f>ABS(G360)</f>
        <v>0.77014284308857994</v>
      </c>
      <c r="H373" s="73" t="s">
        <v>216</v>
      </c>
      <c r="I373" s="35"/>
      <c r="J373" s="35"/>
      <c r="K373" s="35"/>
      <c r="L373" s="35"/>
      <c r="M373" s="35"/>
      <c r="N373" s="35"/>
    </row>
    <row r="374" spans="1:14" x14ac:dyDescent="0.3">
      <c r="A374" s="68"/>
      <c r="B374" s="68"/>
      <c r="C374" s="73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</row>
    <row r="375" spans="1:14" x14ac:dyDescent="0.3">
      <c r="A375" s="367" t="s">
        <v>217</v>
      </c>
      <c r="B375" s="367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</row>
    <row r="376" spans="1:14" x14ac:dyDescent="0.3">
      <c r="A376" s="7"/>
      <c r="B376" s="36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</row>
    <row r="377" spans="1:14" x14ac:dyDescent="0.3">
      <c r="A377" s="80" t="s">
        <v>218</v>
      </c>
      <c r="B377" s="75">
        <f>ATAN((B372/((0.5*B339)+B373)))</f>
        <v>0.10174313852537023</v>
      </c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</row>
    <row r="378" spans="1:14" x14ac:dyDescent="0.3">
      <c r="A378" s="23" t="s">
        <v>219</v>
      </c>
      <c r="B378" s="75">
        <f>DEGREES(B377)</f>
        <v>5.8294524319186047</v>
      </c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</row>
    <row r="379" spans="1:14" x14ac:dyDescent="0.3">
      <c r="A379" s="64" t="s">
        <v>220</v>
      </c>
      <c r="B379" s="76">
        <f>(0.5*B339)*TAN(B377)</f>
        <v>7.6571751483236944E-2</v>
      </c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</row>
    <row r="380" spans="1:14" x14ac:dyDescent="0.3">
      <c r="A380" s="68"/>
      <c r="B380" s="79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</row>
    <row r="381" spans="1:14" x14ac:dyDescent="0.3">
      <c r="A381" s="406" t="s">
        <v>228</v>
      </c>
      <c r="B381" s="407"/>
      <c r="C381" s="407"/>
      <c r="D381" s="407"/>
      <c r="E381" s="407"/>
      <c r="F381" s="407"/>
      <c r="G381" s="408"/>
      <c r="H381" s="35"/>
      <c r="I381" s="35"/>
      <c r="J381" s="35"/>
      <c r="K381" s="35"/>
      <c r="L381" s="35"/>
      <c r="M381" s="35"/>
      <c r="N381" s="35"/>
    </row>
    <row r="382" spans="1:14" x14ac:dyDescent="0.3">
      <c r="A382" s="7"/>
      <c r="B382" s="36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</row>
    <row r="383" spans="1:14" x14ac:dyDescent="0.3">
      <c r="A383" s="367" t="s">
        <v>226</v>
      </c>
      <c r="B383" s="367"/>
      <c r="C383" s="35"/>
      <c r="D383" s="35"/>
      <c r="E383" s="35"/>
      <c r="F383" s="199" t="s">
        <v>227</v>
      </c>
      <c r="G383" s="199"/>
      <c r="H383" s="35"/>
      <c r="I383" s="35"/>
      <c r="J383" s="35"/>
      <c r="K383" s="35"/>
      <c r="L383" s="35"/>
      <c r="M383" s="35"/>
      <c r="N383" s="35"/>
    </row>
    <row r="384" spans="1:14" x14ac:dyDescent="0.3">
      <c r="A384" s="2" t="s">
        <v>196</v>
      </c>
      <c r="B384" s="71">
        <f>E4</f>
        <v>1.5</v>
      </c>
      <c r="C384" s="35"/>
      <c r="D384" s="35"/>
      <c r="E384" s="35"/>
      <c r="F384" s="2" t="s">
        <v>196</v>
      </c>
      <c r="G384" s="71">
        <f>E4</f>
        <v>1.5</v>
      </c>
      <c r="H384" s="35"/>
      <c r="I384" s="35"/>
      <c r="J384" s="35"/>
      <c r="K384" s="35"/>
      <c r="L384" s="35"/>
      <c r="M384" s="35"/>
      <c r="N384" s="35"/>
    </row>
    <row r="385" spans="1:14" x14ac:dyDescent="0.3">
      <c r="A385" s="2" t="s">
        <v>187</v>
      </c>
      <c r="B385" s="86">
        <v>5</v>
      </c>
      <c r="C385" s="35"/>
      <c r="D385" s="35"/>
      <c r="E385" s="35"/>
      <c r="F385" s="2" t="s">
        <v>187</v>
      </c>
      <c r="G385" s="86">
        <v>5</v>
      </c>
      <c r="H385" s="35"/>
      <c r="I385" s="35"/>
      <c r="J385" s="35"/>
      <c r="K385" s="35"/>
      <c r="L385" s="35"/>
      <c r="M385" s="35"/>
      <c r="N385" s="35"/>
    </row>
    <row r="386" spans="1:14" x14ac:dyDescent="0.3">
      <c r="A386" s="82" t="s">
        <v>189</v>
      </c>
      <c r="B386" s="75">
        <f>RADIANS(B385)</f>
        <v>8.7266462599716474E-2</v>
      </c>
      <c r="C386" s="35"/>
      <c r="D386" s="35"/>
      <c r="E386" s="35"/>
      <c r="F386" s="82" t="s">
        <v>189</v>
      </c>
      <c r="G386" s="75">
        <f>RADIANS(G385)</f>
        <v>8.7266462599716474E-2</v>
      </c>
      <c r="H386" s="35"/>
      <c r="I386" s="35"/>
      <c r="J386" s="35"/>
      <c r="K386" s="35"/>
      <c r="L386" s="35"/>
      <c r="M386" s="35"/>
      <c r="N386" s="35"/>
    </row>
    <row r="387" spans="1:14" x14ac:dyDescent="0.3">
      <c r="A387" s="2" t="s">
        <v>188</v>
      </c>
      <c r="B387" s="86">
        <v>8</v>
      </c>
      <c r="C387" s="35"/>
      <c r="D387" s="35"/>
      <c r="E387" s="35"/>
      <c r="F387" s="2" t="s">
        <v>188</v>
      </c>
      <c r="G387" s="86">
        <v>8</v>
      </c>
      <c r="H387" s="35"/>
      <c r="I387" s="35"/>
      <c r="J387" s="35"/>
      <c r="K387" s="35"/>
      <c r="L387" s="35"/>
      <c r="M387" s="35"/>
      <c r="N387" s="35"/>
    </row>
    <row r="388" spans="1:14" x14ac:dyDescent="0.3">
      <c r="A388" s="82" t="s">
        <v>189</v>
      </c>
      <c r="B388" s="75">
        <f>RADIANS(B387)</f>
        <v>0.13962634015954636</v>
      </c>
      <c r="C388" s="35"/>
      <c r="D388" s="35"/>
      <c r="E388" s="35"/>
      <c r="F388" s="82" t="s">
        <v>189</v>
      </c>
      <c r="G388" s="75">
        <f>RADIANS(G387)</f>
        <v>0.13962634015954636</v>
      </c>
      <c r="H388" s="35"/>
      <c r="I388" s="35"/>
      <c r="J388" s="35"/>
      <c r="K388" s="35"/>
      <c r="L388" s="35"/>
      <c r="M388" s="35"/>
      <c r="N388" s="35"/>
    </row>
    <row r="389" spans="1:14" x14ac:dyDescent="0.3">
      <c r="A389" s="376" t="s">
        <v>192</v>
      </c>
      <c r="B389" s="376"/>
      <c r="C389" s="35"/>
      <c r="D389" s="35"/>
      <c r="E389" s="35"/>
      <c r="F389" s="200" t="s">
        <v>192</v>
      </c>
      <c r="G389" s="200"/>
      <c r="H389" s="35"/>
      <c r="I389" s="35"/>
      <c r="J389" s="35"/>
      <c r="K389" s="35"/>
      <c r="L389" s="35"/>
      <c r="M389" s="35"/>
      <c r="N389" s="35"/>
    </row>
    <row r="390" spans="1:14" x14ac:dyDescent="0.3">
      <c r="A390" s="403" t="s">
        <v>190</v>
      </c>
      <c r="B390" s="403"/>
      <c r="C390" s="35"/>
      <c r="D390" s="35"/>
      <c r="E390" s="35"/>
      <c r="F390" s="201" t="s">
        <v>190</v>
      </c>
      <c r="G390" s="201"/>
      <c r="H390" s="35"/>
      <c r="I390" s="35"/>
      <c r="J390" s="35"/>
      <c r="K390" s="35"/>
      <c r="L390" s="35"/>
      <c r="M390" s="35"/>
      <c r="N390" s="35"/>
    </row>
    <row r="391" spans="1:14" x14ac:dyDescent="0.3">
      <c r="A391" s="376" t="s">
        <v>191</v>
      </c>
      <c r="B391" s="376"/>
      <c r="C391" s="35"/>
      <c r="D391" s="35"/>
      <c r="E391" s="35"/>
      <c r="F391" s="200" t="s">
        <v>191</v>
      </c>
      <c r="G391" s="200"/>
      <c r="H391" s="35"/>
      <c r="I391" s="35"/>
      <c r="J391" s="35"/>
      <c r="K391" s="35"/>
      <c r="L391" s="35"/>
      <c r="M391" s="35"/>
      <c r="N391" s="35"/>
    </row>
    <row r="392" spans="1:14" x14ac:dyDescent="0.3">
      <c r="A392" s="403" t="s">
        <v>193</v>
      </c>
      <c r="B392" s="403"/>
      <c r="C392" s="35"/>
      <c r="D392" s="35"/>
      <c r="E392" s="35"/>
      <c r="F392" s="201" t="s">
        <v>193</v>
      </c>
      <c r="G392" s="201"/>
      <c r="H392" s="35"/>
      <c r="I392" s="35"/>
      <c r="J392" s="35"/>
      <c r="K392" s="35"/>
      <c r="L392" s="35"/>
      <c r="M392" s="35"/>
      <c r="N392" s="35"/>
    </row>
    <row r="393" spans="1:14" x14ac:dyDescent="0.3">
      <c r="A393" s="81" t="s">
        <v>194</v>
      </c>
      <c r="B393" s="82">
        <f>(-TAN(B386))</f>
        <v>-8.7488663525924007E-2</v>
      </c>
      <c r="C393" s="73" t="s">
        <v>206</v>
      </c>
      <c r="D393" s="35"/>
      <c r="E393" s="35"/>
      <c r="F393" s="81" t="s">
        <v>194</v>
      </c>
      <c r="G393" s="82">
        <f>TAN(G386)</f>
        <v>8.7488663525924007E-2</v>
      </c>
      <c r="H393" s="35"/>
      <c r="I393" s="35"/>
      <c r="J393" s="35"/>
      <c r="K393" s="35"/>
      <c r="L393" s="35"/>
      <c r="M393" s="35"/>
      <c r="N393" s="35"/>
    </row>
    <row r="394" spans="1:14" x14ac:dyDescent="0.3">
      <c r="A394" s="81" t="s">
        <v>195</v>
      </c>
      <c r="B394" s="74">
        <f>TAN(B388)</f>
        <v>0.14054083470239145</v>
      </c>
      <c r="C394" s="35"/>
      <c r="D394" s="35"/>
      <c r="E394" s="35"/>
      <c r="F394" s="81" t="s">
        <v>195</v>
      </c>
      <c r="G394" s="74">
        <f>(-TAN(G388))</f>
        <v>-0.14054083470239145</v>
      </c>
      <c r="H394" s="35"/>
      <c r="I394" s="35"/>
      <c r="J394" s="35"/>
      <c r="K394" s="35"/>
      <c r="L394" s="35"/>
      <c r="M394" s="35"/>
      <c r="N394" s="35"/>
    </row>
    <row r="395" spans="1:14" x14ac:dyDescent="0.3">
      <c r="A395" s="77" t="s">
        <v>197</v>
      </c>
      <c r="B395" s="85">
        <v>11</v>
      </c>
      <c r="C395" s="35"/>
      <c r="D395" s="35"/>
      <c r="E395" s="35"/>
      <c r="F395" s="77" t="s">
        <v>197</v>
      </c>
      <c r="G395" s="85">
        <v>11</v>
      </c>
      <c r="H395" s="35"/>
      <c r="I395" s="35"/>
      <c r="J395" s="35"/>
      <c r="K395" s="35"/>
      <c r="L395" s="35"/>
      <c r="M395" s="35"/>
      <c r="N395" s="35"/>
    </row>
    <row r="396" spans="1:14" x14ac:dyDescent="0.3">
      <c r="A396" s="82" t="s">
        <v>189</v>
      </c>
      <c r="B396" s="74">
        <f>RADIANS(B395)</f>
        <v>0.19198621771937624</v>
      </c>
      <c r="C396" s="35"/>
      <c r="D396" s="35"/>
      <c r="E396" s="35"/>
      <c r="F396" s="82" t="s">
        <v>189</v>
      </c>
      <c r="G396" s="74">
        <f>RADIANS(G395)</f>
        <v>0.19198621771937624</v>
      </c>
      <c r="H396" s="35"/>
      <c r="I396" s="35"/>
      <c r="J396" s="35"/>
      <c r="K396" s="35"/>
      <c r="L396" s="35"/>
      <c r="M396" s="35"/>
      <c r="N396" s="35"/>
    </row>
    <row r="397" spans="1:14" x14ac:dyDescent="0.3">
      <c r="A397" s="81" t="s">
        <v>209</v>
      </c>
      <c r="B397" s="85">
        <v>0.1</v>
      </c>
      <c r="C397" s="73" t="s">
        <v>208</v>
      </c>
      <c r="D397" s="35"/>
      <c r="E397" s="35"/>
      <c r="F397" s="81" t="s">
        <v>209</v>
      </c>
      <c r="G397" s="85">
        <v>0.1</v>
      </c>
      <c r="H397" s="35"/>
      <c r="I397" s="35"/>
      <c r="J397" s="35"/>
      <c r="K397" s="35"/>
      <c r="L397" s="35"/>
      <c r="M397" s="35"/>
      <c r="N397" s="35"/>
    </row>
    <row r="398" spans="1:14" x14ac:dyDescent="0.3">
      <c r="A398" s="81" t="s">
        <v>210</v>
      </c>
      <c r="B398" s="85">
        <v>0.1</v>
      </c>
      <c r="C398" s="73" t="s">
        <v>208</v>
      </c>
      <c r="D398" s="35"/>
      <c r="E398" s="35"/>
      <c r="F398" s="81" t="s">
        <v>210</v>
      </c>
      <c r="G398" s="85">
        <v>0.1</v>
      </c>
      <c r="H398" s="35"/>
      <c r="I398" s="35"/>
      <c r="J398" s="35"/>
      <c r="K398" s="35"/>
      <c r="L398" s="35"/>
      <c r="M398" s="35"/>
      <c r="N398" s="35"/>
    </row>
    <row r="399" spans="1:14" x14ac:dyDescent="0.3">
      <c r="A399" s="81" t="s">
        <v>200</v>
      </c>
      <c r="B399" s="74">
        <f>(B397+B398)*TAN(B396)</f>
        <v>3.8876061827543697E-2</v>
      </c>
      <c r="C399" s="35"/>
      <c r="D399" s="35"/>
      <c r="E399" s="35"/>
      <c r="F399" s="81" t="s">
        <v>200</v>
      </c>
      <c r="G399" s="74">
        <f>(G397+G398)*TAN(G396)</f>
        <v>3.8876061827543697E-2</v>
      </c>
      <c r="H399" s="35"/>
      <c r="I399" s="35"/>
      <c r="J399" s="35"/>
      <c r="K399" s="35"/>
      <c r="L399" s="35"/>
      <c r="M399" s="35"/>
      <c r="N399" s="35"/>
    </row>
    <row r="400" spans="1:14" x14ac:dyDescent="0.3">
      <c r="A400" s="81" t="s">
        <v>201</v>
      </c>
      <c r="B400" s="85">
        <v>0</v>
      </c>
      <c r="C400" s="35"/>
      <c r="D400" s="35"/>
      <c r="E400" s="35"/>
      <c r="F400" s="81" t="s">
        <v>201</v>
      </c>
      <c r="G400" s="85">
        <v>0</v>
      </c>
      <c r="H400" s="35"/>
      <c r="I400" s="35"/>
      <c r="J400" s="35"/>
      <c r="K400" s="35"/>
      <c r="L400" s="35"/>
      <c r="M400" s="35"/>
      <c r="N400" s="35"/>
    </row>
    <row r="401" spans="1:14" x14ac:dyDescent="0.3">
      <c r="A401" s="81" t="s">
        <v>203</v>
      </c>
      <c r="B401" s="82">
        <f>((0.5*B384)-B400)*TAN(B386)</f>
        <v>6.5616497644443009E-2</v>
      </c>
      <c r="C401" s="35"/>
      <c r="D401" s="35"/>
      <c r="E401" s="35"/>
      <c r="F401" s="81" t="s">
        <v>203</v>
      </c>
      <c r="G401" s="82">
        <f>((0.5*G384)-G400)*TAN(G386)</f>
        <v>6.5616497644443009E-2</v>
      </c>
      <c r="H401" s="35"/>
      <c r="I401" s="35"/>
      <c r="J401" s="35"/>
      <c r="K401" s="35"/>
      <c r="L401" s="35"/>
      <c r="M401" s="35"/>
      <c r="N401" s="35"/>
    </row>
    <row r="402" spans="1:14" x14ac:dyDescent="0.3">
      <c r="A402" s="81" t="s">
        <v>204</v>
      </c>
      <c r="B402" s="82">
        <f>B401</f>
        <v>6.5616497644443009E-2</v>
      </c>
      <c r="C402" s="35"/>
      <c r="D402" s="35"/>
      <c r="E402" s="35"/>
      <c r="F402" s="81" t="s">
        <v>204</v>
      </c>
      <c r="G402" s="82">
        <f>G401</f>
        <v>6.5616497644443009E-2</v>
      </c>
      <c r="H402" s="35"/>
      <c r="I402" s="35"/>
      <c r="J402" s="35"/>
      <c r="K402" s="35"/>
      <c r="L402" s="35"/>
      <c r="M402" s="35"/>
      <c r="N402" s="35"/>
    </row>
    <row r="403" spans="1:14" x14ac:dyDescent="0.3">
      <c r="A403" s="81" t="s">
        <v>202</v>
      </c>
      <c r="B403" s="89">
        <f>((0.5*B384)-B399-B400)*TAN(B388)</f>
        <v>9.9941951847608831E-2</v>
      </c>
      <c r="C403" s="73" t="s">
        <v>198</v>
      </c>
      <c r="D403" s="35"/>
      <c r="E403" s="35"/>
      <c r="F403" s="81" t="s">
        <v>202</v>
      </c>
      <c r="G403" s="74">
        <f>((0.5*G384)-G399-G400)*TAN(G388)</f>
        <v>9.9941951847608831E-2</v>
      </c>
      <c r="H403" s="35"/>
      <c r="I403" s="35"/>
      <c r="J403" s="35"/>
      <c r="K403" s="35"/>
      <c r="L403" s="35"/>
      <c r="M403" s="35"/>
      <c r="N403" s="35"/>
    </row>
    <row r="404" spans="1:14" x14ac:dyDescent="0.3">
      <c r="A404" s="81" t="s">
        <v>199</v>
      </c>
      <c r="B404" s="74">
        <f>(B397+B398)-B403</f>
        <v>0.10005804815239118</v>
      </c>
      <c r="C404" s="35"/>
      <c r="D404" s="35"/>
      <c r="E404" s="35"/>
      <c r="F404" s="81" t="s">
        <v>199</v>
      </c>
      <c r="G404" s="74">
        <f>(G397+G398)-G403</f>
        <v>0.10005804815239118</v>
      </c>
      <c r="H404" s="35"/>
      <c r="I404" s="35"/>
      <c r="J404" s="35"/>
      <c r="K404" s="35"/>
      <c r="L404" s="35"/>
      <c r="M404" s="35"/>
      <c r="N404" s="35"/>
    </row>
    <row r="405" spans="1:14" x14ac:dyDescent="0.3">
      <c r="A405" s="81" t="s">
        <v>205</v>
      </c>
      <c r="B405" s="74">
        <f>(B404-B402)/(B393-B394)</f>
        <v>-0.15103989078405736</v>
      </c>
      <c r="C405" s="78" t="s">
        <v>225</v>
      </c>
      <c r="D405" s="35"/>
      <c r="E405" s="35"/>
      <c r="F405" s="81" t="s">
        <v>205</v>
      </c>
      <c r="G405" s="74">
        <f>(G404-G402)/(G393-G394)</f>
        <v>0.15103989078405736</v>
      </c>
      <c r="H405" s="35"/>
      <c r="I405" s="35"/>
      <c r="J405" s="35"/>
      <c r="K405" s="35"/>
      <c r="L405" s="35"/>
      <c r="M405" s="35"/>
      <c r="N405" s="35"/>
    </row>
    <row r="406" spans="1:14" x14ac:dyDescent="0.3">
      <c r="A406" s="84"/>
      <c r="B406" s="84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</row>
    <row r="407" spans="1:14" x14ac:dyDescent="0.3">
      <c r="A407" s="357" t="s">
        <v>283</v>
      </c>
      <c r="B407" s="358"/>
      <c r="C407" s="358"/>
      <c r="D407" s="358"/>
      <c r="E407" s="358"/>
      <c r="F407" s="358"/>
      <c r="G407" s="359"/>
      <c r="H407" s="35"/>
      <c r="I407" s="35"/>
      <c r="J407" s="35"/>
      <c r="K407" s="35"/>
      <c r="L407" s="35"/>
      <c r="M407" s="35"/>
      <c r="N407" s="35"/>
    </row>
    <row r="408" spans="1:14" x14ac:dyDescent="0.3">
      <c r="A408" s="84"/>
      <c r="B408" s="84"/>
      <c r="C408" s="84"/>
      <c r="D408" s="84"/>
      <c r="E408" s="84"/>
      <c r="F408" s="84"/>
      <c r="G408" s="84"/>
      <c r="H408" s="35"/>
      <c r="I408" s="35"/>
      <c r="J408" s="35"/>
      <c r="K408" s="35"/>
      <c r="L408" s="35"/>
      <c r="M408" s="35"/>
      <c r="N408" s="35"/>
    </row>
    <row r="409" spans="1:14" x14ac:dyDescent="0.3">
      <c r="A409" s="81" t="s">
        <v>252</v>
      </c>
      <c r="B409" s="74">
        <f>(0.5*B384)+ABS(B405)-B400</f>
        <v>0.90103989078405733</v>
      </c>
      <c r="C409" s="35"/>
      <c r="D409" s="35"/>
      <c r="E409" s="35"/>
      <c r="F409" s="83" t="s">
        <v>252</v>
      </c>
      <c r="G409" s="74">
        <f>(0.5*G384)+(ABS(G405))-G400</f>
        <v>0.90103989078405733</v>
      </c>
      <c r="H409" s="35"/>
      <c r="I409" s="35"/>
      <c r="J409" s="35"/>
      <c r="K409" s="35"/>
      <c r="L409" s="35"/>
      <c r="M409" s="35"/>
      <c r="N409" s="35"/>
    </row>
    <row r="410" spans="1:14" x14ac:dyDescent="0.3">
      <c r="A410" s="84"/>
      <c r="B410" s="84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</row>
    <row r="411" spans="1:14" x14ac:dyDescent="0.3">
      <c r="A411" s="357" t="s">
        <v>254</v>
      </c>
      <c r="B411" s="358"/>
      <c r="C411" s="358"/>
      <c r="D411" s="358"/>
      <c r="E411" s="358"/>
      <c r="F411" s="358"/>
      <c r="G411" s="359"/>
      <c r="H411" s="35"/>
      <c r="I411" s="35"/>
      <c r="J411" s="35"/>
      <c r="K411" s="35"/>
      <c r="L411" s="35"/>
      <c r="M411" s="35"/>
      <c r="N411" s="35"/>
    </row>
    <row r="412" spans="1:14" x14ac:dyDescent="0.3">
      <c r="A412" s="72"/>
      <c r="B412" s="84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</row>
    <row r="413" spans="1:14" x14ac:dyDescent="0.3">
      <c r="A413" s="81" t="s">
        <v>212</v>
      </c>
      <c r="B413" s="74">
        <f>C127</f>
        <v>0.51639999999999997</v>
      </c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</row>
    <row r="414" spans="1:14" x14ac:dyDescent="0.3">
      <c r="A414" s="84"/>
      <c r="B414" s="62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</row>
    <row r="415" spans="1:14" x14ac:dyDescent="0.3">
      <c r="A415" s="404" t="s">
        <v>211</v>
      </c>
      <c r="B415" s="404"/>
      <c r="C415" s="35"/>
      <c r="D415" s="35"/>
      <c r="E415" s="35"/>
      <c r="F415" s="202" t="s">
        <v>207</v>
      </c>
      <c r="G415" s="202"/>
      <c r="H415" s="35"/>
      <c r="I415" s="35"/>
      <c r="J415" s="35"/>
      <c r="K415" s="35"/>
      <c r="L415" s="35"/>
      <c r="M415" s="35"/>
      <c r="N415" s="35"/>
    </row>
    <row r="416" spans="1:14" x14ac:dyDescent="0.3">
      <c r="A416" s="81" t="s">
        <v>229</v>
      </c>
      <c r="B416" s="82">
        <f>B409*TAN(B386)</f>
        <v>7.8830775828241703E-2</v>
      </c>
      <c r="C416" s="35"/>
      <c r="D416" s="35"/>
      <c r="E416" s="35"/>
      <c r="F416" s="81" t="s">
        <v>229</v>
      </c>
      <c r="G416" s="82">
        <f>G409*TAN(G386)</f>
        <v>7.8830775828241703E-2</v>
      </c>
      <c r="H416" s="35"/>
      <c r="I416" s="35"/>
      <c r="J416" s="35"/>
      <c r="K416" s="35"/>
      <c r="L416" s="35"/>
      <c r="M416" s="35"/>
      <c r="N416" s="35"/>
    </row>
    <row r="417" spans="1:14" x14ac:dyDescent="0.3">
      <c r="A417" s="81" t="s">
        <v>213</v>
      </c>
      <c r="B417" s="74">
        <f>(0.5*B413)-B397+B416</f>
        <v>0.23703077582824167</v>
      </c>
      <c r="C417" s="35"/>
      <c r="D417" s="35"/>
      <c r="E417" s="35"/>
      <c r="F417" s="81" t="s">
        <v>213</v>
      </c>
      <c r="G417" s="74">
        <f>(0.5*B413)-G397+G416</f>
        <v>0.23703077582824167</v>
      </c>
      <c r="H417" s="35"/>
      <c r="I417" s="35"/>
      <c r="J417" s="35"/>
      <c r="K417" s="35"/>
      <c r="L417" s="35"/>
      <c r="M417" s="35"/>
      <c r="N417" s="35"/>
    </row>
    <row r="418" spans="1:14" x14ac:dyDescent="0.3">
      <c r="A418" s="81" t="s">
        <v>214</v>
      </c>
      <c r="B418" s="74">
        <f>ABS(B405)</f>
        <v>0.15103989078405736</v>
      </c>
      <c r="C418" s="73" t="s">
        <v>215</v>
      </c>
      <c r="D418" s="35"/>
      <c r="E418" s="35"/>
      <c r="F418" s="81" t="s">
        <v>214</v>
      </c>
      <c r="G418" s="74">
        <f>ABS(G405)</f>
        <v>0.15103989078405736</v>
      </c>
      <c r="H418" s="35"/>
      <c r="I418" s="35"/>
      <c r="J418" s="35"/>
      <c r="K418" s="35"/>
      <c r="L418" s="35"/>
      <c r="M418" s="35"/>
      <c r="N418" s="35"/>
    </row>
    <row r="419" spans="1:14" x14ac:dyDescent="0.3">
      <c r="A419" s="84"/>
      <c r="B419" s="84"/>
      <c r="C419" s="73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</row>
    <row r="420" spans="1:14" x14ac:dyDescent="0.3">
      <c r="A420" s="367" t="s">
        <v>217</v>
      </c>
      <c r="B420" s="367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</row>
    <row r="421" spans="1:14" x14ac:dyDescent="0.3">
      <c r="A421" s="7"/>
      <c r="B421" s="36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</row>
    <row r="422" spans="1:14" x14ac:dyDescent="0.3">
      <c r="A422" s="80" t="s">
        <v>218</v>
      </c>
      <c r="B422" s="75">
        <f>ATAN((B417/((0.5*B384)+B418)))</f>
        <v>0.25723550295472969</v>
      </c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</row>
    <row r="423" spans="1:14" x14ac:dyDescent="0.3">
      <c r="A423" s="82" t="s">
        <v>219</v>
      </c>
      <c r="B423" s="75">
        <f>DEGREES(B422)</f>
        <v>14.738508660231028</v>
      </c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</row>
    <row r="424" spans="1:14" x14ac:dyDescent="0.3">
      <c r="A424" s="81" t="s">
        <v>220</v>
      </c>
      <c r="B424" s="76">
        <f>(0.5*B384)*TAN(B422)</f>
        <v>0.19729768203324333</v>
      </c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</row>
    <row r="425" spans="1:14" x14ac:dyDescent="0.3">
      <c r="A425" s="84"/>
      <c r="B425" s="79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</row>
    <row r="426" spans="1:14" x14ac:dyDescent="0.3">
      <c r="A426" s="370" t="s">
        <v>234</v>
      </c>
      <c r="B426" s="370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</row>
    <row r="427" spans="1:14" x14ac:dyDescent="0.3">
      <c r="A427" s="87" t="s">
        <v>232</v>
      </c>
      <c r="B427" s="75">
        <f>C334-B379</f>
        <v>0.22342824851676304</v>
      </c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</row>
    <row r="428" spans="1:14" x14ac:dyDescent="0.3">
      <c r="A428" s="87" t="s">
        <v>233</v>
      </c>
      <c r="B428" s="75">
        <f>C334-B424</f>
        <v>0.10270231796675666</v>
      </c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</row>
    <row r="429" spans="1:14" x14ac:dyDescent="0.3">
      <c r="A429" s="88"/>
      <c r="B429" s="79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</row>
    <row r="430" spans="1:14" x14ac:dyDescent="0.3">
      <c r="A430" s="415" t="s">
        <v>509</v>
      </c>
      <c r="B430" s="416"/>
      <c r="C430" s="416"/>
      <c r="D430" s="416"/>
      <c r="E430" s="416"/>
      <c r="F430" s="416"/>
      <c r="G430" s="369"/>
      <c r="H430" s="35"/>
      <c r="I430" s="35"/>
      <c r="J430" s="35"/>
      <c r="K430" s="35"/>
      <c r="L430" s="35"/>
      <c r="M430" s="35"/>
      <c r="N430" s="35"/>
    </row>
    <row r="431" spans="1:14" x14ac:dyDescent="0.3"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</row>
    <row r="432" spans="1:14" x14ac:dyDescent="0.3">
      <c r="A432" s="367" t="s">
        <v>280</v>
      </c>
      <c r="B432" s="367"/>
      <c r="C432" s="35"/>
      <c r="D432" s="35"/>
      <c r="E432" s="35"/>
      <c r="F432" s="203" t="s">
        <v>281</v>
      </c>
      <c r="G432" s="203"/>
      <c r="H432" s="35"/>
      <c r="I432" s="35"/>
      <c r="J432" s="35"/>
      <c r="K432" s="35"/>
      <c r="L432" s="35"/>
      <c r="M432" s="35"/>
      <c r="N432" s="35"/>
    </row>
    <row r="433" spans="1:14" x14ac:dyDescent="0.3">
      <c r="A433" s="90" t="s">
        <v>239</v>
      </c>
      <c r="B433" s="75">
        <f>((0.5*B368)-B352)*TAN(B351)</f>
        <v>2.1811937545811153E-2</v>
      </c>
      <c r="C433" s="35"/>
      <c r="D433" s="35"/>
      <c r="E433" s="35"/>
      <c r="F433" s="90" t="s">
        <v>239</v>
      </c>
      <c r="G433" s="75">
        <f>((0.5*B413)-B397)*TAN(B396)</f>
        <v>3.0750964905587059E-2</v>
      </c>
      <c r="H433" s="35"/>
      <c r="I433" s="35"/>
      <c r="J433" s="35"/>
      <c r="K433" s="35"/>
      <c r="L433" s="35"/>
      <c r="M433" s="35"/>
      <c r="N433" s="35"/>
    </row>
    <row r="434" spans="1:14" x14ac:dyDescent="0.3">
      <c r="A434" s="91"/>
      <c r="B434" s="79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</row>
    <row r="435" spans="1:14" x14ac:dyDescent="0.3">
      <c r="A435" s="415" t="s">
        <v>510</v>
      </c>
      <c r="B435" s="416"/>
      <c r="C435" s="416"/>
      <c r="D435" s="416"/>
      <c r="E435" s="416"/>
      <c r="F435" s="416"/>
      <c r="G435" s="369"/>
      <c r="H435" s="35"/>
      <c r="I435" s="35"/>
      <c r="J435" s="35"/>
      <c r="K435" s="35"/>
      <c r="L435" s="35"/>
      <c r="M435" s="35"/>
      <c r="N435" s="35"/>
    </row>
    <row r="436" spans="1:14" x14ac:dyDescent="0.3">
      <c r="C436" s="35"/>
      <c r="D436" s="35"/>
      <c r="E436" s="35"/>
      <c r="H436" s="35"/>
      <c r="I436" s="35"/>
      <c r="J436" s="35"/>
      <c r="K436" s="35"/>
      <c r="L436" s="35"/>
      <c r="M436" s="35"/>
      <c r="N436" s="35"/>
    </row>
    <row r="437" spans="1:14" x14ac:dyDescent="0.3">
      <c r="A437" s="367" t="s">
        <v>280</v>
      </c>
      <c r="B437" s="367"/>
      <c r="C437" s="35"/>
      <c r="D437" s="35"/>
      <c r="E437" s="35"/>
      <c r="F437" s="203" t="s">
        <v>281</v>
      </c>
      <c r="G437" s="203"/>
      <c r="H437" s="35"/>
      <c r="I437" s="35"/>
      <c r="J437" s="35"/>
      <c r="K437" s="35"/>
      <c r="L437" s="35"/>
      <c r="M437" s="35"/>
      <c r="N437" s="35"/>
    </row>
    <row r="438" spans="1:14" x14ac:dyDescent="0.3">
      <c r="A438" s="115" t="s">
        <v>508</v>
      </c>
      <c r="B438" s="75">
        <f>DEGREES(ATAN(1/(B364*1000)))</f>
        <v>3.769104430467092E-2</v>
      </c>
      <c r="C438" s="35"/>
      <c r="D438" s="35"/>
      <c r="E438" s="35"/>
      <c r="F438" s="114" t="s">
        <v>282</v>
      </c>
      <c r="G438" s="26">
        <f>DEGREES(ATAN(1/(1000*B409)))</f>
        <v>6.3588478795456163E-2</v>
      </c>
      <c r="H438" s="35"/>
      <c r="I438" s="35"/>
      <c r="J438" s="35"/>
      <c r="K438" s="35"/>
      <c r="L438" s="35"/>
      <c r="M438" s="35"/>
      <c r="N438" s="35"/>
    </row>
    <row r="439" spans="1:14" x14ac:dyDescent="0.3">
      <c r="A439" s="116"/>
      <c r="B439" s="79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</row>
    <row r="440" spans="1:14" x14ac:dyDescent="0.3">
      <c r="A440" s="116"/>
      <c r="B440" s="79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</row>
    <row r="441" spans="1:14" x14ac:dyDescent="0.3">
      <c r="A441" s="373" t="s">
        <v>235</v>
      </c>
      <c r="B441" s="374"/>
      <c r="C441" s="374"/>
      <c r="D441" s="374"/>
      <c r="E441" s="374"/>
      <c r="F441" s="374"/>
      <c r="G441" s="374"/>
      <c r="H441" s="374"/>
      <c r="I441" s="374"/>
      <c r="J441" s="374"/>
      <c r="K441" s="375"/>
      <c r="L441" s="35"/>
      <c r="M441" s="35"/>
      <c r="N441" s="35"/>
    </row>
    <row r="442" spans="1:14" x14ac:dyDescent="0.3">
      <c r="A442" s="360"/>
      <c r="B442" s="361"/>
      <c r="C442" s="364" t="s">
        <v>230</v>
      </c>
      <c r="D442" s="365"/>
      <c r="E442" s="365"/>
      <c r="F442" s="365"/>
      <c r="G442" s="365"/>
      <c r="H442" s="365"/>
      <c r="I442" s="365"/>
      <c r="J442" s="365"/>
      <c r="K442" s="366"/>
      <c r="L442" s="35"/>
      <c r="M442" s="35"/>
      <c r="N442" s="35"/>
    </row>
    <row r="443" spans="1:14" x14ac:dyDescent="0.3">
      <c r="A443" s="362"/>
      <c r="B443" s="363"/>
      <c r="C443" s="94">
        <v>5</v>
      </c>
      <c r="D443" s="94">
        <v>10</v>
      </c>
      <c r="E443" s="94">
        <v>15</v>
      </c>
      <c r="F443" s="94">
        <v>20</v>
      </c>
      <c r="G443" s="94">
        <v>25</v>
      </c>
      <c r="H443" s="94">
        <v>30</v>
      </c>
      <c r="I443" s="94">
        <v>35</v>
      </c>
      <c r="J443" s="94">
        <v>40</v>
      </c>
      <c r="K443" s="94">
        <v>45</v>
      </c>
      <c r="L443" s="35"/>
      <c r="M443" s="35"/>
      <c r="N443" s="35"/>
    </row>
    <row r="444" spans="1:14" x14ac:dyDescent="0.3">
      <c r="A444" s="397" t="s">
        <v>231</v>
      </c>
      <c r="B444" s="94">
        <v>5</v>
      </c>
      <c r="C444" s="92">
        <f t="shared" ref="C444:K444" si="186">(C$443^2)/$B444</f>
        <v>5</v>
      </c>
      <c r="D444" s="92">
        <f t="shared" si="186"/>
        <v>20</v>
      </c>
      <c r="E444" s="92">
        <f t="shared" si="186"/>
        <v>45</v>
      </c>
      <c r="F444" s="92">
        <f t="shared" si="186"/>
        <v>80</v>
      </c>
      <c r="G444" s="92">
        <f t="shared" si="186"/>
        <v>125</v>
      </c>
      <c r="H444" s="92">
        <f t="shared" si="186"/>
        <v>180</v>
      </c>
      <c r="I444" s="92">
        <f t="shared" si="186"/>
        <v>245</v>
      </c>
      <c r="J444" s="92">
        <f t="shared" si="186"/>
        <v>320</v>
      </c>
      <c r="K444" s="92">
        <f t="shared" si="186"/>
        <v>405</v>
      </c>
      <c r="L444" s="35"/>
      <c r="M444" s="35"/>
      <c r="N444" s="35"/>
    </row>
    <row r="445" spans="1:14" x14ac:dyDescent="0.3">
      <c r="A445" s="397"/>
      <c r="B445" s="94">
        <v>10</v>
      </c>
      <c r="C445" s="92">
        <f t="shared" ref="C445:C463" si="187">(C$443^2)/B445</f>
        <v>2.5</v>
      </c>
      <c r="D445" s="92">
        <f t="shared" ref="D445:K454" si="188">(D$443^2)/$B445</f>
        <v>10</v>
      </c>
      <c r="E445" s="92">
        <f t="shared" si="188"/>
        <v>22.5</v>
      </c>
      <c r="F445" s="92">
        <f t="shared" si="188"/>
        <v>40</v>
      </c>
      <c r="G445" s="92">
        <f t="shared" si="188"/>
        <v>62.5</v>
      </c>
      <c r="H445" s="92">
        <f t="shared" si="188"/>
        <v>90</v>
      </c>
      <c r="I445" s="92">
        <f t="shared" si="188"/>
        <v>122.5</v>
      </c>
      <c r="J445" s="92">
        <f t="shared" si="188"/>
        <v>160</v>
      </c>
      <c r="K445" s="92">
        <f t="shared" si="188"/>
        <v>202.5</v>
      </c>
      <c r="L445" s="35"/>
      <c r="M445" s="35"/>
      <c r="N445" s="35"/>
    </row>
    <row r="446" spans="1:14" x14ac:dyDescent="0.3">
      <c r="A446" s="397"/>
      <c r="B446" s="94">
        <v>15</v>
      </c>
      <c r="C446" s="92">
        <f t="shared" si="187"/>
        <v>1.6666666666666667</v>
      </c>
      <c r="D446" s="92">
        <f t="shared" si="188"/>
        <v>6.666666666666667</v>
      </c>
      <c r="E446" s="92">
        <f t="shared" si="188"/>
        <v>15</v>
      </c>
      <c r="F446" s="92">
        <f t="shared" si="188"/>
        <v>26.666666666666668</v>
      </c>
      <c r="G446" s="92">
        <f t="shared" si="188"/>
        <v>41.666666666666664</v>
      </c>
      <c r="H446" s="92">
        <f t="shared" si="188"/>
        <v>60</v>
      </c>
      <c r="I446" s="92">
        <f t="shared" si="188"/>
        <v>81.666666666666671</v>
      </c>
      <c r="J446" s="92">
        <f t="shared" si="188"/>
        <v>106.66666666666667</v>
      </c>
      <c r="K446" s="92">
        <f t="shared" si="188"/>
        <v>135</v>
      </c>
      <c r="L446" s="35"/>
      <c r="M446" s="35"/>
      <c r="N446" s="35"/>
    </row>
    <row r="447" spans="1:14" x14ac:dyDescent="0.3">
      <c r="A447" s="397"/>
      <c r="B447" s="94">
        <v>20</v>
      </c>
      <c r="C447" s="92">
        <f t="shared" si="187"/>
        <v>1.25</v>
      </c>
      <c r="D447" s="92">
        <f t="shared" si="188"/>
        <v>5</v>
      </c>
      <c r="E447" s="92">
        <f t="shared" si="188"/>
        <v>11.25</v>
      </c>
      <c r="F447" s="92">
        <f t="shared" si="188"/>
        <v>20</v>
      </c>
      <c r="G447" s="92">
        <f t="shared" si="188"/>
        <v>31.25</v>
      </c>
      <c r="H447" s="92">
        <f t="shared" si="188"/>
        <v>45</v>
      </c>
      <c r="I447" s="92">
        <f t="shared" si="188"/>
        <v>61.25</v>
      </c>
      <c r="J447" s="92">
        <f t="shared" si="188"/>
        <v>80</v>
      </c>
      <c r="K447" s="92">
        <f t="shared" si="188"/>
        <v>101.25</v>
      </c>
      <c r="L447" s="35"/>
      <c r="M447" s="35"/>
      <c r="N447" s="35"/>
    </row>
    <row r="448" spans="1:14" x14ac:dyDescent="0.3">
      <c r="A448" s="397"/>
      <c r="B448" s="94">
        <v>25</v>
      </c>
      <c r="C448" s="92">
        <f t="shared" si="187"/>
        <v>1</v>
      </c>
      <c r="D448" s="92">
        <f t="shared" si="188"/>
        <v>4</v>
      </c>
      <c r="E448" s="92">
        <f t="shared" si="188"/>
        <v>9</v>
      </c>
      <c r="F448" s="92">
        <f t="shared" si="188"/>
        <v>16</v>
      </c>
      <c r="G448" s="92">
        <f t="shared" si="188"/>
        <v>25</v>
      </c>
      <c r="H448" s="92">
        <f t="shared" si="188"/>
        <v>36</v>
      </c>
      <c r="I448" s="92">
        <f t="shared" si="188"/>
        <v>49</v>
      </c>
      <c r="J448" s="92">
        <f t="shared" si="188"/>
        <v>64</v>
      </c>
      <c r="K448" s="92">
        <f t="shared" si="188"/>
        <v>81</v>
      </c>
      <c r="L448" s="35"/>
      <c r="M448" s="35"/>
      <c r="N448" s="35"/>
    </row>
    <row r="449" spans="1:14" x14ac:dyDescent="0.3">
      <c r="A449" s="397"/>
      <c r="B449" s="94">
        <v>30</v>
      </c>
      <c r="C449" s="92">
        <f t="shared" si="187"/>
        <v>0.83333333333333337</v>
      </c>
      <c r="D449" s="92">
        <f t="shared" si="188"/>
        <v>3.3333333333333335</v>
      </c>
      <c r="E449" s="92">
        <f t="shared" si="188"/>
        <v>7.5</v>
      </c>
      <c r="F449" s="92">
        <f t="shared" si="188"/>
        <v>13.333333333333334</v>
      </c>
      <c r="G449" s="92">
        <f t="shared" si="188"/>
        <v>20.833333333333332</v>
      </c>
      <c r="H449" s="92">
        <f t="shared" si="188"/>
        <v>30</v>
      </c>
      <c r="I449" s="92">
        <f t="shared" si="188"/>
        <v>40.833333333333336</v>
      </c>
      <c r="J449" s="92">
        <f t="shared" si="188"/>
        <v>53.333333333333336</v>
      </c>
      <c r="K449" s="92">
        <f t="shared" si="188"/>
        <v>67.5</v>
      </c>
      <c r="L449" s="35"/>
      <c r="M449" s="35"/>
      <c r="N449" s="35"/>
    </row>
    <row r="450" spans="1:14" x14ac:dyDescent="0.3">
      <c r="A450" s="397"/>
      <c r="B450" s="94">
        <v>35</v>
      </c>
      <c r="C450" s="92">
        <f t="shared" si="187"/>
        <v>0.7142857142857143</v>
      </c>
      <c r="D450" s="92">
        <f t="shared" si="188"/>
        <v>2.8571428571428572</v>
      </c>
      <c r="E450" s="92">
        <f t="shared" si="188"/>
        <v>6.4285714285714288</v>
      </c>
      <c r="F450" s="92">
        <f t="shared" si="188"/>
        <v>11.428571428571429</v>
      </c>
      <c r="G450" s="92">
        <f t="shared" si="188"/>
        <v>17.857142857142858</v>
      </c>
      <c r="H450" s="92">
        <f t="shared" si="188"/>
        <v>25.714285714285715</v>
      </c>
      <c r="I450" s="92">
        <f t="shared" si="188"/>
        <v>35</v>
      </c>
      <c r="J450" s="92">
        <f t="shared" si="188"/>
        <v>45.714285714285715</v>
      </c>
      <c r="K450" s="92">
        <f t="shared" si="188"/>
        <v>57.857142857142854</v>
      </c>
      <c r="L450" s="35"/>
      <c r="M450" s="35"/>
      <c r="N450" s="35"/>
    </row>
    <row r="451" spans="1:14" x14ac:dyDescent="0.3">
      <c r="A451" s="397"/>
      <c r="B451" s="94">
        <v>40</v>
      </c>
      <c r="C451" s="92">
        <f t="shared" si="187"/>
        <v>0.625</v>
      </c>
      <c r="D451" s="92">
        <f t="shared" si="188"/>
        <v>2.5</v>
      </c>
      <c r="E451" s="92">
        <f t="shared" si="188"/>
        <v>5.625</v>
      </c>
      <c r="F451" s="92">
        <f t="shared" si="188"/>
        <v>10</v>
      </c>
      <c r="G451" s="92">
        <f t="shared" si="188"/>
        <v>15.625</v>
      </c>
      <c r="H451" s="92">
        <f t="shared" si="188"/>
        <v>22.5</v>
      </c>
      <c r="I451" s="92">
        <f t="shared" si="188"/>
        <v>30.625</v>
      </c>
      <c r="J451" s="92">
        <f t="shared" si="188"/>
        <v>40</v>
      </c>
      <c r="K451" s="92">
        <f t="shared" si="188"/>
        <v>50.625</v>
      </c>
      <c r="L451" s="35"/>
      <c r="M451" s="35"/>
      <c r="N451" s="35"/>
    </row>
    <row r="452" spans="1:14" x14ac:dyDescent="0.3">
      <c r="A452" s="397"/>
      <c r="B452" s="94">
        <v>45</v>
      </c>
      <c r="C452" s="92">
        <f t="shared" si="187"/>
        <v>0.55555555555555558</v>
      </c>
      <c r="D452" s="92">
        <f t="shared" si="188"/>
        <v>2.2222222222222223</v>
      </c>
      <c r="E452" s="92">
        <f t="shared" si="188"/>
        <v>5</v>
      </c>
      <c r="F452" s="92">
        <f t="shared" si="188"/>
        <v>8.8888888888888893</v>
      </c>
      <c r="G452" s="92">
        <f t="shared" si="188"/>
        <v>13.888888888888889</v>
      </c>
      <c r="H452" s="92">
        <f t="shared" si="188"/>
        <v>20</v>
      </c>
      <c r="I452" s="92">
        <f t="shared" si="188"/>
        <v>27.222222222222221</v>
      </c>
      <c r="J452" s="92">
        <f t="shared" si="188"/>
        <v>35.555555555555557</v>
      </c>
      <c r="K452" s="92">
        <f t="shared" si="188"/>
        <v>45</v>
      </c>
      <c r="L452" s="35"/>
      <c r="M452" s="35"/>
      <c r="N452" s="35"/>
    </row>
    <row r="453" spans="1:14" x14ac:dyDescent="0.3">
      <c r="A453" s="397"/>
      <c r="B453" s="94">
        <v>50</v>
      </c>
      <c r="C453" s="92">
        <f t="shared" si="187"/>
        <v>0.5</v>
      </c>
      <c r="D453" s="92">
        <f t="shared" si="188"/>
        <v>2</v>
      </c>
      <c r="E453" s="92">
        <f t="shared" si="188"/>
        <v>4.5</v>
      </c>
      <c r="F453" s="92">
        <f t="shared" si="188"/>
        <v>8</v>
      </c>
      <c r="G453" s="92">
        <f t="shared" si="188"/>
        <v>12.5</v>
      </c>
      <c r="H453" s="92">
        <f t="shared" si="188"/>
        <v>18</v>
      </c>
      <c r="I453" s="92">
        <f t="shared" si="188"/>
        <v>24.5</v>
      </c>
      <c r="J453" s="92">
        <f t="shared" si="188"/>
        <v>32</v>
      </c>
      <c r="K453" s="92">
        <f t="shared" si="188"/>
        <v>40.5</v>
      </c>
      <c r="L453" s="35"/>
      <c r="M453" s="35"/>
      <c r="N453" s="35"/>
    </row>
    <row r="454" spans="1:14" x14ac:dyDescent="0.3">
      <c r="A454" s="397"/>
      <c r="B454" s="94">
        <v>55</v>
      </c>
      <c r="C454" s="92">
        <f t="shared" si="187"/>
        <v>0.45454545454545453</v>
      </c>
      <c r="D454" s="92">
        <f t="shared" si="188"/>
        <v>1.8181818181818181</v>
      </c>
      <c r="E454" s="92">
        <f t="shared" si="188"/>
        <v>4.0909090909090908</v>
      </c>
      <c r="F454" s="92">
        <f t="shared" si="188"/>
        <v>7.2727272727272725</v>
      </c>
      <c r="G454" s="92">
        <f t="shared" si="188"/>
        <v>11.363636363636363</v>
      </c>
      <c r="H454" s="92">
        <f t="shared" si="188"/>
        <v>16.363636363636363</v>
      </c>
      <c r="I454" s="92">
        <f t="shared" si="188"/>
        <v>22.272727272727273</v>
      </c>
      <c r="J454" s="92">
        <f t="shared" si="188"/>
        <v>29.09090909090909</v>
      </c>
      <c r="K454" s="92">
        <f t="shared" si="188"/>
        <v>36.81818181818182</v>
      </c>
      <c r="L454" s="35"/>
      <c r="M454" s="35"/>
      <c r="N454" s="35"/>
    </row>
    <row r="455" spans="1:14" x14ac:dyDescent="0.3">
      <c r="A455" s="397"/>
      <c r="B455" s="94">
        <v>60</v>
      </c>
      <c r="C455" s="92">
        <f t="shared" si="187"/>
        <v>0.41666666666666669</v>
      </c>
      <c r="D455" s="92">
        <f t="shared" ref="D455:K463" si="189">(D$443^2)/$B455</f>
        <v>1.6666666666666667</v>
      </c>
      <c r="E455" s="92">
        <f t="shared" si="189"/>
        <v>3.75</v>
      </c>
      <c r="F455" s="92">
        <f t="shared" si="189"/>
        <v>6.666666666666667</v>
      </c>
      <c r="G455" s="92">
        <f t="shared" si="189"/>
        <v>10.416666666666666</v>
      </c>
      <c r="H455" s="92">
        <f t="shared" si="189"/>
        <v>15</v>
      </c>
      <c r="I455" s="92">
        <f t="shared" si="189"/>
        <v>20.416666666666668</v>
      </c>
      <c r="J455" s="92">
        <f t="shared" si="189"/>
        <v>26.666666666666668</v>
      </c>
      <c r="K455" s="92">
        <f t="shared" si="189"/>
        <v>33.75</v>
      </c>
      <c r="L455" s="35"/>
      <c r="M455" s="35"/>
      <c r="N455" s="35"/>
    </row>
    <row r="456" spans="1:14" x14ac:dyDescent="0.3">
      <c r="A456" s="397"/>
      <c r="B456" s="94">
        <v>65</v>
      </c>
      <c r="C456" s="92">
        <f t="shared" si="187"/>
        <v>0.38461538461538464</v>
      </c>
      <c r="D456" s="92">
        <f t="shared" si="189"/>
        <v>1.5384615384615385</v>
      </c>
      <c r="E456" s="92">
        <f t="shared" si="189"/>
        <v>3.4615384615384617</v>
      </c>
      <c r="F456" s="92">
        <f t="shared" si="189"/>
        <v>6.1538461538461542</v>
      </c>
      <c r="G456" s="92">
        <f t="shared" si="189"/>
        <v>9.615384615384615</v>
      </c>
      <c r="H456" s="92">
        <f t="shared" si="189"/>
        <v>13.846153846153847</v>
      </c>
      <c r="I456" s="92">
        <f t="shared" si="189"/>
        <v>18.846153846153847</v>
      </c>
      <c r="J456" s="92">
        <f t="shared" si="189"/>
        <v>24.615384615384617</v>
      </c>
      <c r="K456" s="92">
        <f t="shared" si="189"/>
        <v>31.153846153846153</v>
      </c>
      <c r="L456" s="35"/>
      <c r="M456" s="35"/>
      <c r="N456" s="35"/>
    </row>
    <row r="457" spans="1:14" x14ac:dyDescent="0.3">
      <c r="A457" s="397"/>
      <c r="B457" s="94">
        <v>70</v>
      </c>
      <c r="C457" s="92">
        <f t="shared" si="187"/>
        <v>0.35714285714285715</v>
      </c>
      <c r="D457" s="92">
        <f t="shared" si="189"/>
        <v>1.4285714285714286</v>
      </c>
      <c r="E457" s="92">
        <f t="shared" si="189"/>
        <v>3.2142857142857144</v>
      </c>
      <c r="F457" s="92">
        <f t="shared" si="189"/>
        <v>5.7142857142857144</v>
      </c>
      <c r="G457" s="92">
        <f t="shared" si="189"/>
        <v>8.9285714285714288</v>
      </c>
      <c r="H457" s="92">
        <f t="shared" si="189"/>
        <v>12.857142857142858</v>
      </c>
      <c r="I457" s="92">
        <f t="shared" si="189"/>
        <v>17.5</v>
      </c>
      <c r="J457" s="92">
        <f t="shared" si="189"/>
        <v>22.857142857142858</v>
      </c>
      <c r="K457" s="92">
        <f t="shared" si="189"/>
        <v>28.928571428571427</v>
      </c>
      <c r="L457" s="35"/>
      <c r="M457" s="35"/>
      <c r="N457" s="35"/>
    </row>
    <row r="458" spans="1:14" x14ac:dyDescent="0.3">
      <c r="A458" s="397"/>
      <c r="B458" s="94">
        <v>75</v>
      </c>
      <c r="C458" s="92">
        <f t="shared" si="187"/>
        <v>0.33333333333333331</v>
      </c>
      <c r="D458" s="92">
        <f t="shared" si="189"/>
        <v>1.3333333333333333</v>
      </c>
      <c r="E458" s="92">
        <f t="shared" si="189"/>
        <v>3</v>
      </c>
      <c r="F458" s="92">
        <f t="shared" si="189"/>
        <v>5.333333333333333</v>
      </c>
      <c r="G458" s="92">
        <f t="shared" si="189"/>
        <v>8.3333333333333339</v>
      </c>
      <c r="H458" s="92">
        <f t="shared" si="189"/>
        <v>12</v>
      </c>
      <c r="I458" s="92">
        <f t="shared" si="189"/>
        <v>16.333333333333332</v>
      </c>
      <c r="J458" s="92">
        <f t="shared" si="189"/>
        <v>21.333333333333332</v>
      </c>
      <c r="K458" s="92">
        <f t="shared" si="189"/>
        <v>27</v>
      </c>
      <c r="L458" s="35"/>
      <c r="M458" s="35"/>
      <c r="N458" s="35"/>
    </row>
    <row r="459" spans="1:14" x14ac:dyDescent="0.3">
      <c r="A459" s="397"/>
      <c r="B459" s="94">
        <v>80</v>
      </c>
      <c r="C459" s="92">
        <f t="shared" si="187"/>
        <v>0.3125</v>
      </c>
      <c r="D459" s="92">
        <f t="shared" si="189"/>
        <v>1.25</v>
      </c>
      <c r="E459" s="92">
        <f t="shared" si="189"/>
        <v>2.8125</v>
      </c>
      <c r="F459" s="92">
        <f t="shared" si="189"/>
        <v>5</v>
      </c>
      <c r="G459" s="92">
        <f t="shared" si="189"/>
        <v>7.8125</v>
      </c>
      <c r="H459" s="92">
        <f t="shared" si="189"/>
        <v>11.25</v>
      </c>
      <c r="I459" s="92">
        <f t="shared" si="189"/>
        <v>15.3125</v>
      </c>
      <c r="J459" s="92">
        <f t="shared" si="189"/>
        <v>20</v>
      </c>
      <c r="K459" s="92">
        <f t="shared" si="189"/>
        <v>25.3125</v>
      </c>
      <c r="L459" s="35"/>
      <c r="M459" s="35"/>
      <c r="N459" s="35"/>
    </row>
    <row r="460" spans="1:14" x14ac:dyDescent="0.3">
      <c r="A460" s="397"/>
      <c r="B460" s="94">
        <v>85</v>
      </c>
      <c r="C460" s="92">
        <f t="shared" si="187"/>
        <v>0.29411764705882354</v>
      </c>
      <c r="D460" s="92">
        <f t="shared" si="189"/>
        <v>1.1764705882352942</v>
      </c>
      <c r="E460" s="92">
        <f t="shared" si="189"/>
        <v>2.6470588235294117</v>
      </c>
      <c r="F460" s="92">
        <f t="shared" si="189"/>
        <v>4.7058823529411766</v>
      </c>
      <c r="G460" s="92">
        <f t="shared" si="189"/>
        <v>7.3529411764705879</v>
      </c>
      <c r="H460" s="92">
        <f t="shared" si="189"/>
        <v>10.588235294117647</v>
      </c>
      <c r="I460" s="92">
        <f t="shared" si="189"/>
        <v>14.411764705882353</v>
      </c>
      <c r="J460" s="92">
        <f t="shared" si="189"/>
        <v>18.823529411764707</v>
      </c>
      <c r="K460" s="92">
        <f t="shared" si="189"/>
        <v>23.823529411764707</v>
      </c>
      <c r="L460" s="35"/>
      <c r="M460" s="35"/>
      <c r="N460" s="35"/>
    </row>
    <row r="461" spans="1:14" x14ac:dyDescent="0.3">
      <c r="A461" s="397"/>
      <c r="B461" s="94">
        <v>90</v>
      </c>
      <c r="C461" s="92">
        <f t="shared" si="187"/>
        <v>0.27777777777777779</v>
      </c>
      <c r="D461" s="92">
        <f t="shared" si="189"/>
        <v>1.1111111111111112</v>
      </c>
      <c r="E461" s="92">
        <f t="shared" si="189"/>
        <v>2.5</v>
      </c>
      <c r="F461" s="92">
        <f t="shared" si="189"/>
        <v>4.4444444444444446</v>
      </c>
      <c r="G461" s="92">
        <f t="shared" si="189"/>
        <v>6.9444444444444446</v>
      </c>
      <c r="H461" s="92">
        <f t="shared" si="189"/>
        <v>10</v>
      </c>
      <c r="I461" s="92">
        <f t="shared" si="189"/>
        <v>13.611111111111111</v>
      </c>
      <c r="J461" s="92">
        <f t="shared" si="189"/>
        <v>17.777777777777779</v>
      </c>
      <c r="K461" s="92">
        <f t="shared" si="189"/>
        <v>22.5</v>
      </c>
      <c r="L461" s="35"/>
      <c r="M461" s="35"/>
      <c r="N461" s="35"/>
    </row>
    <row r="462" spans="1:14" x14ac:dyDescent="0.3">
      <c r="A462" s="397"/>
      <c r="B462" s="94">
        <v>95</v>
      </c>
      <c r="C462" s="92">
        <f t="shared" si="187"/>
        <v>0.26315789473684209</v>
      </c>
      <c r="D462" s="92">
        <f t="shared" si="189"/>
        <v>1.0526315789473684</v>
      </c>
      <c r="E462" s="92">
        <f t="shared" si="189"/>
        <v>2.3684210526315788</v>
      </c>
      <c r="F462" s="92">
        <f t="shared" si="189"/>
        <v>4.2105263157894735</v>
      </c>
      <c r="G462" s="92">
        <f t="shared" si="189"/>
        <v>6.5789473684210522</v>
      </c>
      <c r="H462" s="92">
        <f t="shared" si="189"/>
        <v>9.473684210526315</v>
      </c>
      <c r="I462" s="92">
        <f t="shared" si="189"/>
        <v>12.894736842105264</v>
      </c>
      <c r="J462" s="92">
        <f t="shared" si="189"/>
        <v>16.842105263157894</v>
      </c>
      <c r="K462" s="92">
        <f t="shared" si="189"/>
        <v>21.315789473684209</v>
      </c>
      <c r="L462" s="35"/>
      <c r="M462" s="35"/>
      <c r="N462" s="35"/>
    </row>
    <row r="463" spans="1:14" x14ac:dyDescent="0.3">
      <c r="A463" s="397"/>
      <c r="B463" s="94">
        <v>100</v>
      </c>
      <c r="C463" s="92">
        <f t="shared" si="187"/>
        <v>0.25</v>
      </c>
      <c r="D463" s="92">
        <f t="shared" si="189"/>
        <v>1</v>
      </c>
      <c r="E463" s="92">
        <f t="shared" si="189"/>
        <v>2.25</v>
      </c>
      <c r="F463" s="92">
        <f t="shared" si="189"/>
        <v>4</v>
      </c>
      <c r="G463" s="92">
        <f t="shared" si="189"/>
        <v>6.25</v>
      </c>
      <c r="H463" s="92">
        <f t="shared" si="189"/>
        <v>9</v>
      </c>
      <c r="I463" s="92">
        <f t="shared" si="189"/>
        <v>12.25</v>
      </c>
      <c r="J463" s="92">
        <f t="shared" si="189"/>
        <v>16</v>
      </c>
      <c r="K463" s="92">
        <f t="shared" si="189"/>
        <v>20.25</v>
      </c>
      <c r="L463" s="35"/>
      <c r="M463" s="35"/>
      <c r="N463" s="35"/>
    </row>
    <row r="464" spans="1:14" x14ac:dyDescent="0.3">
      <c r="A464" s="88"/>
      <c r="B464" s="79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</row>
    <row r="465" spans="1:14" x14ac:dyDescent="0.3">
      <c r="A465" s="373" t="s">
        <v>236</v>
      </c>
      <c r="B465" s="374"/>
      <c r="C465" s="374"/>
      <c r="D465" s="374"/>
      <c r="E465" s="374"/>
      <c r="F465" s="374"/>
      <c r="G465" s="374"/>
      <c r="H465" s="374"/>
      <c r="I465" s="374"/>
      <c r="J465" s="374"/>
      <c r="K465" s="375"/>
      <c r="L465" s="35"/>
      <c r="M465" s="35"/>
      <c r="N465" s="35"/>
    </row>
    <row r="466" spans="1:14" x14ac:dyDescent="0.3">
      <c r="A466" s="360"/>
      <c r="B466" s="361"/>
      <c r="C466" s="364" t="s">
        <v>230</v>
      </c>
      <c r="D466" s="365"/>
      <c r="E466" s="365"/>
      <c r="F466" s="365"/>
      <c r="G466" s="365"/>
      <c r="H466" s="365"/>
      <c r="I466" s="365"/>
      <c r="J466" s="365"/>
      <c r="K466" s="366"/>
      <c r="L466" s="35"/>
      <c r="M466" s="35"/>
      <c r="N466" s="35"/>
    </row>
    <row r="467" spans="1:14" x14ac:dyDescent="0.3">
      <c r="A467" s="362"/>
      <c r="B467" s="363"/>
      <c r="C467" s="94">
        <v>5</v>
      </c>
      <c r="D467" s="94">
        <v>10</v>
      </c>
      <c r="E467" s="94">
        <v>15</v>
      </c>
      <c r="F467" s="94">
        <v>20</v>
      </c>
      <c r="G467" s="94">
        <v>25</v>
      </c>
      <c r="H467" s="94">
        <v>30</v>
      </c>
      <c r="I467" s="94">
        <v>35</v>
      </c>
      <c r="J467" s="94">
        <v>40</v>
      </c>
      <c r="K467" s="94">
        <v>45</v>
      </c>
      <c r="L467" s="35"/>
      <c r="M467" s="35"/>
      <c r="N467" s="35"/>
    </row>
    <row r="468" spans="1:14" x14ac:dyDescent="0.3">
      <c r="A468" s="397" t="s">
        <v>231</v>
      </c>
      <c r="B468" s="94">
        <v>5</v>
      </c>
      <c r="C468" s="93">
        <f>$F$39*C444</f>
        <v>3500</v>
      </c>
      <c r="D468" s="93">
        <f t="shared" ref="D468:K468" si="190">$F$39*D444</f>
        <v>14000</v>
      </c>
      <c r="E468" s="93">
        <f t="shared" si="190"/>
        <v>31500</v>
      </c>
      <c r="F468" s="93">
        <f t="shared" si="190"/>
        <v>56000</v>
      </c>
      <c r="G468" s="93">
        <f t="shared" si="190"/>
        <v>87500</v>
      </c>
      <c r="H468" s="93">
        <f t="shared" si="190"/>
        <v>126000</v>
      </c>
      <c r="I468" s="93">
        <f t="shared" si="190"/>
        <v>171500</v>
      </c>
      <c r="J468" s="93">
        <f t="shared" si="190"/>
        <v>224000</v>
      </c>
      <c r="K468" s="93">
        <f t="shared" si="190"/>
        <v>283500</v>
      </c>
      <c r="L468" s="35"/>
      <c r="M468" s="35"/>
      <c r="N468" s="35"/>
    </row>
    <row r="469" spans="1:14" x14ac:dyDescent="0.3">
      <c r="A469" s="397"/>
      <c r="B469" s="94">
        <v>10</v>
      </c>
      <c r="C469" s="93">
        <f t="shared" ref="C469:K487" si="191">$F$39*C445</f>
        <v>1750</v>
      </c>
      <c r="D469" s="93">
        <f t="shared" si="191"/>
        <v>7000</v>
      </c>
      <c r="E469" s="93">
        <f t="shared" si="191"/>
        <v>15750</v>
      </c>
      <c r="F469" s="93">
        <f t="shared" si="191"/>
        <v>28000</v>
      </c>
      <c r="G469" s="93">
        <f t="shared" si="191"/>
        <v>43750</v>
      </c>
      <c r="H469" s="93">
        <f t="shared" si="191"/>
        <v>63000</v>
      </c>
      <c r="I469" s="93">
        <f t="shared" si="191"/>
        <v>85750</v>
      </c>
      <c r="J469" s="93">
        <f t="shared" si="191"/>
        <v>112000</v>
      </c>
      <c r="K469" s="93">
        <f t="shared" si="191"/>
        <v>141750</v>
      </c>
      <c r="L469" s="35"/>
      <c r="M469" s="35"/>
      <c r="N469" s="35"/>
    </row>
    <row r="470" spans="1:14" x14ac:dyDescent="0.3">
      <c r="A470" s="397"/>
      <c r="B470" s="94">
        <v>15</v>
      </c>
      <c r="C470" s="93">
        <f t="shared" si="191"/>
        <v>1166.6666666666667</v>
      </c>
      <c r="D470" s="93">
        <f t="shared" si="191"/>
        <v>4666.666666666667</v>
      </c>
      <c r="E470" s="93">
        <f t="shared" si="191"/>
        <v>10500</v>
      </c>
      <c r="F470" s="93">
        <f t="shared" si="191"/>
        <v>18666.666666666668</v>
      </c>
      <c r="G470" s="93">
        <f t="shared" si="191"/>
        <v>29166.666666666664</v>
      </c>
      <c r="H470" s="93">
        <f t="shared" si="191"/>
        <v>42000</v>
      </c>
      <c r="I470" s="93">
        <f t="shared" si="191"/>
        <v>57166.666666666672</v>
      </c>
      <c r="J470" s="93">
        <f t="shared" si="191"/>
        <v>74666.666666666672</v>
      </c>
      <c r="K470" s="93">
        <f t="shared" si="191"/>
        <v>94500</v>
      </c>
      <c r="L470" s="35"/>
      <c r="M470" s="35"/>
      <c r="N470" s="35"/>
    </row>
    <row r="471" spans="1:14" x14ac:dyDescent="0.3">
      <c r="A471" s="397"/>
      <c r="B471" s="94">
        <v>20</v>
      </c>
      <c r="C471" s="93">
        <f t="shared" si="191"/>
        <v>875</v>
      </c>
      <c r="D471" s="93">
        <f t="shared" si="191"/>
        <v>3500</v>
      </c>
      <c r="E471" s="93">
        <f t="shared" si="191"/>
        <v>7875</v>
      </c>
      <c r="F471" s="93">
        <f t="shared" si="191"/>
        <v>14000</v>
      </c>
      <c r="G471" s="93">
        <f t="shared" si="191"/>
        <v>21875</v>
      </c>
      <c r="H471" s="93">
        <f t="shared" si="191"/>
        <v>31500</v>
      </c>
      <c r="I471" s="93">
        <f t="shared" si="191"/>
        <v>42875</v>
      </c>
      <c r="J471" s="93">
        <f t="shared" si="191"/>
        <v>56000</v>
      </c>
      <c r="K471" s="93">
        <f t="shared" si="191"/>
        <v>70875</v>
      </c>
      <c r="L471" s="35"/>
      <c r="M471" s="35"/>
      <c r="N471" s="35"/>
    </row>
    <row r="472" spans="1:14" x14ac:dyDescent="0.3">
      <c r="A472" s="397"/>
      <c r="B472" s="94">
        <v>25</v>
      </c>
      <c r="C472" s="93">
        <f t="shared" si="191"/>
        <v>700</v>
      </c>
      <c r="D472" s="93">
        <f t="shared" si="191"/>
        <v>2800</v>
      </c>
      <c r="E472" s="93">
        <f t="shared" si="191"/>
        <v>6300</v>
      </c>
      <c r="F472" s="93">
        <f t="shared" si="191"/>
        <v>11200</v>
      </c>
      <c r="G472" s="93">
        <f t="shared" si="191"/>
        <v>17500</v>
      </c>
      <c r="H472" s="93">
        <f t="shared" si="191"/>
        <v>25200</v>
      </c>
      <c r="I472" s="93">
        <f t="shared" si="191"/>
        <v>34300</v>
      </c>
      <c r="J472" s="93">
        <f t="shared" si="191"/>
        <v>44800</v>
      </c>
      <c r="K472" s="93">
        <f t="shared" si="191"/>
        <v>56700</v>
      </c>
      <c r="L472" s="35"/>
      <c r="M472" s="35"/>
      <c r="N472" s="35"/>
    </row>
    <row r="473" spans="1:14" x14ac:dyDescent="0.3">
      <c r="A473" s="397"/>
      <c r="B473" s="94">
        <v>30</v>
      </c>
      <c r="C473" s="93">
        <f t="shared" si="191"/>
        <v>583.33333333333337</v>
      </c>
      <c r="D473" s="93">
        <f t="shared" si="191"/>
        <v>2333.3333333333335</v>
      </c>
      <c r="E473" s="93">
        <f t="shared" si="191"/>
        <v>5250</v>
      </c>
      <c r="F473" s="93">
        <f t="shared" si="191"/>
        <v>9333.3333333333339</v>
      </c>
      <c r="G473" s="93">
        <f t="shared" si="191"/>
        <v>14583.333333333332</v>
      </c>
      <c r="H473" s="93">
        <f t="shared" si="191"/>
        <v>21000</v>
      </c>
      <c r="I473" s="93">
        <f t="shared" si="191"/>
        <v>28583.333333333336</v>
      </c>
      <c r="J473" s="93">
        <f t="shared" si="191"/>
        <v>37333.333333333336</v>
      </c>
      <c r="K473" s="93">
        <f t="shared" si="191"/>
        <v>47250</v>
      </c>
      <c r="L473" s="35"/>
      <c r="M473" s="35"/>
      <c r="N473" s="35"/>
    </row>
    <row r="474" spans="1:14" x14ac:dyDescent="0.3">
      <c r="A474" s="397"/>
      <c r="B474" s="94">
        <v>35</v>
      </c>
      <c r="C474" s="93">
        <f t="shared" si="191"/>
        <v>500</v>
      </c>
      <c r="D474" s="93">
        <f t="shared" si="191"/>
        <v>2000</v>
      </c>
      <c r="E474" s="93">
        <f t="shared" si="191"/>
        <v>4500</v>
      </c>
      <c r="F474" s="93">
        <f t="shared" si="191"/>
        <v>8000</v>
      </c>
      <c r="G474" s="93">
        <f t="shared" si="191"/>
        <v>12500</v>
      </c>
      <c r="H474" s="93">
        <f t="shared" si="191"/>
        <v>18000</v>
      </c>
      <c r="I474" s="93">
        <f t="shared" si="191"/>
        <v>24500</v>
      </c>
      <c r="J474" s="93">
        <f t="shared" si="191"/>
        <v>32000</v>
      </c>
      <c r="K474" s="93">
        <f t="shared" si="191"/>
        <v>40500</v>
      </c>
      <c r="L474" s="35"/>
      <c r="M474" s="35"/>
      <c r="N474" s="35"/>
    </row>
    <row r="475" spans="1:14" x14ac:dyDescent="0.3">
      <c r="A475" s="397"/>
      <c r="B475" s="94">
        <v>40</v>
      </c>
      <c r="C475" s="93">
        <f t="shared" si="191"/>
        <v>437.5</v>
      </c>
      <c r="D475" s="93">
        <f t="shared" si="191"/>
        <v>1750</v>
      </c>
      <c r="E475" s="93">
        <f t="shared" si="191"/>
        <v>3937.5</v>
      </c>
      <c r="F475" s="93">
        <f t="shared" si="191"/>
        <v>7000</v>
      </c>
      <c r="G475" s="93">
        <f t="shared" si="191"/>
        <v>10937.5</v>
      </c>
      <c r="H475" s="93">
        <f t="shared" si="191"/>
        <v>15750</v>
      </c>
      <c r="I475" s="93">
        <f t="shared" si="191"/>
        <v>21437.5</v>
      </c>
      <c r="J475" s="93">
        <f t="shared" si="191"/>
        <v>28000</v>
      </c>
      <c r="K475" s="93">
        <f t="shared" si="191"/>
        <v>35437.5</v>
      </c>
      <c r="L475" s="35"/>
      <c r="M475" s="35"/>
      <c r="N475" s="35"/>
    </row>
    <row r="476" spans="1:14" x14ac:dyDescent="0.3">
      <c r="A476" s="397"/>
      <c r="B476" s="94">
        <v>45</v>
      </c>
      <c r="C476" s="93">
        <f t="shared" si="191"/>
        <v>388.88888888888891</v>
      </c>
      <c r="D476" s="93">
        <f t="shared" si="191"/>
        <v>1555.5555555555557</v>
      </c>
      <c r="E476" s="93">
        <f t="shared" si="191"/>
        <v>3500</v>
      </c>
      <c r="F476" s="93">
        <f t="shared" si="191"/>
        <v>6222.2222222222226</v>
      </c>
      <c r="G476" s="93">
        <f t="shared" si="191"/>
        <v>9722.2222222222226</v>
      </c>
      <c r="H476" s="93">
        <f t="shared" si="191"/>
        <v>14000</v>
      </c>
      <c r="I476" s="93">
        <f t="shared" si="191"/>
        <v>19055.555555555555</v>
      </c>
      <c r="J476" s="93">
        <f t="shared" si="191"/>
        <v>24888.888888888891</v>
      </c>
      <c r="K476" s="93">
        <f t="shared" si="191"/>
        <v>31500</v>
      </c>
      <c r="L476" s="35"/>
      <c r="M476" s="35"/>
      <c r="N476" s="35"/>
    </row>
    <row r="477" spans="1:14" x14ac:dyDescent="0.3">
      <c r="A477" s="397"/>
      <c r="B477" s="94">
        <v>50</v>
      </c>
      <c r="C477" s="93">
        <f t="shared" si="191"/>
        <v>350</v>
      </c>
      <c r="D477" s="93">
        <f t="shared" si="191"/>
        <v>1400</v>
      </c>
      <c r="E477" s="93">
        <f t="shared" si="191"/>
        <v>3150</v>
      </c>
      <c r="F477" s="93">
        <f t="shared" si="191"/>
        <v>5600</v>
      </c>
      <c r="G477" s="93">
        <f t="shared" si="191"/>
        <v>8750</v>
      </c>
      <c r="H477" s="93">
        <f t="shared" si="191"/>
        <v>12600</v>
      </c>
      <c r="I477" s="93">
        <f t="shared" si="191"/>
        <v>17150</v>
      </c>
      <c r="J477" s="93">
        <f t="shared" si="191"/>
        <v>22400</v>
      </c>
      <c r="K477" s="93">
        <f t="shared" si="191"/>
        <v>28350</v>
      </c>
      <c r="L477" s="35"/>
      <c r="M477" s="35"/>
      <c r="N477" s="35"/>
    </row>
    <row r="478" spans="1:14" x14ac:dyDescent="0.3">
      <c r="A478" s="397"/>
      <c r="B478" s="94">
        <v>55</v>
      </c>
      <c r="C478" s="93">
        <f t="shared" si="191"/>
        <v>318.18181818181819</v>
      </c>
      <c r="D478" s="93">
        <f t="shared" si="191"/>
        <v>1272.7272727272727</v>
      </c>
      <c r="E478" s="93">
        <f t="shared" si="191"/>
        <v>2863.6363636363635</v>
      </c>
      <c r="F478" s="93">
        <f t="shared" si="191"/>
        <v>5090.909090909091</v>
      </c>
      <c r="G478" s="93">
        <f t="shared" si="191"/>
        <v>7954.545454545454</v>
      </c>
      <c r="H478" s="93">
        <f t="shared" si="191"/>
        <v>11454.545454545454</v>
      </c>
      <c r="I478" s="93">
        <f t="shared" si="191"/>
        <v>15590.909090909092</v>
      </c>
      <c r="J478" s="93">
        <f t="shared" si="191"/>
        <v>20363.636363636364</v>
      </c>
      <c r="K478" s="93">
        <f t="shared" si="191"/>
        <v>25772.727272727276</v>
      </c>
      <c r="L478" s="35"/>
      <c r="M478" s="35"/>
      <c r="N478" s="35"/>
    </row>
    <row r="479" spans="1:14" x14ac:dyDescent="0.3">
      <c r="A479" s="397"/>
      <c r="B479" s="94">
        <v>60</v>
      </c>
      <c r="C479" s="93">
        <f t="shared" si="191"/>
        <v>291.66666666666669</v>
      </c>
      <c r="D479" s="93">
        <f t="shared" si="191"/>
        <v>1166.6666666666667</v>
      </c>
      <c r="E479" s="93">
        <f t="shared" si="191"/>
        <v>2625</v>
      </c>
      <c r="F479" s="93">
        <f t="shared" si="191"/>
        <v>4666.666666666667</v>
      </c>
      <c r="G479" s="93">
        <f t="shared" si="191"/>
        <v>7291.6666666666661</v>
      </c>
      <c r="H479" s="93">
        <f t="shared" si="191"/>
        <v>10500</v>
      </c>
      <c r="I479" s="93">
        <f t="shared" si="191"/>
        <v>14291.666666666668</v>
      </c>
      <c r="J479" s="93">
        <f t="shared" si="191"/>
        <v>18666.666666666668</v>
      </c>
      <c r="K479" s="93">
        <f t="shared" si="191"/>
        <v>23625</v>
      </c>
      <c r="L479" s="35"/>
      <c r="M479" s="35"/>
      <c r="N479" s="35"/>
    </row>
    <row r="480" spans="1:14" x14ac:dyDescent="0.3">
      <c r="A480" s="397"/>
      <c r="B480" s="94">
        <v>65</v>
      </c>
      <c r="C480" s="93">
        <f t="shared" si="191"/>
        <v>269.23076923076923</v>
      </c>
      <c r="D480" s="93">
        <f t="shared" si="191"/>
        <v>1076.9230769230769</v>
      </c>
      <c r="E480" s="93">
        <f t="shared" si="191"/>
        <v>2423.0769230769233</v>
      </c>
      <c r="F480" s="93">
        <f t="shared" si="191"/>
        <v>4307.6923076923076</v>
      </c>
      <c r="G480" s="93">
        <f t="shared" si="191"/>
        <v>6730.7692307692305</v>
      </c>
      <c r="H480" s="93">
        <f t="shared" si="191"/>
        <v>9692.3076923076933</v>
      </c>
      <c r="I480" s="93">
        <f t="shared" si="191"/>
        <v>13192.307692307693</v>
      </c>
      <c r="J480" s="93">
        <f t="shared" si="191"/>
        <v>17230.76923076923</v>
      </c>
      <c r="K480" s="93">
        <f t="shared" si="191"/>
        <v>21807.692307692309</v>
      </c>
      <c r="L480" s="35"/>
      <c r="M480" s="35"/>
      <c r="N480" s="35"/>
    </row>
    <row r="481" spans="1:14" x14ac:dyDescent="0.3">
      <c r="A481" s="397"/>
      <c r="B481" s="94">
        <v>70</v>
      </c>
      <c r="C481" s="93">
        <f t="shared" si="191"/>
        <v>250</v>
      </c>
      <c r="D481" s="93">
        <f t="shared" si="191"/>
        <v>1000</v>
      </c>
      <c r="E481" s="93">
        <f t="shared" si="191"/>
        <v>2250</v>
      </c>
      <c r="F481" s="93">
        <f t="shared" si="191"/>
        <v>4000</v>
      </c>
      <c r="G481" s="93">
        <f t="shared" si="191"/>
        <v>6250</v>
      </c>
      <c r="H481" s="93">
        <f t="shared" si="191"/>
        <v>9000</v>
      </c>
      <c r="I481" s="93">
        <f t="shared" si="191"/>
        <v>12250</v>
      </c>
      <c r="J481" s="93">
        <f t="shared" si="191"/>
        <v>16000</v>
      </c>
      <c r="K481" s="93">
        <f t="shared" si="191"/>
        <v>20250</v>
      </c>
      <c r="L481" s="35"/>
      <c r="M481" s="35"/>
      <c r="N481" s="35"/>
    </row>
    <row r="482" spans="1:14" x14ac:dyDescent="0.3">
      <c r="A482" s="397"/>
      <c r="B482" s="94">
        <v>75</v>
      </c>
      <c r="C482" s="93">
        <f t="shared" si="191"/>
        <v>233.33333333333331</v>
      </c>
      <c r="D482" s="93">
        <f t="shared" si="191"/>
        <v>933.33333333333326</v>
      </c>
      <c r="E482" s="93">
        <f t="shared" si="191"/>
        <v>2100</v>
      </c>
      <c r="F482" s="93">
        <f t="shared" si="191"/>
        <v>3733.333333333333</v>
      </c>
      <c r="G482" s="93">
        <f t="shared" si="191"/>
        <v>5833.3333333333339</v>
      </c>
      <c r="H482" s="93">
        <f t="shared" si="191"/>
        <v>8400</v>
      </c>
      <c r="I482" s="93">
        <f t="shared" si="191"/>
        <v>11433.333333333332</v>
      </c>
      <c r="J482" s="93">
        <f t="shared" si="191"/>
        <v>14933.333333333332</v>
      </c>
      <c r="K482" s="93">
        <f t="shared" si="191"/>
        <v>18900</v>
      </c>
      <c r="L482" s="35"/>
      <c r="M482" s="35"/>
      <c r="N482" s="35"/>
    </row>
    <row r="483" spans="1:14" x14ac:dyDescent="0.3">
      <c r="A483" s="397"/>
      <c r="B483" s="94">
        <v>80</v>
      </c>
      <c r="C483" s="93">
        <f t="shared" si="191"/>
        <v>218.75</v>
      </c>
      <c r="D483" s="93">
        <f t="shared" si="191"/>
        <v>875</v>
      </c>
      <c r="E483" s="93">
        <f t="shared" si="191"/>
        <v>1968.75</v>
      </c>
      <c r="F483" s="93">
        <f t="shared" si="191"/>
        <v>3500</v>
      </c>
      <c r="G483" s="93">
        <f t="shared" si="191"/>
        <v>5468.75</v>
      </c>
      <c r="H483" s="93">
        <f t="shared" si="191"/>
        <v>7875</v>
      </c>
      <c r="I483" s="93">
        <f t="shared" si="191"/>
        <v>10718.75</v>
      </c>
      <c r="J483" s="93">
        <f t="shared" si="191"/>
        <v>14000</v>
      </c>
      <c r="K483" s="93">
        <f t="shared" si="191"/>
        <v>17718.75</v>
      </c>
      <c r="L483" s="35"/>
      <c r="M483" s="35"/>
      <c r="N483" s="35"/>
    </row>
    <row r="484" spans="1:14" x14ac:dyDescent="0.3">
      <c r="A484" s="397"/>
      <c r="B484" s="94">
        <v>85</v>
      </c>
      <c r="C484" s="93">
        <f t="shared" si="191"/>
        <v>205.88235294117646</v>
      </c>
      <c r="D484" s="93">
        <f t="shared" si="191"/>
        <v>823.52941176470586</v>
      </c>
      <c r="E484" s="93">
        <f t="shared" si="191"/>
        <v>1852.9411764705883</v>
      </c>
      <c r="F484" s="93">
        <f t="shared" si="191"/>
        <v>3294.1176470588234</v>
      </c>
      <c r="G484" s="93">
        <f t="shared" si="191"/>
        <v>5147.0588235294117</v>
      </c>
      <c r="H484" s="93">
        <f t="shared" si="191"/>
        <v>7411.7647058823532</v>
      </c>
      <c r="I484" s="93">
        <f t="shared" si="191"/>
        <v>10088.235294117647</v>
      </c>
      <c r="J484" s="93">
        <f t="shared" si="191"/>
        <v>13176.470588235294</v>
      </c>
      <c r="K484" s="93">
        <f t="shared" si="191"/>
        <v>16676.470588235294</v>
      </c>
      <c r="L484" s="35"/>
      <c r="M484" s="35"/>
      <c r="N484" s="35"/>
    </row>
    <row r="485" spans="1:14" x14ac:dyDescent="0.3">
      <c r="A485" s="397"/>
      <c r="B485" s="94">
        <v>90</v>
      </c>
      <c r="C485" s="93">
        <f t="shared" si="191"/>
        <v>194.44444444444446</v>
      </c>
      <c r="D485" s="93">
        <f t="shared" si="191"/>
        <v>777.77777777777783</v>
      </c>
      <c r="E485" s="93">
        <f t="shared" si="191"/>
        <v>1750</v>
      </c>
      <c r="F485" s="93">
        <f t="shared" si="191"/>
        <v>3111.1111111111113</v>
      </c>
      <c r="G485" s="93">
        <f t="shared" si="191"/>
        <v>4861.1111111111113</v>
      </c>
      <c r="H485" s="93">
        <f t="shared" si="191"/>
        <v>7000</v>
      </c>
      <c r="I485" s="93">
        <f t="shared" si="191"/>
        <v>9527.7777777777774</v>
      </c>
      <c r="J485" s="93">
        <f t="shared" si="191"/>
        <v>12444.444444444445</v>
      </c>
      <c r="K485" s="93">
        <f t="shared" si="191"/>
        <v>15750</v>
      </c>
      <c r="L485" s="35"/>
      <c r="M485" s="35"/>
      <c r="N485" s="35"/>
    </row>
    <row r="486" spans="1:14" x14ac:dyDescent="0.3">
      <c r="A486" s="397"/>
      <c r="B486" s="94">
        <v>95</v>
      </c>
      <c r="C486" s="93">
        <f t="shared" si="191"/>
        <v>184.21052631578945</v>
      </c>
      <c r="D486" s="93">
        <f t="shared" si="191"/>
        <v>736.8421052631578</v>
      </c>
      <c r="E486" s="93">
        <f t="shared" si="191"/>
        <v>1657.8947368421052</v>
      </c>
      <c r="F486" s="93">
        <f t="shared" si="191"/>
        <v>2947.3684210526312</v>
      </c>
      <c r="G486" s="93">
        <f t="shared" si="191"/>
        <v>4605.2631578947367</v>
      </c>
      <c r="H486" s="93">
        <f t="shared" si="191"/>
        <v>6631.5789473684208</v>
      </c>
      <c r="I486" s="93">
        <f t="shared" si="191"/>
        <v>9026.3157894736851</v>
      </c>
      <c r="J486" s="93">
        <f t="shared" si="191"/>
        <v>11789.473684210525</v>
      </c>
      <c r="K486" s="93">
        <f t="shared" si="191"/>
        <v>14921.052631578947</v>
      </c>
      <c r="L486" s="35"/>
      <c r="M486" s="35"/>
      <c r="N486" s="35"/>
    </row>
    <row r="487" spans="1:14" x14ac:dyDescent="0.3">
      <c r="A487" s="397"/>
      <c r="B487" s="94">
        <v>100</v>
      </c>
      <c r="C487" s="93">
        <f t="shared" si="191"/>
        <v>175</v>
      </c>
      <c r="D487" s="93">
        <f t="shared" si="191"/>
        <v>700</v>
      </c>
      <c r="E487" s="93">
        <f t="shared" si="191"/>
        <v>1575</v>
      </c>
      <c r="F487" s="93">
        <f t="shared" si="191"/>
        <v>2800</v>
      </c>
      <c r="G487" s="93">
        <f t="shared" si="191"/>
        <v>4375</v>
      </c>
      <c r="H487" s="93">
        <f t="shared" si="191"/>
        <v>6300</v>
      </c>
      <c r="I487" s="93">
        <f t="shared" si="191"/>
        <v>8575</v>
      </c>
      <c r="J487" s="93">
        <f t="shared" si="191"/>
        <v>11200</v>
      </c>
      <c r="K487" s="93">
        <f t="shared" si="191"/>
        <v>14175</v>
      </c>
      <c r="L487" s="35"/>
      <c r="M487" s="35"/>
      <c r="N487" s="35"/>
    </row>
    <row r="488" spans="1:14" x14ac:dyDescent="0.3">
      <c r="A488" s="88"/>
      <c r="B488" s="79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</row>
    <row r="489" spans="1:14" x14ac:dyDescent="0.3">
      <c r="A489" s="373" t="s">
        <v>237</v>
      </c>
      <c r="B489" s="374"/>
      <c r="C489" s="374"/>
      <c r="D489" s="374"/>
      <c r="E489" s="374"/>
      <c r="F489" s="374"/>
      <c r="G489" s="374"/>
      <c r="H489" s="374"/>
      <c r="I489" s="374"/>
      <c r="J489" s="374"/>
      <c r="K489" s="375"/>
      <c r="L489" s="35"/>
      <c r="M489" s="35"/>
      <c r="N489" s="35"/>
    </row>
    <row r="490" spans="1:14" x14ac:dyDescent="0.3">
      <c r="A490" s="360"/>
      <c r="B490" s="361"/>
      <c r="C490" s="364" t="s">
        <v>230</v>
      </c>
      <c r="D490" s="365"/>
      <c r="E490" s="365"/>
      <c r="F490" s="365"/>
      <c r="G490" s="365"/>
      <c r="H490" s="365"/>
      <c r="I490" s="365"/>
      <c r="J490" s="365"/>
      <c r="K490" s="366"/>
      <c r="L490" s="35"/>
      <c r="M490" s="35"/>
      <c r="N490" s="35"/>
    </row>
    <row r="491" spans="1:14" x14ac:dyDescent="0.3">
      <c r="A491" s="362"/>
      <c r="B491" s="363"/>
      <c r="C491" s="94">
        <v>5</v>
      </c>
      <c r="D491" s="94">
        <v>10</v>
      </c>
      <c r="E491" s="94">
        <v>15</v>
      </c>
      <c r="F491" s="94">
        <v>20</v>
      </c>
      <c r="G491" s="94">
        <v>25</v>
      </c>
      <c r="H491" s="94">
        <v>30</v>
      </c>
      <c r="I491" s="94">
        <v>35</v>
      </c>
      <c r="J491" s="94">
        <v>40</v>
      </c>
      <c r="K491" s="94">
        <v>45</v>
      </c>
      <c r="L491" s="35"/>
      <c r="M491" s="35"/>
      <c r="N491" s="35"/>
    </row>
    <row r="492" spans="1:14" x14ac:dyDescent="0.3">
      <c r="A492" s="397" t="s">
        <v>231</v>
      </c>
      <c r="B492" s="94">
        <v>5</v>
      </c>
      <c r="C492" s="93">
        <f t="shared" ref="C492:K492" si="192">C468*$B$427</f>
        <v>781.99886980867063</v>
      </c>
      <c r="D492" s="93">
        <f t="shared" si="192"/>
        <v>3127.9954792346825</v>
      </c>
      <c r="E492" s="93">
        <f t="shared" si="192"/>
        <v>7037.9898282780359</v>
      </c>
      <c r="F492" s="93">
        <f t="shared" si="192"/>
        <v>12511.98191693873</v>
      </c>
      <c r="G492" s="93">
        <f t="shared" si="192"/>
        <v>19549.971745216768</v>
      </c>
      <c r="H492" s="93">
        <f t="shared" si="192"/>
        <v>28151.959313112144</v>
      </c>
      <c r="I492" s="93">
        <f t="shared" si="192"/>
        <v>38317.944620624861</v>
      </c>
      <c r="J492" s="93">
        <f t="shared" si="192"/>
        <v>50047.927667754921</v>
      </c>
      <c r="K492" s="93">
        <f t="shared" si="192"/>
        <v>63341.908454502322</v>
      </c>
      <c r="L492" s="35"/>
      <c r="M492" s="35"/>
      <c r="N492" s="35"/>
    </row>
    <row r="493" spans="1:14" x14ac:dyDescent="0.3">
      <c r="A493" s="397"/>
      <c r="B493" s="94">
        <v>10</v>
      </c>
      <c r="C493" s="93">
        <f t="shared" ref="C493:K493" si="193">C469*$B$427</f>
        <v>390.99943490433532</v>
      </c>
      <c r="D493" s="93">
        <f t="shared" si="193"/>
        <v>1563.9977396173413</v>
      </c>
      <c r="E493" s="93">
        <f t="shared" si="193"/>
        <v>3518.994914139018</v>
      </c>
      <c r="F493" s="93">
        <f t="shared" si="193"/>
        <v>6255.9909584693651</v>
      </c>
      <c r="G493" s="93">
        <f t="shared" si="193"/>
        <v>9774.9858726083839</v>
      </c>
      <c r="H493" s="93">
        <f t="shared" si="193"/>
        <v>14075.979656556072</v>
      </c>
      <c r="I493" s="93">
        <f t="shared" si="193"/>
        <v>19158.972310312431</v>
      </c>
      <c r="J493" s="93">
        <f t="shared" si="193"/>
        <v>25023.96383387746</v>
      </c>
      <c r="K493" s="93">
        <f t="shared" si="193"/>
        <v>31670.954227251161</v>
      </c>
      <c r="L493" s="35"/>
      <c r="M493" s="35"/>
      <c r="N493" s="35"/>
    </row>
    <row r="494" spans="1:14" x14ac:dyDescent="0.3">
      <c r="A494" s="397"/>
      <c r="B494" s="94">
        <v>15</v>
      </c>
      <c r="C494" s="93">
        <f t="shared" ref="C494:K494" si="194">C470*$B$427</f>
        <v>260.66628993622356</v>
      </c>
      <c r="D494" s="93">
        <f t="shared" si="194"/>
        <v>1042.6651597448943</v>
      </c>
      <c r="E494" s="93">
        <f t="shared" si="194"/>
        <v>2345.9966094260121</v>
      </c>
      <c r="F494" s="93">
        <f t="shared" si="194"/>
        <v>4170.660638979577</v>
      </c>
      <c r="G494" s="93">
        <f t="shared" si="194"/>
        <v>6516.6572484055887</v>
      </c>
      <c r="H494" s="93">
        <f t="shared" si="194"/>
        <v>9383.9864377040485</v>
      </c>
      <c r="I494" s="93">
        <f t="shared" si="194"/>
        <v>12772.648206874956</v>
      </c>
      <c r="J494" s="93">
        <f t="shared" si="194"/>
        <v>16682.642555918308</v>
      </c>
      <c r="K494" s="93">
        <f t="shared" si="194"/>
        <v>21113.969484834106</v>
      </c>
      <c r="L494" s="35"/>
      <c r="M494" s="35"/>
      <c r="N494" s="35"/>
    </row>
    <row r="495" spans="1:14" x14ac:dyDescent="0.3">
      <c r="A495" s="397"/>
      <c r="B495" s="94">
        <v>20</v>
      </c>
      <c r="C495" s="93">
        <f t="shared" ref="C495:K495" si="195">C471*$B$427</f>
        <v>195.49971745216766</v>
      </c>
      <c r="D495" s="93">
        <f t="shared" si="195"/>
        <v>781.99886980867063</v>
      </c>
      <c r="E495" s="93">
        <f t="shared" si="195"/>
        <v>1759.497457069509</v>
      </c>
      <c r="F495" s="93">
        <f t="shared" si="195"/>
        <v>3127.9954792346825</v>
      </c>
      <c r="G495" s="93">
        <f t="shared" si="195"/>
        <v>4887.492936304192</v>
      </c>
      <c r="H495" s="93">
        <f t="shared" si="195"/>
        <v>7037.9898282780359</v>
      </c>
      <c r="I495" s="93">
        <f t="shared" si="195"/>
        <v>9579.4861551562153</v>
      </c>
      <c r="J495" s="93">
        <f t="shared" si="195"/>
        <v>12511.98191693873</v>
      </c>
      <c r="K495" s="93">
        <f t="shared" si="195"/>
        <v>15835.47711362558</v>
      </c>
      <c r="L495" s="35"/>
      <c r="M495" s="35"/>
      <c r="N495" s="35"/>
    </row>
    <row r="496" spans="1:14" x14ac:dyDescent="0.3">
      <c r="A496" s="397"/>
      <c r="B496" s="94">
        <v>25</v>
      </c>
      <c r="C496" s="93">
        <f t="shared" ref="C496:K496" si="196">C472*$B$427</f>
        <v>156.39977396173413</v>
      </c>
      <c r="D496" s="93">
        <f t="shared" si="196"/>
        <v>625.59909584693651</v>
      </c>
      <c r="E496" s="93">
        <f t="shared" si="196"/>
        <v>1407.5979656556071</v>
      </c>
      <c r="F496" s="93">
        <f t="shared" si="196"/>
        <v>2502.396383387746</v>
      </c>
      <c r="G496" s="93">
        <f t="shared" si="196"/>
        <v>3909.9943490433534</v>
      </c>
      <c r="H496" s="93">
        <f t="shared" si="196"/>
        <v>5630.3918626224286</v>
      </c>
      <c r="I496" s="93">
        <f t="shared" si="196"/>
        <v>7663.5889241249724</v>
      </c>
      <c r="J496" s="93">
        <f t="shared" si="196"/>
        <v>10009.585533550984</v>
      </c>
      <c r="K496" s="93">
        <f t="shared" si="196"/>
        <v>12668.381690900465</v>
      </c>
      <c r="L496" s="35"/>
      <c r="M496" s="35"/>
      <c r="N496" s="35"/>
    </row>
    <row r="497" spans="1:14" x14ac:dyDescent="0.3">
      <c r="A497" s="397"/>
      <c r="B497" s="94">
        <v>30</v>
      </c>
      <c r="C497" s="93">
        <f t="shared" ref="C497:K497" si="197">C473*$B$427</f>
        <v>130.33314496811178</v>
      </c>
      <c r="D497" s="93">
        <f t="shared" si="197"/>
        <v>521.33257987244713</v>
      </c>
      <c r="E497" s="93">
        <f t="shared" si="197"/>
        <v>1172.9983047130061</v>
      </c>
      <c r="F497" s="93">
        <f t="shared" si="197"/>
        <v>2085.3303194897885</v>
      </c>
      <c r="G497" s="93">
        <f t="shared" si="197"/>
        <v>3258.3286242027943</v>
      </c>
      <c r="H497" s="93">
        <f t="shared" si="197"/>
        <v>4691.9932188520243</v>
      </c>
      <c r="I497" s="93">
        <f t="shared" si="197"/>
        <v>6386.3241034374778</v>
      </c>
      <c r="J497" s="93">
        <f t="shared" si="197"/>
        <v>8341.321277959154</v>
      </c>
      <c r="K497" s="93">
        <f t="shared" si="197"/>
        <v>10556.984742417053</v>
      </c>
      <c r="L497" s="35"/>
      <c r="M497" s="35"/>
      <c r="N497" s="35"/>
    </row>
    <row r="498" spans="1:14" x14ac:dyDescent="0.3">
      <c r="A498" s="397"/>
      <c r="B498" s="94">
        <v>35</v>
      </c>
      <c r="C498" s="93">
        <f t="shared" ref="C498:K498" si="198">C474*$B$427</f>
        <v>111.71412425838152</v>
      </c>
      <c r="D498" s="93">
        <f t="shared" si="198"/>
        <v>446.85649703352607</v>
      </c>
      <c r="E498" s="93">
        <f t="shared" si="198"/>
        <v>1005.4271183254338</v>
      </c>
      <c r="F498" s="93">
        <f t="shared" si="198"/>
        <v>1787.4259881341043</v>
      </c>
      <c r="G498" s="93">
        <f t="shared" si="198"/>
        <v>2792.8531064595381</v>
      </c>
      <c r="H498" s="93">
        <f t="shared" si="198"/>
        <v>4021.708473301735</v>
      </c>
      <c r="I498" s="93">
        <f t="shared" si="198"/>
        <v>5473.9920886606942</v>
      </c>
      <c r="J498" s="93">
        <f t="shared" si="198"/>
        <v>7149.7039525364171</v>
      </c>
      <c r="K498" s="93">
        <f t="shared" si="198"/>
        <v>9048.8440649289041</v>
      </c>
      <c r="L498" s="35"/>
      <c r="M498" s="35"/>
      <c r="N498" s="35"/>
    </row>
    <row r="499" spans="1:14" x14ac:dyDescent="0.3">
      <c r="A499" s="397"/>
      <c r="B499" s="94">
        <v>40</v>
      </c>
      <c r="C499" s="93">
        <f t="shared" ref="C499:K499" si="199">C475*$B$427</f>
        <v>97.749858726083829</v>
      </c>
      <c r="D499" s="93">
        <f t="shared" si="199"/>
        <v>390.99943490433532</v>
      </c>
      <c r="E499" s="93">
        <f t="shared" si="199"/>
        <v>879.74872853475449</v>
      </c>
      <c r="F499" s="93">
        <f t="shared" si="199"/>
        <v>1563.9977396173413</v>
      </c>
      <c r="G499" s="93">
        <f t="shared" si="199"/>
        <v>2443.746468152096</v>
      </c>
      <c r="H499" s="93">
        <f t="shared" si="199"/>
        <v>3518.994914139018</v>
      </c>
      <c r="I499" s="93">
        <f t="shared" si="199"/>
        <v>4789.7430775781077</v>
      </c>
      <c r="J499" s="93">
        <f t="shared" si="199"/>
        <v>6255.9909584693651</v>
      </c>
      <c r="K499" s="93">
        <f t="shared" si="199"/>
        <v>7917.7385568127902</v>
      </c>
      <c r="L499" s="35"/>
      <c r="M499" s="35"/>
      <c r="N499" s="35"/>
    </row>
    <row r="500" spans="1:14" x14ac:dyDescent="0.3">
      <c r="A500" s="397"/>
      <c r="B500" s="94">
        <v>45</v>
      </c>
      <c r="C500" s="93">
        <f t="shared" ref="C500:K500" si="200">C476*$B$427</f>
        <v>86.888763312074516</v>
      </c>
      <c r="D500" s="93">
        <f t="shared" si="200"/>
        <v>347.55505324829807</v>
      </c>
      <c r="E500" s="93">
        <f t="shared" si="200"/>
        <v>781.99886980867063</v>
      </c>
      <c r="F500" s="93">
        <f t="shared" si="200"/>
        <v>1390.2202129931923</v>
      </c>
      <c r="G500" s="93">
        <f t="shared" si="200"/>
        <v>2172.2190828018629</v>
      </c>
      <c r="H500" s="93">
        <f t="shared" si="200"/>
        <v>3127.9954792346825</v>
      </c>
      <c r="I500" s="93">
        <f t="shared" si="200"/>
        <v>4257.5494022916509</v>
      </c>
      <c r="J500" s="93">
        <f t="shared" si="200"/>
        <v>5560.8808519727691</v>
      </c>
      <c r="K500" s="93">
        <f t="shared" si="200"/>
        <v>7037.9898282780359</v>
      </c>
      <c r="L500" s="35"/>
      <c r="M500" s="35"/>
      <c r="N500" s="35"/>
    </row>
    <row r="501" spans="1:14" x14ac:dyDescent="0.3">
      <c r="A501" s="397"/>
      <c r="B501" s="94">
        <v>50</v>
      </c>
      <c r="C501" s="93">
        <f t="shared" ref="C501:K501" si="201">C477*$B$427</f>
        <v>78.199886980867063</v>
      </c>
      <c r="D501" s="93">
        <f t="shared" si="201"/>
        <v>312.79954792346825</v>
      </c>
      <c r="E501" s="93">
        <f t="shared" si="201"/>
        <v>703.79898282780357</v>
      </c>
      <c r="F501" s="93">
        <f t="shared" si="201"/>
        <v>1251.198191693873</v>
      </c>
      <c r="G501" s="93">
        <f t="shared" si="201"/>
        <v>1954.9971745216767</v>
      </c>
      <c r="H501" s="93">
        <f t="shared" si="201"/>
        <v>2815.1959313112143</v>
      </c>
      <c r="I501" s="93">
        <f t="shared" si="201"/>
        <v>3831.7944620624862</v>
      </c>
      <c r="J501" s="93">
        <f t="shared" si="201"/>
        <v>5004.7927667754921</v>
      </c>
      <c r="K501" s="93">
        <f t="shared" si="201"/>
        <v>6334.1908454502327</v>
      </c>
      <c r="L501" s="35"/>
      <c r="M501" s="35"/>
      <c r="N501" s="35"/>
    </row>
    <row r="502" spans="1:14" x14ac:dyDescent="0.3">
      <c r="A502" s="397"/>
      <c r="B502" s="94">
        <v>55</v>
      </c>
      <c r="C502" s="93">
        <f t="shared" ref="C502:K502" si="202">C478*$B$427</f>
        <v>71.090806346242786</v>
      </c>
      <c r="D502" s="93">
        <f t="shared" si="202"/>
        <v>284.36322538497114</v>
      </c>
      <c r="E502" s="93">
        <f t="shared" si="202"/>
        <v>639.81725711618503</v>
      </c>
      <c r="F502" s="93">
        <f t="shared" si="202"/>
        <v>1137.4529015398846</v>
      </c>
      <c r="G502" s="93">
        <f t="shared" si="202"/>
        <v>1777.2701586560695</v>
      </c>
      <c r="H502" s="93">
        <f t="shared" si="202"/>
        <v>2559.2690284647401</v>
      </c>
      <c r="I502" s="93">
        <f t="shared" si="202"/>
        <v>3483.4495109658969</v>
      </c>
      <c r="J502" s="93">
        <f t="shared" si="202"/>
        <v>4549.8116061595383</v>
      </c>
      <c r="K502" s="93">
        <f t="shared" si="202"/>
        <v>5758.3553140456661</v>
      </c>
      <c r="L502" s="35"/>
      <c r="M502" s="35"/>
      <c r="N502" s="35"/>
    </row>
    <row r="503" spans="1:14" x14ac:dyDescent="0.3">
      <c r="A503" s="397"/>
      <c r="B503" s="94">
        <v>60</v>
      </c>
      <c r="C503" s="93">
        <f t="shared" ref="C503:K503" si="203">C479*$B$427</f>
        <v>65.166572484055891</v>
      </c>
      <c r="D503" s="93">
        <f t="shared" si="203"/>
        <v>260.66628993622356</v>
      </c>
      <c r="E503" s="93">
        <f t="shared" si="203"/>
        <v>586.49915235650303</v>
      </c>
      <c r="F503" s="93">
        <f t="shared" si="203"/>
        <v>1042.6651597448943</v>
      </c>
      <c r="G503" s="93">
        <f t="shared" si="203"/>
        <v>1629.1643121013972</v>
      </c>
      <c r="H503" s="93">
        <f t="shared" si="203"/>
        <v>2345.9966094260121</v>
      </c>
      <c r="I503" s="93">
        <f t="shared" si="203"/>
        <v>3193.1620517187389</v>
      </c>
      <c r="J503" s="93">
        <f t="shared" si="203"/>
        <v>4170.660638979577</v>
      </c>
      <c r="K503" s="93">
        <f t="shared" si="203"/>
        <v>5278.4923712085265</v>
      </c>
      <c r="L503" s="35"/>
      <c r="M503" s="35"/>
      <c r="N503" s="35"/>
    </row>
    <row r="504" spans="1:14" x14ac:dyDescent="0.3">
      <c r="A504" s="397"/>
      <c r="B504" s="94">
        <v>65</v>
      </c>
      <c r="C504" s="93">
        <f t="shared" ref="C504:K504" si="204">C480*$B$427</f>
        <v>60.15375921605159</v>
      </c>
      <c r="D504" s="93">
        <f t="shared" si="204"/>
        <v>240.61503686420636</v>
      </c>
      <c r="E504" s="93">
        <f t="shared" si="204"/>
        <v>541.3838329444643</v>
      </c>
      <c r="F504" s="93">
        <f t="shared" si="204"/>
        <v>962.46014745682544</v>
      </c>
      <c r="G504" s="93">
        <f t="shared" si="204"/>
        <v>1503.8439804012896</v>
      </c>
      <c r="H504" s="93">
        <f t="shared" si="204"/>
        <v>2165.5353317778572</v>
      </c>
      <c r="I504" s="93">
        <f t="shared" si="204"/>
        <v>2947.5342015865281</v>
      </c>
      <c r="J504" s="93">
        <f t="shared" si="204"/>
        <v>3849.8405898273018</v>
      </c>
      <c r="K504" s="93">
        <f t="shared" si="204"/>
        <v>4872.4544965001787</v>
      </c>
      <c r="L504" s="35"/>
      <c r="M504" s="35"/>
      <c r="N504" s="35"/>
    </row>
    <row r="505" spans="1:14" x14ac:dyDescent="0.3">
      <c r="A505" s="397"/>
      <c r="B505" s="94">
        <v>70</v>
      </c>
      <c r="C505" s="93">
        <f t="shared" ref="C505:K505" si="205">C481*$B$427</f>
        <v>55.857062129190759</v>
      </c>
      <c r="D505" s="93">
        <f t="shared" si="205"/>
        <v>223.42824851676303</v>
      </c>
      <c r="E505" s="93">
        <f t="shared" si="205"/>
        <v>502.71355916271688</v>
      </c>
      <c r="F505" s="93">
        <f t="shared" si="205"/>
        <v>893.71299406705214</v>
      </c>
      <c r="G505" s="93">
        <f t="shared" si="205"/>
        <v>1396.4265532297691</v>
      </c>
      <c r="H505" s="93">
        <f t="shared" si="205"/>
        <v>2010.8542366508675</v>
      </c>
      <c r="I505" s="93">
        <f t="shared" si="205"/>
        <v>2736.9960443303471</v>
      </c>
      <c r="J505" s="93">
        <f t="shared" si="205"/>
        <v>3574.8519762682085</v>
      </c>
      <c r="K505" s="93">
        <f t="shared" si="205"/>
        <v>4524.4220324644521</v>
      </c>
      <c r="L505" s="35"/>
      <c r="M505" s="35"/>
      <c r="N505" s="35"/>
    </row>
    <row r="506" spans="1:14" x14ac:dyDescent="0.3">
      <c r="A506" s="397"/>
      <c r="B506" s="94">
        <v>75</v>
      </c>
      <c r="C506" s="93">
        <f t="shared" ref="C506:K506" si="206">C482*$B$427</f>
        <v>52.133257987244704</v>
      </c>
      <c r="D506" s="93">
        <f t="shared" si="206"/>
        <v>208.53303194897882</v>
      </c>
      <c r="E506" s="93">
        <f t="shared" si="206"/>
        <v>469.19932188520238</v>
      </c>
      <c r="F506" s="93">
        <f t="shared" si="206"/>
        <v>834.13212779591527</v>
      </c>
      <c r="G506" s="93">
        <f t="shared" si="206"/>
        <v>1303.3314496811179</v>
      </c>
      <c r="H506" s="93">
        <f t="shared" si="206"/>
        <v>1876.7972875408095</v>
      </c>
      <c r="I506" s="93">
        <f t="shared" si="206"/>
        <v>2554.5296413749907</v>
      </c>
      <c r="J506" s="93">
        <f t="shared" si="206"/>
        <v>3336.5285111836611</v>
      </c>
      <c r="K506" s="93">
        <f t="shared" si="206"/>
        <v>4222.7938969668212</v>
      </c>
      <c r="L506" s="35"/>
      <c r="M506" s="35"/>
      <c r="N506" s="35"/>
    </row>
    <row r="507" spans="1:14" x14ac:dyDescent="0.3">
      <c r="A507" s="397"/>
      <c r="B507" s="94">
        <v>80</v>
      </c>
      <c r="C507" s="93">
        <f t="shared" ref="C507:K507" si="207">C483*$B$427</f>
        <v>48.874929363041915</v>
      </c>
      <c r="D507" s="93">
        <f t="shared" si="207"/>
        <v>195.49971745216766</v>
      </c>
      <c r="E507" s="93">
        <f t="shared" si="207"/>
        <v>439.87436426737725</v>
      </c>
      <c r="F507" s="93">
        <f t="shared" si="207"/>
        <v>781.99886980867063</v>
      </c>
      <c r="G507" s="93">
        <f t="shared" si="207"/>
        <v>1221.873234076048</v>
      </c>
      <c r="H507" s="93">
        <f t="shared" si="207"/>
        <v>1759.497457069509</v>
      </c>
      <c r="I507" s="93">
        <f t="shared" si="207"/>
        <v>2394.8715387890538</v>
      </c>
      <c r="J507" s="93">
        <f t="shared" si="207"/>
        <v>3127.9954792346825</v>
      </c>
      <c r="K507" s="93">
        <f t="shared" si="207"/>
        <v>3958.8692784063951</v>
      </c>
      <c r="L507" s="35"/>
      <c r="M507" s="35"/>
      <c r="N507" s="35"/>
    </row>
    <row r="508" spans="1:14" x14ac:dyDescent="0.3">
      <c r="A508" s="397"/>
      <c r="B508" s="94">
        <v>85</v>
      </c>
      <c r="C508" s="93">
        <f t="shared" ref="C508:K508" si="208">C484*$B$427</f>
        <v>45.999933518157093</v>
      </c>
      <c r="D508" s="93">
        <f t="shared" si="208"/>
        <v>183.99973407262837</v>
      </c>
      <c r="E508" s="93">
        <f t="shared" si="208"/>
        <v>413.99940166341389</v>
      </c>
      <c r="F508" s="93">
        <f t="shared" si="208"/>
        <v>735.99893629051348</v>
      </c>
      <c r="G508" s="93">
        <f t="shared" si="208"/>
        <v>1149.9983379539274</v>
      </c>
      <c r="H508" s="93">
        <f t="shared" si="208"/>
        <v>1655.9976066536556</v>
      </c>
      <c r="I508" s="93">
        <f t="shared" si="208"/>
        <v>2253.9967423896978</v>
      </c>
      <c r="J508" s="93">
        <f t="shared" si="208"/>
        <v>2943.9957451620539</v>
      </c>
      <c r="K508" s="93">
        <f t="shared" si="208"/>
        <v>3725.9946149707248</v>
      </c>
      <c r="L508" s="35"/>
      <c r="M508" s="35"/>
      <c r="N508" s="35"/>
    </row>
    <row r="509" spans="1:14" x14ac:dyDescent="0.3">
      <c r="A509" s="397"/>
      <c r="B509" s="94">
        <v>90</v>
      </c>
      <c r="C509" s="93">
        <f t="shared" ref="C509:K509" si="209">C485*$B$427</f>
        <v>43.444381656037258</v>
      </c>
      <c r="D509" s="93">
        <f t="shared" si="209"/>
        <v>173.77752662414903</v>
      </c>
      <c r="E509" s="93">
        <f t="shared" si="209"/>
        <v>390.99943490433532</v>
      </c>
      <c r="F509" s="93">
        <f t="shared" si="209"/>
        <v>695.11010649659613</v>
      </c>
      <c r="G509" s="93">
        <f t="shared" si="209"/>
        <v>1086.1095414009314</v>
      </c>
      <c r="H509" s="93">
        <f t="shared" si="209"/>
        <v>1563.9977396173413</v>
      </c>
      <c r="I509" s="93">
        <f t="shared" si="209"/>
        <v>2128.7747011458255</v>
      </c>
      <c r="J509" s="93">
        <f t="shared" si="209"/>
        <v>2780.4404259863845</v>
      </c>
      <c r="K509" s="93">
        <f t="shared" si="209"/>
        <v>3518.994914139018</v>
      </c>
      <c r="L509" s="35"/>
      <c r="M509" s="35"/>
      <c r="N509" s="35"/>
    </row>
    <row r="510" spans="1:14" x14ac:dyDescent="0.3">
      <c r="A510" s="397"/>
      <c r="B510" s="94">
        <v>95</v>
      </c>
      <c r="C510" s="93">
        <f t="shared" ref="C510:K510" si="210">C486*$B$427</f>
        <v>41.157835253087924</v>
      </c>
      <c r="D510" s="93">
        <f t="shared" si="210"/>
        <v>164.6313410123517</v>
      </c>
      <c r="E510" s="93">
        <f t="shared" si="210"/>
        <v>370.42051727779136</v>
      </c>
      <c r="F510" s="93">
        <f t="shared" si="210"/>
        <v>658.52536404940679</v>
      </c>
      <c r="G510" s="93">
        <f t="shared" si="210"/>
        <v>1028.9458813271981</v>
      </c>
      <c r="H510" s="93">
        <f t="shared" si="210"/>
        <v>1481.6820691111654</v>
      </c>
      <c r="I510" s="93">
        <f t="shared" si="210"/>
        <v>2016.7339274013086</v>
      </c>
      <c r="J510" s="93">
        <f t="shared" si="210"/>
        <v>2634.1014561976272</v>
      </c>
      <c r="K510" s="93">
        <f t="shared" si="210"/>
        <v>3333.784655500122</v>
      </c>
      <c r="L510" s="35"/>
      <c r="M510" s="35"/>
      <c r="N510" s="35"/>
    </row>
    <row r="511" spans="1:14" x14ac:dyDescent="0.3">
      <c r="A511" s="397"/>
      <c r="B511" s="94">
        <v>100</v>
      </c>
      <c r="C511" s="93">
        <f t="shared" ref="C511:K511" si="211">C487*$B$427</f>
        <v>39.099943490433532</v>
      </c>
      <c r="D511" s="93">
        <f t="shared" si="211"/>
        <v>156.39977396173413</v>
      </c>
      <c r="E511" s="93">
        <f t="shared" si="211"/>
        <v>351.89949141390179</v>
      </c>
      <c r="F511" s="93">
        <f t="shared" si="211"/>
        <v>625.59909584693651</v>
      </c>
      <c r="G511" s="93">
        <f t="shared" si="211"/>
        <v>977.49858726083835</v>
      </c>
      <c r="H511" s="93">
        <f t="shared" si="211"/>
        <v>1407.5979656556071</v>
      </c>
      <c r="I511" s="93">
        <f t="shared" si="211"/>
        <v>1915.8972310312431</v>
      </c>
      <c r="J511" s="93">
        <f t="shared" si="211"/>
        <v>2502.396383387746</v>
      </c>
      <c r="K511" s="93">
        <f t="shared" si="211"/>
        <v>3167.0954227251164</v>
      </c>
      <c r="L511" s="35"/>
      <c r="M511" s="35"/>
      <c r="N511" s="35"/>
    </row>
    <row r="512" spans="1:14" x14ac:dyDescent="0.3">
      <c r="A512" s="88"/>
      <c r="B512" s="79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</row>
    <row r="513" spans="1:14" x14ac:dyDescent="0.3">
      <c r="A513" s="415" t="s">
        <v>497</v>
      </c>
      <c r="B513" s="416"/>
      <c r="C513" s="416"/>
      <c r="D513" s="416"/>
      <c r="E513" s="416"/>
      <c r="F513" s="416"/>
      <c r="G513" s="369"/>
      <c r="H513" s="35"/>
      <c r="I513" s="35"/>
      <c r="J513" s="35"/>
      <c r="K513" s="35"/>
      <c r="L513" s="35"/>
      <c r="M513" s="35"/>
      <c r="N513" s="35"/>
    </row>
    <row r="514" spans="1:14" x14ac:dyDescent="0.3">
      <c r="A514" s="119"/>
      <c r="B514" s="79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</row>
    <row r="515" spans="1:14" x14ac:dyDescent="0.3">
      <c r="A515" s="367" t="s">
        <v>280</v>
      </c>
      <c r="B515" s="367"/>
      <c r="C515" s="35"/>
      <c r="D515" s="35"/>
      <c r="E515" s="35"/>
      <c r="F515" s="203" t="s">
        <v>281</v>
      </c>
      <c r="G515" s="203"/>
      <c r="H515" s="35"/>
      <c r="I515" s="35"/>
      <c r="J515" s="35"/>
      <c r="K515" s="35"/>
      <c r="L515" s="35"/>
      <c r="M515" s="35"/>
      <c r="N515" s="35"/>
    </row>
    <row r="516" spans="1:14" x14ac:dyDescent="0.3">
      <c r="A516" s="117" t="s">
        <v>317</v>
      </c>
      <c r="B516" s="138">
        <f>'Amortyzatory od Jacka'!X14</f>
        <v>1.35</v>
      </c>
      <c r="C516" s="35" t="s">
        <v>323</v>
      </c>
      <c r="D516" s="35"/>
      <c r="E516" s="35"/>
      <c r="F516" s="120" t="s">
        <v>317</v>
      </c>
      <c r="G516" s="70">
        <f>'Amortyzatory od Jacka'!X56</f>
        <v>2.3125</v>
      </c>
      <c r="H516" s="35" t="s">
        <v>323</v>
      </c>
      <c r="I516" s="35"/>
      <c r="J516" s="35"/>
      <c r="K516" s="35"/>
      <c r="L516" s="35"/>
      <c r="M516" s="35"/>
      <c r="N516" s="35"/>
    </row>
    <row r="517" spans="1:14" x14ac:dyDescent="0.3">
      <c r="A517" s="117" t="s">
        <v>318</v>
      </c>
      <c r="B517" s="139">
        <f>B516*1000</f>
        <v>1350</v>
      </c>
      <c r="C517" s="35"/>
      <c r="D517" s="35"/>
      <c r="E517" s="35"/>
      <c r="F517" s="120" t="s">
        <v>318</v>
      </c>
      <c r="G517" s="26">
        <f>G516*1000</f>
        <v>2312.5</v>
      </c>
      <c r="H517" s="35"/>
      <c r="I517" s="35"/>
      <c r="J517" s="35"/>
      <c r="K517" s="35"/>
      <c r="L517" s="35"/>
      <c r="M517" s="35"/>
      <c r="N517" s="35"/>
    </row>
    <row r="518" spans="1:14" x14ac:dyDescent="0.3">
      <c r="A518" s="117" t="s">
        <v>319</v>
      </c>
      <c r="B518" s="139">
        <f>C40*B517</f>
        <v>13243.5</v>
      </c>
      <c r="C518" s="35"/>
      <c r="D518" s="35"/>
      <c r="E518" s="35"/>
      <c r="F518" s="120" t="s">
        <v>319</v>
      </c>
      <c r="G518" s="26">
        <f>G517*C40</f>
        <v>22685.625</v>
      </c>
      <c r="H518" s="35"/>
      <c r="I518" s="35"/>
      <c r="J518" s="35"/>
      <c r="K518" s="35"/>
      <c r="L518" s="35"/>
      <c r="M518" s="35"/>
      <c r="N518" s="35"/>
    </row>
    <row r="519" spans="1:14" x14ac:dyDescent="0.3">
      <c r="A519" s="117" t="s">
        <v>322</v>
      </c>
      <c r="B519" s="121" t="e">
        <f>#REF!</f>
        <v>#REF!</v>
      </c>
      <c r="C519" s="35" t="s">
        <v>324</v>
      </c>
      <c r="D519" s="35"/>
      <c r="E519" s="35"/>
      <c r="F519" s="120" t="s">
        <v>322</v>
      </c>
      <c r="G519" s="70" t="e">
        <f>#REF!</f>
        <v>#REF!</v>
      </c>
      <c r="H519" s="35" t="s">
        <v>324</v>
      </c>
      <c r="I519" s="35"/>
      <c r="J519" s="35"/>
      <c r="K519" s="35"/>
      <c r="L519" s="35"/>
      <c r="M519" s="35"/>
      <c r="N519" s="35"/>
    </row>
    <row r="520" spans="1:14" x14ac:dyDescent="0.3">
      <c r="A520" s="117" t="s">
        <v>321</v>
      </c>
      <c r="B520" s="75" t="e">
        <f>B518+B519</f>
        <v>#REF!</v>
      </c>
      <c r="C520" s="35"/>
      <c r="D520" s="35"/>
      <c r="E520" s="35"/>
      <c r="F520" s="120" t="s">
        <v>321</v>
      </c>
      <c r="G520" s="26" t="e">
        <f>G518+G519</f>
        <v>#REF!</v>
      </c>
      <c r="H520" s="35"/>
      <c r="I520" s="35"/>
      <c r="J520" s="35"/>
      <c r="K520" s="35"/>
      <c r="L520" s="35"/>
      <c r="M520" s="35"/>
      <c r="N520" s="35"/>
    </row>
    <row r="521" spans="1:14" x14ac:dyDescent="0.3">
      <c r="A521" s="117" t="s">
        <v>320</v>
      </c>
      <c r="B521" s="75">
        <f>E4</f>
        <v>1.5</v>
      </c>
      <c r="C521" s="35"/>
      <c r="D521" s="35"/>
      <c r="E521" s="35"/>
      <c r="F521" s="120" t="s">
        <v>500</v>
      </c>
      <c r="G521" s="26">
        <f>E4</f>
        <v>1.5</v>
      </c>
      <c r="H521" s="35"/>
      <c r="I521" s="35"/>
      <c r="J521" s="35"/>
      <c r="K521" s="35"/>
      <c r="L521" s="35"/>
      <c r="M521" s="35"/>
      <c r="N521" s="35"/>
    </row>
    <row r="522" spans="1:14" x14ac:dyDescent="0.3">
      <c r="A522" s="117" t="s">
        <v>498</v>
      </c>
      <c r="B522" s="76" t="e">
        <f>((B521^2)*B520)/(2*(360/(2*PI())))</f>
        <v>#REF!</v>
      </c>
      <c r="C522" s="35"/>
      <c r="D522" s="35"/>
      <c r="E522" s="35"/>
      <c r="F522" s="120" t="s">
        <v>499</v>
      </c>
      <c r="G522" s="34" t="e">
        <f>((G521^2)*G520)/(2*(360/(2*PI())))</f>
        <v>#REF!</v>
      </c>
      <c r="H522" s="35"/>
      <c r="I522" s="35"/>
      <c r="J522" s="35"/>
      <c r="K522" s="35"/>
      <c r="L522" s="35"/>
      <c r="M522" s="35"/>
      <c r="N522" s="35"/>
    </row>
    <row r="523" spans="1:14" x14ac:dyDescent="0.3">
      <c r="A523" s="119"/>
      <c r="B523" s="79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</row>
    <row r="524" spans="1:14" x14ac:dyDescent="0.3">
      <c r="A524" s="415" t="s">
        <v>503</v>
      </c>
      <c r="B524" s="416"/>
      <c r="C524" s="416"/>
      <c r="D524" s="416"/>
      <c r="E524" s="416"/>
      <c r="F524" s="416"/>
      <c r="G524" s="369"/>
      <c r="H524" s="35"/>
      <c r="I524" s="35"/>
      <c r="J524" s="35"/>
      <c r="K524" s="35"/>
      <c r="L524" s="35"/>
      <c r="M524" s="35"/>
      <c r="N524" s="35"/>
    </row>
    <row r="525" spans="1:14" x14ac:dyDescent="0.3">
      <c r="A525" s="417" t="e">
        <f>B522+G522</f>
        <v>#REF!</v>
      </c>
      <c r="B525" s="418"/>
      <c r="C525" s="418"/>
      <c r="D525" s="418"/>
      <c r="E525" s="418"/>
      <c r="F525" s="418"/>
      <c r="G525" s="419"/>
      <c r="H525" s="35"/>
      <c r="I525" s="35"/>
      <c r="J525" s="35"/>
      <c r="K525" s="35"/>
      <c r="L525" s="35"/>
      <c r="M525" s="35"/>
      <c r="N525" s="35"/>
    </row>
    <row r="526" spans="1:14" x14ac:dyDescent="0.3">
      <c r="A526" s="119"/>
      <c r="B526" s="79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</row>
    <row r="527" spans="1:14" x14ac:dyDescent="0.3">
      <c r="A527" s="415" t="s">
        <v>502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369"/>
      <c r="L527" s="35"/>
      <c r="M527" s="35"/>
      <c r="N527" s="35"/>
    </row>
    <row r="528" spans="1:14" x14ac:dyDescent="0.3">
      <c r="A528" s="360"/>
      <c r="B528" s="361"/>
      <c r="C528" s="364" t="s">
        <v>230</v>
      </c>
      <c r="D528" s="365"/>
      <c r="E528" s="365"/>
      <c r="F528" s="365"/>
      <c r="G528" s="365"/>
      <c r="H528" s="365"/>
      <c r="I528" s="365"/>
      <c r="J528" s="365"/>
      <c r="K528" s="366"/>
      <c r="L528" s="35"/>
      <c r="M528" s="35"/>
      <c r="N528" s="35"/>
    </row>
    <row r="529" spans="1:14" x14ac:dyDescent="0.3">
      <c r="A529" s="362"/>
      <c r="B529" s="363"/>
      <c r="C529" s="94">
        <v>5</v>
      </c>
      <c r="D529" s="94">
        <v>10</v>
      </c>
      <c r="E529" s="94">
        <v>15</v>
      </c>
      <c r="F529" s="94">
        <v>20</v>
      </c>
      <c r="G529" s="94">
        <v>25</v>
      </c>
      <c r="H529" s="94">
        <v>30</v>
      </c>
      <c r="I529" s="94">
        <v>35</v>
      </c>
      <c r="J529" s="94">
        <v>40</v>
      </c>
      <c r="K529" s="94">
        <v>45</v>
      </c>
      <c r="L529" s="35"/>
      <c r="M529" s="35"/>
      <c r="N529" s="35"/>
    </row>
    <row r="530" spans="1:14" x14ac:dyDescent="0.3">
      <c r="A530" s="397" t="s">
        <v>231</v>
      </c>
      <c r="B530" s="94">
        <v>5</v>
      </c>
      <c r="C530" s="93" t="e">
        <f t="shared" ref="C530:K530" si="212">C492/$B$522</f>
        <v>#REF!</v>
      </c>
      <c r="D530" s="93" t="e">
        <f t="shared" si="212"/>
        <v>#REF!</v>
      </c>
      <c r="E530" s="93" t="e">
        <f t="shared" si="212"/>
        <v>#REF!</v>
      </c>
      <c r="F530" s="93" t="e">
        <f t="shared" si="212"/>
        <v>#REF!</v>
      </c>
      <c r="G530" s="93" t="e">
        <f t="shared" si="212"/>
        <v>#REF!</v>
      </c>
      <c r="H530" s="93" t="e">
        <f t="shared" si="212"/>
        <v>#REF!</v>
      </c>
      <c r="I530" s="93" t="e">
        <f t="shared" si="212"/>
        <v>#REF!</v>
      </c>
      <c r="J530" s="93" t="e">
        <f t="shared" si="212"/>
        <v>#REF!</v>
      </c>
      <c r="K530" s="93" t="e">
        <f t="shared" si="212"/>
        <v>#REF!</v>
      </c>
      <c r="L530" s="35"/>
      <c r="M530" s="35"/>
      <c r="N530" s="35"/>
    </row>
    <row r="531" spans="1:14" x14ac:dyDescent="0.3">
      <c r="A531" s="397"/>
      <c r="B531" s="94">
        <v>10</v>
      </c>
      <c r="C531" s="93" t="e">
        <f t="shared" ref="C531:K531" si="213">C493/$B$522</f>
        <v>#REF!</v>
      </c>
      <c r="D531" s="93" t="e">
        <f t="shared" si="213"/>
        <v>#REF!</v>
      </c>
      <c r="E531" s="93" t="e">
        <f t="shared" si="213"/>
        <v>#REF!</v>
      </c>
      <c r="F531" s="93" t="e">
        <f t="shared" si="213"/>
        <v>#REF!</v>
      </c>
      <c r="G531" s="93" t="e">
        <f t="shared" si="213"/>
        <v>#REF!</v>
      </c>
      <c r="H531" s="93" t="e">
        <f t="shared" si="213"/>
        <v>#REF!</v>
      </c>
      <c r="I531" s="93" t="e">
        <f t="shared" si="213"/>
        <v>#REF!</v>
      </c>
      <c r="J531" s="93" t="e">
        <f t="shared" si="213"/>
        <v>#REF!</v>
      </c>
      <c r="K531" s="93" t="e">
        <f t="shared" si="213"/>
        <v>#REF!</v>
      </c>
      <c r="L531" s="35"/>
      <c r="M531" s="35"/>
      <c r="N531" s="35"/>
    </row>
    <row r="532" spans="1:14" x14ac:dyDescent="0.3">
      <c r="A532" s="397"/>
      <c r="B532" s="94">
        <v>15</v>
      </c>
      <c r="C532" s="93" t="e">
        <f t="shared" ref="C532:K532" si="214">C494/$B$522</f>
        <v>#REF!</v>
      </c>
      <c r="D532" s="93" t="e">
        <f t="shared" si="214"/>
        <v>#REF!</v>
      </c>
      <c r="E532" s="93" t="e">
        <f t="shared" si="214"/>
        <v>#REF!</v>
      </c>
      <c r="F532" s="93" t="e">
        <f t="shared" si="214"/>
        <v>#REF!</v>
      </c>
      <c r="G532" s="93" t="e">
        <f t="shared" si="214"/>
        <v>#REF!</v>
      </c>
      <c r="H532" s="93" t="e">
        <f t="shared" si="214"/>
        <v>#REF!</v>
      </c>
      <c r="I532" s="93" t="e">
        <f t="shared" si="214"/>
        <v>#REF!</v>
      </c>
      <c r="J532" s="93" t="e">
        <f t="shared" si="214"/>
        <v>#REF!</v>
      </c>
      <c r="K532" s="93" t="e">
        <f t="shared" si="214"/>
        <v>#REF!</v>
      </c>
      <c r="L532" s="35"/>
      <c r="M532" s="35"/>
      <c r="N532" s="35"/>
    </row>
    <row r="533" spans="1:14" x14ac:dyDescent="0.3">
      <c r="A533" s="397"/>
      <c r="B533" s="94">
        <v>20</v>
      </c>
      <c r="C533" s="93" t="e">
        <f t="shared" ref="C533:K533" si="215">C495/$B$522</f>
        <v>#REF!</v>
      </c>
      <c r="D533" s="93" t="e">
        <f t="shared" si="215"/>
        <v>#REF!</v>
      </c>
      <c r="E533" s="93" t="e">
        <f t="shared" si="215"/>
        <v>#REF!</v>
      </c>
      <c r="F533" s="93" t="e">
        <f t="shared" si="215"/>
        <v>#REF!</v>
      </c>
      <c r="G533" s="93" t="e">
        <f t="shared" si="215"/>
        <v>#REF!</v>
      </c>
      <c r="H533" s="93" t="e">
        <f t="shared" si="215"/>
        <v>#REF!</v>
      </c>
      <c r="I533" s="93" t="e">
        <f t="shared" si="215"/>
        <v>#REF!</v>
      </c>
      <c r="J533" s="93" t="e">
        <f t="shared" si="215"/>
        <v>#REF!</v>
      </c>
      <c r="K533" s="93" t="e">
        <f t="shared" si="215"/>
        <v>#REF!</v>
      </c>
      <c r="L533" s="35"/>
      <c r="M533" s="35"/>
      <c r="N533" s="35"/>
    </row>
    <row r="534" spans="1:14" x14ac:dyDescent="0.3">
      <c r="A534" s="397"/>
      <c r="B534" s="94">
        <v>25</v>
      </c>
      <c r="C534" s="93" t="e">
        <f t="shared" ref="C534:K534" si="216">C496/$B$522</f>
        <v>#REF!</v>
      </c>
      <c r="D534" s="93" t="e">
        <f t="shared" si="216"/>
        <v>#REF!</v>
      </c>
      <c r="E534" s="93" t="e">
        <f t="shared" si="216"/>
        <v>#REF!</v>
      </c>
      <c r="F534" s="93" t="e">
        <f t="shared" si="216"/>
        <v>#REF!</v>
      </c>
      <c r="G534" s="93" t="e">
        <f t="shared" si="216"/>
        <v>#REF!</v>
      </c>
      <c r="H534" s="93" t="e">
        <f t="shared" si="216"/>
        <v>#REF!</v>
      </c>
      <c r="I534" s="93" t="e">
        <f t="shared" si="216"/>
        <v>#REF!</v>
      </c>
      <c r="J534" s="93" t="e">
        <f t="shared" si="216"/>
        <v>#REF!</v>
      </c>
      <c r="K534" s="93" t="e">
        <f t="shared" si="216"/>
        <v>#REF!</v>
      </c>
      <c r="L534" s="35"/>
      <c r="M534" s="35"/>
      <c r="N534" s="35"/>
    </row>
    <row r="535" spans="1:14" x14ac:dyDescent="0.3">
      <c r="A535" s="397"/>
      <c r="B535" s="94">
        <v>30</v>
      </c>
      <c r="C535" s="93" t="e">
        <f t="shared" ref="C535:K535" si="217">C497/$B$522</f>
        <v>#REF!</v>
      </c>
      <c r="D535" s="93" t="e">
        <f t="shared" si="217"/>
        <v>#REF!</v>
      </c>
      <c r="E535" s="93" t="e">
        <f t="shared" si="217"/>
        <v>#REF!</v>
      </c>
      <c r="F535" s="93" t="e">
        <f t="shared" si="217"/>
        <v>#REF!</v>
      </c>
      <c r="G535" s="93" t="e">
        <f t="shared" si="217"/>
        <v>#REF!</v>
      </c>
      <c r="H535" s="93" t="e">
        <f t="shared" si="217"/>
        <v>#REF!</v>
      </c>
      <c r="I535" s="93" t="e">
        <f t="shared" si="217"/>
        <v>#REF!</v>
      </c>
      <c r="J535" s="93" t="e">
        <f t="shared" si="217"/>
        <v>#REF!</v>
      </c>
      <c r="K535" s="93" t="e">
        <f t="shared" si="217"/>
        <v>#REF!</v>
      </c>
      <c r="L535" s="35"/>
      <c r="M535" s="35"/>
      <c r="N535" s="35"/>
    </row>
    <row r="536" spans="1:14" x14ac:dyDescent="0.3">
      <c r="A536" s="397"/>
      <c r="B536" s="94">
        <v>35</v>
      </c>
      <c r="C536" s="93" t="e">
        <f t="shared" ref="C536:K536" si="218">C498/$B$522</f>
        <v>#REF!</v>
      </c>
      <c r="D536" s="93" t="e">
        <f t="shared" si="218"/>
        <v>#REF!</v>
      </c>
      <c r="E536" s="93" t="e">
        <f t="shared" si="218"/>
        <v>#REF!</v>
      </c>
      <c r="F536" s="93" t="e">
        <f t="shared" si="218"/>
        <v>#REF!</v>
      </c>
      <c r="G536" s="93" t="e">
        <f t="shared" si="218"/>
        <v>#REF!</v>
      </c>
      <c r="H536" s="93" t="e">
        <f t="shared" si="218"/>
        <v>#REF!</v>
      </c>
      <c r="I536" s="93" t="e">
        <f t="shared" si="218"/>
        <v>#REF!</v>
      </c>
      <c r="J536" s="93" t="e">
        <f t="shared" si="218"/>
        <v>#REF!</v>
      </c>
      <c r="K536" s="93" t="e">
        <f t="shared" si="218"/>
        <v>#REF!</v>
      </c>
      <c r="L536" s="35"/>
      <c r="M536" s="35"/>
      <c r="N536" s="35"/>
    </row>
    <row r="537" spans="1:14" x14ac:dyDescent="0.3">
      <c r="A537" s="397"/>
      <c r="B537" s="94">
        <v>40</v>
      </c>
      <c r="C537" s="93" t="e">
        <f t="shared" ref="C537:K537" si="219">C499/$B$522</f>
        <v>#REF!</v>
      </c>
      <c r="D537" s="93" t="e">
        <f t="shared" si="219"/>
        <v>#REF!</v>
      </c>
      <c r="E537" s="93" t="e">
        <f t="shared" si="219"/>
        <v>#REF!</v>
      </c>
      <c r="F537" s="93" t="e">
        <f t="shared" si="219"/>
        <v>#REF!</v>
      </c>
      <c r="G537" s="93" t="e">
        <f t="shared" si="219"/>
        <v>#REF!</v>
      </c>
      <c r="H537" s="93" t="e">
        <f t="shared" si="219"/>
        <v>#REF!</v>
      </c>
      <c r="I537" s="93" t="e">
        <f t="shared" si="219"/>
        <v>#REF!</v>
      </c>
      <c r="J537" s="93" t="e">
        <f t="shared" si="219"/>
        <v>#REF!</v>
      </c>
      <c r="K537" s="93" t="e">
        <f t="shared" si="219"/>
        <v>#REF!</v>
      </c>
      <c r="L537" s="35"/>
      <c r="M537" s="35"/>
      <c r="N537" s="35"/>
    </row>
    <row r="538" spans="1:14" x14ac:dyDescent="0.3">
      <c r="A538" s="397"/>
      <c r="B538" s="94">
        <v>45</v>
      </c>
      <c r="C538" s="93" t="e">
        <f t="shared" ref="C538:K538" si="220">C500/$B$522</f>
        <v>#REF!</v>
      </c>
      <c r="D538" s="93" t="e">
        <f t="shared" si="220"/>
        <v>#REF!</v>
      </c>
      <c r="E538" s="93" t="e">
        <f t="shared" si="220"/>
        <v>#REF!</v>
      </c>
      <c r="F538" s="93" t="e">
        <f t="shared" si="220"/>
        <v>#REF!</v>
      </c>
      <c r="G538" s="93" t="e">
        <f t="shared" si="220"/>
        <v>#REF!</v>
      </c>
      <c r="H538" s="93" t="e">
        <f t="shared" si="220"/>
        <v>#REF!</v>
      </c>
      <c r="I538" s="93" t="e">
        <f t="shared" si="220"/>
        <v>#REF!</v>
      </c>
      <c r="J538" s="93" t="e">
        <f t="shared" si="220"/>
        <v>#REF!</v>
      </c>
      <c r="K538" s="93" t="e">
        <f t="shared" si="220"/>
        <v>#REF!</v>
      </c>
      <c r="L538" s="35"/>
      <c r="M538" s="35"/>
      <c r="N538" s="35"/>
    </row>
    <row r="539" spans="1:14" x14ac:dyDescent="0.3">
      <c r="A539" s="397"/>
      <c r="B539" s="94">
        <v>50</v>
      </c>
      <c r="C539" s="93" t="e">
        <f t="shared" ref="C539:K539" si="221">C501/$B$522</f>
        <v>#REF!</v>
      </c>
      <c r="D539" s="93" t="e">
        <f t="shared" si="221"/>
        <v>#REF!</v>
      </c>
      <c r="E539" s="93" t="e">
        <f t="shared" si="221"/>
        <v>#REF!</v>
      </c>
      <c r="F539" s="93" t="e">
        <f t="shared" si="221"/>
        <v>#REF!</v>
      </c>
      <c r="G539" s="93" t="e">
        <f t="shared" si="221"/>
        <v>#REF!</v>
      </c>
      <c r="H539" s="93" t="e">
        <f t="shared" si="221"/>
        <v>#REF!</v>
      </c>
      <c r="I539" s="93" t="e">
        <f t="shared" si="221"/>
        <v>#REF!</v>
      </c>
      <c r="J539" s="93" t="e">
        <f t="shared" si="221"/>
        <v>#REF!</v>
      </c>
      <c r="K539" s="93" t="e">
        <f t="shared" si="221"/>
        <v>#REF!</v>
      </c>
      <c r="L539" s="35"/>
      <c r="M539" s="35"/>
      <c r="N539" s="35"/>
    </row>
    <row r="540" spans="1:14" x14ac:dyDescent="0.3">
      <c r="A540" s="397"/>
      <c r="B540" s="94">
        <v>55</v>
      </c>
      <c r="C540" s="93" t="e">
        <f t="shared" ref="C540:K540" si="222">C502/$B$522</f>
        <v>#REF!</v>
      </c>
      <c r="D540" s="93" t="e">
        <f t="shared" si="222"/>
        <v>#REF!</v>
      </c>
      <c r="E540" s="93" t="e">
        <f t="shared" si="222"/>
        <v>#REF!</v>
      </c>
      <c r="F540" s="93" t="e">
        <f t="shared" si="222"/>
        <v>#REF!</v>
      </c>
      <c r="G540" s="93" t="e">
        <f t="shared" si="222"/>
        <v>#REF!</v>
      </c>
      <c r="H540" s="93" t="e">
        <f t="shared" si="222"/>
        <v>#REF!</v>
      </c>
      <c r="I540" s="93" t="e">
        <f t="shared" si="222"/>
        <v>#REF!</v>
      </c>
      <c r="J540" s="93" t="e">
        <f t="shared" si="222"/>
        <v>#REF!</v>
      </c>
      <c r="K540" s="93" t="e">
        <f t="shared" si="222"/>
        <v>#REF!</v>
      </c>
      <c r="L540" s="35"/>
      <c r="M540" s="35"/>
      <c r="N540" s="35"/>
    </row>
    <row r="541" spans="1:14" x14ac:dyDescent="0.3">
      <c r="A541" s="397"/>
      <c r="B541" s="94">
        <v>60</v>
      </c>
      <c r="C541" s="93" t="e">
        <f t="shared" ref="C541:K541" si="223">C503/$B$522</f>
        <v>#REF!</v>
      </c>
      <c r="D541" s="93" t="e">
        <f t="shared" si="223"/>
        <v>#REF!</v>
      </c>
      <c r="E541" s="93" t="e">
        <f t="shared" si="223"/>
        <v>#REF!</v>
      </c>
      <c r="F541" s="93" t="e">
        <f t="shared" si="223"/>
        <v>#REF!</v>
      </c>
      <c r="G541" s="93" t="e">
        <f t="shared" si="223"/>
        <v>#REF!</v>
      </c>
      <c r="H541" s="93" t="e">
        <f t="shared" si="223"/>
        <v>#REF!</v>
      </c>
      <c r="I541" s="93" t="e">
        <f t="shared" si="223"/>
        <v>#REF!</v>
      </c>
      <c r="J541" s="93" t="e">
        <f t="shared" si="223"/>
        <v>#REF!</v>
      </c>
      <c r="K541" s="93" t="e">
        <f t="shared" si="223"/>
        <v>#REF!</v>
      </c>
      <c r="L541" s="35"/>
      <c r="M541" s="35"/>
      <c r="N541" s="35"/>
    </row>
    <row r="542" spans="1:14" x14ac:dyDescent="0.3">
      <c r="A542" s="397"/>
      <c r="B542" s="94">
        <v>65</v>
      </c>
      <c r="C542" s="93" t="e">
        <f t="shared" ref="C542:K542" si="224">C504/$B$522</f>
        <v>#REF!</v>
      </c>
      <c r="D542" s="93" t="e">
        <f t="shared" si="224"/>
        <v>#REF!</v>
      </c>
      <c r="E542" s="93" t="e">
        <f t="shared" si="224"/>
        <v>#REF!</v>
      </c>
      <c r="F542" s="93" t="e">
        <f t="shared" si="224"/>
        <v>#REF!</v>
      </c>
      <c r="G542" s="93" t="e">
        <f t="shared" si="224"/>
        <v>#REF!</v>
      </c>
      <c r="H542" s="93" t="e">
        <f t="shared" si="224"/>
        <v>#REF!</v>
      </c>
      <c r="I542" s="93" t="e">
        <f t="shared" si="224"/>
        <v>#REF!</v>
      </c>
      <c r="J542" s="93" t="e">
        <f t="shared" si="224"/>
        <v>#REF!</v>
      </c>
      <c r="K542" s="93" t="e">
        <f t="shared" si="224"/>
        <v>#REF!</v>
      </c>
      <c r="L542" s="35"/>
      <c r="M542" s="35"/>
      <c r="N542" s="35"/>
    </row>
    <row r="543" spans="1:14" x14ac:dyDescent="0.3">
      <c r="A543" s="397"/>
      <c r="B543" s="94">
        <v>70</v>
      </c>
      <c r="C543" s="93" t="e">
        <f t="shared" ref="C543:K543" si="225">C505/$B$522</f>
        <v>#REF!</v>
      </c>
      <c r="D543" s="93" t="e">
        <f t="shared" si="225"/>
        <v>#REF!</v>
      </c>
      <c r="E543" s="93" t="e">
        <f t="shared" si="225"/>
        <v>#REF!</v>
      </c>
      <c r="F543" s="93" t="e">
        <f t="shared" si="225"/>
        <v>#REF!</v>
      </c>
      <c r="G543" s="93" t="e">
        <f t="shared" si="225"/>
        <v>#REF!</v>
      </c>
      <c r="H543" s="93" t="e">
        <f t="shared" si="225"/>
        <v>#REF!</v>
      </c>
      <c r="I543" s="93" t="e">
        <f t="shared" si="225"/>
        <v>#REF!</v>
      </c>
      <c r="J543" s="93" t="e">
        <f t="shared" si="225"/>
        <v>#REF!</v>
      </c>
      <c r="K543" s="93" t="e">
        <f t="shared" si="225"/>
        <v>#REF!</v>
      </c>
      <c r="L543" s="35"/>
      <c r="M543" s="35"/>
      <c r="N543" s="35"/>
    </row>
    <row r="544" spans="1:14" x14ac:dyDescent="0.3">
      <c r="A544" s="397"/>
      <c r="B544" s="94">
        <v>75</v>
      </c>
      <c r="C544" s="93" t="e">
        <f t="shared" ref="C544:K544" si="226">C506/$B$522</f>
        <v>#REF!</v>
      </c>
      <c r="D544" s="93" t="e">
        <f t="shared" si="226"/>
        <v>#REF!</v>
      </c>
      <c r="E544" s="93" t="e">
        <f t="shared" si="226"/>
        <v>#REF!</v>
      </c>
      <c r="F544" s="93" t="e">
        <f t="shared" si="226"/>
        <v>#REF!</v>
      </c>
      <c r="G544" s="93" t="e">
        <f t="shared" si="226"/>
        <v>#REF!</v>
      </c>
      <c r="H544" s="93" t="e">
        <f t="shared" si="226"/>
        <v>#REF!</v>
      </c>
      <c r="I544" s="93" t="e">
        <f t="shared" si="226"/>
        <v>#REF!</v>
      </c>
      <c r="J544" s="93" t="e">
        <f t="shared" si="226"/>
        <v>#REF!</v>
      </c>
      <c r="K544" s="93" t="e">
        <f t="shared" si="226"/>
        <v>#REF!</v>
      </c>
      <c r="L544" s="35"/>
      <c r="M544" s="35"/>
      <c r="N544" s="35"/>
    </row>
    <row r="545" spans="1:14" x14ac:dyDescent="0.3">
      <c r="A545" s="397"/>
      <c r="B545" s="94">
        <v>80</v>
      </c>
      <c r="C545" s="93" t="e">
        <f t="shared" ref="C545:K545" si="227">C507/$B$522</f>
        <v>#REF!</v>
      </c>
      <c r="D545" s="93" t="e">
        <f t="shared" si="227"/>
        <v>#REF!</v>
      </c>
      <c r="E545" s="93" t="e">
        <f t="shared" si="227"/>
        <v>#REF!</v>
      </c>
      <c r="F545" s="93" t="e">
        <f t="shared" si="227"/>
        <v>#REF!</v>
      </c>
      <c r="G545" s="93" t="e">
        <f t="shared" si="227"/>
        <v>#REF!</v>
      </c>
      <c r="H545" s="93" t="e">
        <f t="shared" si="227"/>
        <v>#REF!</v>
      </c>
      <c r="I545" s="93" t="e">
        <f t="shared" si="227"/>
        <v>#REF!</v>
      </c>
      <c r="J545" s="93" t="e">
        <f t="shared" si="227"/>
        <v>#REF!</v>
      </c>
      <c r="K545" s="93" t="e">
        <f t="shared" si="227"/>
        <v>#REF!</v>
      </c>
      <c r="L545" s="35"/>
      <c r="M545" s="35"/>
      <c r="N545" s="35"/>
    </row>
    <row r="546" spans="1:14" x14ac:dyDescent="0.3">
      <c r="A546" s="397"/>
      <c r="B546" s="94">
        <v>85</v>
      </c>
      <c r="C546" s="93" t="e">
        <f t="shared" ref="C546:K546" si="228">C508/$B$522</f>
        <v>#REF!</v>
      </c>
      <c r="D546" s="93" t="e">
        <f t="shared" si="228"/>
        <v>#REF!</v>
      </c>
      <c r="E546" s="93" t="e">
        <f t="shared" si="228"/>
        <v>#REF!</v>
      </c>
      <c r="F546" s="93" t="e">
        <f t="shared" si="228"/>
        <v>#REF!</v>
      </c>
      <c r="G546" s="93" t="e">
        <f t="shared" si="228"/>
        <v>#REF!</v>
      </c>
      <c r="H546" s="93" t="e">
        <f t="shared" si="228"/>
        <v>#REF!</v>
      </c>
      <c r="I546" s="93" t="e">
        <f t="shared" si="228"/>
        <v>#REF!</v>
      </c>
      <c r="J546" s="93" t="e">
        <f t="shared" si="228"/>
        <v>#REF!</v>
      </c>
      <c r="K546" s="93" t="e">
        <f t="shared" si="228"/>
        <v>#REF!</v>
      </c>
      <c r="L546" s="35"/>
      <c r="M546" s="35"/>
      <c r="N546" s="35"/>
    </row>
    <row r="547" spans="1:14" x14ac:dyDescent="0.3">
      <c r="A547" s="397"/>
      <c r="B547" s="94">
        <v>90</v>
      </c>
      <c r="C547" s="93" t="e">
        <f t="shared" ref="C547:K547" si="229">C509/$B$522</f>
        <v>#REF!</v>
      </c>
      <c r="D547" s="93" t="e">
        <f t="shared" si="229"/>
        <v>#REF!</v>
      </c>
      <c r="E547" s="93" t="e">
        <f t="shared" si="229"/>
        <v>#REF!</v>
      </c>
      <c r="F547" s="93" t="e">
        <f t="shared" si="229"/>
        <v>#REF!</v>
      </c>
      <c r="G547" s="93" t="e">
        <f t="shared" si="229"/>
        <v>#REF!</v>
      </c>
      <c r="H547" s="93" t="e">
        <f t="shared" si="229"/>
        <v>#REF!</v>
      </c>
      <c r="I547" s="93" t="e">
        <f t="shared" si="229"/>
        <v>#REF!</v>
      </c>
      <c r="J547" s="93" t="e">
        <f t="shared" si="229"/>
        <v>#REF!</v>
      </c>
      <c r="K547" s="93" t="e">
        <f t="shared" si="229"/>
        <v>#REF!</v>
      </c>
      <c r="L547" s="35"/>
      <c r="M547" s="35"/>
      <c r="N547" s="35"/>
    </row>
    <row r="548" spans="1:14" x14ac:dyDescent="0.3">
      <c r="A548" s="397"/>
      <c r="B548" s="94">
        <v>95</v>
      </c>
      <c r="C548" s="93" t="e">
        <f t="shared" ref="C548:K548" si="230">C510/$B$522</f>
        <v>#REF!</v>
      </c>
      <c r="D548" s="93" t="e">
        <f t="shared" si="230"/>
        <v>#REF!</v>
      </c>
      <c r="E548" s="93" t="e">
        <f t="shared" si="230"/>
        <v>#REF!</v>
      </c>
      <c r="F548" s="93" t="e">
        <f t="shared" si="230"/>
        <v>#REF!</v>
      </c>
      <c r="G548" s="93" t="e">
        <f t="shared" si="230"/>
        <v>#REF!</v>
      </c>
      <c r="H548" s="93" t="e">
        <f t="shared" si="230"/>
        <v>#REF!</v>
      </c>
      <c r="I548" s="93" t="e">
        <f t="shared" si="230"/>
        <v>#REF!</v>
      </c>
      <c r="J548" s="93" t="e">
        <f t="shared" si="230"/>
        <v>#REF!</v>
      </c>
      <c r="K548" s="93" t="e">
        <f t="shared" si="230"/>
        <v>#REF!</v>
      </c>
      <c r="L548" s="35"/>
      <c r="M548" s="35"/>
      <c r="N548" s="35"/>
    </row>
    <row r="549" spans="1:14" x14ac:dyDescent="0.3">
      <c r="A549" s="397"/>
      <c r="B549" s="94">
        <v>100</v>
      </c>
      <c r="C549" s="93" t="e">
        <f t="shared" ref="C549:K549" si="231">C511/$B$522</f>
        <v>#REF!</v>
      </c>
      <c r="D549" s="93" t="e">
        <f t="shared" si="231"/>
        <v>#REF!</v>
      </c>
      <c r="E549" s="93" t="e">
        <f t="shared" si="231"/>
        <v>#REF!</v>
      </c>
      <c r="F549" s="93" t="e">
        <f t="shared" si="231"/>
        <v>#REF!</v>
      </c>
      <c r="G549" s="93" t="e">
        <f t="shared" si="231"/>
        <v>#REF!</v>
      </c>
      <c r="H549" s="93" t="e">
        <f t="shared" si="231"/>
        <v>#REF!</v>
      </c>
      <c r="I549" s="93" t="e">
        <f t="shared" si="231"/>
        <v>#REF!</v>
      </c>
      <c r="J549" s="93" t="e">
        <f t="shared" si="231"/>
        <v>#REF!</v>
      </c>
      <c r="K549" s="93" t="e">
        <f t="shared" si="231"/>
        <v>#REF!</v>
      </c>
      <c r="L549" s="35"/>
      <c r="M549" s="35"/>
      <c r="N549" s="35"/>
    </row>
    <row r="550" spans="1:14" x14ac:dyDescent="0.3">
      <c r="A550" s="116"/>
      <c r="B550" s="79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</row>
    <row r="551" spans="1:14" x14ac:dyDescent="0.3">
      <c r="A551" s="415" t="s">
        <v>505</v>
      </c>
      <c r="B551" s="416"/>
      <c r="C551" s="416"/>
      <c r="D551" s="416"/>
      <c r="E551" s="416"/>
      <c r="F551" s="416"/>
      <c r="G551" s="416"/>
      <c r="H551" s="416"/>
      <c r="I551" s="416"/>
      <c r="J551" s="416"/>
      <c r="K551" s="369"/>
      <c r="L551" s="35"/>
      <c r="M551" s="35"/>
      <c r="N551" s="35"/>
    </row>
    <row r="552" spans="1:14" x14ac:dyDescent="0.3">
      <c r="A552" s="360"/>
      <c r="B552" s="361"/>
      <c r="C552" s="364" t="s">
        <v>230</v>
      </c>
      <c r="D552" s="365"/>
      <c r="E552" s="365"/>
      <c r="F552" s="365"/>
      <c r="G552" s="365"/>
      <c r="H552" s="365"/>
      <c r="I552" s="365"/>
      <c r="J552" s="365"/>
      <c r="K552" s="366"/>
      <c r="L552" s="35"/>
      <c r="M552" s="35"/>
      <c r="N552" s="35"/>
    </row>
    <row r="553" spans="1:14" x14ac:dyDescent="0.3">
      <c r="A553" s="362"/>
      <c r="B553" s="363"/>
      <c r="C553" s="94">
        <v>5</v>
      </c>
      <c r="D553" s="94">
        <v>10</v>
      </c>
      <c r="E553" s="94">
        <v>15</v>
      </c>
      <c r="F553" s="94">
        <v>20</v>
      </c>
      <c r="G553" s="94">
        <v>25</v>
      </c>
      <c r="H553" s="94">
        <v>30</v>
      </c>
      <c r="I553" s="94">
        <v>35</v>
      </c>
      <c r="J553" s="94">
        <v>40</v>
      </c>
      <c r="K553" s="94">
        <v>45</v>
      </c>
      <c r="L553" s="35"/>
      <c r="M553" s="35"/>
      <c r="N553" s="35"/>
    </row>
    <row r="554" spans="1:14" x14ac:dyDescent="0.3">
      <c r="A554" s="397" t="s">
        <v>231</v>
      </c>
      <c r="B554" s="94">
        <v>5</v>
      </c>
      <c r="C554" s="144" t="e">
        <f>RADIANS(C530)</f>
        <v>#REF!</v>
      </c>
      <c r="D554" s="144" t="e">
        <f t="shared" ref="D554:K554" si="232">RADIANS(D530)</f>
        <v>#REF!</v>
      </c>
      <c r="E554" s="144" t="e">
        <f t="shared" si="232"/>
        <v>#REF!</v>
      </c>
      <c r="F554" s="144" t="e">
        <f t="shared" si="232"/>
        <v>#REF!</v>
      </c>
      <c r="G554" s="144" t="e">
        <f t="shared" si="232"/>
        <v>#REF!</v>
      </c>
      <c r="H554" s="144" t="e">
        <f t="shared" si="232"/>
        <v>#REF!</v>
      </c>
      <c r="I554" s="144" t="e">
        <f t="shared" si="232"/>
        <v>#REF!</v>
      </c>
      <c r="J554" s="144" t="e">
        <f t="shared" si="232"/>
        <v>#REF!</v>
      </c>
      <c r="K554" s="144" t="e">
        <f t="shared" si="232"/>
        <v>#REF!</v>
      </c>
      <c r="L554" s="35"/>
      <c r="M554" s="35"/>
      <c r="N554" s="35"/>
    </row>
    <row r="555" spans="1:14" x14ac:dyDescent="0.3">
      <c r="A555" s="397"/>
      <c r="B555" s="94">
        <v>10</v>
      </c>
      <c r="C555" s="144" t="e">
        <f t="shared" ref="C555:K573" si="233">RADIANS(C531)</f>
        <v>#REF!</v>
      </c>
      <c r="D555" s="144" t="e">
        <f t="shared" si="233"/>
        <v>#REF!</v>
      </c>
      <c r="E555" s="144" t="e">
        <f t="shared" si="233"/>
        <v>#REF!</v>
      </c>
      <c r="F555" s="144" t="e">
        <f t="shared" si="233"/>
        <v>#REF!</v>
      </c>
      <c r="G555" s="144" t="e">
        <f t="shared" si="233"/>
        <v>#REF!</v>
      </c>
      <c r="H555" s="144" t="e">
        <f t="shared" si="233"/>
        <v>#REF!</v>
      </c>
      <c r="I555" s="144" t="e">
        <f t="shared" si="233"/>
        <v>#REF!</v>
      </c>
      <c r="J555" s="144" t="e">
        <f t="shared" si="233"/>
        <v>#REF!</v>
      </c>
      <c r="K555" s="144" t="e">
        <f t="shared" si="233"/>
        <v>#REF!</v>
      </c>
      <c r="L555" s="35"/>
      <c r="M555" s="35"/>
      <c r="N555" s="35"/>
    </row>
    <row r="556" spans="1:14" x14ac:dyDescent="0.3">
      <c r="A556" s="397"/>
      <c r="B556" s="94">
        <v>15</v>
      </c>
      <c r="C556" s="144" t="e">
        <f t="shared" si="233"/>
        <v>#REF!</v>
      </c>
      <c r="D556" s="144" t="e">
        <f t="shared" si="233"/>
        <v>#REF!</v>
      </c>
      <c r="E556" s="144" t="e">
        <f t="shared" si="233"/>
        <v>#REF!</v>
      </c>
      <c r="F556" s="144" t="e">
        <f t="shared" si="233"/>
        <v>#REF!</v>
      </c>
      <c r="G556" s="144" t="e">
        <f t="shared" si="233"/>
        <v>#REF!</v>
      </c>
      <c r="H556" s="144" t="e">
        <f t="shared" si="233"/>
        <v>#REF!</v>
      </c>
      <c r="I556" s="144" t="e">
        <f t="shared" si="233"/>
        <v>#REF!</v>
      </c>
      <c r="J556" s="144" t="e">
        <f t="shared" si="233"/>
        <v>#REF!</v>
      </c>
      <c r="K556" s="144" t="e">
        <f t="shared" si="233"/>
        <v>#REF!</v>
      </c>
      <c r="L556" s="35"/>
      <c r="M556" s="35"/>
      <c r="N556" s="35"/>
    </row>
    <row r="557" spans="1:14" x14ac:dyDescent="0.3">
      <c r="A557" s="397"/>
      <c r="B557" s="94">
        <v>20</v>
      </c>
      <c r="C557" s="144" t="e">
        <f t="shared" si="233"/>
        <v>#REF!</v>
      </c>
      <c r="D557" s="144" t="e">
        <f t="shared" si="233"/>
        <v>#REF!</v>
      </c>
      <c r="E557" s="144" t="e">
        <f t="shared" si="233"/>
        <v>#REF!</v>
      </c>
      <c r="F557" s="144" t="e">
        <f t="shared" si="233"/>
        <v>#REF!</v>
      </c>
      <c r="G557" s="144" t="e">
        <f t="shared" si="233"/>
        <v>#REF!</v>
      </c>
      <c r="H557" s="144" t="e">
        <f t="shared" si="233"/>
        <v>#REF!</v>
      </c>
      <c r="I557" s="144" t="e">
        <f t="shared" si="233"/>
        <v>#REF!</v>
      </c>
      <c r="J557" s="144" t="e">
        <f t="shared" si="233"/>
        <v>#REF!</v>
      </c>
      <c r="K557" s="144" t="e">
        <f t="shared" si="233"/>
        <v>#REF!</v>
      </c>
      <c r="L557" s="35"/>
      <c r="M557" s="35"/>
      <c r="N557" s="35"/>
    </row>
    <row r="558" spans="1:14" x14ac:dyDescent="0.3">
      <c r="A558" s="397"/>
      <c r="B558" s="94">
        <v>25</v>
      </c>
      <c r="C558" s="144" t="e">
        <f t="shared" si="233"/>
        <v>#REF!</v>
      </c>
      <c r="D558" s="144" t="e">
        <f t="shared" si="233"/>
        <v>#REF!</v>
      </c>
      <c r="E558" s="144" t="e">
        <f t="shared" si="233"/>
        <v>#REF!</v>
      </c>
      <c r="F558" s="144" t="e">
        <f t="shared" si="233"/>
        <v>#REF!</v>
      </c>
      <c r="G558" s="144" t="e">
        <f t="shared" si="233"/>
        <v>#REF!</v>
      </c>
      <c r="H558" s="144" t="e">
        <f t="shared" si="233"/>
        <v>#REF!</v>
      </c>
      <c r="I558" s="144" t="e">
        <f t="shared" si="233"/>
        <v>#REF!</v>
      </c>
      <c r="J558" s="144" t="e">
        <f t="shared" si="233"/>
        <v>#REF!</v>
      </c>
      <c r="K558" s="144" t="e">
        <f t="shared" si="233"/>
        <v>#REF!</v>
      </c>
      <c r="L558" s="35"/>
      <c r="M558" s="35"/>
      <c r="N558" s="35"/>
    </row>
    <row r="559" spans="1:14" x14ac:dyDescent="0.3">
      <c r="A559" s="397"/>
      <c r="B559" s="94">
        <v>30</v>
      </c>
      <c r="C559" s="144" t="e">
        <f t="shared" si="233"/>
        <v>#REF!</v>
      </c>
      <c r="D559" s="144" t="e">
        <f t="shared" si="233"/>
        <v>#REF!</v>
      </c>
      <c r="E559" s="144" t="e">
        <f t="shared" si="233"/>
        <v>#REF!</v>
      </c>
      <c r="F559" s="144" t="e">
        <f t="shared" si="233"/>
        <v>#REF!</v>
      </c>
      <c r="G559" s="144" t="e">
        <f t="shared" si="233"/>
        <v>#REF!</v>
      </c>
      <c r="H559" s="144" t="e">
        <f t="shared" si="233"/>
        <v>#REF!</v>
      </c>
      <c r="I559" s="144" t="e">
        <f t="shared" si="233"/>
        <v>#REF!</v>
      </c>
      <c r="J559" s="144" t="e">
        <f t="shared" si="233"/>
        <v>#REF!</v>
      </c>
      <c r="K559" s="144" t="e">
        <f t="shared" si="233"/>
        <v>#REF!</v>
      </c>
      <c r="L559" s="35"/>
      <c r="M559" s="35"/>
      <c r="N559" s="35"/>
    </row>
    <row r="560" spans="1:14" x14ac:dyDescent="0.3">
      <c r="A560" s="397"/>
      <c r="B560" s="94">
        <v>35</v>
      </c>
      <c r="C560" s="144" t="e">
        <f t="shared" si="233"/>
        <v>#REF!</v>
      </c>
      <c r="D560" s="144" t="e">
        <f t="shared" si="233"/>
        <v>#REF!</v>
      </c>
      <c r="E560" s="144" t="e">
        <f t="shared" si="233"/>
        <v>#REF!</v>
      </c>
      <c r="F560" s="144" t="e">
        <f t="shared" si="233"/>
        <v>#REF!</v>
      </c>
      <c r="G560" s="144" t="e">
        <f t="shared" si="233"/>
        <v>#REF!</v>
      </c>
      <c r="H560" s="144" t="e">
        <f t="shared" si="233"/>
        <v>#REF!</v>
      </c>
      <c r="I560" s="144" t="e">
        <f t="shared" si="233"/>
        <v>#REF!</v>
      </c>
      <c r="J560" s="144" t="e">
        <f t="shared" si="233"/>
        <v>#REF!</v>
      </c>
      <c r="K560" s="144" t="e">
        <f t="shared" si="233"/>
        <v>#REF!</v>
      </c>
      <c r="L560" s="35"/>
      <c r="M560" s="35"/>
      <c r="N560" s="35"/>
    </row>
    <row r="561" spans="1:14" x14ac:dyDescent="0.3">
      <c r="A561" s="397"/>
      <c r="B561" s="94">
        <v>40</v>
      </c>
      <c r="C561" s="144" t="e">
        <f t="shared" si="233"/>
        <v>#REF!</v>
      </c>
      <c r="D561" s="144" t="e">
        <f t="shared" si="233"/>
        <v>#REF!</v>
      </c>
      <c r="E561" s="144" t="e">
        <f t="shared" si="233"/>
        <v>#REF!</v>
      </c>
      <c r="F561" s="144" t="e">
        <f t="shared" si="233"/>
        <v>#REF!</v>
      </c>
      <c r="G561" s="144" t="e">
        <f t="shared" si="233"/>
        <v>#REF!</v>
      </c>
      <c r="H561" s="144" t="e">
        <f t="shared" si="233"/>
        <v>#REF!</v>
      </c>
      <c r="I561" s="144" t="e">
        <f t="shared" si="233"/>
        <v>#REF!</v>
      </c>
      <c r="J561" s="144" t="e">
        <f t="shared" si="233"/>
        <v>#REF!</v>
      </c>
      <c r="K561" s="144" t="e">
        <f t="shared" si="233"/>
        <v>#REF!</v>
      </c>
      <c r="L561" s="35"/>
      <c r="M561" s="35"/>
      <c r="N561" s="35"/>
    </row>
    <row r="562" spans="1:14" x14ac:dyDescent="0.3">
      <c r="A562" s="397"/>
      <c r="B562" s="94">
        <v>45</v>
      </c>
      <c r="C562" s="144" t="e">
        <f t="shared" si="233"/>
        <v>#REF!</v>
      </c>
      <c r="D562" s="144" t="e">
        <f t="shared" si="233"/>
        <v>#REF!</v>
      </c>
      <c r="E562" s="144" t="e">
        <f t="shared" si="233"/>
        <v>#REF!</v>
      </c>
      <c r="F562" s="144" t="e">
        <f t="shared" si="233"/>
        <v>#REF!</v>
      </c>
      <c r="G562" s="144" t="e">
        <f t="shared" si="233"/>
        <v>#REF!</v>
      </c>
      <c r="H562" s="144" t="e">
        <f t="shared" si="233"/>
        <v>#REF!</v>
      </c>
      <c r="I562" s="144" t="e">
        <f t="shared" si="233"/>
        <v>#REF!</v>
      </c>
      <c r="J562" s="144" t="e">
        <f t="shared" si="233"/>
        <v>#REF!</v>
      </c>
      <c r="K562" s="144" t="e">
        <f t="shared" si="233"/>
        <v>#REF!</v>
      </c>
      <c r="L562" s="35"/>
      <c r="M562" s="35"/>
      <c r="N562" s="35"/>
    </row>
    <row r="563" spans="1:14" x14ac:dyDescent="0.3">
      <c r="A563" s="397"/>
      <c r="B563" s="94">
        <v>50</v>
      </c>
      <c r="C563" s="144" t="e">
        <f t="shared" si="233"/>
        <v>#REF!</v>
      </c>
      <c r="D563" s="144" t="e">
        <f t="shared" si="233"/>
        <v>#REF!</v>
      </c>
      <c r="E563" s="144" t="e">
        <f t="shared" si="233"/>
        <v>#REF!</v>
      </c>
      <c r="F563" s="144" t="e">
        <f t="shared" si="233"/>
        <v>#REF!</v>
      </c>
      <c r="G563" s="144" t="e">
        <f t="shared" si="233"/>
        <v>#REF!</v>
      </c>
      <c r="H563" s="144" t="e">
        <f t="shared" si="233"/>
        <v>#REF!</v>
      </c>
      <c r="I563" s="144" t="e">
        <f t="shared" si="233"/>
        <v>#REF!</v>
      </c>
      <c r="J563" s="144" t="e">
        <f t="shared" si="233"/>
        <v>#REF!</v>
      </c>
      <c r="K563" s="144" t="e">
        <f t="shared" si="233"/>
        <v>#REF!</v>
      </c>
      <c r="L563" s="35"/>
      <c r="M563" s="35"/>
      <c r="N563" s="35"/>
    </row>
    <row r="564" spans="1:14" x14ac:dyDescent="0.3">
      <c r="A564" s="397"/>
      <c r="B564" s="94">
        <v>55</v>
      </c>
      <c r="C564" s="144" t="e">
        <f t="shared" si="233"/>
        <v>#REF!</v>
      </c>
      <c r="D564" s="144" t="e">
        <f t="shared" si="233"/>
        <v>#REF!</v>
      </c>
      <c r="E564" s="144" t="e">
        <f t="shared" si="233"/>
        <v>#REF!</v>
      </c>
      <c r="F564" s="144" t="e">
        <f t="shared" si="233"/>
        <v>#REF!</v>
      </c>
      <c r="G564" s="144" t="e">
        <f t="shared" si="233"/>
        <v>#REF!</v>
      </c>
      <c r="H564" s="144" t="e">
        <f t="shared" si="233"/>
        <v>#REF!</v>
      </c>
      <c r="I564" s="144" t="e">
        <f t="shared" si="233"/>
        <v>#REF!</v>
      </c>
      <c r="J564" s="144" t="e">
        <f t="shared" si="233"/>
        <v>#REF!</v>
      </c>
      <c r="K564" s="144" t="e">
        <f t="shared" si="233"/>
        <v>#REF!</v>
      </c>
      <c r="L564" s="35"/>
      <c r="M564" s="35"/>
      <c r="N564" s="35"/>
    </row>
    <row r="565" spans="1:14" x14ac:dyDescent="0.3">
      <c r="A565" s="397"/>
      <c r="B565" s="94">
        <v>60</v>
      </c>
      <c r="C565" s="144" t="e">
        <f t="shared" si="233"/>
        <v>#REF!</v>
      </c>
      <c r="D565" s="144" t="e">
        <f t="shared" si="233"/>
        <v>#REF!</v>
      </c>
      <c r="E565" s="144" t="e">
        <f t="shared" si="233"/>
        <v>#REF!</v>
      </c>
      <c r="F565" s="144" t="e">
        <f t="shared" si="233"/>
        <v>#REF!</v>
      </c>
      <c r="G565" s="144" t="e">
        <f t="shared" si="233"/>
        <v>#REF!</v>
      </c>
      <c r="H565" s="144" t="e">
        <f t="shared" si="233"/>
        <v>#REF!</v>
      </c>
      <c r="I565" s="144" t="e">
        <f t="shared" si="233"/>
        <v>#REF!</v>
      </c>
      <c r="J565" s="144" t="e">
        <f t="shared" si="233"/>
        <v>#REF!</v>
      </c>
      <c r="K565" s="144" t="e">
        <f t="shared" si="233"/>
        <v>#REF!</v>
      </c>
      <c r="L565" s="35"/>
      <c r="M565" s="35"/>
      <c r="N565" s="35"/>
    </row>
    <row r="566" spans="1:14" x14ac:dyDescent="0.3">
      <c r="A566" s="397"/>
      <c r="B566" s="94">
        <v>65</v>
      </c>
      <c r="C566" s="144" t="e">
        <f t="shared" si="233"/>
        <v>#REF!</v>
      </c>
      <c r="D566" s="144" t="e">
        <f t="shared" si="233"/>
        <v>#REF!</v>
      </c>
      <c r="E566" s="144" t="e">
        <f t="shared" si="233"/>
        <v>#REF!</v>
      </c>
      <c r="F566" s="144" t="e">
        <f t="shared" si="233"/>
        <v>#REF!</v>
      </c>
      <c r="G566" s="144" t="e">
        <f t="shared" si="233"/>
        <v>#REF!</v>
      </c>
      <c r="H566" s="144" t="e">
        <f t="shared" si="233"/>
        <v>#REF!</v>
      </c>
      <c r="I566" s="144" t="e">
        <f t="shared" si="233"/>
        <v>#REF!</v>
      </c>
      <c r="J566" s="144" t="e">
        <f t="shared" si="233"/>
        <v>#REF!</v>
      </c>
      <c r="K566" s="144" t="e">
        <f t="shared" si="233"/>
        <v>#REF!</v>
      </c>
      <c r="L566" s="35"/>
      <c r="M566" s="35"/>
      <c r="N566" s="35"/>
    </row>
    <row r="567" spans="1:14" x14ac:dyDescent="0.3">
      <c r="A567" s="397"/>
      <c r="B567" s="94">
        <v>70</v>
      </c>
      <c r="C567" s="144" t="e">
        <f t="shared" si="233"/>
        <v>#REF!</v>
      </c>
      <c r="D567" s="144" t="e">
        <f t="shared" si="233"/>
        <v>#REF!</v>
      </c>
      <c r="E567" s="144" t="e">
        <f t="shared" si="233"/>
        <v>#REF!</v>
      </c>
      <c r="F567" s="144" t="e">
        <f t="shared" si="233"/>
        <v>#REF!</v>
      </c>
      <c r="G567" s="144" t="e">
        <f t="shared" si="233"/>
        <v>#REF!</v>
      </c>
      <c r="H567" s="144" t="e">
        <f t="shared" si="233"/>
        <v>#REF!</v>
      </c>
      <c r="I567" s="144" t="e">
        <f t="shared" si="233"/>
        <v>#REF!</v>
      </c>
      <c r="J567" s="144" t="e">
        <f t="shared" si="233"/>
        <v>#REF!</v>
      </c>
      <c r="K567" s="144" t="e">
        <f t="shared" si="233"/>
        <v>#REF!</v>
      </c>
      <c r="L567" s="35"/>
      <c r="M567" s="35"/>
      <c r="N567" s="35"/>
    </row>
    <row r="568" spans="1:14" x14ac:dyDescent="0.3">
      <c r="A568" s="397"/>
      <c r="B568" s="94">
        <v>75</v>
      </c>
      <c r="C568" s="144" t="e">
        <f t="shared" si="233"/>
        <v>#REF!</v>
      </c>
      <c r="D568" s="144" t="e">
        <f t="shared" si="233"/>
        <v>#REF!</v>
      </c>
      <c r="E568" s="144" t="e">
        <f t="shared" si="233"/>
        <v>#REF!</v>
      </c>
      <c r="F568" s="144" t="e">
        <f t="shared" si="233"/>
        <v>#REF!</v>
      </c>
      <c r="G568" s="144" t="e">
        <f t="shared" si="233"/>
        <v>#REF!</v>
      </c>
      <c r="H568" s="144" t="e">
        <f t="shared" si="233"/>
        <v>#REF!</v>
      </c>
      <c r="I568" s="144" t="e">
        <f t="shared" si="233"/>
        <v>#REF!</v>
      </c>
      <c r="J568" s="144" t="e">
        <f t="shared" si="233"/>
        <v>#REF!</v>
      </c>
      <c r="K568" s="144" t="e">
        <f t="shared" si="233"/>
        <v>#REF!</v>
      </c>
      <c r="L568" s="35"/>
      <c r="M568" s="35"/>
      <c r="N568" s="35"/>
    </row>
    <row r="569" spans="1:14" x14ac:dyDescent="0.3">
      <c r="A569" s="397"/>
      <c r="B569" s="94">
        <v>80</v>
      </c>
      <c r="C569" s="144" t="e">
        <f t="shared" si="233"/>
        <v>#REF!</v>
      </c>
      <c r="D569" s="144" t="e">
        <f t="shared" si="233"/>
        <v>#REF!</v>
      </c>
      <c r="E569" s="144" t="e">
        <f t="shared" si="233"/>
        <v>#REF!</v>
      </c>
      <c r="F569" s="144" t="e">
        <f t="shared" si="233"/>
        <v>#REF!</v>
      </c>
      <c r="G569" s="144" t="e">
        <f t="shared" si="233"/>
        <v>#REF!</v>
      </c>
      <c r="H569" s="144" t="e">
        <f t="shared" si="233"/>
        <v>#REF!</v>
      </c>
      <c r="I569" s="144" t="e">
        <f t="shared" si="233"/>
        <v>#REF!</v>
      </c>
      <c r="J569" s="144" t="e">
        <f t="shared" si="233"/>
        <v>#REF!</v>
      </c>
      <c r="K569" s="144" t="e">
        <f t="shared" si="233"/>
        <v>#REF!</v>
      </c>
      <c r="L569" s="35"/>
      <c r="M569" s="35"/>
      <c r="N569" s="35"/>
    </row>
    <row r="570" spans="1:14" x14ac:dyDescent="0.3">
      <c r="A570" s="397"/>
      <c r="B570" s="94">
        <v>85</v>
      </c>
      <c r="C570" s="144" t="e">
        <f t="shared" si="233"/>
        <v>#REF!</v>
      </c>
      <c r="D570" s="144" t="e">
        <f t="shared" si="233"/>
        <v>#REF!</v>
      </c>
      <c r="E570" s="144" t="e">
        <f t="shared" si="233"/>
        <v>#REF!</v>
      </c>
      <c r="F570" s="144" t="e">
        <f t="shared" si="233"/>
        <v>#REF!</v>
      </c>
      <c r="G570" s="144" t="e">
        <f t="shared" si="233"/>
        <v>#REF!</v>
      </c>
      <c r="H570" s="144" t="e">
        <f t="shared" si="233"/>
        <v>#REF!</v>
      </c>
      <c r="I570" s="144" t="e">
        <f t="shared" si="233"/>
        <v>#REF!</v>
      </c>
      <c r="J570" s="144" t="e">
        <f t="shared" si="233"/>
        <v>#REF!</v>
      </c>
      <c r="K570" s="144" t="e">
        <f t="shared" si="233"/>
        <v>#REF!</v>
      </c>
      <c r="L570" s="35"/>
      <c r="M570" s="35"/>
      <c r="N570" s="35"/>
    </row>
    <row r="571" spans="1:14" x14ac:dyDescent="0.3">
      <c r="A571" s="397"/>
      <c r="B571" s="94">
        <v>90</v>
      </c>
      <c r="C571" s="144" t="e">
        <f t="shared" si="233"/>
        <v>#REF!</v>
      </c>
      <c r="D571" s="144" t="e">
        <f t="shared" si="233"/>
        <v>#REF!</v>
      </c>
      <c r="E571" s="144" t="e">
        <f t="shared" si="233"/>
        <v>#REF!</v>
      </c>
      <c r="F571" s="144" t="e">
        <f t="shared" si="233"/>
        <v>#REF!</v>
      </c>
      <c r="G571" s="144" t="e">
        <f t="shared" si="233"/>
        <v>#REF!</v>
      </c>
      <c r="H571" s="144" t="e">
        <f t="shared" si="233"/>
        <v>#REF!</v>
      </c>
      <c r="I571" s="144" t="e">
        <f t="shared" si="233"/>
        <v>#REF!</v>
      </c>
      <c r="J571" s="144" t="e">
        <f t="shared" si="233"/>
        <v>#REF!</v>
      </c>
      <c r="K571" s="144" t="e">
        <f t="shared" si="233"/>
        <v>#REF!</v>
      </c>
      <c r="L571" s="35"/>
      <c r="M571" s="35"/>
      <c r="N571" s="35"/>
    </row>
    <row r="572" spans="1:14" x14ac:dyDescent="0.3">
      <c r="A572" s="397"/>
      <c r="B572" s="94">
        <v>95</v>
      </c>
      <c r="C572" s="144" t="e">
        <f t="shared" si="233"/>
        <v>#REF!</v>
      </c>
      <c r="D572" s="144" t="e">
        <f t="shared" si="233"/>
        <v>#REF!</v>
      </c>
      <c r="E572" s="144" t="e">
        <f t="shared" si="233"/>
        <v>#REF!</v>
      </c>
      <c r="F572" s="144" t="e">
        <f t="shared" si="233"/>
        <v>#REF!</v>
      </c>
      <c r="G572" s="144" t="e">
        <f t="shared" si="233"/>
        <v>#REF!</v>
      </c>
      <c r="H572" s="144" t="e">
        <f t="shared" si="233"/>
        <v>#REF!</v>
      </c>
      <c r="I572" s="144" t="e">
        <f t="shared" si="233"/>
        <v>#REF!</v>
      </c>
      <c r="J572" s="144" t="e">
        <f t="shared" si="233"/>
        <v>#REF!</v>
      </c>
      <c r="K572" s="144" t="e">
        <f t="shared" si="233"/>
        <v>#REF!</v>
      </c>
      <c r="L572" s="35"/>
      <c r="M572" s="35"/>
      <c r="N572" s="35"/>
    </row>
    <row r="573" spans="1:14" x14ac:dyDescent="0.3">
      <c r="A573" s="397"/>
      <c r="B573" s="94">
        <v>100</v>
      </c>
      <c r="C573" s="144" t="e">
        <f t="shared" si="233"/>
        <v>#REF!</v>
      </c>
      <c r="D573" s="144" t="e">
        <f t="shared" si="233"/>
        <v>#REF!</v>
      </c>
      <c r="E573" s="144" t="e">
        <f t="shared" si="233"/>
        <v>#REF!</v>
      </c>
      <c r="F573" s="144" t="e">
        <f t="shared" si="233"/>
        <v>#REF!</v>
      </c>
      <c r="G573" s="144" t="e">
        <f t="shared" si="233"/>
        <v>#REF!</v>
      </c>
      <c r="H573" s="144" t="e">
        <f t="shared" si="233"/>
        <v>#REF!</v>
      </c>
      <c r="I573" s="144" t="e">
        <f t="shared" si="233"/>
        <v>#REF!</v>
      </c>
      <c r="J573" s="144" t="e">
        <f t="shared" si="233"/>
        <v>#REF!</v>
      </c>
      <c r="K573" s="144" t="e">
        <f t="shared" si="233"/>
        <v>#REF!</v>
      </c>
      <c r="L573" s="35"/>
      <c r="M573" s="35"/>
      <c r="N573" s="35"/>
    </row>
    <row r="574" spans="1:14" x14ac:dyDescent="0.3">
      <c r="A574" s="119"/>
      <c r="B574" s="79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</row>
    <row r="575" spans="1:14" x14ac:dyDescent="0.3">
      <c r="A575" s="381" t="s">
        <v>536</v>
      </c>
      <c r="B575" s="381"/>
      <c r="C575" s="153"/>
      <c r="D575" s="153"/>
      <c r="E575" s="153"/>
      <c r="F575" s="153"/>
      <c r="G575" s="153"/>
      <c r="H575" s="153"/>
      <c r="I575" s="153"/>
      <c r="J575" s="153"/>
      <c r="K575" s="153"/>
      <c r="L575" s="35"/>
      <c r="M575" s="35"/>
      <c r="N575" s="35"/>
    </row>
    <row r="576" spans="1:14" x14ac:dyDescent="0.3">
      <c r="A576" s="141"/>
      <c r="B576" s="141"/>
      <c r="C576" s="153"/>
      <c r="D576" s="153"/>
      <c r="E576" s="153"/>
      <c r="F576" s="153"/>
      <c r="G576" s="153"/>
      <c r="H576" s="153"/>
      <c r="I576" s="153"/>
      <c r="J576" s="153"/>
      <c r="K576" s="153"/>
      <c r="L576" s="35"/>
      <c r="M576" s="35"/>
      <c r="N576" s="35"/>
    </row>
    <row r="577" spans="1:14" x14ac:dyDescent="0.3">
      <c r="A577" s="145" t="s">
        <v>532</v>
      </c>
      <c r="B577" s="96">
        <v>-0.8</v>
      </c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</row>
    <row r="578" spans="1:14" x14ac:dyDescent="0.3">
      <c r="A578" s="145" t="s">
        <v>189</v>
      </c>
      <c r="B578" s="97">
        <f>RADIANS(B577)</f>
        <v>-1.3962634015954637E-2</v>
      </c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</row>
    <row r="579" spans="1:14" x14ac:dyDescent="0.3">
      <c r="A579" s="7"/>
      <c r="B579" s="37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</row>
    <row r="580" spans="1:14" x14ac:dyDescent="0.3">
      <c r="A580" s="415" t="s">
        <v>537</v>
      </c>
      <c r="B580" s="416"/>
      <c r="C580" s="416"/>
      <c r="D580" s="416"/>
      <c r="E580" s="416"/>
      <c r="F580" s="416"/>
      <c r="G580" s="416"/>
      <c r="H580" s="416"/>
      <c r="I580" s="416"/>
      <c r="J580" s="416"/>
      <c r="K580" s="369"/>
      <c r="L580" s="35"/>
      <c r="M580" s="35"/>
      <c r="N580" s="35"/>
    </row>
    <row r="581" spans="1:14" x14ac:dyDescent="0.3">
      <c r="A581" s="360"/>
      <c r="B581" s="361"/>
      <c r="C581" s="364" t="s">
        <v>230</v>
      </c>
      <c r="D581" s="365"/>
      <c r="E581" s="365"/>
      <c r="F581" s="365"/>
      <c r="G581" s="365"/>
      <c r="H581" s="365"/>
      <c r="I581" s="365"/>
      <c r="J581" s="365"/>
      <c r="K581" s="366"/>
      <c r="L581" s="35"/>
      <c r="M581" s="35"/>
      <c r="N581" s="35"/>
    </row>
    <row r="582" spans="1:14" x14ac:dyDescent="0.3">
      <c r="A582" s="362"/>
      <c r="B582" s="363"/>
      <c r="C582" s="94">
        <v>5</v>
      </c>
      <c r="D582" s="94">
        <v>10</v>
      </c>
      <c r="E582" s="94">
        <v>15</v>
      </c>
      <c r="F582" s="94">
        <v>20</v>
      </c>
      <c r="G582" s="94">
        <v>25</v>
      </c>
      <c r="H582" s="94">
        <v>30</v>
      </c>
      <c r="I582" s="94">
        <v>35</v>
      </c>
      <c r="J582" s="94">
        <v>40</v>
      </c>
      <c r="K582" s="94">
        <v>45</v>
      </c>
      <c r="L582" s="35"/>
      <c r="M582" s="35"/>
      <c r="N582" s="35"/>
    </row>
    <row r="583" spans="1:14" x14ac:dyDescent="0.3">
      <c r="A583" s="397" t="s">
        <v>231</v>
      </c>
      <c r="B583" s="94">
        <v>5</v>
      </c>
      <c r="C583" s="144" t="e">
        <f t="shared" ref="C583:K583" si="234">$B$578/C554</f>
        <v>#REF!</v>
      </c>
      <c r="D583" s="144" t="e">
        <f t="shared" si="234"/>
        <v>#REF!</v>
      </c>
      <c r="E583" s="144" t="e">
        <f t="shared" si="234"/>
        <v>#REF!</v>
      </c>
      <c r="F583" s="144" t="e">
        <f t="shared" si="234"/>
        <v>#REF!</v>
      </c>
      <c r="G583" s="144" t="e">
        <f t="shared" si="234"/>
        <v>#REF!</v>
      </c>
      <c r="H583" s="144" t="e">
        <f t="shared" si="234"/>
        <v>#REF!</v>
      </c>
      <c r="I583" s="144" t="e">
        <f t="shared" si="234"/>
        <v>#REF!</v>
      </c>
      <c r="J583" s="144" t="e">
        <f t="shared" si="234"/>
        <v>#REF!</v>
      </c>
      <c r="K583" s="144" t="e">
        <f t="shared" si="234"/>
        <v>#REF!</v>
      </c>
      <c r="L583" s="35"/>
      <c r="M583" s="35"/>
      <c r="N583" s="35"/>
    </row>
    <row r="584" spans="1:14" x14ac:dyDescent="0.3">
      <c r="A584" s="397"/>
      <c r="B584" s="94">
        <v>10</v>
      </c>
      <c r="C584" s="144" t="e">
        <f t="shared" ref="C584:K584" si="235">$B$578/C555</f>
        <v>#REF!</v>
      </c>
      <c r="D584" s="144" t="e">
        <f t="shared" si="235"/>
        <v>#REF!</v>
      </c>
      <c r="E584" s="144" t="e">
        <f t="shared" si="235"/>
        <v>#REF!</v>
      </c>
      <c r="F584" s="144" t="e">
        <f t="shared" si="235"/>
        <v>#REF!</v>
      </c>
      <c r="G584" s="144" t="e">
        <f t="shared" si="235"/>
        <v>#REF!</v>
      </c>
      <c r="H584" s="144" t="e">
        <f t="shared" si="235"/>
        <v>#REF!</v>
      </c>
      <c r="I584" s="144" t="e">
        <f t="shared" si="235"/>
        <v>#REF!</v>
      </c>
      <c r="J584" s="144" t="e">
        <f t="shared" si="235"/>
        <v>#REF!</v>
      </c>
      <c r="K584" s="144" t="e">
        <f t="shared" si="235"/>
        <v>#REF!</v>
      </c>
      <c r="L584" s="35"/>
      <c r="M584" s="35"/>
      <c r="N584" s="35"/>
    </row>
    <row r="585" spans="1:14" x14ac:dyDescent="0.3">
      <c r="A585" s="397"/>
      <c r="B585" s="94">
        <v>15</v>
      </c>
      <c r="C585" s="144" t="e">
        <f t="shared" ref="C585:K585" si="236">$B$578/C556</f>
        <v>#REF!</v>
      </c>
      <c r="D585" s="144" t="e">
        <f t="shared" si="236"/>
        <v>#REF!</v>
      </c>
      <c r="E585" s="144" t="e">
        <f t="shared" si="236"/>
        <v>#REF!</v>
      </c>
      <c r="F585" s="144" t="e">
        <f t="shared" si="236"/>
        <v>#REF!</v>
      </c>
      <c r="G585" s="144" t="e">
        <f t="shared" si="236"/>
        <v>#REF!</v>
      </c>
      <c r="H585" s="144" t="e">
        <f t="shared" si="236"/>
        <v>#REF!</v>
      </c>
      <c r="I585" s="144" t="e">
        <f t="shared" si="236"/>
        <v>#REF!</v>
      </c>
      <c r="J585" s="144" t="e">
        <f t="shared" si="236"/>
        <v>#REF!</v>
      </c>
      <c r="K585" s="144" t="e">
        <f t="shared" si="236"/>
        <v>#REF!</v>
      </c>
      <c r="L585" s="35"/>
      <c r="M585" s="35"/>
      <c r="N585" s="35"/>
    </row>
    <row r="586" spans="1:14" x14ac:dyDescent="0.3">
      <c r="A586" s="397"/>
      <c r="B586" s="94">
        <v>20</v>
      </c>
      <c r="C586" s="144" t="e">
        <f t="shared" ref="C586:K586" si="237">$B$578/C557</f>
        <v>#REF!</v>
      </c>
      <c r="D586" s="144" t="e">
        <f t="shared" si="237"/>
        <v>#REF!</v>
      </c>
      <c r="E586" s="144" t="e">
        <f t="shared" si="237"/>
        <v>#REF!</v>
      </c>
      <c r="F586" s="144" t="e">
        <f t="shared" si="237"/>
        <v>#REF!</v>
      </c>
      <c r="G586" s="144" t="e">
        <f t="shared" si="237"/>
        <v>#REF!</v>
      </c>
      <c r="H586" s="144" t="e">
        <f t="shared" si="237"/>
        <v>#REF!</v>
      </c>
      <c r="I586" s="144" t="e">
        <f t="shared" si="237"/>
        <v>#REF!</v>
      </c>
      <c r="J586" s="144" t="e">
        <f t="shared" si="237"/>
        <v>#REF!</v>
      </c>
      <c r="K586" s="144" t="e">
        <f t="shared" si="237"/>
        <v>#REF!</v>
      </c>
      <c r="L586" s="35"/>
      <c r="M586" s="35"/>
      <c r="N586" s="35"/>
    </row>
    <row r="587" spans="1:14" x14ac:dyDescent="0.3">
      <c r="A587" s="397"/>
      <c r="B587" s="94">
        <v>25</v>
      </c>
      <c r="C587" s="144" t="e">
        <f t="shared" ref="C587:K587" si="238">$B$578/C558</f>
        <v>#REF!</v>
      </c>
      <c r="D587" s="144" t="e">
        <f t="shared" si="238"/>
        <v>#REF!</v>
      </c>
      <c r="E587" s="144" t="e">
        <f t="shared" si="238"/>
        <v>#REF!</v>
      </c>
      <c r="F587" s="144" t="e">
        <f t="shared" si="238"/>
        <v>#REF!</v>
      </c>
      <c r="G587" s="144" t="e">
        <f t="shared" si="238"/>
        <v>#REF!</v>
      </c>
      <c r="H587" s="144" t="e">
        <f t="shared" si="238"/>
        <v>#REF!</v>
      </c>
      <c r="I587" s="144" t="e">
        <f t="shared" si="238"/>
        <v>#REF!</v>
      </c>
      <c r="J587" s="144" t="e">
        <f t="shared" si="238"/>
        <v>#REF!</v>
      </c>
      <c r="K587" s="144" t="e">
        <f t="shared" si="238"/>
        <v>#REF!</v>
      </c>
      <c r="L587" s="35"/>
      <c r="M587" s="35"/>
      <c r="N587" s="35"/>
    </row>
    <row r="588" spans="1:14" x14ac:dyDescent="0.3">
      <c r="A588" s="397"/>
      <c r="B588" s="94">
        <v>30</v>
      </c>
      <c r="C588" s="144" t="e">
        <f t="shared" ref="C588:K588" si="239">$B$578/C559</f>
        <v>#REF!</v>
      </c>
      <c r="D588" s="144" t="e">
        <f t="shared" si="239"/>
        <v>#REF!</v>
      </c>
      <c r="E588" s="144" t="e">
        <f t="shared" si="239"/>
        <v>#REF!</v>
      </c>
      <c r="F588" s="144" t="e">
        <f t="shared" si="239"/>
        <v>#REF!</v>
      </c>
      <c r="G588" s="144" t="e">
        <f t="shared" si="239"/>
        <v>#REF!</v>
      </c>
      <c r="H588" s="144" t="e">
        <f t="shared" si="239"/>
        <v>#REF!</v>
      </c>
      <c r="I588" s="144" t="e">
        <f t="shared" si="239"/>
        <v>#REF!</v>
      </c>
      <c r="J588" s="144" t="e">
        <f t="shared" si="239"/>
        <v>#REF!</v>
      </c>
      <c r="K588" s="144" t="e">
        <f t="shared" si="239"/>
        <v>#REF!</v>
      </c>
      <c r="L588" s="35"/>
      <c r="M588" s="35"/>
      <c r="N588" s="35"/>
    </row>
    <row r="589" spans="1:14" x14ac:dyDescent="0.3">
      <c r="A589" s="397"/>
      <c r="B589" s="94">
        <v>35</v>
      </c>
      <c r="C589" s="144" t="e">
        <f t="shared" ref="C589:K589" si="240">$B$578/C560</f>
        <v>#REF!</v>
      </c>
      <c r="D589" s="144" t="e">
        <f t="shared" si="240"/>
        <v>#REF!</v>
      </c>
      <c r="E589" s="144" t="e">
        <f t="shared" si="240"/>
        <v>#REF!</v>
      </c>
      <c r="F589" s="144" t="e">
        <f t="shared" si="240"/>
        <v>#REF!</v>
      </c>
      <c r="G589" s="144" t="e">
        <f t="shared" si="240"/>
        <v>#REF!</v>
      </c>
      <c r="H589" s="144" t="e">
        <f t="shared" si="240"/>
        <v>#REF!</v>
      </c>
      <c r="I589" s="144" t="e">
        <f t="shared" si="240"/>
        <v>#REF!</v>
      </c>
      <c r="J589" s="144" t="e">
        <f t="shared" si="240"/>
        <v>#REF!</v>
      </c>
      <c r="K589" s="144" t="e">
        <f t="shared" si="240"/>
        <v>#REF!</v>
      </c>
      <c r="L589" s="35"/>
      <c r="M589" s="35"/>
      <c r="N589" s="35"/>
    </row>
    <row r="590" spans="1:14" x14ac:dyDescent="0.3">
      <c r="A590" s="397"/>
      <c r="B590" s="94">
        <v>40</v>
      </c>
      <c r="C590" s="144" t="e">
        <f t="shared" ref="C590:K590" si="241">$B$578/C561</f>
        <v>#REF!</v>
      </c>
      <c r="D590" s="144" t="e">
        <f t="shared" si="241"/>
        <v>#REF!</v>
      </c>
      <c r="E590" s="144" t="e">
        <f t="shared" si="241"/>
        <v>#REF!</v>
      </c>
      <c r="F590" s="144" t="e">
        <f t="shared" si="241"/>
        <v>#REF!</v>
      </c>
      <c r="G590" s="144" t="e">
        <f t="shared" si="241"/>
        <v>#REF!</v>
      </c>
      <c r="H590" s="144" t="e">
        <f t="shared" si="241"/>
        <v>#REF!</v>
      </c>
      <c r="I590" s="144" t="e">
        <f t="shared" si="241"/>
        <v>#REF!</v>
      </c>
      <c r="J590" s="144" t="e">
        <f t="shared" si="241"/>
        <v>#REF!</v>
      </c>
      <c r="K590" s="144" t="e">
        <f t="shared" si="241"/>
        <v>#REF!</v>
      </c>
      <c r="L590" s="35"/>
      <c r="M590" s="35"/>
      <c r="N590" s="35"/>
    </row>
    <row r="591" spans="1:14" x14ac:dyDescent="0.3">
      <c r="A591" s="397"/>
      <c r="B591" s="94">
        <v>45</v>
      </c>
      <c r="C591" s="144" t="e">
        <f t="shared" ref="C591:K591" si="242">$B$578/C562</f>
        <v>#REF!</v>
      </c>
      <c r="D591" s="144" t="e">
        <f t="shared" si="242"/>
        <v>#REF!</v>
      </c>
      <c r="E591" s="144" t="e">
        <f t="shared" si="242"/>
        <v>#REF!</v>
      </c>
      <c r="F591" s="144" t="e">
        <f t="shared" si="242"/>
        <v>#REF!</v>
      </c>
      <c r="G591" s="144" t="e">
        <f t="shared" si="242"/>
        <v>#REF!</v>
      </c>
      <c r="H591" s="144" t="e">
        <f t="shared" si="242"/>
        <v>#REF!</v>
      </c>
      <c r="I591" s="144" t="e">
        <f t="shared" si="242"/>
        <v>#REF!</v>
      </c>
      <c r="J591" s="144" t="e">
        <f t="shared" si="242"/>
        <v>#REF!</v>
      </c>
      <c r="K591" s="144" t="e">
        <f t="shared" si="242"/>
        <v>#REF!</v>
      </c>
      <c r="L591" s="35"/>
      <c r="M591" s="35"/>
      <c r="N591" s="35"/>
    </row>
    <row r="592" spans="1:14" x14ac:dyDescent="0.3">
      <c r="A592" s="397"/>
      <c r="B592" s="94">
        <v>50</v>
      </c>
      <c r="C592" s="144" t="e">
        <f t="shared" ref="C592:K592" si="243">$B$578/C563</f>
        <v>#REF!</v>
      </c>
      <c r="D592" s="144" t="e">
        <f t="shared" si="243"/>
        <v>#REF!</v>
      </c>
      <c r="E592" s="144" t="e">
        <f t="shared" si="243"/>
        <v>#REF!</v>
      </c>
      <c r="F592" s="144" t="e">
        <f t="shared" si="243"/>
        <v>#REF!</v>
      </c>
      <c r="G592" s="144" t="e">
        <f t="shared" si="243"/>
        <v>#REF!</v>
      </c>
      <c r="H592" s="144" t="e">
        <f t="shared" si="243"/>
        <v>#REF!</v>
      </c>
      <c r="I592" s="144" t="e">
        <f t="shared" si="243"/>
        <v>#REF!</v>
      </c>
      <c r="J592" s="144" t="e">
        <f t="shared" si="243"/>
        <v>#REF!</v>
      </c>
      <c r="K592" s="144" t="e">
        <f t="shared" si="243"/>
        <v>#REF!</v>
      </c>
      <c r="L592" s="35"/>
      <c r="M592" s="35"/>
      <c r="N592" s="35"/>
    </row>
    <row r="593" spans="1:14" x14ac:dyDescent="0.3">
      <c r="A593" s="397"/>
      <c r="B593" s="94">
        <v>55</v>
      </c>
      <c r="C593" s="144" t="e">
        <f t="shared" ref="C593:K593" si="244">$B$578/C564</f>
        <v>#REF!</v>
      </c>
      <c r="D593" s="144" t="e">
        <f t="shared" si="244"/>
        <v>#REF!</v>
      </c>
      <c r="E593" s="144" t="e">
        <f t="shared" si="244"/>
        <v>#REF!</v>
      </c>
      <c r="F593" s="144" t="e">
        <f t="shared" si="244"/>
        <v>#REF!</v>
      </c>
      <c r="G593" s="144" t="e">
        <f t="shared" si="244"/>
        <v>#REF!</v>
      </c>
      <c r="H593" s="144" t="e">
        <f t="shared" si="244"/>
        <v>#REF!</v>
      </c>
      <c r="I593" s="144" t="e">
        <f t="shared" si="244"/>
        <v>#REF!</v>
      </c>
      <c r="J593" s="144" t="e">
        <f t="shared" si="244"/>
        <v>#REF!</v>
      </c>
      <c r="K593" s="144" t="e">
        <f t="shared" si="244"/>
        <v>#REF!</v>
      </c>
      <c r="L593" s="35"/>
      <c r="M593" s="35"/>
      <c r="N593" s="35"/>
    </row>
    <row r="594" spans="1:14" x14ac:dyDescent="0.3">
      <c r="A594" s="397"/>
      <c r="B594" s="94">
        <v>60</v>
      </c>
      <c r="C594" s="144" t="e">
        <f t="shared" ref="C594:K594" si="245">$B$578/C565</f>
        <v>#REF!</v>
      </c>
      <c r="D594" s="144" t="e">
        <f t="shared" si="245"/>
        <v>#REF!</v>
      </c>
      <c r="E594" s="144" t="e">
        <f t="shared" si="245"/>
        <v>#REF!</v>
      </c>
      <c r="F594" s="144" t="e">
        <f t="shared" si="245"/>
        <v>#REF!</v>
      </c>
      <c r="G594" s="144" t="e">
        <f t="shared" si="245"/>
        <v>#REF!</v>
      </c>
      <c r="H594" s="144" t="e">
        <f t="shared" si="245"/>
        <v>#REF!</v>
      </c>
      <c r="I594" s="144" t="e">
        <f t="shared" si="245"/>
        <v>#REF!</v>
      </c>
      <c r="J594" s="144" t="e">
        <f t="shared" si="245"/>
        <v>#REF!</v>
      </c>
      <c r="K594" s="144" t="e">
        <f t="shared" si="245"/>
        <v>#REF!</v>
      </c>
      <c r="L594" s="35"/>
      <c r="M594" s="35"/>
      <c r="N594" s="35"/>
    </row>
    <row r="595" spans="1:14" x14ac:dyDescent="0.3">
      <c r="A595" s="397"/>
      <c r="B595" s="94">
        <v>65</v>
      </c>
      <c r="C595" s="144" t="e">
        <f t="shared" ref="C595:K595" si="246">$B$578/C566</f>
        <v>#REF!</v>
      </c>
      <c r="D595" s="144" t="e">
        <f t="shared" si="246"/>
        <v>#REF!</v>
      </c>
      <c r="E595" s="144" t="e">
        <f t="shared" si="246"/>
        <v>#REF!</v>
      </c>
      <c r="F595" s="144" t="e">
        <f t="shared" si="246"/>
        <v>#REF!</v>
      </c>
      <c r="G595" s="144" t="e">
        <f t="shared" si="246"/>
        <v>#REF!</v>
      </c>
      <c r="H595" s="144" t="e">
        <f t="shared" si="246"/>
        <v>#REF!</v>
      </c>
      <c r="I595" s="144" t="e">
        <f t="shared" si="246"/>
        <v>#REF!</v>
      </c>
      <c r="J595" s="144" t="e">
        <f t="shared" si="246"/>
        <v>#REF!</v>
      </c>
      <c r="K595" s="144" t="e">
        <f t="shared" si="246"/>
        <v>#REF!</v>
      </c>
      <c r="L595" s="35"/>
      <c r="M595" s="35"/>
      <c r="N595" s="35"/>
    </row>
    <row r="596" spans="1:14" x14ac:dyDescent="0.3">
      <c r="A596" s="397"/>
      <c r="B596" s="94">
        <v>70</v>
      </c>
      <c r="C596" s="144" t="e">
        <f t="shared" ref="C596:K596" si="247">$B$578/C567</f>
        <v>#REF!</v>
      </c>
      <c r="D596" s="144" t="e">
        <f t="shared" si="247"/>
        <v>#REF!</v>
      </c>
      <c r="E596" s="144" t="e">
        <f t="shared" si="247"/>
        <v>#REF!</v>
      </c>
      <c r="F596" s="144" t="e">
        <f t="shared" si="247"/>
        <v>#REF!</v>
      </c>
      <c r="G596" s="144" t="e">
        <f t="shared" si="247"/>
        <v>#REF!</v>
      </c>
      <c r="H596" s="144" t="e">
        <f t="shared" si="247"/>
        <v>#REF!</v>
      </c>
      <c r="I596" s="144" t="e">
        <f t="shared" si="247"/>
        <v>#REF!</v>
      </c>
      <c r="J596" s="144" t="e">
        <f t="shared" si="247"/>
        <v>#REF!</v>
      </c>
      <c r="K596" s="144" t="e">
        <f t="shared" si="247"/>
        <v>#REF!</v>
      </c>
      <c r="L596" s="35"/>
      <c r="M596" s="35"/>
      <c r="N596" s="35"/>
    </row>
    <row r="597" spans="1:14" x14ac:dyDescent="0.3">
      <c r="A597" s="397"/>
      <c r="B597" s="94">
        <v>75</v>
      </c>
      <c r="C597" s="144" t="e">
        <f t="shared" ref="C597:K597" si="248">$B$578/C568</f>
        <v>#REF!</v>
      </c>
      <c r="D597" s="144" t="e">
        <f t="shared" si="248"/>
        <v>#REF!</v>
      </c>
      <c r="E597" s="144" t="e">
        <f t="shared" si="248"/>
        <v>#REF!</v>
      </c>
      <c r="F597" s="144" t="e">
        <f t="shared" si="248"/>
        <v>#REF!</v>
      </c>
      <c r="G597" s="144" t="e">
        <f t="shared" si="248"/>
        <v>#REF!</v>
      </c>
      <c r="H597" s="144" t="e">
        <f t="shared" si="248"/>
        <v>#REF!</v>
      </c>
      <c r="I597" s="144" t="e">
        <f t="shared" si="248"/>
        <v>#REF!</v>
      </c>
      <c r="J597" s="144" t="e">
        <f t="shared" si="248"/>
        <v>#REF!</v>
      </c>
      <c r="K597" s="144" t="e">
        <f t="shared" si="248"/>
        <v>#REF!</v>
      </c>
      <c r="L597" s="35"/>
      <c r="M597" s="35"/>
      <c r="N597" s="35"/>
    </row>
    <row r="598" spans="1:14" x14ac:dyDescent="0.3">
      <c r="A598" s="397"/>
      <c r="B598" s="94">
        <v>80</v>
      </c>
      <c r="C598" s="144" t="e">
        <f t="shared" ref="C598:K598" si="249">$B$578/C569</f>
        <v>#REF!</v>
      </c>
      <c r="D598" s="144" t="e">
        <f t="shared" si="249"/>
        <v>#REF!</v>
      </c>
      <c r="E598" s="144" t="e">
        <f t="shared" si="249"/>
        <v>#REF!</v>
      </c>
      <c r="F598" s="144" t="e">
        <f t="shared" si="249"/>
        <v>#REF!</v>
      </c>
      <c r="G598" s="144" t="e">
        <f t="shared" si="249"/>
        <v>#REF!</v>
      </c>
      <c r="H598" s="144" t="e">
        <f t="shared" si="249"/>
        <v>#REF!</v>
      </c>
      <c r="I598" s="144" t="e">
        <f t="shared" si="249"/>
        <v>#REF!</v>
      </c>
      <c r="J598" s="144" t="e">
        <f t="shared" si="249"/>
        <v>#REF!</v>
      </c>
      <c r="K598" s="144" t="e">
        <f t="shared" si="249"/>
        <v>#REF!</v>
      </c>
      <c r="L598" s="35"/>
      <c r="M598" s="35"/>
      <c r="N598" s="35"/>
    </row>
    <row r="599" spans="1:14" x14ac:dyDescent="0.3">
      <c r="A599" s="397"/>
      <c r="B599" s="94">
        <v>85</v>
      </c>
      <c r="C599" s="144" t="e">
        <f t="shared" ref="C599:K599" si="250">$B$578/C570</f>
        <v>#REF!</v>
      </c>
      <c r="D599" s="144" t="e">
        <f t="shared" si="250"/>
        <v>#REF!</v>
      </c>
      <c r="E599" s="144" t="e">
        <f t="shared" si="250"/>
        <v>#REF!</v>
      </c>
      <c r="F599" s="144" t="e">
        <f t="shared" si="250"/>
        <v>#REF!</v>
      </c>
      <c r="G599" s="144" t="e">
        <f t="shared" si="250"/>
        <v>#REF!</v>
      </c>
      <c r="H599" s="144" t="e">
        <f t="shared" si="250"/>
        <v>#REF!</v>
      </c>
      <c r="I599" s="144" t="e">
        <f t="shared" si="250"/>
        <v>#REF!</v>
      </c>
      <c r="J599" s="144" t="e">
        <f t="shared" si="250"/>
        <v>#REF!</v>
      </c>
      <c r="K599" s="144" t="e">
        <f t="shared" si="250"/>
        <v>#REF!</v>
      </c>
      <c r="L599" s="35"/>
      <c r="M599" s="35"/>
      <c r="N599" s="35"/>
    </row>
    <row r="600" spans="1:14" x14ac:dyDescent="0.3">
      <c r="A600" s="397"/>
      <c r="B600" s="94">
        <v>90</v>
      </c>
      <c r="C600" s="144" t="e">
        <f t="shared" ref="C600:K600" si="251">$B$578/C571</f>
        <v>#REF!</v>
      </c>
      <c r="D600" s="144" t="e">
        <f t="shared" si="251"/>
        <v>#REF!</v>
      </c>
      <c r="E600" s="144" t="e">
        <f t="shared" si="251"/>
        <v>#REF!</v>
      </c>
      <c r="F600" s="144" t="e">
        <f t="shared" si="251"/>
        <v>#REF!</v>
      </c>
      <c r="G600" s="144" t="e">
        <f t="shared" si="251"/>
        <v>#REF!</v>
      </c>
      <c r="H600" s="144" t="e">
        <f t="shared" si="251"/>
        <v>#REF!</v>
      </c>
      <c r="I600" s="144" t="e">
        <f t="shared" si="251"/>
        <v>#REF!</v>
      </c>
      <c r="J600" s="144" t="e">
        <f t="shared" si="251"/>
        <v>#REF!</v>
      </c>
      <c r="K600" s="144" t="e">
        <f t="shared" si="251"/>
        <v>#REF!</v>
      </c>
      <c r="L600" s="35"/>
      <c r="M600" s="35"/>
      <c r="N600" s="35"/>
    </row>
    <row r="601" spans="1:14" x14ac:dyDescent="0.3">
      <c r="A601" s="397"/>
      <c r="B601" s="94">
        <v>95</v>
      </c>
      <c r="C601" s="144" t="e">
        <f t="shared" ref="C601:K601" si="252">$B$578/C572</f>
        <v>#REF!</v>
      </c>
      <c r="D601" s="144" t="e">
        <f t="shared" si="252"/>
        <v>#REF!</v>
      </c>
      <c r="E601" s="144" t="e">
        <f t="shared" si="252"/>
        <v>#REF!</v>
      </c>
      <c r="F601" s="144" t="e">
        <f t="shared" si="252"/>
        <v>#REF!</v>
      </c>
      <c r="G601" s="144" t="e">
        <f t="shared" si="252"/>
        <v>#REF!</v>
      </c>
      <c r="H601" s="144" t="e">
        <f t="shared" si="252"/>
        <v>#REF!</v>
      </c>
      <c r="I601" s="144" t="e">
        <f t="shared" si="252"/>
        <v>#REF!</v>
      </c>
      <c r="J601" s="144" t="e">
        <f t="shared" si="252"/>
        <v>#REF!</v>
      </c>
      <c r="K601" s="144" t="e">
        <f t="shared" si="252"/>
        <v>#REF!</v>
      </c>
      <c r="L601" s="35"/>
      <c r="M601" s="35"/>
      <c r="N601" s="35"/>
    </row>
    <row r="602" spans="1:14" x14ac:dyDescent="0.3">
      <c r="A602" s="397"/>
      <c r="B602" s="94">
        <v>100</v>
      </c>
      <c r="C602" s="144" t="e">
        <f t="shared" ref="C602:K602" si="253">$B$578/C573</f>
        <v>#REF!</v>
      </c>
      <c r="D602" s="144" t="e">
        <f t="shared" si="253"/>
        <v>#REF!</v>
      </c>
      <c r="E602" s="144" t="e">
        <f t="shared" si="253"/>
        <v>#REF!</v>
      </c>
      <c r="F602" s="144" t="e">
        <f t="shared" si="253"/>
        <v>#REF!</v>
      </c>
      <c r="G602" s="144" t="e">
        <f t="shared" si="253"/>
        <v>#REF!</v>
      </c>
      <c r="H602" s="144" t="e">
        <f t="shared" si="253"/>
        <v>#REF!</v>
      </c>
      <c r="I602" s="144" t="e">
        <f t="shared" si="253"/>
        <v>#REF!</v>
      </c>
      <c r="J602" s="144" t="e">
        <f t="shared" si="253"/>
        <v>#REF!</v>
      </c>
      <c r="K602" s="144" t="e">
        <f t="shared" si="253"/>
        <v>#REF!</v>
      </c>
      <c r="L602" s="35"/>
      <c r="M602" s="35"/>
      <c r="N602" s="35"/>
    </row>
    <row r="603" spans="1:14" x14ac:dyDescent="0.3">
      <c r="A603" s="7"/>
      <c r="B603" s="37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</row>
    <row r="604" spans="1:14" x14ac:dyDescent="0.3">
      <c r="A604" s="415" t="s">
        <v>538</v>
      </c>
      <c r="B604" s="416"/>
      <c r="C604" s="416"/>
      <c r="D604" s="416"/>
      <c r="E604" s="416"/>
      <c r="F604" s="416"/>
      <c r="G604" s="416"/>
      <c r="H604" s="416"/>
      <c r="I604" s="416"/>
      <c r="J604" s="416"/>
      <c r="K604" s="369"/>
      <c r="L604" s="35"/>
      <c r="M604" s="35"/>
      <c r="N604" s="35"/>
    </row>
    <row r="605" spans="1:14" x14ac:dyDescent="0.3">
      <c r="A605" s="360"/>
      <c r="B605" s="361"/>
      <c r="C605" s="364" t="s">
        <v>230</v>
      </c>
      <c r="D605" s="365"/>
      <c r="E605" s="365"/>
      <c r="F605" s="365"/>
      <c r="G605" s="365"/>
      <c r="H605" s="365"/>
      <c r="I605" s="365"/>
      <c r="J605" s="365"/>
      <c r="K605" s="366"/>
      <c r="L605" s="35"/>
      <c r="M605" s="35"/>
      <c r="N605" s="35"/>
    </row>
    <row r="606" spans="1:14" x14ac:dyDescent="0.3">
      <c r="A606" s="362"/>
      <c r="B606" s="363"/>
      <c r="C606" s="94">
        <v>5</v>
      </c>
      <c r="D606" s="94">
        <v>10</v>
      </c>
      <c r="E606" s="94">
        <v>15</v>
      </c>
      <c r="F606" s="94">
        <v>20</v>
      </c>
      <c r="G606" s="94">
        <v>25</v>
      </c>
      <c r="H606" s="94">
        <v>30</v>
      </c>
      <c r="I606" s="94">
        <v>35</v>
      </c>
      <c r="J606" s="94">
        <v>40</v>
      </c>
      <c r="K606" s="94">
        <v>45</v>
      </c>
      <c r="L606" s="35"/>
      <c r="M606" s="35"/>
      <c r="N606" s="35"/>
    </row>
    <row r="607" spans="1:14" x14ac:dyDescent="0.3">
      <c r="A607" s="397" t="s">
        <v>231</v>
      </c>
      <c r="B607" s="94">
        <v>5</v>
      </c>
      <c r="C607" s="144" t="e">
        <f>($E$4/2)/(1-C583)</f>
        <v>#REF!</v>
      </c>
      <c r="D607" s="144" t="e">
        <f t="shared" ref="D607:K607" si="254">($E$4/2)/(1-D583)</f>
        <v>#REF!</v>
      </c>
      <c r="E607" s="144" t="e">
        <f t="shared" si="254"/>
        <v>#REF!</v>
      </c>
      <c r="F607" s="144" t="e">
        <f t="shared" si="254"/>
        <v>#REF!</v>
      </c>
      <c r="G607" s="144" t="e">
        <f t="shared" si="254"/>
        <v>#REF!</v>
      </c>
      <c r="H607" s="144" t="e">
        <f t="shared" si="254"/>
        <v>#REF!</v>
      </c>
      <c r="I607" s="144" t="e">
        <f t="shared" si="254"/>
        <v>#REF!</v>
      </c>
      <c r="J607" s="144" t="e">
        <f t="shared" si="254"/>
        <v>#REF!</v>
      </c>
      <c r="K607" s="144" t="e">
        <f t="shared" si="254"/>
        <v>#REF!</v>
      </c>
      <c r="L607" s="35"/>
      <c r="M607" s="35"/>
      <c r="N607" s="35"/>
    </row>
    <row r="608" spans="1:14" x14ac:dyDescent="0.3">
      <c r="A608" s="397"/>
      <c r="B608" s="94">
        <v>10</v>
      </c>
      <c r="C608" s="144" t="e">
        <f t="shared" ref="C608:K626" si="255">($E$4/2)/(1-C584)</f>
        <v>#REF!</v>
      </c>
      <c r="D608" s="144" t="e">
        <f t="shared" si="255"/>
        <v>#REF!</v>
      </c>
      <c r="E608" s="144" t="e">
        <f t="shared" si="255"/>
        <v>#REF!</v>
      </c>
      <c r="F608" s="144" t="e">
        <f t="shared" si="255"/>
        <v>#REF!</v>
      </c>
      <c r="G608" s="144" t="e">
        <f t="shared" si="255"/>
        <v>#REF!</v>
      </c>
      <c r="H608" s="144" t="e">
        <f t="shared" si="255"/>
        <v>#REF!</v>
      </c>
      <c r="I608" s="144" t="e">
        <f t="shared" si="255"/>
        <v>#REF!</v>
      </c>
      <c r="J608" s="144" t="e">
        <f t="shared" si="255"/>
        <v>#REF!</v>
      </c>
      <c r="K608" s="144" t="e">
        <f t="shared" si="255"/>
        <v>#REF!</v>
      </c>
      <c r="L608" s="35"/>
      <c r="M608" s="35"/>
      <c r="N608" s="35"/>
    </row>
    <row r="609" spans="1:14" x14ac:dyDescent="0.3">
      <c r="A609" s="397"/>
      <c r="B609" s="94">
        <v>15</v>
      </c>
      <c r="C609" s="144" t="e">
        <f t="shared" si="255"/>
        <v>#REF!</v>
      </c>
      <c r="D609" s="144" t="e">
        <f t="shared" si="255"/>
        <v>#REF!</v>
      </c>
      <c r="E609" s="144" t="e">
        <f t="shared" si="255"/>
        <v>#REF!</v>
      </c>
      <c r="F609" s="144" t="e">
        <f t="shared" si="255"/>
        <v>#REF!</v>
      </c>
      <c r="G609" s="144" t="e">
        <f t="shared" si="255"/>
        <v>#REF!</v>
      </c>
      <c r="H609" s="144" t="e">
        <f t="shared" si="255"/>
        <v>#REF!</v>
      </c>
      <c r="I609" s="144" t="e">
        <f t="shared" si="255"/>
        <v>#REF!</v>
      </c>
      <c r="J609" s="144" t="e">
        <f t="shared" si="255"/>
        <v>#REF!</v>
      </c>
      <c r="K609" s="144" t="e">
        <f t="shared" si="255"/>
        <v>#REF!</v>
      </c>
      <c r="L609" s="35"/>
      <c r="M609" s="35"/>
      <c r="N609" s="35"/>
    </row>
    <row r="610" spans="1:14" x14ac:dyDescent="0.3">
      <c r="A610" s="397"/>
      <c r="B610" s="94">
        <v>20</v>
      </c>
      <c r="C610" s="144" t="e">
        <f t="shared" si="255"/>
        <v>#REF!</v>
      </c>
      <c r="D610" s="144" t="e">
        <f t="shared" si="255"/>
        <v>#REF!</v>
      </c>
      <c r="E610" s="144" t="e">
        <f t="shared" si="255"/>
        <v>#REF!</v>
      </c>
      <c r="F610" s="144" t="e">
        <f t="shared" si="255"/>
        <v>#REF!</v>
      </c>
      <c r="G610" s="144" t="e">
        <f t="shared" si="255"/>
        <v>#REF!</v>
      </c>
      <c r="H610" s="144" t="e">
        <f t="shared" si="255"/>
        <v>#REF!</v>
      </c>
      <c r="I610" s="144" t="e">
        <f t="shared" si="255"/>
        <v>#REF!</v>
      </c>
      <c r="J610" s="144" t="e">
        <f t="shared" si="255"/>
        <v>#REF!</v>
      </c>
      <c r="K610" s="144" t="e">
        <f t="shared" si="255"/>
        <v>#REF!</v>
      </c>
      <c r="L610" s="35"/>
      <c r="M610" s="35"/>
      <c r="N610" s="35"/>
    </row>
    <row r="611" spans="1:14" x14ac:dyDescent="0.3">
      <c r="A611" s="397"/>
      <c r="B611" s="94">
        <v>25</v>
      </c>
      <c r="C611" s="144" t="e">
        <f t="shared" si="255"/>
        <v>#REF!</v>
      </c>
      <c r="D611" s="144" t="e">
        <f t="shared" si="255"/>
        <v>#REF!</v>
      </c>
      <c r="E611" s="144" t="e">
        <f t="shared" si="255"/>
        <v>#REF!</v>
      </c>
      <c r="F611" s="144" t="e">
        <f t="shared" si="255"/>
        <v>#REF!</v>
      </c>
      <c r="G611" s="144" t="e">
        <f t="shared" si="255"/>
        <v>#REF!</v>
      </c>
      <c r="H611" s="144" t="e">
        <f t="shared" si="255"/>
        <v>#REF!</v>
      </c>
      <c r="I611" s="144" t="e">
        <f t="shared" si="255"/>
        <v>#REF!</v>
      </c>
      <c r="J611" s="144" t="e">
        <f t="shared" si="255"/>
        <v>#REF!</v>
      </c>
      <c r="K611" s="144" t="e">
        <f t="shared" si="255"/>
        <v>#REF!</v>
      </c>
      <c r="L611" s="35"/>
      <c r="M611" s="35"/>
      <c r="N611" s="35"/>
    </row>
    <row r="612" spans="1:14" x14ac:dyDescent="0.3">
      <c r="A612" s="397"/>
      <c r="B612" s="94">
        <v>30</v>
      </c>
      <c r="C612" s="144" t="e">
        <f t="shared" si="255"/>
        <v>#REF!</v>
      </c>
      <c r="D612" s="144" t="e">
        <f t="shared" si="255"/>
        <v>#REF!</v>
      </c>
      <c r="E612" s="144" t="e">
        <f t="shared" si="255"/>
        <v>#REF!</v>
      </c>
      <c r="F612" s="144" t="e">
        <f t="shared" si="255"/>
        <v>#REF!</v>
      </c>
      <c r="G612" s="144" t="e">
        <f t="shared" si="255"/>
        <v>#REF!</v>
      </c>
      <c r="H612" s="144" t="e">
        <f t="shared" si="255"/>
        <v>#REF!</v>
      </c>
      <c r="I612" s="144" t="e">
        <f t="shared" si="255"/>
        <v>#REF!</v>
      </c>
      <c r="J612" s="144" t="e">
        <f t="shared" si="255"/>
        <v>#REF!</v>
      </c>
      <c r="K612" s="144" t="e">
        <f t="shared" si="255"/>
        <v>#REF!</v>
      </c>
      <c r="L612" s="35"/>
      <c r="M612" s="35"/>
      <c r="N612" s="35"/>
    </row>
    <row r="613" spans="1:14" x14ac:dyDescent="0.3">
      <c r="A613" s="397"/>
      <c r="B613" s="94">
        <v>35</v>
      </c>
      <c r="C613" s="144" t="e">
        <f t="shared" si="255"/>
        <v>#REF!</v>
      </c>
      <c r="D613" s="144" t="e">
        <f t="shared" si="255"/>
        <v>#REF!</v>
      </c>
      <c r="E613" s="144" t="e">
        <f t="shared" si="255"/>
        <v>#REF!</v>
      </c>
      <c r="F613" s="144" t="e">
        <f t="shared" si="255"/>
        <v>#REF!</v>
      </c>
      <c r="G613" s="144" t="e">
        <f t="shared" si="255"/>
        <v>#REF!</v>
      </c>
      <c r="H613" s="144" t="e">
        <f t="shared" si="255"/>
        <v>#REF!</v>
      </c>
      <c r="I613" s="144" t="e">
        <f t="shared" si="255"/>
        <v>#REF!</v>
      </c>
      <c r="J613" s="144" t="e">
        <f t="shared" si="255"/>
        <v>#REF!</v>
      </c>
      <c r="K613" s="144" t="e">
        <f t="shared" si="255"/>
        <v>#REF!</v>
      </c>
      <c r="L613" s="35"/>
      <c r="M613" s="35"/>
      <c r="N613" s="35"/>
    </row>
    <row r="614" spans="1:14" x14ac:dyDescent="0.3">
      <c r="A614" s="397"/>
      <c r="B614" s="94">
        <v>40</v>
      </c>
      <c r="C614" s="144" t="e">
        <f t="shared" si="255"/>
        <v>#REF!</v>
      </c>
      <c r="D614" s="144" t="e">
        <f t="shared" si="255"/>
        <v>#REF!</v>
      </c>
      <c r="E614" s="144" t="e">
        <f t="shared" si="255"/>
        <v>#REF!</v>
      </c>
      <c r="F614" s="144" t="e">
        <f t="shared" si="255"/>
        <v>#REF!</v>
      </c>
      <c r="G614" s="144" t="e">
        <f t="shared" si="255"/>
        <v>#REF!</v>
      </c>
      <c r="H614" s="144" t="e">
        <f t="shared" si="255"/>
        <v>#REF!</v>
      </c>
      <c r="I614" s="144" t="e">
        <f t="shared" si="255"/>
        <v>#REF!</v>
      </c>
      <c r="J614" s="144" t="e">
        <f t="shared" si="255"/>
        <v>#REF!</v>
      </c>
      <c r="K614" s="144" t="e">
        <f t="shared" si="255"/>
        <v>#REF!</v>
      </c>
      <c r="L614" s="35"/>
      <c r="M614" s="35"/>
      <c r="N614" s="35"/>
    </row>
    <row r="615" spans="1:14" x14ac:dyDescent="0.3">
      <c r="A615" s="397"/>
      <c r="B615" s="94">
        <v>45</v>
      </c>
      <c r="C615" s="144" t="e">
        <f t="shared" si="255"/>
        <v>#REF!</v>
      </c>
      <c r="D615" s="144" t="e">
        <f t="shared" si="255"/>
        <v>#REF!</v>
      </c>
      <c r="E615" s="144" t="e">
        <f t="shared" si="255"/>
        <v>#REF!</v>
      </c>
      <c r="F615" s="144" t="e">
        <f t="shared" si="255"/>
        <v>#REF!</v>
      </c>
      <c r="G615" s="144" t="e">
        <f t="shared" si="255"/>
        <v>#REF!</v>
      </c>
      <c r="H615" s="144" t="e">
        <f t="shared" si="255"/>
        <v>#REF!</v>
      </c>
      <c r="I615" s="144" t="e">
        <f t="shared" si="255"/>
        <v>#REF!</v>
      </c>
      <c r="J615" s="144" t="e">
        <f t="shared" si="255"/>
        <v>#REF!</v>
      </c>
      <c r="K615" s="144" t="e">
        <f t="shared" si="255"/>
        <v>#REF!</v>
      </c>
      <c r="L615" s="35"/>
      <c r="M615" s="35"/>
      <c r="N615" s="35"/>
    </row>
    <row r="616" spans="1:14" x14ac:dyDescent="0.3">
      <c r="A616" s="397"/>
      <c r="B616" s="94">
        <v>50</v>
      </c>
      <c r="C616" s="144" t="e">
        <f t="shared" si="255"/>
        <v>#REF!</v>
      </c>
      <c r="D616" s="144" t="e">
        <f t="shared" si="255"/>
        <v>#REF!</v>
      </c>
      <c r="E616" s="144" t="e">
        <f t="shared" si="255"/>
        <v>#REF!</v>
      </c>
      <c r="F616" s="144" t="e">
        <f t="shared" si="255"/>
        <v>#REF!</v>
      </c>
      <c r="G616" s="144" t="e">
        <f t="shared" si="255"/>
        <v>#REF!</v>
      </c>
      <c r="H616" s="144" t="e">
        <f t="shared" si="255"/>
        <v>#REF!</v>
      </c>
      <c r="I616" s="144" t="e">
        <f t="shared" si="255"/>
        <v>#REF!</v>
      </c>
      <c r="J616" s="144" t="e">
        <f t="shared" si="255"/>
        <v>#REF!</v>
      </c>
      <c r="K616" s="144" t="e">
        <f t="shared" si="255"/>
        <v>#REF!</v>
      </c>
      <c r="L616" s="35"/>
      <c r="M616" s="35"/>
      <c r="N616" s="35"/>
    </row>
    <row r="617" spans="1:14" x14ac:dyDescent="0.3">
      <c r="A617" s="397"/>
      <c r="B617" s="94">
        <v>55</v>
      </c>
      <c r="C617" s="144" t="e">
        <f t="shared" si="255"/>
        <v>#REF!</v>
      </c>
      <c r="D617" s="144" t="e">
        <f t="shared" si="255"/>
        <v>#REF!</v>
      </c>
      <c r="E617" s="144" t="e">
        <f t="shared" si="255"/>
        <v>#REF!</v>
      </c>
      <c r="F617" s="144" t="e">
        <f t="shared" si="255"/>
        <v>#REF!</v>
      </c>
      <c r="G617" s="144" t="e">
        <f t="shared" si="255"/>
        <v>#REF!</v>
      </c>
      <c r="H617" s="144" t="e">
        <f t="shared" si="255"/>
        <v>#REF!</v>
      </c>
      <c r="I617" s="144" t="e">
        <f t="shared" si="255"/>
        <v>#REF!</v>
      </c>
      <c r="J617" s="144" t="e">
        <f t="shared" si="255"/>
        <v>#REF!</v>
      </c>
      <c r="K617" s="144" t="e">
        <f t="shared" si="255"/>
        <v>#REF!</v>
      </c>
      <c r="L617" s="35"/>
      <c r="M617" s="35"/>
      <c r="N617" s="35"/>
    </row>
    <row r="618" spans="1:14" x14ac:dyDescent="0.3">
      <c r="A618" s="397"/>
      <c r="B618" s="94">
        <v>60</v>
      </c>
      <c r="C618" s="144" t="e">
        <f t="shared" si="255"/>
        <v>#REF!</v>
      </c>
      <c r="D618" s="144" t="e">
        <f t="shared" si="255"/>
        <v>#REF!</v>
      </c>
      <c r="E618" s="144" t="e">
        <f t="shared" si="255"/>
        <v>#REF!</v>
      </c>
      <c r="F618" s="144" t="e">
        <f t="shared" si="255"/>
        <v>#REF!</v>
      </c>
      <c r="G618" s="144" t="e">
        <f t="shared" si="255"/>
        <v>#REF!</v>
      </c>
      <c r="H618" s="144" t="e">
        <f t="shared" si="255"/>
        <v>#REF!</v>
      </c>
      <c r="I618" s="144" t="e">
        <f t="shared" si="255"/>
        <v>#REF!</v>
      </c>
      <c r="J618" s="144" t="e">
        <f t="shared" si="255"/>
        <v>#REF!</v>
      </c>
      <c r="K618" s="144" t="e">
        <f t="shared" si="255"/>
        <v>#REF!</v>
      </c>
      <c r="L618" s="35"/>
      <c r="M618" s="35"/>
      <c r="N618" s="35"/>
    </row>
    <row r="619" spans="1:14" x14ac:dyDescent="0.3">
      <c r="A619" s="397"/>
      <c r="B619" s="94">
        <v>65</v>
      </c>
      <c r="C619" s="144" t="e">
        <f t="shared" si="255"/>
        <v>#REF!</v>
      </c>
      <c r="D619" s="144" t="e">
        <f t="shared" si="255"/>
        <v>#REF!</v>
      </c>
      <c r="E619" s="144" t="e">
        <f t="shared" si="255"/>
        <v>#REF!</v>
      </c>
      <c r="F619" s="144" t="e">
        <f t="shared" si="255"/>
        <v>#REF!</v>
      </c>
      <c r="G619" s="144" t="e">
        <f t="shared" si="255"/>
        <v>#REF!</v>
      </c>
      <c r="H619" s="144" t="e">
        <f t="shared" si="255"/>
        <v>#REF!</v>
      </c>
      <c r="I619" s="144" t="e">
        <f t="shared" si="255"/>
        <v>#REF!</v>
      </c>
      <c r="J619" s="144" t="e">
        <f t="shared" si="255"/>
        <v>#REF!</v>
      </c>
      <c r="K619" s="144" t="e">
        <f t="shared" si="255"/>
        <v>#REF!</v>
      </c>
      <c r="L619" s="35"/>
      <c r="M619" s="35"/>
      <c r="N619" s="35"/>
    </row>
    <row r="620" spans="1:14" x14ac:dyDescent="0.3">
      <c r="A620" s="397"/>
      <c r="B620" s="94">
        <v>70</v>
      </c>
      <c r="C620" s="144" t="e">
        <f t="shared" si="255"/>
        <v>#REF!</v>
      </c>
      <c r="D620" s="144" t="e">
        <f t="shared" si="255"/>
        <v>#REF!</v>
      </c>
      <c r="E620" s="144" t="e">
        <f t="shared" si="255"/>
        <v>#REF!</v>
      </c>
      <c r="F620" s="144" t="e">
        <f t="shared" si="255"/>
        <v>#REF!</v>
      </c>
      <c r="G620" s="144" t="e">
        <f t="shared" si="255"/>
        <v>#REF!</v>
      </c>
      <c r="H620" s="144" t="e">
        <f t="shared" si="255"/>
        <v>#REF!</v>
      </c>
      <c r="I620" s="144" t="e">
        <f t="shared" si="255"/>
        <v>#REF!</v>
      </c>
      <c r="J620" s="144" t="e">
        <f t="shared" si="255"/>
        <v>#REF!</v>
      </c>
      <c r="K620" s="144" t="e">
        <f t="shared" si="255"/>
        <v>#REF!</v>
      </c>
      <c r="L620" s="35"/>
      <c r="M620" s="35"/>
      <c r="N620" s="35"/>
    </row>
    <row r="621" spans="1:14" x14ac:dyDescent="0.3">
      <c r="A621" s="397"/>
      <c r="B621" s="94">
        <v>75</v>
      </c>
      <c r="C621" s="144" t="e">
        <f t="shared" si="255"/>
        <v>#REF!</v>
      </c>
      <c r="D621" s="144" t="e">
        <f t="shared" si="255"/>
        <v>#REF!</v>
      </c>
      <c r="E621" s="144" t="e">
        <f t="shared" si="255"/>
        <v>#REF!</v>
      </c>
      <c r="F621" s="144" t="e">
        <f t="shared" si="255"/>
        <v>#REF!</v>
      </c>
      <c r="G621" s="144" t="e">
        <f t="shared" si="255"/>
        <v>#REF!</v>
      </c>
      <c r="H621" s="144" t="e">
        <f t="shared" si="255"/>
        <v>#REF!</v>
      </c>
      <c r="I621" s="144" t="e">
        <f t="shared" si="255"/>
        <v>#REF!</v>
      </c>
      <c r="J621" s="144" t="e">
        <f t="shared" si="255"/>
        <v>#REF!</v>
      </c>
      <c r="K621" s="144" t="e">
        <f t="shared" si="255"/>
        <v>#REF!</v>
      </c>
      <c r="L621" s="35"/>
      <c r="M621" s="35"/>
      <c r="N621" s="35"/>
    </row>
    <row r="622" spans="1:14" x14ac:dyDescent="0.3">
      <c r="A622" s="397"/>
      <c r="B622" s="94">
        <v>80</v>
      </c>
      <c r="C622" s="144" t="e">
        <f t="shared" si="255"/>
        <v>#REF!</v>
      </c>
      <c r="D622" s="144" t="e">
        <f t="shared" si="255"/>
        <v>#REF!</v>
      </c>
      <c r="E622" s="144" t="e">
        <f t="shared" si="255"/>
        <v>#REF!</v>
      </c>
      <c r="F622" s="144" t="e">
        <f t="shared" si="255"/>
        <v>#REF!</v>
      </c>
      <c r="G622" s="144" t="e">
        <f t="shared" si="255"/>
        <v>#REF!</v>
      </c>
      <c r="H622" s="144" t="e">
        <f t="shared" si="255"/>
        <v>#REF!</v>
      </c>
      <c r="I622" s="144" t="e">
        <f t="shared" si="255"/>
        <v>#REF!</v>
      </c>
      <c r="J622" s="144" t="e">
        <f t="shared" si="255"/>
        <v>#REF!</v>
      </c>
      <c r="K622" s="144" t="e">
        <f t="shared" si="255"/>
        <v>#REF!</v>
      </c>
      <c r="L622" s="35"/>
      <c r="M622" s="35"/>
      <c r="N622" s="35"/>
    </row>
    <row r="623" spans="1:14" x14ac:dyDescent="0.3">
      <c r="A623" s="397"/>
      <c r="B623" s="94">
        <v>85</v>
      </c>
      <c r="C623" s="144" t="e">
        <f t="shared" si="255"/>
        <v>#REF!</v>
      </c>
      <c r="D623" s="144" t="e">
        <f t="shared" si="255"/>
        <v>#REF!</v>
      </c>
      <c r="E623" s="144" t="e">
        <f t="shared" si="255"/>
        <v>#REF!</v>
      </c>
      <c r="F623" s="144" t="e">
        <f t="shared" si="255"/>
        <v>#REF!</v>
      </c>
      <c r="G623" s="144" t="e">
        <f t="shared" si="255"/>
        <v>#REF!</v>
      </c>
      <c r="H623" s="144" t="e">
        <f t="shared" si="255"/>
        <v>#REF!</v>
      </c>
      <c r="I623" s="144" t="e">
        <f t="shared" si="255"/>
        <v>#REF!</v>
      </c>
      <c r="J623" s="144" t="e">
        <f t="shared" si="255"/>
        <v>#REF!</v>
      </c>
      <c r="K623" s="144" t="e">
        <f t="shared" si="255"/>
        <v>#REF!</v>
      </c>
      <c r="L623" s="35"/>
      <c r="M623" s="35"/>
      <c r="N623" s="35"/>
    </row>
    <row r="624" spans="1:14" x14ac:dyDescent="0.3">
      <c r="A624" s="397"/>
      <c r="B624" s="94">
        <v>90</v>
      </c>
      <c r="C624" s="144" t="e">
        <f t="shared" si="255"/>
        <v>#REF!</v>
      </c>
      <c r="D624" s="144" t="e">
        <f t="shared" si="255"/>
        <v>#REF!</v>
      </c>
      <c r="E624" s="144" t="e">
        <f t="shared" si="255"/>
        <v>#REF!</v>
      </c>
      <c r="F624" s="144" t="e">
        <f t="shared" si="255"/>
        <v>#REF!</v>
      </c>
      <c r="G624" s="144" t="e">
        <f t="shared" si="255"/>
        <v>#REF!</v>
      </c>
      <c r="H624" s="144" t="e">
        <f t="shared" si="255"/>
        <v>#REF!</v>
      </c>
      <c r="I624" s="144" t="e">
        <f t="shared" si="255"/>
        <v>#REF!</v>
      </c>
      <c r="J624" s="144" t="e">
        <f t="shared" si="255"/>
        <v>#REF!</v>
      </c>
      <c r="K624" s="144" t="e">
        <f t="shared" si="255"/>
        <v>#REF!</v>
      </c>
      <c r="L624" s="35"/>
      <c r="M624" s="35"/>
      <c r="N624" s="35"/>
    </row>
    <row r="625" spans="1:14" x14ac:dyDescent="0.3">
      <c r="A625" s="397"/>
      <c r="B625" s="94">
        <v>95</v>
      </c>
      <c r="C625" s="144" t="e">
        <f t="shared" si="255"/>
        <v>#REF!</v>
      </c>
      <c r="D625" s="144" t="e">
        <f t="shared" si="255"/>
        <v>#REF!</v>
      </c>
      <c r="E625" s="144" t="e">
        <f t="shared" si="255"/>
        <v>#REF!</v>
      </c>
      <c r="F625" s="144" t="e">
        <f t="shared" si="255"/>
        <v>#REF!</v>
      </c>
      <c r="G625" s="144" t="e">
        <f t="shared" si="255"/>
        <v>#REF!</v>
      </c>
      <c r="H625" s="144" t="e">
        <f t="shared" si="255"/>
        <v>#REF!</v>
      </c>
      <c r="I625" s="144" t="e">
        <f t="shared" si="255"/>
        <v>#REF!</v>
      </c>
      <c r="J625" s="144" t="e">
        <f t="shared" si="255"/>
        <v>#REF!</v>
      </c>
      <c r="K625" s="144" t="e">
        <f t="shared" si="255"/>
        <v>#REF!</v>
      </c>
      <c r="L625" s="35"/>
      <c r="M625" s="35"/>
      <c r="N625" s="35"/>
    </row>
    <row r="626" spans="1:14" x14ac:dyDescent="0.3">
      <c r="A626" s="397"/>
      <c r="B626" s="94">
        <v>100</v>
      </c>
      <c r="C626" s="144" t="e">
        <f t="shared" si="255"/>
        <v>#REF!</v>
      </c>
      <c r="D626" s="144" t="e">
        <f t="shared" si="255"/>
        <v>#REF!</v>
      </c>
      <c r="E626" s="144" t="e">
        <f t="shared" si="255"/>
        <v>#REF!</v>
      </c>
      <c r="F626" s="144" t="e">
        <f t="shared" si="255"/>
        <v>#REF!</v>
      </c>
      <c r="G626" s="144" t="e">
        <f t="shared" si="255"/>
        <v>#REF!</v>
      </c>
      <c r="H626" s="144" t="e">
        <f t="shared" si="255"/>
        <v>#REF!</v>
      </c>
      <c r="I626" s="144" t="e">
        <f t="shared" si="255"/>
        <v>#REF!</v>
      </c>
      <c r="J626" s="144" t="e">
        <f t="shared" si="255"/>
        <v>#REF!</v>
      </c>
      <c r="K626" s="144" t="e">
        <f t="shared" si="255"/>
        <v>#REF!</v>
      </c>
      <c r="L626" s="35"/>
      <c r="M626" s="35"/>
      <c r="N626" s="35"/>
    </row>
    <row r="627" spans="1:14" x14ac:dyDescent="0.3">
      <c r="A627" s="146"/>
      <c r="B627" s="79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</row>
    <row r="628" spans="1:14" x14ac:dyDescent="0.3">
      <c r="A628" s="415" t="s">
        <v>539</v>
      </c>
      <c r="B628" s="416"/>
      <c r="C628" s="416"/>
      <c r="D628" s="416"/>
      <c r="E628" s="416"/>
      <c r="F628" s="416"/>
      <c r="G628" s="416"/>
      <c r="H628" s="416"/>
      <c r="I628" s="416"/>
      <c r="J628" s="416"/>
      <c r="K628" s="369"/>
      <c r="L628" s="35"/>
      <c r="M628" s="35"/>
      <c r="N628" s="35"/>
    </row>
    <row r="629" spans="1:14" x14ac:dyDescent="0.3">
      <c r="A629" s="360"/>
      <c r="B629" s="361"/>
      <c r="C629" s="364" t="s">
        <v>230</v>
      </c>
      <c r="D629" s="365"/>
      <c r="E629" s="365"/>
      <c r="F629" s="365"/>
      <c r="G629" s="365"/>
      <c r="H629" s="365"/>
      <c r="I629" s="365"/>
      <c r="J629" s="365"/>
      <c r="K629" s="366"/>
      <c r="L629" s="35"/>
      <c r="M629" s="35"/>
      <c r="N629" s="35"/>
    </row>
    <row r="630" spans="1:14" x14ac:dyDescent="0.3">
      <c r="A630" s="362"/>
      <c r="B630" s="363"/>
      <c r="C630" s="94">
        <v>5</v>
      </c>
      <c r="D630" s="94">
        <v>10</v>
      </c>
      <c r="E630" s="94">
        <v>15</v>
      </c>
      <c r="F630" s="94">
        <v>20</v>
      </c>
      <c r="G630" s="94">
        <v>25</v>
      </c>
      <c r="H630" s="94">
        <v>30</v>
      </c>
      <c r="I630" s="94">
        <v>35</v>
      </c>
      <c r="J630" s="94">
        <v>40</v>
      </c>
      <c r="K630" s="94">
        <v>45</v>
      </c>
      <c r="L630" s="35"/>
      <c r="M630" s="35"/>
      <c r="N630" s="35"/>
    </row>
    <row r="631" spans="1:14" x14ac:dyDescent="0.3">
      <c r="A631" s="397" t="s">
        <v>231</v>
      </c>
      <c r="B631" s="94">
        <v>5</v>
      </c>
      <c r="C631" s="144" t="e">
        <f>DEGREES(ATAN(1/(C607*1000)))</f>
        <v>#REF!</v>
      </c>
      <c r="D631" s="144" t="e">
        <f t="shared" ref="D631:K631" si="256">DEGREES(ATAN(1/(D607*1000)))</f>
        <v>#REF!</v>
      </c>
      <c r="E631" s="144" t="e">
        <f t="shared" si="256"/>
        <v>#REF!</v>
      </c>
      <c r="F631" s="144" t="e">
        <f t="shared" si="256"/>
        <v>#REF!</v>
      </c>
      <c r="G631" s="144" t="e">
        <f t="shared" si="256"/>
        <v>#REF!</v>
      </c>
      <c r="H631" s="144" t="e">
        <f t="shared" si="256"/>
        <v>#REF!</v>
      </c>
      <c r="I631" s="144" t="e">
        <f t="shared" si="256"/>
        <v>#REF!</v>
      </c>
      <c r="J631" s="144" t="e">
        <f t="shared" si="256"/>
        <v>#REF!</v>
      </c>
      <c r="K631" s="144" t="e">
        <f t="shared" si="256"/>
        <v>#REF!</v>
      </c>
      <c r="L631" s="35"/>
      <c r="M631" s="35"/>
      <c r="N631" s="35"/>
    </row>
    <row r="632" spans="1:14" x14ac:dyDescent="0.3">
      <c r="A632" s="397"/>
      <c r="B632" s="94">
        <v>10</v>
      </c>
      <c r="C632" s="144" t="e">
        <f t="shared" ref="C632:K650" si="257">DEGREES(ATAN(1/(C608*1000)))</f>
        <v>#REF!</v>
      </c>
      <c r="D632" s="144" t="e">
        <f t="shared" si="257"/>
        <v>#REF!</v>
      </c>
      <c r="E632" s="144" t="e">
        <f t="shared" si="257"/>
        <v>#REF!</v>
      </c>
      <c r="F632" s="144" t="e">
        <f t="shared" si="257"/>
        <v>#REF!</v>
      </c>
      <c r="G632" s="144" t="e">
        <f t="shared" si="257"/>
        <v>#REF!</v>
      </c>
      <c r="H632" s="144" t="e">
        <f t="shared" si="257"/>
        <v>#REF!</v>
      </c>
      <c r="I632" s="144" t="e">
        <f t="shared" si="257"/>
        <v>#REF!</v>
      </c>
      <c r="J632" s="144" t="e">
        <f t="shared" si="257"/>
        <v>#REF!</v>
      </c>
      <c r="K632" s="144" t="e">
        <f t="shared" si="257"/>
        <v>#REF!</v>
      </c>
      <c r="L632" s="35"/>
      <c r="M632" s="35"/>
      <c r="N632" s="35"/>
    </row>
    <row r="633" spans="1:14" x14ac:dyDescent="0.3">
      <c r="A633" s="397"/>
      <c r="B633" s="94">
        <v>15</v>
      </c>
      <c r="C633" s="144" t="e">
        <f t="shared" si="257"/>
        <v>#REF!</v>
      </c>
      <c r="D633" s="144" t="e">
        <f t="shared" si="257"/>
        <v>#REF!</v>
      </c>
      <c r="E633" s="144" t="e">
        <f t="shared" si="257"/>
        <v>#REF!</v>
      </c>
      <c r="F633" s="144" t="e">
        <f t="shared" si="257"/>
        <v>#REF!</v>
      </c>
      <c r="G633" s="144" t="e">
        <f t="shared" si="257"/>
        <v>#REF!</v>
      </c>
      <c r="H633" s="144" t="e">
        <f t="shared" si="257"/>
        <v>#REF!</v>
      </c>
      <c r="I633" s="144" t="e">
        <f t="shared" si="257"/>
        <v>#REF!</v>
      </c>
      <c r="J633" s="144" t="e">
        <f t="shared" si="257"/>
        <v>#REF!</v>
      </c>
      <c r="K633" s="144" t="e">
        <f t="shared" si="257"/>
        <v>#REF!</v>
      </c>
      <c r="L633" s="35"/>
      <c r="M633" s="35"/>
      <c r="N633" s="35"/>
    </row>
    <row r="634" spans="1:14" x14ac:dyDescent="0.3">
      <c r="A634" s="397"/>
      <c r="B634" s="94">
        <v>20</v>
      </c>
      <c r="C634" s="144" t="e">
        <f t="shared" si="257"/>
        <v>#REF!</v>
      </c>
      <c r="D634" s="144" t="e">
        <f t="shared" si="257"/>
        <v>#REF!</v>
      </c>
      <c r="E634" s="144" t="e">
        <f t="shared" si="257"/>
        <v>#REF!</v>
      </c>
      <c r="F634" s="144" t="e">
        <f t="shared" si="257"/>
        <v>#REF!</v>
      </c>
      <c r="G634" s="144" t="e">
        <f t="shared" si="257"/>
        <v>#REF!</v>
      </c>
      <c r="H634" s="144" t="e">
        <f t="shared" si="257"/>
        <v>#REF!</v>
      </c>
      <c r="I634" s="144" t="e">
        <f t="shared" si="257"/>
        <v>#REF!</v>
      </c>
      <c r="J634" s="144" t="e">
        <f t="shared" si="257"/>
        <v>#REF!</v>
      </c>
      <c r="K634" s="144" t="e">
        <f t="shared" si="257"/>
        <v>#REF!</v>
      </c>
      <c r="L634" s="35"/>
      <c r="M634" s="35"/>
      <c r="N634" s="35"/>
    </row>
    <row r="635" spans="1:14" x14ac:dyDescent="0.3">
      <c r="A635" s="397"/>
      <c r="B635" s="94">
        <v>25</v>
      </c>
      <c r="C635" s="144" t="e">
        <f t="shared" si="257"/>
        <v>#REF!</v>
      </c>
      <c r="D635" s="144" t="e">
        <f t="shared" si="257"/>
        <v>#REF!</v>
      </c>
      <c r="E635" s="144" t="e">
        <f t="shared" si="257"/>
        <v>#REF!</v>
      </c>
      <c r="F635" s="144" t="e">
        <f t="shared" si="257"/>
        <v>#REF!</v>
      </c>
      <c r="G635" s="144" t="e">
        <f t="shared" si="257"/>
        <v>#REF!</v>
      </c>
      <c r="H635" s="144" t="e">
        <f t="shared" si="257"/>
        <v>#REF!</v>
      </c>
      <c r="I635" s="144" t="e">
        <f t="shared" si="257"/>
        <v>#REF!</v>
      </c>
      <c r="J635" s="144" t="e">
        <f t="shared" si="257"/>
        <v>#REF!</v>
      </c>
      <c r="K635" s="144" t="e">
        <f t="shared" si="257"/>
        <v>#REF!</v>
      </c>
      <c r="L635" s="35"/>
      <c r="M635" s="35"/>
      <c r="N635" s="35"/>
    </row>
    <row r="636" spans="1:14" x14ac:dyDescent="0.3">
      <c r="A636" s="397"/>
      <c r="B636" s="94">
        <v>30</v>
      </c>
      <c r="C636" s="144" t="e">
        <f t="shared" si="257"/>
        <v>#REF!</v>
      </c>
      <c r="D636" s="144" t="e">
        <f t="shared" si="257"/>
        <v>#REF!</v>
      </c>
      <c r="E636" s="144" t="e">
        <f t="shared" si="257"/>
        <v>#REF!</v>
      </c>
      <c r="F636" s="144" t="e">
        <f t="shared" si="257"/>
        <v>#REF!</v>
      </c>
      <c r="G636" s="144" t="e">
        <f t="shared" si="257"/>
        <v>#REF!</v>
      </c>
      <c r="H636" s="144" t="e">
        <f t="shared" si="257"/>
        <v>#REF!</v>
      </c>
      <c r="I636" s="144" t="e">
        <f t="shared" si="257"/>
        <v>#REF!</v>
      </c>
      <c r="J636" s="144" t="e">
        <f t="shared" si="257"/>
        <v>#REF!</v>
      </c>
      <c r="K636" s="144" t="e">
        <f t="shared" si="257"/>
        <v>#REF!</v>
      </c>
      <c r="L636" s="35"/>
      <c r="M636" s="35"/>
      <c r="N636" s="35"/>
    </row>
    <row r="637" spans="1:14" x14ac:dyDescent="0.3">
      <c r="A637" s="397"/>
      <c r="B637" s="94">
        <v>35</v>
      </c>
      <c r="C637" s="144" t="e">
        <f t="shared" si="257"/>
        <v>#REF!</v>
      </c>
      <c r="D637" s="144" t="e">
        <f t="shared" si="257"/>
        <v>#REF!</v>
      </c>
      <c r="E637" s="144" t="e">
        <f t="shared" si="257"/>
        <v>#REF!</v>
      </c>
      <c r="F637" s="144" t="e">
        <f t="shared" si="257"/>
        <v>#REF!</v>
      </c>
      <c r="G637" s="144" t="e">
        <f t="shared" si="257"/>
        <v>#REF!</v>
      </c>
      <c r="H637" s="144" t="e">
        <f t="shared" si="257"/>
        <v>#REF!</v>
      </c>
      <c r="I637" s="144" t="e">
        <f t="shared" si="257"/>
        <v>#REF!</v>
      </c>
      <c r="J637" s="144" t="e">
        <f t="shared" si="257"/>
        <v>#REF!</v>
      </c>
      <c r="K637" s="144" t="e">
        <f t="shared" si="257"/>
        <v>#REF!</v>
      </c>
      <c r="L637" s="35"/>
      <c r="M637" s="35"/>
      <c r="N637" s="35"/>
    </row>
    <row r="638" spans="1:14" x14ac:dyDescent="0.3">
      <c r="A638" s="397"/>
      <c r="B638" s="94">
        <v>40</v>
      </c>
      <c r="C638" s="144" t="e">
        <f t="shared" si="257"/>
        <v>#REF!</v>
      </c>
      <c r="D638" s="144" t="e">
        <f t="shared" si="257"/>
        <v>#REF!</v>
      </c>
      <c r="E638" s="144" t="e">
        <f t="shared" si="257"/>
        <v>#REF!</v>
      </c>
      <c r="F638" s="144" t="e">
        <f t="shared" si="257"/>
        <v>#REF!</v>
      </c>
      <c r="G638" s="144" t="e">
        <f t="shared" si="257"/>
        <v>#REF!</v>
      </c>
      <c r="H638" s="144" t="e">
        <f t="shared" si="257"/>
        <v>#REF!</v>
      </c>
      <c r="I638" s="144" t="e">
        <f t="shared" si="257"/>
        <v>#REF!</v>
      </c>
      <c r="J638" s="144" t="e">
        <f t="shared" si="257"/>
        <v>#REF!</v>
      </c>
      <c r="K638" s="144" t="e">
        <f t="shared" si="257"/>
        <v>#REF!</v>
      </c>
      <c r="L638" s="35"/>
      <c r="M638" s="35"/>
      <c r="N638" s="35"/>
    </row>
    <row r="639" spans="1:14" x14ac:dyDescent="0.3">
      <c r="A639" s="397"/>
      <c r="B639" s="94">
        <v>45</v>
      </c>
      <c r="C639" s="144" t="e">
        <f t="shared" si="257"/>
        <v>#REF!</v>
      </c>
      <c r="D639" s="144" t="e">
        <f t="shared" si="257"/>
        <v>#REF!</v>
      </c>
      <c r="E639" s="144" t="e">
        <f t="shared" si="257"/>
        <v>#REF!</v>
      </c>
      <c r="F639" s="144" t="e">
        <f t="shared" si="257"/>
        <v>#REF!</v>
      </c>
      <c r="G639" s="144" t="e">
        <f t="shared" si="257"/>
        <v>#REF!</v>
      </c>
      <c r="H639" s="144" t="e">
        <f t="shared" si="257"/>
        <v>#REF!</v>
      </c>
      <c r="I639" s="144" t="e">
        <f t="shared" si="257"/>
        <v>#REF!</v>
      </c>
      <c r="J639" s="144" t="e">
        <f t="shared" si="257"/>
        <v>#REF!</v>
      </c>
      <c r="K639" s="144" t="e">
        <f t="shared" si="257"/>
        <v>#REF!</v>
      </c>
      <c r="L639" s="35"/>
      <c r="M639" s="35"/>
      <c r="N639" s="35"/>
    </row>
    <row r="640" spans="1:14" x14ac:dyDescent="0.3">
      <c r="A640" s="397"/>
      <c r="B640" s="94">
        <v>50</v>
      </c>
      <c r="C640" s="144" t="e">
        <f t="shared" si="257"/>
        <v>#REF!</v>
      </c>
      <c r="D640" s="144" t="e">
        <f t="shared" si="257"/>
        <v>#REF!</v>
      </c>
      <c r="E640" s="144" t="e">
        <f t="shared" si="257"/>
        <v>#REF!</v>
      </c>
      <c r="F640" s="144" t="e">
        <f t="shared" si="257"/>
        <v>#REF!</v>
      </c>
      <c r="G640" s="144" t="e">
        <f t="shared" si="257"/>
        <v>#REF!</v>
      </c>
      <c r="H640" s="144" t="e">
        <f t="shared" si="257"/>
        <v>#REF!</v>
      </c>
      <c r="I640" s="144" t="e">
        <f t="shared" si="257"/>
        <v>#REF!</v>
      </c>
      <c r="J640" s="144" t="e">
        <f t="shared" si="257"/>
        <v>#REF!</v>
      </c>
      <c r="K640" s="144" t="e">
        <f t="shared" si="257"/>
        <v>#REF!</v>
      </c>
      <c r="L640" s="35"/>
      <c r="M640" s="35"/>
      <c r="N640" s="35"/>
    </row>
    <row r="641" spans="1:14" x14ac:dyDescent="0.3">
      <c r="A641" s="397"/>
      <c r="B641" s="94">
        <v>55</v>
      </c>
      <c r="C641" s="144" t="e">
        <f t="shared" si="257"/>
        <v>#REF!</v>
      </c>
      <c r="D641" s="144" t="e">
        <f t="shared" si="257"/>
        <v>#REF!</v>
      </c>
      <c r="E641" s="144" t="e">
        <f t="shared" si="257"/>
        <v>#REF!</v>
      </c>
      <c r="F641" s="144" t="e">
        <f t="shared" si="257"/>
        <v>#REF!</v>
      </c>
      <c r="G641" s="144" t="e">
        <f t="shared" si="257"/>
        <v>#REF!</v>
      </c>
      <c r="H641" s="144" t="e">
        <f t="shared" si="257"/>
        <v>#REF!</v>
      </c>
      <c r="I641" s="144" t="e">
        <f t="shared" si="257"/>
        <v>#REF!</v>
      </c>
      <c r="J641" s="144" t="e">
        <f t="shared" si="257"/>
        <v>#REF!</v>
      </c>
      <c r="K641" s="144" t="e">
        <f t="shared" si="257"/>
        <v>#REF!</v>
      </c>
      <c r="L641" s="35"/>
      <c r="M641" s="35"/>
      <c r="N641" s="35"/>
    </row>
    <row r="642" spans="1:14" x14ac:dyDescent="0.3">
      <c r="A642" s="397"/>
      <c r="B642" s="94">
        <v>60</v>
      </c>
      <c r="C642" s="144" t="e">
        <f t="shared" si="257"/>
        <v>#REF!</v>
      </c>
      <c r="D642" s="144" t="e">
        <f t="shared" si="257"/>
        <v>#REF!</v>
      </c>
      <c r="E642" s="144" t="e">
        <f t="shared" si="257"/>
        <v>#REF!</v>
      </c>
      <c r="F642" s="144" t="e">
        <f t="shared" si="257"/>
        <v>#REF!</v>
      </c>
      <c r="G642" s="144" t="e">
        <f t="shared" si="257"/>
        <v>#REF!</v>
      </c>
      <c r="H642" s="144" t="e">
        <f t="shared" si="257"/>
        <v>#REF!</v>
      </c>
      <c r="I642" s="144" t="e">
        <f t="shared" si="257"/>
        <v>#REF!</v>
      </c>
      <c r="J642" s="144" t="e">
        <f t="shared" si="257"/>
        <v>#REF!</v>
      </c>
      <c r="K642" s="144" t="e">
        <f t="shared" si="257"/>
        <v>#REF!</v>
      </c>
      <c r="L642" s="35"/>
      <c r="M642" s="35"/>
      <c r="N642" s="35"/>
    </row>
    <row r="643" spans="1:14" x14ac:dyDescent="0.3">
      <c r="A643" s="397"/>
      <c r="B643" s="94">
        <v>65</v>
      </c>
      <c r="C643" s="144" t="e">
        <f t="shared" si="257"/>
        <v>#REF!</v>
      </c>
      <c r="D643" s="144" t="e">
        <f t="shared" si="257"/>
        <v>#REF!</v>
      </c>
      <c r="E643" s="144" t="e">
        <f t="shared" si="257"/>
        <v>#REF!</v>
      </c>
      <c r="F643" s="144" t="e">
        <f t="shared" si="257"/>
        <v>#REF!</v>
      </c>
      <c r="G643" s="144" t="e">
        <f t="shared" si="257"/>
        <v>#REF!</v>
      </c>
      <c r="H643" s="144" t="e">
        <f t="shared" si="257"/>
        <v>#REF!</v>
      </c>
      <c r="I643" s="144" t="e">
        <f t="shared" si="257"/>
        <v>#REF!</v>
      </c>
      <c r="J643" s="144" t="e">
        <f t="shared" si="257"/>
        <v>#REF!</v>
      </c>
      <c r="K643" s="144" t="e">
        <f t="shared" si="257"/>
        <v>#REF!</v>
      </c>
      <c r="L643" s="35"/>
      <c r="M643" s="35"/>
      <c r="N643" s="35"/>
    </row>
    <row r="644" spans="1:14" x14ac:dyDescent="0.3">
      <c r="A644" s="397"/>
      <c r="B644" s="94">
        <v>70</v>
      </c>
      <c r="C644" s="144" t="e">
        <f t="shared" si="257"/>
        <v>#REF!</v>
      </c>
      <c r="D644" s="144" t="e">
        <f t="shared" si="257"/>
        <v>#REF!</v>
      </c>
      <c r="E644" s="144" t="e">
        <f t="shared" si="257"/>
        <v>#REF!</v>
      </c>
      <c r="F644" s="144" t="e">
        <f t="shared" si="257"/>
        <v>#REF!</v>
      </c>
      <c r="G644" s="144" t="e">
        <f t="shared" si="257"/>
        <v>#REF!</v>
      </c>
      <c r="H644" s="144" t="e">
        <f t="shared" si="257"/>
        <v>#REF!</v>
      </c>
      <c r="I644" s="144" t="e">
        <f t="shared" si="257"/>
        <v>#REF!</v>
      </c>
      <c r="J644" s="144" t="e">
        <f t="shared" si="257"/>
        <v>#REF!</v>
      </c>
      <c r="K644" s="144" t="e">
        <f t="shared" si="257"/>
        <v>#REF!</v>
      </c>
      <c r="L644" s="35"/>
      <c r="M644" s="35"/>
      <c r="N644" s="35"/>
    </row>
    <row r="645" spans="1:14" x14ac:dyDescent="0.3">
      <c r="A645" s="397"/>
      <c r="B645" s="94">
        <v>75</v>
      </c>
      <c r="C645" s="144" t="e">
        <f t="shared" si="257"/>
        <v>#REF!</v>
      </c>
      <c r="D645" s="144" t="e">
        <f t="shared" si="257"/>
        <v>#REF!</v>
      </c>
      <c r="E645" s="144" t="e">
        <f t="shared" si="257"/>
        <v>#REF!</v>
      </c>
      <c r="F645" s="144" t="e">
        <f t="shared" si="257"/>
        <v>#REF!</v>
      </c>
      <c r="G645" s="144" t="e">
        <f t="shared" si="257"/>
        <v>#REF!</v>
      </c>
      <c r="H645" s="144" t="e">
        <f t="shared" si="257"/>
        <v>#REF!</v>
      </c>
      <c r="I645" s="144" t="e">
        <f t="shared" si="257"/>
        <v>#REF!</v>
      </c>
      <c r="J645" s="144" t="e">
        <f t="shared" si="257"/>
        <v>#REF!</v>
      </c>
      <c r="K645" s="144" t="e">
        <f t="shared" si="257"/>
        <v>#REF!</v>
      </c>
      <c r="L645" s="35"/>
      <c r="M645" s="35"/>
      <c r="N645" s="35"/>
    </row>
    <row r="646" spans="1:14" x14ac:dyDescent="0.3">
      <c r="A646" s="397"/>
      <c r="B646" s="94">
        <v>80</v>
      </c>
      <c r="C646" s="144" t="e">
        <f t="shared" si="257"/>
        <v>#REF!</v>
      </c>
      <c r="D646" s="144" t="e">
        <f t="shared" si="257"/>
        <v>#REF!</v>
      </c>
      <c r="E646" s="144" t="e">
        <f t="shared" si="257"/>
        <v>#REF!</v>
      </c>
      <c r="F646" s="144" t="e">
        <f t="shared" si="257"/>
        <v>#REF!</v>
      </c>
      <c r="G646" s="144" t="e">
        <f t="shared" si="257"/>
        <v>#REF!</v>
      </c>
      <c r="H646" s="144" t="e">
        <f t="shared" si="257"/>
        <v>#REF!</v>
      </c>
      <c r="I646" s="144" t="e">
        <f t="shared" si="257"/>
        <v>#REF!</v>
      </c>
      <c r="J646" s="144" t="e">
        <f t="shared" si="257"/>
        <v>#REF!</v>
      </c>
      <c r="K646" s="144" t="e">
        <f t="shared" si="257"/>
        <v>#REF!</v>
      </c>
      <c r="L646" s="35"/>
      <c r="M646" s="35"/>
      <c r="N646" s="35"/>
    </row>
    <row r="647" spans="1:14" x14ac:dyDescent="0.3">
      <c r="A647" s="397"/>
      <c r="B647" s="94">
        <v>85</v>
      </c>
      <c r="C647" s="144" t="e">
        <f t="shared" si="257"/>
        <v>#REF!</v>
      </c>
      <c r="D647" s="144" t="e">
        <f t="shared" si="257"/>
        <v>#REF!</v>
      </c>
      <c r="E647" s="144" t="e">
        <f t="shared" si="257"/>
        <v>#REF!</v>
      </c>
      <c r="F647" s="144" t="e">
        <f t="shared" si="257"/>
        <v>#REF!</v>
      </c>
      <c r="G647" s="144" t="e">
        <f t="shared" si="257"/>
        <v>#REF!</v>
      </c>
      <c r="H647" s="144" t="e">
        <f t="shared" si="257"/>
        <v>#REF!</v>
      </c>
      <c r="I647" s="144" t="e">
        <f t="shared" si="257"/>
        <v>#REF!</v>
      </c>
      <c r="J647" s="144" t="e">
        <f t="shared" si="257"/>
        <v>#REF!</v>
      </c>
      <c r="K647" s="144" t="e">
        <f t="shared" si="257"/>
        <v>#REF!</v>
      </c>
      <c r="L647" s="35"/>
      <c r="M647" s="35"/>
      <c r="N647" s="35"/>
    </row>
    <row r="648" spans="1:14" x14ac:dyDescent="0.3">
      <c r="A648" s="397"/>
      <c r="B648" s="94">
        <v>90</v>
      </c>
      <c r="C648" s="144" t="e">
        <f t="shared" si="257"/>
        <v>#REF!</v>
      </c>
      <c r="D648" s="144" t="e">
        <f t="shared" si="257"/>
        <v>#REF!</v>
      </c>
      <c r="E648" s="144" t="e">
        <f t="shared" si="257"/>
        <v>#REF!</v>
      </c>
      <c r="F648" s="144" t="e">
        <f t="shared" si="257"/>
        <v>#REF!</v>
      </c>
      <c r="G648" s="144" t="e">
        <f t="shared" si="257"/>
        <v>#REF!</v>
      </c>
      <c r="H648" s="144" t="e">
        <f t="shared" si="257"/>
        <v>#REF!</v>
      </c>
      <c r="I648" s="144" t="e">
        <f t="shared" si="257"/>
        <v>#REF!</v>
      </c>
      <c r="J648" s="144" t="e">
        <f t="shared" si="257"/>
        <v>#REF!</v>
      </c>
      <c r="K648" s="144" t="e">
        <f t="shared" si="257"/>
        <v>#REF!</v>
      </c>
      <c r="L648" s="35"/>
      <c r="M648" s="35"/>
      <c r="N648" s="35"/>
    </row>
    <row r="649" spans="1:14" x14ac:dyDescent="0.3">
      <c r="A649" s="397"/>
      <c r="B649" s="94">
        <v>95</v>
      </c>
      <c r="C649" s="144" t="e">
        <f t="shared" si="257"/>
        <v>#REF!</v>
      </c>
      <c r="D649" s="144" t="e">
        <f t="shared" si="257"/>
        <v>#REF!</v>
      </c>
      <c r="E649" s="144" t="e">
        <f t="shared" si="257"/>
        <v>#REF!</v>
      </c>
      <c r="F649" s="144" t="e">
        <f t="shared" si="257"/>
        <v>#REF!</v>
      </c>
      <c r="G649" s="144" t="e">
        <f t="shared" si="257"/>
        <v>#REF!</v>
      </c>
      <c r="H649" s="144" t="e">
        <f t="shared" si="257"/>
        <v>#REF!</v>
      </c>
      <c r="I649" s="144" t="e">
        <f t="shared" si="257"/>
        <v>#REF!</v>
      </c>
      <c r="J649" s="144" t="e">
        <f t="shared" si="257"/>
        <v>#REF!</v>
      </c>
      <c r="K649" s="144" t="e">
        <f t="shared" si="257"/>
        <v>#REF!</v>
      </c>
      <c r="L649" s="35"/>
      <c r="M649" s="35"/>
      <c r="N649" s="35"/>
    </row>
    <row r="650" spans="1:14" x14ac:dyDescent="0.3">
      <c r="A650" s="397"/>
      <c r="B650" s="94">
        <v>100</v>
      </c>
      <c r="C650" s="144" t="e">
        <f t="shared" si="257"/>
        <v>#REF!</v>
      </c>
      <c r="D650" s="144" t="e">
        <f t="shared" si="257"/>
        <v>#REF!</v>
      </c>
      <c r="E650" s="144" t="e">
        <f t="shared" si="257"/>
        <v>#REF!</v>
      </c>
      <c r="F650" s="144" t="e">
        <f t="shared" si="257"/>
        <v>#REF!</v>
      </c>
      <c r="G650" s="144" t="e">
        <f t="shared" si="257"/>
        <v>#REF!</v>
      </c>
      <c r="H650" s="144" t="e">
        <f t="shared" si="257"/>
        <v>#REF!</v>
      </c>
      <c r="I650" s="144" t="e">
        <f t="shared" si="257"/>
        <v>#REF!</v>
      </c>
      <c r="J650" s="144" t="e">
        <f t="shared" si="257"/>
        <v>#REF!</v>
      </c>
      <c r="K650" s="144" t="e">
        <f t="shared" si="257"/>
        <v>#REF!</v>
      </c>
      <c r="L650" s="35"/>
      <c r="M650" s="35"/>
      <c r="N650" s="35"/>
    </row>
    <row r="651" spans="1:14" x14ac:dyDescent="0.3">
      <c r="A651" s="146"/>
      <c r="B651" s="79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</row>
    <row r="652" spans="1:14" x14ac:dyDescent="0.3">
      <c r="A652" s="415" t="s">
        <v>504</v>
      </c>
      <c r="B652" s="416"/>
      <c r="C652" s="416"/>
      <c r="D652" s="416"/>
      <c r="E652" s="416"/>
      <c r="F652" s="416"/>
      <c r="G652" s="416"/>
      <c r="H652" s="416"/>
      <c r="I652" s="416"/>
      <c r="J652" s="416"/>
      <c r="K652" s="369"/>
      <c r="L652" s="35"/>
      <c r="M652" s="35"/>
      <c r="N652" s="35"/>
    </row>
    <row r="653" spans="1:14" x14ac:dyDescent="0.3">
      <c r="A653" s="360"/>
      <c r="B653" s="361"/>
      <c r="C653" s="364" t="s">
        <v>230</v>
      </c>
      <c r="D653" s="365"/>
      <c r="E653" s="365"/>
      <c r="F653" s="365"/>
      <c r="G653" s="365"/>
      <c r="H653" s="365"/>
      <c r="I653" s="365"/>
      <c r="J653" s="365"/>
      <c r="K653" s="366"/>
      <c r="L653" s="35"/>
      <c r="M653" s="35"/>
      <c r="N653" s="35"/>
    </row>
    <row r="654" spans="1:14" x14ac:dyDescent="0.3">
      <c r="A654" s="362"/>
      <c r="B654" s="363"/>
      <c r="C654" s="94">
        <v>5</v>
      </c>
      <c r="D654" s="94">
        <v>10</v>
      </c>
      <c r="E654" s="94">
        <v>15</v>
      </c>
      <c r="F654" s="94">
        <v>20</v>
      </c>
      <c r="G654" s="94">
        <v>25</v>
      </c>
      <c r="H654" s="94">
        <v>30</v>
      </c>
      <c r="I654" s="94">
        <v>35</v>
      </c>
      <c r="J654" s="94">
        <v>40</v>
      </c>
      <c r="K654" s="94">
        <v>45</v>
      </c>
      <c r="L654" s="35"/>
      <c r="M654" s="35"/>
      <c r="N654" s="35"/>
    </row>
    <row r="655" spans="1:14" x14ac:dyDescent="0.3">
      <c r="A655" s="397" t="s">
        <v>231</v>
      </c>
      <c r="B655" s="94">
        <v>5</v>
      </c>
      <c r="C655" s="144" t="e">
        <f t="shared" ref="C655:K655" si="258">TAN(C554)*($B$521/2)</f>
        <v>#REF!</v>
      </c>
      <c r="D655" s="144" t="e">
        <f t="shared" si="258"/>
        <v>#REF!</v>
      </c>
      <c r="E655" s="144" t="e">
        <f t="shared" si="258"/>
        <v>#REF!</v>
      </c>
      <c r="F655" s="144" t="e">
        <f t="shared" si="258"/>
        <v>#REF!</v>
      </c>
      <c r="G655" s="144" t="e">
        <f t="shared" si="258"/>
        <v>#REF!</v>
      </c>
      <c r="H655" s="144" t="e">
        <f t="shared" si="258"/>
        <v>#REF!</v>
      </c>
      <c r="I655" s="144" t="e">
        <f t="shared" si="258"/>
        <v>#REF!</v>
      </c>
      <c r="J655" s="144" t="e">
        <f t="shared" si="258"/>
        <v>#REF!</v>
      </c>
      <c r="K655" s="144" t="e">
        <f t="shared" si="258"/>
        <v>#REF!</v>
      </c>
      <c r="L655" s="35"/>
      <c r="M655" s="35"/>
      <c r="N655" s="35"/>
    </row>
    <row r="656" spans="1:14" x14ac:dyDescent="0.3">
      <c r="A656" s="397"/>
      <c r="B656" s="94">
        <v>10</v>
      </c>
      <c r="C656" s="144" t="e">
        <f t="shared" ref="C656:K656" si="259">TAN(C555)*($B$521/2)</f>
        <v>#REF!</v>
      </c>
      <c r="D656" s="144" t="e">
        <f t="shared" si="259"/>
        <v>#REF!</v>
      </c>
      <c r="E656" s="144" t="e">
        <f t="shared" si="259"/>
        <v>#REF!</v>
      </c>
      <c r="F656" s="144" t="e">
        <f t="shared" si="259"/>
        <v>#REF!</v>
      </c>
      <c r="G656" s="144" t="e">
        <f t="shared" si="259"/>
        <v>#REF!</v>
      </c>
      <c r="H656" s="144" t="e">
        <f t="shared" si="259"/>
        <v>#REF!</v>
      </c>
      <c r="I656" s="144" t="e">
        <f t="shared" si="259"/>
        <v>#REF!</v>
      </c>
      <c r="J656" s="144" t="e">
        <f t="shared" si="259"/>
        <v>#REF!</v>
      </c>
      <c r="K656" s="144" t="e">
        <f t="shared" si="259"/>
        <v>#REF!</v>
      </c>
      <c r="L656" s="35"/>
      <c r="M656" s="35"/>
      <c r="N656" s="35"/>
    </row>
    <row r="657" spans="1:14" x14ac:dyDescent="0.3">
      <c r="A657" s="397"/>
      <c r="B657" s="94">
        <v>15</v>
      </c>
      <c r="C657" s="144" t="e">
        <f t="shared" ref="C657:K657" si="260">TAN(C556)*($B$521/2)</f>
        <v>#REF!</v>
      </c>
      <c r="D657" s="144" t="e">
        <f t="shared" si="260"/>
        <v>#REF!</v>
      </c>
      <c r="E657" s="144" t="e">
        <f t="shared" si="260"/>
        <v>#REF!</v>
      </c>
      <c r="F657" s="144" t="e">
        <f t="shared" si="260"/>
        <v>#REF!</v>
      </c>
      <c r="G657" s="144" t="e">
        <f t="shared" si="260"/>
        <v>#REF!</v>
      </c>
      <c r="H657" s="144" t="e">
        <f t="shared" si="260"/>
        <v>#REF!</v>
      </c>
      <c r="I657" s="144" t="e">
        <f t="shared" si="260"/>
        <v>#REF!</v>
      </c>
      <c r="J657" s="144" t="e">
        <f t="shared" si="260"/>
        <v>#REF!</v>
      </c>
      <c r="K657" s="144" t="e">
        <f t="shared" si="260"/>
        <v>#REF!</v>
      </c>
      <c r="L657" s="35"/>
      <c r="M657" s="35"/>
      <c r="N657" s="35"/>
    </row>
    <row r="658" spans="1:14" x14ac:dyDescent="0.3">
      <c r="A658" s="397"/>
      <c r="B658" s="94">
        <v>20</v>
      </c>
      <c r="C658" s="144" t="e">
        <f t="shared" ref="C658:K658" si="261">TAN(C557)*($B$521/2)</f>
        <v>#REF!</v>
      </c>
      <c r="D658" s="144" t="e">
        <f t="shared" si="261"/>
        <v>#REF!</v>
      </c>
      <c r="E658" s="144" t="e">
        <f t="shared" si="261"/>
        <v>#REF!</v>
      </c>
      <c r="F658" s="144" t="e">
        <f t="shared" si="261"/>
        <v>#REF!</v>
      </c>
      <c r="G658" s="144" t="e">
        <f t="shared" si="261"/>
        <v>#REF!</v>
      </c>
      <c r="H658" s="144" t="e">
        <f t="shared" si="261"/>
        <v>#REF!</v>
      </c>
      <c r="I658" s="144" t="e">
        <f t="shared" si="261"/>
        <v>#REF!</v>
      </c>
      <c r="J658" s="144" t="e">
        <f t="shared" si="261"/>
        <v>#REF!</v>
      </c>
      <c r="K658" s="144" t="e">
        <f t="shared" si="261"/>
        <v>#REF!</v>
      </c>
      <c r="L658" s="35"/>
      <c r="M658" s="35"/>
      <c r="N658" s="35"/>
    </row>
    <row r="659" spans="1:14" x14ac:dyDescent="0.3">
      <c r="A659" s="397"/>
      <c r="B659" s="94">
        <v>25</v>
      </c>
      <c r="C659" s="144" t="e">
        <f t="shared" ref="C659:K659" si="262">TAN(C558)*($B$521/2)</f>
        <v>#REF!</v>
      </c>
      <c r="D659" s="144" t="e">
        <f t="shared" si="262"/>
        <v>#REF!</v>
      </c>
      <c r="E659" s="144" t="e">
        <f t="shared" si="262"/>
        <v>#REF!</v>
      </c>
      <c r="F659" s="144" t="e">
        <f t="shared" si="262"/>
        <v>#REF!</v>
      </c>
      <c r="G659" s="144" t="e">
        <f t="shared" si="262"/>
        <v>#REF!</v>
      </c>
      <c r="H659" s="144" t="e">
        <f t="shared" si="262"/>
        <v>#REF!</v>
      </c>
      <c r="I659" s="144" t="e">
        <f t="shared" si="262"/>
        <v>#REF!</v>
      </c>
      <c r="J659" s="144" t="e">
        <f t="shared" si="262"/>
        <v>#REF!</v>
      </c>
      <c r="K659" s="144" t="e">
        <f t="shared" si="262"/>
        <v>#REF!</v>
      </c>
      <c r="L659" s="35"/>
      <c r="M659" s="35"/>
      <c r="N659" s="35"/>
    </row>
    <row r="660" spans="1:14" x14ac:dyDescent="0.3">
      <c r="A660" s="397"/>
      <c r="B660" s="94">
        <v>30</v>
      </c>
      <c r="C660" s="144" t="e">
        <f t="shared" ref="C660:K660" si="263">TAN(C559)*($B$521/2)</f>
        <v>#REF!</v>
      </c>
      <c r="D660" s="144" t="e">
        <f t="shared" si="263"/>
        <v>#REF!</v>
      </c>
      <c r="E660" s="144" t="e">
        <f t="shared" si="263"/>
        <v>#REF!</v>
      </c>
      <c r="F660" s="144" t="e">
        <f t="shared" si="263"/>
        <v>#REF!</v>
      </c>
      <c r="G660" s="144" t="e">
        <f t="shared" si="263"/>
        <v>#REF!</v>
      </c>
      <c r="H660" s="144" t="e">
        <f t="shared" si="263"/>
        <v>#REF!</v>
      </c>
      <c r="I660" s="144" t="e">
        <f t="shared" si="263"/>
        <v>#REF!</v>
      </c>
      <c r="J660" s="144" t="e">
        <f t="shared" si="263"/>
        <v>#REF!</v>
      </c>
      <c r="K660" s="144" t="e">
        <f t="shared" si="263"/>
        <v>#REF!</v>
      </c>
      <c r="L660" s="35"/>
      <c r="M660" s="35"/>
      <c r="N660" s="35"/>
    </row>
    <row r="661" spans="1:14" x14ac:dyDescent="0.3">
      <c r="A661" s="397"/>
      <c r="B661" s="94">
        <v>35</v>
      </c>
      <c r="C661" s="144" t="e">
        <f t="shared" ref="C661:K661" si="264">TAN(C560)*($B$521/2)</f>
        <v>#REF!</v>
      </c>
      <c r="D661" s="144" t="e">
        <f t="shared" si="264"/>
        <v>#REF!</v>
      </c>
      <c r="E661" s="144" t="e">
        <f t="shared" si="264"/>
        <v>#REF!</v>
      </c>
      <c r="F661" s="144" t="e">
        <f t="shared" si="264"/>
        <v>#REF!</v>
      </c>
      <c r="G661" s="144" t="e">
        <f t="shared" si="264"/>
        <v>#REF!</v>
      </c>
      <c r="H661" s="144" t="e">
        <f t="shared" si="264"/>
        <v>#REF!</v>
      </c>
      <c r="I661" s="144" t="e">
        <f t="shared" si="264"/>
        <v>#REF!</v>
      </c>
      <c r="J661" s="144" t="e">
        <f t="shared" si="264"/>
        <v>#REF!</v>
      </c>
      <c r="K661" s="144" t="e">
        <f t="shared" si="264"/>
        <v>#REF!</v>
      </c>
      <c r="L661" s="35"/>
      <c r="M661" s="35"/>
      <c r="N661" s="35"/>
    </row>
    <row r="662" spans="1:14" x14ac:dyDescent="0.3">
      <c r="A662" s="397"/>
      <c r="B662" s="94">
        <v>40</v>
      </c>
      <c r="C662" s="144" t="e">
        <f t="shared" ref="C662:K662" si="265">TAN(C561)*($B$521/2)</f>
        <v>#REF!</v>
      </c>
      <c r="D662" s="144" t="e">
        <f t="shared" si="265"/>
        <v>#REF!</v>
      </c>
      <c r="E662" s="144" t="e">
        <f t="shared" si="265"/>
        <v>#REF!</v>
      </c>
      <c r="F662" s="144" t="e">
        <f t="shared" si="265"/>
        <v>#REF!</v>
      </c>
      <c r="G662" s="144" t="e">
        <f t="shared" si="265"/>
        <v>#REF!</v>
      </c>
      <c r="H662" s="144" t="e">
        <f t="shared" si="265"/>
        <v>#REF!</v>
      </c>
      <c r="I662" s="144" t="e">
        <f t="shared" si="265"/>
        <v>#REF!</v>
      </c>
      <c r="J662" s="144" t="e">
        <f t="shared" si="265"/>
        <v>#REF!</v>
      </c>
      <c r="K662" s="144" t="e">
        <f t="shared" si="265"/>
        <v>#REF!</v>
      </c>
      <c r="L662" s="35"/>
      <c r="M662" s="35"/>
      <c r="N662" s="35"/>
    </row>
    <row r="663" spans="1:14" x14ac:dyDescent="0.3">
      <c r="A663" s="397"/>
      <c r="B663" s="94">
        <v>45</v>
      </c>
      <c r="C663" s="144" t="e">
        <f t="shared" ref="C663:K663" si="266">TAN(C562)*($B$521/2)</f>
        <v>#REF!</v>
      </c>
      <c r="D663" s="144" t="e">
        <f t="shared" si="266"/>
        <v>#REF!</v>
      </c>
      <c r="E663" s="144" t="e">
        <f t="shared" si="266"/>
        <v>#REF!</v>
      </c>
      <c r="F663" s="144" t="e">
        <f t="shared" si="266"/>
        <v>#REF!</v>
      </c>
      <c r="G663" s="144" t="e">
        <f t="shared" si="266"/>
        <v>#REF!</v>
      </c>
      <c r="H663" s="144" t="e">
        <f t="shared" si="266"/>
        <v>#REF!</v>
      </c>
      <c r="I663" s="144" t="e">
        <f t="shared" si="266"/>
        <v>#REF!</v>
      </c>
      <c r="J663" s="144" t="e">
        <f t="shared" si="266"/>
        <v>#REF!</v>
      </c>
      <c r="K663" s="144" t="e">
        <f t="shared" si="266"/>
        <v>#REF!</v>
      </c>
      <c r="L663" s="35"/>
      <c r="M663" s="35"/>
      <c r="N663" s="35"/>
    </row>
    <row r="664" spans="1:14" x14ac:dyDescent="0.3">
      <c r="A664" s="397"/>
      <c r="B664" s="94">
        <v>50</v>
      </c>
      <c r="C664" s="144" t="e">
        <f t="shared" ref="C664:K664" si="267">TAN(C563)*($B$521/2)</f>
        <v>#REF!</v>
      </c>
      <c r="D664" s="144" t="e">
        <f t="shared" si="267"/>
        <v>#REF!</v>
      </c>
      <c r="E664" s="144" t="e">
        <f t="shared" si="267"/>
        <v>#REF!</v>
      </c>
      <c r="F664" s="144" t="e">
        <f t="shared" si="267"/>
        <v>#REF!</v>
      </c>
      <c r="G664" s="144" t="e">
        <f t="shared" si="267"/>
        <v>#REF!</v>
      </c>
      <c r="H664" s="144" t="e">
        <f t="shared" si="267"/>
        <v>#REF!</v>
      </c>
      <c r="I664" s="144" t="e">
        <f t="shared" si="267"/>
        <v>#REF!</v>
      </c>
      <c r="J664" s="144" t="e">
        <f t="shared" si="267"/>
        <v>#REF!</v>
      </c>
      <c r="K664" s="144" t="e">
        <f t="shared" si="267"/>
        <v>#REF!</v>
      </c>
      <c r="L664" s="35"/>
      <c r="M664" s="35"/>
      <c r="N664" s="35"/>
    </row>
    <row r="665" spans="1:14" x14ac:dyDescent="0.3">
      <c r="A665" s="397"/>
      <c r="B665" s="94">
        <v>55</v>
      </c>
      <c r="C665" s="144" t="e">
        <f t="shared" ref="C665:K665" si="268">TAN(C564)*($B$521/2)</f>
        <v>#REF!</v>
      </c>
      <c r="D665" s="144" t="e">
        <f t="shared" si="268"/>
        <v>#REF!</v>
      </c>
      <c r="E665" s="144" t="e">
        <f t="shared" si="268"/>
        <v>#REF!</v>
      </c>
      <c r="F665" s="144" t="e">
        <f t="shared" si="268"/>
        <v>#REF!</v>
      </c>
      <c r="G665" s="144" t="e">
        <f t="shared" si="268"/>
        <v>#REF!</v>
      </c>
      <c r="H665" s="144" t="e">
        <f t="shared" si="268"/>
        <v>#REF!</v>
      </c>
      <c r="I665" s="144" t="e">
        <f t="shared" si="268"/>
        <v>#REF!</v>
      </c>
      <c r="J665" s="144" t="e">
        <f t="shared" si="268"/>
        <v>#REF!</v>
      </c>
      <c r="K665" s="144" t="e">
        <f t="shared" si="268"/>
        <v>#REF!</v>
      </c>
      <c r="L665" s="35"/>
      <c r="M665" s="35"/>
      <c r="N665" s="35"/>
    </row>
    <row r="666" spans="1:14" x14ac:dyDescent="0.3">
      <c r="A666" s="397"/>
      <c r="B666" s="94">
        <v>60</v>
      </c>
      <c r="C666" s="144" t="e">
        <f t="shared" ref="C666:K666" si="269">TAN(C565)*($B$521/2)</f>
        <v>#REF!</v>
      </c>
      <c r="D666" s="144" t="e">
        <f t="shared" si="269"/>
        <v>#REF!</v>
      </c>
      <c r="E666" s="144" t="e">
        <f t="shared" si="269"/>
        <v>#REF!</v>
      </c>
      <c r="F666" s="144" t="e">
        <f t="shared" si="269"/>
        <v>#REF!</v>
      </c>
      <c r="G666" s="144" t="e">
        <f t="shared" si="269"/>
        <v>#REF!</v>
      </c>
      <c r="H666" s="144" t="e">
        <f t="shared" si="269"/>
        <v>#REF!</v>
      </c>
      <c r="I666" s="144" t="e">
        <f t="shared" si="269"/>
        <v>#REF!</v>
      </c>
      <c r="J666" s="144" t="e">
        <f t="shared" si="269"/>
        <v>#REF!</v>
      </c>
      <c r="K666" s="144" t="e">
        <f t="shared" si="269"/>
        <v>#REF!</v>
      </c>
      <c r="L666" s="35"/>
      <c r="M666" s="35"/>
      <c r="N666" s="35"/>
    </row>
    <row r="667" spans="1:14" x14ac:dyDescent="0.3">
      <c r="A667" s="397"/>
      <c r="B667" s="94">
        <v>65</v>
      </c>
      <c r="C667" s="144" t="e">
        <f t="shared" ref="C667:K667" si="270">TAN(C566)*($B$521/2)</f>
        <v>#REF!</v>
      </c>
      <c r="D667" s="144" t="e">
        <f t="shared" si="270"/>
        <v>#REF!</v>
      </c>
      <c r="E667" s="144" t="e">
        <f t="shared" si="270"/>
        <v>#REF!</v>
      </c>
      <c r="F667" s="144" t="e">
        <f t="shared" si="270"/>
        <v>#REF!</v>
      </c>
      <c r="G667" s="144" t="e">
        <f t="shared" si="270"/>
        <v>#REF!</v>
      </c>
      <c r="H667" s="144" t="e">
        <f t="shared" si="270"/>
        <v>#REF!</v>
      </c>
      <c r="I667" s="144" t="e">
        <f t="shared" si="270"/>
        <v>#REF!</v>
      </c>
      <c r="J667" s="144" t="e">
        <f t="shared" si="270"/>
        <v>#REF!</v>
      </c>
      <c r="K667" s="144" t="e">
        <f t="shared" si="270"/>
        <v>#REF!</v>
      </c>
      <c r="L667" s="35"/>
      <c r="M667" s="35"/>
      <c r="N667" s="35"/>
    </row>
    <row r="668" spans="1:14" x14ac:dyDescent="0.3">
      <c r="A668" s="397"/>
      <c r="B668" s="94">
        <v>70</v>
      </c>
      <c r="C668" s="144" t="e">
        <f t="shared" ref="C668:K668" si="271">TAN(C567)*($B$521/2)</f>
        <v>#REF!</v>
      </c>
      <c r="D668" s="144" t="e">
        <f t="shared" si="271"/>
        <v>#REF!</v>
      </c>
      <c r="E668" s="144" t="e">
        <f t="shared" si="271"/>
        <v>#REF!</v>
      </c>
      <c r="F668" s="144" t="e">
        <f t="shared" si="271"/>
        <v>#REF!</v>
      </c>
      <c r="G668" s="144" t="e">
        <f t="shared" si="271"/>
        <v>#REF!</v>
      </c>
      <c r="H668" s="144" t="e">
        <f t="shared" si="271"/>
        <v>#REF!</v>
      </c>
      <c r="I668" s="144" t="e">
        <f t="shared" si="271"/>
        <v>#REF!</v>
      </c>
      <c r="J668" s="144" t="e">
        <f t="shared" si="271"/>
        <v>#REF!</v>
      </c>
      <c r="K668" s="144" t="e">
        <f t="shared" si="271"/>
        <v>#REF!</v>
      </c>
      <c r="L668" s="35"/>
      <c r="M668" s="35"/>
      <c r="N668" s="35"/>
    </row>
    <row r="669" spans="1:14" x14ac:dyDescent="0.3">
      <c r="A669" s="397"/>
      <c r="B669" s="94">
        <v>75</v>
      </c>
      <c r="C669" s="144" t="e">
        <f t="shared" ref="C669:K669" si="272">TAN(C568)*($B$521/2)</f>
        <v>#REF!</v>
      </c>
      <c r="D669" s="144" t="e">
        <f t="shared" si="272"/>
        <v>#REF!</v>
      </c>
      <c r="E669" s="144" t="e">
        <f t="shared" si="272"/>
        <v>#REF!</v>
      </c>
      <c r="F669" s="144" t="e">
        <f t="shared" si="272"/>
        <v>#REF!</v>
      </c>
      <c r="G669" s="144" t="e">
        <f t="shared" si="272"/>
        <v>#REF!</v>
      </c>
      <c r="H669" s="144" t="e">
        <f t="shared" si="272"/>
        <v>#REF!</v>
      </c>
      <c r="I669" s="144" t="e">
        <f t="shared" si="272"/>
        <v>#REF!</v>
      </c>
      <c r="J669" s="144" t="e">
        <f t="shared" si="272"/>
        <v>#REF!</v>
      </c>
      <c r="K669" s="144" t="e">
        <f t="shared" si="272"/>
        <v>#REF!</v>
      </c>
      <c r="L669" s="35"/>
      <c r="M669" s="35"/>
      <c r="N669" s="35"/>
    </row>
    <row r="670" spans="1:14" x14ac:dyDescent="0.3">
      <c r="A670" s="397"/>
      <c r="B670" s="94">
        <v>80</v>
      </c>
      <c r="C670" s="144" t="e">
        <f t="shared" ref="C670:K670" si="273">TAN(C569)*($B$521/2)</f>
        <v>#REF!</v>
      </c>
      <c r="D670" s="144" t="e">
        <f t="shared" si="273"/>
        <v>#REF!</v>
      </c>
      <c r="E670" s="144" t="e">
        <f t="shared" si="273"/>
        <v>#REF!</v>
      </c>
      <c r="F670" s="144" t="e">
        <f t="shared" si="273"/>
        <v>#REF!</v>
      </c>
      <c r="G670" s="144" t="e">
        <f t="shared" si="273"/>
        <v>#REF!</v>
      </c>
      <c r="H670" s="144" t="e">
        <f t="shared" si="273"/>
        <v>#REF!</v>
      </c>
      <c r="I670" s="144" t="e">
        <f t="shared" si="273"/>
        <v>#REF!</v>
      </c>
      <c r="J670" s="144" t="e">
        <f t="shared" si="273"/>
        <v>#REF!</v>
      </c>
      <c r="K670" s="144" t="e">
        <f t="shared" si="273"/>
        <v>#REF!</v>
      </c>
      <c r="L670" s="35"/>
      <c r="M670" s="35"/>
      <c r="N670" s="35"/>
    </row>
    <row r="671" spans="1:14" x14ac:dyDescent="0.3">
      <c r="A671" s="397"/>
      <c r="B671" s="94">
        <v>85</v>
      </c>
      <c r="C671" s="144" t="e">
        <f t="shared" ref="C671:K671" si="274">TAN(C570)*($B$521/2)</f>
        <v>#REF!</v>
      </c>
      <c r="D671" s="144" t="e">
        <f t="shared" si="274"/>
        <v>#REF!</v>
      </c>
      <c r="E671" s="144" t="e">
        <f t="shared" si="274"/>
        <v>#REF!</v>
      </c>
      <c r="F671" s="144" t="e">
        <f t="shared" si="274"/>
        <v>#REF!</v>
      </c>
      <c r="G671" s="144" t="e">
        <f t="shared" si="274"/>
        <v>#REF!</v>
      </c>
      <c r="H671" s="144" t="e">
        <f t="shared" si="274"/>
        <v>#REF!</v>
      </c>
      <c r="I671" s="144" t="e">
        <f t="shared" si="274"/>
        <v>#REF!</v>
      </c>
      <c r="J671" s="144" t="e">
        <f t="shared" si="274"/>
        <v>#REF!</v>
      </c>
      <c r="K671" s="144" t="e">
        <f t="shared" si="274"/>
        <v>#REF!</v>
      </c>
      <c r="L671" s="35"/>
      <c r="M671" s="35"/>
      <c r="N671" s="35"/>
    </row>
    <row r="672" spans="1:14" x14ac:dyDescent="0.3">
      <c r="A672" s="397"/>
      <c r="B672" s="94">
        <v>90</v>
      </c>
      <c r="C672" s="144" t="e">
        <f t="shared" ref="C672:K672" si="275">TAN(C571)*($B$521/2)</f>
        <v>#REF!</v>
      </c>
      <c r="D672" s="144" t="e">
        <f t="shared" si="275"/>
        <v>#REF!</v>
      </c>
      <c r="E672" s="144" t="e">
        <f t="shared" si="275"/>
        <v>#REF!</v>
      </c>
      <c r="F672" s="144" t="e">
        <f t="shared" si="275"/>
        <v>#REF!</v>
      </c>
      <c r="G672" s="144" t="e">
        <f t="shared" si="275"/>
        <v>#REF!</v>
      </c>
      <c r="H672" s="144" t="e">
        <f t="shared" si="275"/>
        <v>#REF!</v>
      </c>
      <c r="I672" s="144" t="e">
        <f t="shared" si="275"/>
        <v>#REF!</v>
      </c>
      <c r="J672" s="144" t="e">
        <f t="shared" si="275"/>
        <v>#REF!</v>
      </c>
      <c r="K672" s="144" t="e">
        <f t="shared" si="275"/>
        <v>#REF!</v>
      </c>
      <c r="L672" s="35"/>
      <c r="M672" s="35"/>
      <c r="N672" s="35"/>
    </row>
    <row r="673" spans="1:14" x14ac:dyDescent="0.3">
      <c r="A673" s="397"/>
      <c r="B673" s="94">
        <v>95</v>
      </c>
      <c r="C673" s="144" t="e">
        <f t="shared" ref="C673:K673" si="276">TAN(C572)*($B$521/2)</f>
        <v>#REF!</v>
      </c>
      <c r="D673" s="144" t="e">
        <f t="shared" si="276"/>
        <v>#REF!</v>
      </c>
      <c r="E673" s="144" t="e">
        <f t="shared" si="276"/>
        <v>#REF!</v>
      </c>
      <c r="F673" s="144" t="e">
        <f t="shared" si="276"/>
        <v>#REF!</v>
      </c>
      <c r="G673" s="144" t="e">
        <f t="shared" si="276"/>
        <v>#REF!</v>
      </c>
      <c r="H673" s="144" t="e">
        <f t="shared" si="276"/>
        <v>#REF!</v>
      </c>
      <c r="I673" s="144" t="e">
        <f t="shared" si="276"/>
        <v>#REF!</v>
      </c>
      <c r="J673" s="144" t="e">
        <f t="shared" si="276"/>
        <v>#REF!</v>
      </c>
      <c r="K673" s="144" t="e">
        <f t="shared" si="276"/>
        <v>#REF!</v>
      </c>
      <c r="L673" s="35"/>
      <c r="M673" s="35"/>
      <c r="N673" s="35"/>
    </row>
    <row r="674" spans="1:14" x14ac:dyDescent="0.3">
      <c r="A674" s="397"/>
      <c r="B674" s="94">
        <v>100</v>
      </c>
      <c r="C674" s="144" t="e">
        <f t="shared" ref="C674:K674" si="277">TAN(C573)*($B$521/2)</f>
        <v>#REF!</v>
      </c>
      <c r="D674" s="144" t="e">
        <f t="shared" si="277"/>
        <v>#REF!</v>
      </c>
      <c r="E674" s="144" t="e">
        <f t="shared" si="277"/>
        <v>#REF!</v>
      </c>
      <c r="F674" s="144" t="e">
        <f t="shared" si="277"/>
        <v>#REF!</v>
      </c>
      <c r="G674" s="144" t="e">
        <f t="shared" si="277"/>
        <v>#REF!</v>
      </c>
      <c r="H674" s="144" t="e">
        <f t="shared" si="277"/>
        <v>#REF!</v>
      </c>
      <c r="I674" s="144" t="e">
        <f t="shared" si="277"/>
        <v>#REF!</v>
      </c>
      <c r="J674" s="144" t="e">
        <f t="shared" si="277"/>
        <v>#REF!</v>
      </c>
      <c r="K674" s="144" t="e">
        <f t="shared" si="277"/>
        <v>#REF!</v>
      </c>
      <c r="L674" s="35"/>
      <c r="M674" s="35"/>
      <c r="N674" s="35"/>
    </row>
    <row r="675" spans="1:14" x14ac:dyDescent="0.3">
      <c r="A675" s="141"/>
      <c r="B675" s="141"/>
      <c r="C675" s="143"/>
      <c r="D675" s="143"/>
      <c r="E675" s="143"/>
      <c r="F675" s="143"/>
      <c r="G675" s="143"/>
      <c r="H675" s="143"/>
      <c r="I675" s="143"/>
      <c r="J675" s="143"/>
      <c r="K675" s="143"/>
      <c r="L675" s="35"/>
      <c r="M675" s="35"/>
      <c r="N675" s="35"/>
    </row>
    <row r="676" spans="1:14" x14ac:dyDescent="0.3">
      <c r="A676" s="373" t="s">
        <v>238</v>
      </c>
      <c r="B676" s="374"/>
      <c r="C676" s="374"/>
      <c r="D676" s="374"/>
      <c r="E676" s="374"/>
      <c r="F676" s="374"/>
      <c r="G676" s="374"/>
      <c r="H676" s="374"/>
      <c r="I676" s="374"/>
      <c r="J676" s="374"/>
      <c r="K676" s="375"/>
      <c r="L676" s="35"/>
      <c r="M676" s="35"/>
      <c r="N676" s="35"/>
    </row>
    <row r="677" spans="1:14" x14ac:dyDescent="0.3">
      <c r="A677" s="360"/>
      <c r="B677" s="361"/>
      <c r="C677" s="364" t="s">
        <v>230</v>
      </c>
      <c r="D677" s="365"/>
      <c r="E677" s="365"/>
      <c r="F677" s="365"/>
      <c r="G677" s="365"/>
      <c r="H677" s="365"/>
      <c r="I677" s="365"/>
      <c r="J677" s="365"/>
      <c r="K677" s="366"/>
      <c r="L677" s="35"/>
      <c r="M677" s="35"/>
      <c r="N677" s="35"/>
    </row>
    <row r="678" spans="1:14" x14ac:dyDescent="0.3">
      <c r="A678" s="362"/>
      <c r="B678" s="363"/>
      <c r="C678" s="94">
        <v>5</v>
      </c>
      <c r="D678" s="94">
        <v>10</v>
      </c>
      <c r="E678" s="94">
        <v>15</v>
      </c>
      <c r="F678" s="94">
        <v>20</v>
      </c>
      <c r="G678" s="94">
        <v>25</v>
      </c>
      <c r="H678" s="94">
        <v>30</v>
      </c>
      <c r="I678" s="94">
        <v>35</v>
      </c>
      <c r="J678" s="94">
        <v>40</v>
      </c>
      <c r="K678" s="94">
        <v>45</v>
      </c>
      <c r="L678" s="35"/>
      <c r="M678" s="35"/>
      <c r="N678" s="35"/>
    </row>
    <row r="679" spans="1:14" x14ac:dyDescent="0.3">
      <c r="A679" s="397" t="s">
        <v>231</v>
      </c>
      <c r="B679" s="94">
        <v>5</v>
      </c>
      <c r="C679" s="93">
        <f t="shared" ref="C679:K679" si="278">C468*$B$428</f>
        <v>359.45811288364831</v>
      </c>
      <c r="D679" s="93">
        <f t="shared" si="278"/>
        <v>1437.8324515345932</v>
      </c>
      <c r="E679" s="93">
        <f t="shared" si="278"/>
        <v>3235.123015952835</v>
      </c>
      <c r="F679" s="93">
        <f t="shared" si="278"/>
        <v>5751.329806138373</v>
      </c>
      <c r="G679" s="93">
        <f t="shared" si="278"/>
        <v>8986.4528220912071</v>
      </c>
      <c r="H679" s="93">
        <f t="shared" si="278"/>
        <v>12940.49206381134</v>
      </c>
      <c r="I679" s="93">
        <f t="shared" si="278"/>
        <v>17613.447531298767</v>
      </c>
      <c r="J679" s="93">
        <f t="shared" si="278"/>
        <v>23005.319224553492</v>
      </c>
      <c r="K679" s="93">
        <f t="shared" si="278"/>
        <v>29116.107143575515</v>
      </c>
      <c r="L679" s="35"/>
      <c r="M679" s="35"/>
      <c r="N679" s="35"/>
    </row>
    <row r="680" spans="1:14" x14ac:dyDescent="0.3">
      <c r="A680" s="397"/>
      <c r="B680" s="94">
        <v>10</v>
      </c>
      <c r="C680" s="93">
        <f t="shared" ref="C680:K680" si="279">C469*$B$428</f>
        <v>179.72905644182416</v>
      </c>
      <c r="D680" s="93">
        <f t="shared" si="279"/>
        <v>718.91622576729662</v>
      </c>
      <c r="E680" s="93">
        <f t="shared" si="279"/>
        <v>1617.5615079764175</v>
      </c>
      <c r="F680" s="93">
        <f t="shared" si="279"/>
        <v>2875.6649030691865</v>
      </c>
      <c r="G680" s="93">
        <f t="shared" si="279"/>
        <v>4493.2264110456035</v>
      </c>
      <c r="H680" s="93">
        <f t="shared" si="279"/>
        <v>6470.24603190567</v>
      </c>
      <c r="I680" s="93">
        <f t="shared" si="279"/>
        <v>8806.7237656493835</v>
      </c>
      <c r="J680" s="93">
        <f t="shared" si="279"/>
        <v>11502.659612276746</v>
      </c>
      <c r="K680" s="93">
        <f t="shared" si="279"/>
        <v>14558.053571787757</v>
      </c>
      <c r="L680" s="35"/>
      <c r="M680" s="35"/>
      <c r="N680" s="35"/>
    </row>
    <row r="681" spans="1:14" x14ac:dyDescent="0.3">
      <c r="A681" s="397"/>
      <c r="B681" s="94">
        <v>15</v>
      </c>
      <c r="C681" s="93">
        <f t="shared" ref="C681:K681" si="280">C470*$B$428</f>
        <v>119.81937096121611</v>
      </c>
      <c r="D681" s="93">
        <f t="shared" si="280"/>
        <v>479.27748384486443</v>
      </c>
      <c r="E681" s="93">
        <f t="shared" si="280"/>
        <v>1078.374338650945</v>
      </c>
      <c r="F681" s="93">
        <f t="shared" si="280"/>
        <v>1917.1099353794577</v>
      </c>
      <c r="G681" s="93">
        <f t="shared" si="280"/>
        <v>2995.4842740304025</v>
      </c>
      <c r="H681" s="93">
        <f t="shared" si="280"/>
        <v>4313.49735460378</v>
      </c>
      <c r="I681" s="93">
        <f t="shared" si="280"/>
        <v>5871.1491770995899</v>
      </c>
      <c r="J681" s="93">
        <f t="shared" si="280"/>
        <v>7668.439741517831</v>
      </c>
      <c r="K681" s="93">
        <f t="shared" si="280"/>
        <v>9705.3690478585049</v>
      </c>
      <c r="L681" s="35"/>
      <c r="M681" s="35"/>
      <c r="N681" s="35"/>
    </row>
    <row r="682" spans="1:14" x14ac:dyDescent="0.3">
      <c r="A682" s="397"/>
      <c r="B682" s="94">
        <v>20</v>
      </c>
      <c r="C682" s="93">
        <f t="shared" ref="C682:K682" si="281">C471*$B$428</f>
        <v>89.864528220912078</v>
      </c>
      <c r="D682" s="93">
        <f t="shared" si="281"/>
        <v>359.45811288364831</v>
      </c>
      <c r="E682" s="93">
        <f t="shared" si="281"/>
        <v>808.78075398820874</v>
      </c>
      <c r="F682" s="93">
        <f t="shared" si="281"/>
        <v>1437.8324515345932</v>
      </c>
      <c r="G682" s="93">
        <f t="shared" si="281"/>
        <v>2246.6132055228018</v>
      </c>
      <c r="H682" s="93">
        <f t="shared" si="281"/>
        <v>3235.123015952835</v>
      </c>
      <c r="I682" s="93">
        <f t="shared" si="281"/>
        <v>4403.3618828246917</v>
      </c>
      <c r="J682" s="93">
        <f t="shared" si="281"/>
        <v>5751.329806138373</v>
      </c>
      <c r="K682" s="93">
        <f t="shared" si="281"/>
        <v>7279.0267858938787</v>
      </c>
      <c r="L682" s="35"/>
      <c r="M682" s="35"/>
      <c r="N682" s="35"/>
    </row>
    <row r="683" spans="1:14" x14ac:dyDescent="0.3">
      <c r="A683" s="397"/>
      <c r="B683" s="94">
        <v>25</v>
      </c>
      <c r="C683" s="93">
        <f t="shared" ref="C683:K683" si="282">C472*$B$428</f>
        <v>71.891622576729659</v>
      </c>
      <c r="D683" s="93">
        <f t="shared" si="282"/>
        <v>287.56649030691864</v>
      </c>
      <c r="E683" s="93">
        <f t="shared" si="282"/>
        <v>647.02460319056695</v>
      </c>
      <c r="F683" s="93">
        <f t="shared" si="282"/>
        <v>1150.2659612276746</v>
      </c>
      <c r="G683" s="93">
        <f t="shared" si="282"/>
        <v>1797.2905644182415</v>
      </c>
      <c r="H683" s="93">
        <f t="shared" si="282"/>
        <v>2588.0984127622678</v>
      </c>
      <c r="I683" s="93">
        <f t="shared" si="282"/>
        <v>3522.6895062597537</v>
      </c>
      <c r="J683" s="93">
        <f t="shared" si="282"/>
        <v>4601.0638449106982</v>
      </c>
      <c r="K683" s="93">
        <f t="shared" si="282"/>
        <v>5823.2214287151028</v>
      </c>
      <c r="L683" s="35"/>
      <c r="M683" s="35"/>
      <c r="N683" s="35"/>
    </row>
    <row r="684" spans="1:14" x14ac:dyDescent="0.3">
      <c r="A684" s="397"/>
      <c r="B684" s="94">
        <v>30</v>
      </c>
      <c r="C684" s="93">
        <f t="shared" ref="C684:K684" si="283">C473*$B$428</f>
        <v>59.909685480608054</v>
      </c>
      <c r="D684" s="93">
        <f t="shared" si="283"/>
        <v>239.63874192243222</v>
      </c>
      <c r="E684" s="93">
        <f t="shared" si="283"/>
        <v>539.1871693254725</v>
      </c>
      <c r="F684" s="93">
        <f t="shared" si="283"/>
        <v>958.55496768972887</v>
      </c>
      <c r="G684" s="93">
        <f t="shared" si="283"/>
        <v>1497.7421370152013</v>
      </c>
      <c r="H684" s="93">
        <f t="shared" si="283"/>
        <v>2156.74867730189</v>
      </c>
      <c r="I684" s="93">
        <f t="shared" si="283"/>
        <v>2935.574588549795</v>
      </c>
      <c r="J684" s="93">
        <f t="shared" si="283"/>
        <v>3834.2198707589155</v>
      </c>
      <c r="K684" s="93">
        <f t="shared" si="283"/>
        <v>4852.6845239292525</v>
      </c>
      <c r="L684" s="35"/>
      <c r="M684" s="35"/>
      <c r="N684" s="35"/>
    </row>
    <row r="685" spans="1:14" x14ac:dyDescent="0.3">
      <c r="A685" s="397"/>
      <c r="B685" s="94">
        <v>35</v>
      </c>
      <c r="C685" s="93">
        <f t="shared" ref="C685:K685" si="284">C474*$B$428</f>
        <v>51.351158983378333</v>
      </c>
      <c r="D685" s="93">
        <f t="shared" si="284"/>
        <v>205.40463593351333</v>
      </c>
      <c r="E685" s="93">
        <f t="shared" si="284"/>
        <v>462.16043085040496</v>
      </c>
      <c r="F685" s="93">
        <f t="shared" si="284"/>
        <v>821.61854373405333</v>
      </c>
      <c r="G685" s="93">
        <f t="shared" si="284"/>
        <v>1283.7789745844582</v>
      </c>
      <c r="H685" s="93">
        <f t="shared" si="284"/>
        <v>1848.6417234016199</v>
      </c>
      <c r="I685" s="93">
        <f t="shared" si="284"/>
        <v>2516.206790185538</v>
      </c>
      <c r="J685" s="93">
        <f t="shared" si="284"/>
        <v>3286.4741749362133</v>
      </c>
      <c r="K685" s="93">
        <f t="shared" si="284"/>
        <v>4159.4438776536444</v>
      </c>
      <c r="L685" s="35"/>
      <c r="M685" s="35"/>
      <c r="N685" s="35"/>
    </row>
    <row r="686" spans="1:14" x14ac:dyDescent="0.3">
      <c r="A686" s="397"/>
      <c r="B686" s="94">
        <v>40</v>
      </c>
      <c r="C686" s="93">
        <f t="shared" ref="C686:K686" si="285">C475*$B$428</f>
        <v>44.932264110456039</v>
      </c>
      <c r="D686" s="93">
        <f t="shared" si="285"/>
        <v>179.72905644182416</v>
      </c>
      <c r="E686" s="93">
        <f t="shared" si="285"/>
        <v>404.39037699410437</v>
      </c>
      <c r="F686" s="93">
        <f t="shared" si="285"/>
        <v>718.91622576729662</v>
      </c>
      <c r="G686" s="93">
        <f t="shared" si="285"/>
        <v>1123.3066027614009</v>
      </c>
      <c r="H686" s="93">
        <f t="shared" si="285"/>
        <v>1617.5615079764175</v>
      </c>
      <c r="I686" s="93">
        <f t="shared" si="285"/>
        <v>2201.6809414123459</v>
      </c>
      <c r="J686" s="93">
        <f t="shared" si="285"/>
        <v>2875.6649030691865</v>
      </c>
      <c r="K686" s="93">
        <f t="shared" si="285"/>
        <v>3639.5133929469393</v>
      </c>
      <c r="L686" s="35"/>
      <c r="M686" s="35"/>
      <c r="N686" s="35"/>
    </row>
    <row r="687" spans="1:14" x14ac:dyDescent="0.3">
      <c r="A687" s="397"/>
      <c r="B687" s="94">
        <v>45</v>
      </c>
      <c r="C687" s="93">
        <f t="shared" ref="C687:K687" si="286">C476*$B$428</f>
        <v>39.939790320405372</v>
      </c>
      <c r="D687" s="93">
        <f t="shared" si="286"/>
        <v>159.75916128162149</v>
      </c>
      <c r="E687" s="93">
        <f t="shared" si="286"/>
        <v>359.45811288364831</v>
      </c>
      <c r="F687" s="93">
        <f t="shared" si="286"/>
        <v>639.03664512648595</v>
      </c>
      <c r="G687" s="93">
        <f t="shared" si="286"/>
        <v>998.49475801013421</v>
      </c>
      <c r="H687" s="93">
        <f t="shared" si="286"/>
        <v>1437.8324515345932</v>
      </c>
      <c r="I687" s="93">
        <f t="shared" si="286"/>
        <v>1957.0497256998631</v>
      </c>
      <c r="J687" s="93">
        <f t="shared" si="286"/>
        <v>2556.1465805059438</v>
      </c>
      <c r="K687" s="93">
        <f t="shared" si="286"/>
        <v>3235.123015952835</v>
      </c>
      <c r="L687" s="35"/>
      <c r="M687" s="35"/>
      <c r="N687" s="35"/>
    </row>
    <row r="688" spans="1:14" x14ac:dyDescent="0.3">
      <c r="A688" s="397"/>
      <c r="B688" s="94">
        <v>50</v>
      </c>
      <c r="C688" s="93">
        <f t="shared" ref="C688:K688" si="287">C477*$B$428</f>
        <v>35.94581128836483</v>
      </c>
      <c r="D688" s="93">
        <f t="shared" si="287"/>
        <v>143.78324515345932</v>
      </c>
      <c r="E688" s="93">
        <f t="shared" si="287"/>
        <v>323.51230159528347</v>
      </c>
      <c r="F688" s="93">
        <f t="shared" si="287"/>
        <v>575.13298061383728</v>
      </c>
      <c r="G688" s="93">
        <f t="shared" si="287"/>
        <v>898.64528220912075</v>
      </c>
      <c r="H688" s="93">
        <f t="shared" si="287"/>
        <v>1294.0492063811339</v>
      </c>
      <c r="I688" s="93">
        <f t="shared" si="287"/>
        <v>1761.3447531298768</v>
      </c>
      <c r="J688" s="93">
        <f t="shared" si="287"/>
        <v>2300.5319224553491</v>
      </c>
      <c r="K688" s="93">
        <f t="shared" si="287"/>
        <v>2911.6107143575514</v>
      </c>
      <c r="L688" s="35"/>
      <c r="M688" s="35"/>
      <c r="N688" s="35"/>
    </row>
    <row r="689" spans="1:14" x14ac:dyDescent="0.3">
      <c r="A689" s="397"/>
      <c r="B689" s="94">
        <v>55</v>
      </c>
      <c r="C689" s="93">
        <f t="shared" ref="C689:K689" si="288">C478*$B$428</f>
        <v>32.678010262149847</v>
      </c>
      <c r="D689" s="93">
        <f t="shared" si="288"/>
        <v>130.71204104859939</v>
      </c>
      <c r="E689" s="93">
        <f t="shared" si="288"/>
        <v>294.1020923593486</v>
      </c>
      <c r="F689" s="93">
        <f t="shared" si="288"/>
        <v>522.84816419439755</v>
      </c>
      <c r="G689" s="93">
        <f t="shared" si="288"/>
        <v>816.95025655374616</v>
      </c>
      <c r="H689" s="93">
        <f t="shared" si="288"/>
        <v>1176.4083694373944</v>
      </c>
      <c r="I689" s="93">
        <f t="shared" si="288"/>
        <v>1601.2225028453427</v>
      </c>
      <c r="J689" s="93">
        <f t="shared" si="288"/>
        <v>2091.3926567775902</v>
      </c>
      <c r="K689" s="93">
        <f t="shared" si="288"/>
        <v>2646.918831234138</v>
      </c>
      <c r="L689" s="35"/>
      <c r="M689" s="35"/>
      <c r="N689" s="35"/>
    </row>
    <row r="690" spans="1:14" x14ac:dyDescent="0.3">
      <c r="A690" s="397"/>
      <c r="B690" s="94">
        <v>60</v>
      </c>
      <c r="C690" s="93">
        <f t="shared" ref="C690:K690" si="289">C479*$B$428</f>
        <v>29.954842740304027</v>
      </c>
      <c r="D690" s="93">
        <f t="shared" si="289"/>
        <v>119.81937096121611</v>
      </c>
      <c r="E690" s="93">
        <f t="shared" si="289"/>
        <v>269.59358466273625</v>
      </c>
      <c r="F690" s="93">
        <f t="shared" si="289"/>
        <v>479.27748384486443</v>
      </c>
      <c r="G690" s="93">
        <f t="shared" si="289"/>
        <v>748.87106850760063</v>
      </c>
      <c r="H690" s="93">
        <f t="shared" si="289"/>
        <v>1078.374338650945</v>
      </c>
      <c r="I690" s="93">
        <f t="shared" si="289"/>
        <v>1467.7872942748975</v>
      </c>
      <c r="J690" s="93">
        <f t="shared" si="289"/>
        <v>1917.1099353794577</v>
      </c>
      <c r="K690" s="93">
        <f t="shared" si="289"/>
        <v>2426.3422619646262</v>
      </c>
      <c r="L690" s="35"/>
      <c r="M690" s="35"/>
      <c r="N690" s="35"/>
    </row>
    <row r="691" spans="1:14" x14ac:dyDescent="0.3">
      <c r="A691" s="397"/>
      <c r="B691" s="94">
        <v>65</v>
      </c>
      <c r="C691" s="93">
        <f t="shared" ref="C691:K691" si="290">C480*$B$428</f>
        <v>27.650624067972949</v>
      </c>
      <c r="D691" s="93">
        <f t="shared" si="290"/>
        <v>110.60249627189179</v>
      </c>
      <c r="E691" s="93">
        <f t="shared" si="290"/>
        <v>248.85561661175655</v>
      </c>
      <c r="F691" s="93">
        <f t="shared" si="290"/>
        <v>442.40998508756718</v>
      </c>
      <c r="G691" s="93">
        <f t="shared" si="290"/>
        <v>691.26560169932361</v>
      </c>
      <c r="H691" s="93">
        <f t="shared" si="290"/>
        <v>995.42246644702618</v>
      </c>
      <c r="I691" s="93">
        <f t="shared" si="290"/>
        <v>1354.8805793306744</v>
      </c>
      <c r="J691" s="93">
        <f t="shared" si="290"/>
        <v>1769.6399403502687</v>
      </c>
      <c r="K691" s="93">
        <f t="shared" si="290"/>
        <v>2239.7005495058088</v>
      </c>
      <c r="L691" s="35"/>
      <c r="M691" s="35"/>
      <c r="N691" s="35"/>
    </row>
    <row r="692" spans="1:14" x14ac:dyDescent="0.3">
      <c r="A692" s="397"/>
      <c r="B692" s="94">
        <v>70</v>
      </c>
      <c r="C692" s="93">
        <f t="shared" ref="C692:K692" si="291">C481*$B$428</f>
        <v>25.675579491689167</v>
      </c>
      <c r="D692" s="93">
        <f t="shared" si="291"/>
        <v>102.70231796675667</v>
      </c>
      <c r="E692" s="93">
        <f t="shared" si="291"/>
        <v>231.08021542520248</v>
      </c>
      <c r="F692" s="93">
        <f t="shared" si="291"/>
        <v>410.80927186702667</v>
      </c>
      <c r="G692" s="93">
        <f t="shared" si="291"/>
        <v>641.88948729222909</v>
      </c>
      <c r="H692" s="93">
        <f t="shared" si="291"/>
        <v>924.32086170080993</v>
      </c>
      <c r="I692" s="93">
        <f t="shared" si="291"/>
        <v>1258.103395092769</v>
      </c>
      <c r="J692" s="93">
        <f t="shared" si="291"/>
        <v>1643.2370874681067</v>
      </c>
      <c r="K692" s="93">
        <f t="shared" si="291"/>
        <v>2079.7219388268222</v>
      </c>
      <c r="L692" s="35"/>
      <c r="M692" s="35"/>
      <c r="N692" s="35"/>
    </row>
    <row r="693" spans="1:14" x14ac:dyDescent="0.3">
      <c r="A693" s="397"/>
      <c r="B693" s="94">
        <v>75</v>
      </c>
      <c r="C693" s="93">
        <f t="shared" ref="C693:K693" si="292">C482*$B$428</f>
        <v>23.963874192243217</v>
      </c>
      <c r="D693" s="93">
        <f t="shared" si="292"/>
        <v>95.85549676897287</v>
      </c>
      <c r="E693" s="93">
        <f t="shared" si="292"/>
        <v>215.67486773018899</v>
      </c>
      <c r="F693" s="93">
        <f t="shared" si="292"/>
        <v>383.42198707589148</v>
      </c>
      <c r="G693" s="93">
        <f t="shared" si="292"/>
        <v>599.09685480608061</v>
      </c>
      <c r="H693" s="93">
        <f t="shared" si="292"/>
        <v>862.69947092075597</v>
      </c>
      <c r="I693" s="93">
        <f t="shared" si="292"/>
        <v>1174.2298354199177</v>
      </c>
      <c r="J693" s="93">
        <f t="shared" si="292"/>
        <v>1533.6879483035659</v>
      </c>
      <c r="K693" s="93">
        <f t="shared" si="292"/>
        <v>1941.0738095717008</v>
      </c>
      <c r="L693" s="35"/>
      <c r="M693" s="35"/>
      <c r="N693" s="35"/>
    </row>
    <row r="694" spans="1:14" x14ac:dyDescent="0.3">
      <c r="A694" s="397"/>
      <c r="B694" s="94">
        <v>80</v>
      </c>
      <c r="C694" s="93">
        <f t="shared" ref="C694:K694" si="293">C483*$B$428</f>
        <v>22.466132055228019</v>
      </c>
      <c r="D694" s="93">
        <f t="shared" si="293"/>
        <v>89.864528220912078</v>
      </c>
      <c r="E694" s="93">
        <f t="shared" si="293"/>
        <v>202.19518849705219</v>
      </c>
      <c r="F694" s="93">
        <f t="shared" si="293"/>
        <v>359.45811288364831</v>
      </c>
      <c r="G694" s="93">
        <f t="shared" si="293"/>
        <v>561.65330138070044</v>
      </c>
      <c r="H694" s="93">
        <f t="shared" si="293"/>
        <v>808.78075398820874</v>
      </c>
      <c r="I694" s="93">
        <f t="shared" si="293"/>
        <v>1100.8404707061729</v>
      </c>
      <c r="J694" s="93">
        <f t="shared" si="293"/>
        <v>1437.8324515345932</v>
      </c>
      <c r="K694" s="93">
        <f t="shared" si="293"/>
        <v>1819.7566964734697</v>
      </c>
      <c r="L694" s="35"/>
      <c r="M694" s="35"/>
      <c r="N694" s="35"/>
    </row>
    <row r="695" spans="1:14" x14ac:dyDescent="0.3">
      <c r="A695" s="397"/>
      <c r="B695" s="94">
        <v>85</v>
      </c>
      <c r="C695" s="93">
        <f t="shared" ref="C695:K695" si="294">C484*$B$428</f>
        <v>21.144594875508723</v>
      </c>
      <c r="D695" s="93">
        <f t="shared" si="294"/>
        <v>84.578379502034892</v>
      </c>
      <c r="E695" s="93">
        <f t="shared" si="294"/>
        <v>190.30135387957853</v>
      </c>
      <c r="F695" s="93">
        <f t="shared" si="294"/>
        <v>338.31351800813957</v>
      </c>
      <c r="G695" s="93">
        <f t="shared" si="294"/>
        <v>528.6148718877181</v>
      </c>
      <c r="H695" s="93">
        <f t="shared" si="294"/>
        <v>761.20541551831411</v>
      </c>
      <c r="I695" s="93">
        <f t="shared" si="294"/>
        <v>1036.0851488999274</v>
      </c>
      <c r="J695" s="93">
        <f t="shared" si="294"/>
        <v>1353.2540720325583</v>
      </c>
      <c r="K695" s="93">
        <f t="shared" si="294"/>
        <v>1712.7121849162068</v>
      </c>
      <c r="L695" s="35"/>
      <c r="M695" s="35"/>
      <c r="N695" s="35"/>
    </row>
    <row r="696" spans="1:14" x14ac:dyDescent="0.3">
      <c r="A696" s="397"/>
      <c r="B696" s="94">
        <v>90</v>
      </c>
      <c r="C696" s="93">
        <f t="shared" ref="C696:K696" si="295">C485*$B$428</f>
        <v>19.969895160202686</v>
      </c>
      <c r="D696" s="93">
        <f t="shared" si="295"/>
        <v>79.879580640810744</v>
      </c>
      <c r="E696" s="93">
        <f t="shared" si="295"/>
        <v>179.72905644182416</v>
      </c>
      <c r="F696" s="93">
        <f t="shared" si="295"/>
        <v>319.51832256324298</v>
      </c>
      <c r="G696" s="93">
        <f t="shared" si="295"/>
        <v>499.2473790050671</v>
      </c>
      <c r="H696" s="93">
        <f t="shared" si="295"/>
        <v>718.91622576729662</v>
      </c>
      <c r="I696" s="93">
        <f t="shared" si="295"/>
        <v>978.52486284993154</v>
      </c>
      <c r="J696" s="93">
        <f t="shared" si="295"/>
        <v>1278.0732902529719</v>
      </c>
      <c r="K696" s="93">
        <f t="shared" si="295"/>
        <v>1617.5615079764175</v>
      </c>
      <c r="L696" s="35"/>
      <c r="M696" s="35"/>
      <c r="N696" s="35"/>
    </row>
    <row r="697" spans="1:14" x14ac:dyDescent="0.3">
      <c r="A697" s="397"/>
      <c r="B697" s="94">
        <v>95</v>
      </c>
      <c r="C697" s="93">
        <f t="shared" ref="C697:K697" si="296">C486*$B$428</f>
        <v>18.918848046507804</v>
      </c>
      <c r="D697" s="93">
        <f t="shared" si="296"/>
        <v>75.675392186031218</v>
      </c>
      <c r="E697" s="93">
        <f t="shared" si="296"/>
        <v>170.26963241857024</v>
      </c>
      <c r="F697" s="93">
        <f t="shared" si="296"/>
        <v>302.70156874412487</v>
      </c>
      <c r="G697" s="93">
        <f t="shared" si="296"/>
        <v>472.97120116269514</v>
      </c>
      <c r="H697" s="93">
        <f t="shared" si="296"/>
        <v>681.07852967428096</v>
      </c>
      <c r="I697" s="93">
        <f t="shared" si="296"/>
        <v>927.02355427888256</v>
      </c>
      <c r="J697" s="93">
        <f t="shared" si="296"/>
        <v>1210.8062749764995</v>
      </c>
      <c r="K697" s="93">
        <f t="shared" si="296"/>
        <v>1532.4266917671323</v>
      </c>
      <c r="L697" s="35"/>
      <c r="M697" s="35"/>
      <c r="N697" s="35"/>
    </row>
    <row r="698" spans="1:14" x14ac:dyDescent="0.3">
      <c r="A698" s="397"/>
      <c r="B698" s="94">
        <v>100</v>
      </c>
      <c r="C698" s="93">
        <f t="shared" ref="C698:K698" si="297">C487*$B$428</f>
        <v>17.972905644182415</v>
      </c>
      <c r="D698" s="93">
        <f t="shared" si="297"/>
        <v>71.891622576729659</v>
      </c>
      <c r="E698" s="93">
        <f t="shared" si="297"/>
        <v>161.75615079764174</v>
      </c>
      <c r="F698" s="93">
        <f t="shared" si="297"/>
        <v>287.56649030691864</v>
      </c>
      <c r="G698" s="93">
        <f t="shared" si="297"/>
        <v>449.32264110456038</v>
      </c>
      <c r="H698" s="93">
        <f t="shared" si="297"/>
        <v>647.02460319056695</v>
      </c>
      <c r="I698" s="93">
        <f t="shared" si="297"/>
        <v>880.67237656493842</v>
      </c>
      <c r="J698" s="93">
        <f t="shared" si="297"/>
        <v>1150.2659612276746</v>
      </c>
      <c r="K698" s="93">
        <f t="shared" si="297"/>
        <v>1455.8053571787757</v>
      </c>
      <c r="L698" s="35"/>
      <c r="M698" s="35"/>
      <c r="N698" s="35"/>
    </row>
    <row r="699" spans="1:14" x14ac:dyDescent="0.3">
      <c r="A699" s="7"/>
      <c r="B699" s="37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</row>
    <row r="700" spans="1:14" x14ac:dyDescent="0.3">
      <c r="A700" s="415" t="s">
        <v>501</v>
      </c>
      <c r="B700" s="416"/>
      <c r="C700" s="416"/>
      <c r="D700" s="416"/>
      <c r="E700" s="416"/>
      <c r="F700" s="416"/>
      <c r="G700" s="416"/>
      <c r="H700" s="416"/>
      <c r="I700" s="416"/>
      <c r="J700" s="416"/>
      <c r="K700" s="369"/>
      <c r="L700" s="35"/>
      <c r="M700" s="35"/>
      <c r="N700" s="35"/>
    </row>
    <row r="701" spans="1:14" x14ac:dyDescent="0.3">
      <c r="A701" s="360"/>
      <c r="B701" s="361"/>
      <c r="C701" s="364" t="s">
        <v>230</v>
      </c>
      <c r="D701" s="365"/>
      <c r="E701" s="365"/>
      <c r="F701" s="365"/>
      <c r="G701" s="365"/>
      <c r="H701" s="365"/>
      <c r="I701" s="365"/>
      <c r="J701" s="365"/>
      <c r="K701" s="366"/>
      <c r="L701" s="35"/>
      <c r="M701" s="35"/>
      <c r="N701" s="35"/>
    </row>
    <row r="702" spans="1:14" x14ac:dyDescent="0.3">
      <c r="A702" s="362"/>
      <c r="B702" s="363"/>
      <c r="C702" s="94">
        <v>5</v>
      </c>
      <c r="D702" s="94">
        <v>10</v>
      </c>
      <c r="E702" s="94">
        <v>15</v>
      </c>
      <c r="F702" s="94">
        <v>20</v>
      </c>
      <c r="G702" s="94">
        <v>25</v>
      </c>
      <c r="H702" s="94">
        <v>30</v>
      </c>
      <c r="I702" s="94">
        <v>35</v>
      </c>
      <c r="J702" s="94">
        <v>40</v>
      </c>
      <c r="K702" s="94">
        <v>45</v>
      </c>
      <c r="L702" s="35"/>
      <c r="M702" s="35"/>
      <c r="N702" s="35"/>
    </row>
    <row r="703" spans="1:14" x14ac:dyDescent="0.3">
      <c r="A703" s="397" t="s">
        <v>231</v>
      </c>
      <c r="B703" s="94">
        <v>5</v>
      </c>
      <c r="C703" s="93" t="e">
        <f t="shared" ref="C703:K703" si="298">C679/$G$522</f>
        <v>#REF!</v>
      </c>
      <c r="D703" s="93" t="e">
        <f t="shared" si="298"/>
        <v>#REF!</v>
      </c>
      <c r="E703" s="93" t="e">
        <f t="shared" si="298"/>
        <v>#REF!</v>
      </c>
      <c r="F703" s="93" t="e">
        <f t="shared" si="298"/>
        <v>#REF!</v>
      </c>
      <c r="G703" s="93" t="e">
        <f t="shared" si="298"/>
        <v>#REF!</v>
      </c>
      <c r="H703" s="93" t="e">
        <f t="shared" si="298"/>
        <v>#REF!</v>
      </c>
      <c r="I703" s="93" t="e">
        <f t="shared" si="298"/>
        <v>#REF!</v>
      </c>
      <c r="J703" s="93" t="e">
        <f t="shared" si="298"/>
        <v>#REF!</v>
      </c>
      <c r="K703" s="93" t="e">
        <f t="shared" si="298"/>
        <v>#REF!</v>
      </c>
      <c r="L703" s="35"/>
      <c r="M703" s="35"/>
      <c r="N703" s="35"/>
    </row>
    <row r="704" spans="1:14" x14ac:dyDescent="0.3">
      <c r="A704" s="397"/>
      <c r="B704" s="94">
        <v>10</v>
      </c>
      <c r="C704" s="93" t="e">
        <f t="shared" ref="C704:K704" si="299">C680/$G$522</f>
        <v>#REF!</v>
      </c>
      <c r="D704" s="93" t="e">
        <f t="shared" si="299"/>
        <v>#REF!</v>
      </c>
      <c r="E704" s="93" t="e">
        <f t="shared" si="299"/>
        <v>#REF!</v>
      </c>
      <c r="F704" s="93" t="e">
        <f t="shared" si="299"/>
        <v>#REF!</v>
      </c>
      <c r="G704" s="93" t="e">
        <f t="shared" si="299"/>
        <v>#REF!</v>
      </c>
      <c r="H704" s="93" t="e">
        <f t="shared" si="299"/>
        <v>#REF!</v>
      </c>
      <c r="I704" s="93" t="e">
        <f t="shared" si="299"/>
        <v>#REF!</v>
      </c>
      <c r="J704" s="93" t="e">
        <f t="shared" si="299"/>
        <v>#REF!</v>
      </c>
      <c r="K704" s="93" t="e">
        <f t="shared" si="299"/>
        <v>#REF!</v>
      </c>
      <c r="L704" s="35"/>
      <c r="M704" s="35"/>
      <c r="N704" s="35"/>
    </row>
    <row r="705" spans="1:14" x14ac:dyDescent="0.3">
      <c r="A705" s="397"/>
      <c r="B705" s="94">
        <v>15</v>
      </c>
      <c r="C705" s="93" t="e">
        <f t="shared" ref="C705:K705" si="300">C681/$G$522</f>
        <v>#REF!</v>
      </c>
      <c r="D705" s="93" t="e">
        <f t="shared" si="300"/>
        <v>#REF!</v>
      </c>
      <c r="E705" s="93" t="e">
        <f t="shared" si="300"/>
        <v>#REF!</v>
      </c>
      <c r="F705" s="93" t="e">
        <f t="shared" si="300"/>
        <v>#REF!</v>
      </c>
      <c r="G705" s="93" t="e">
        <f t="shared" si="300"/>
        <v>#REF!</v>
      </c>
      <c r="H705" s="93" t="e">
        <f t="shared" si="300"/>
        <v>#REF!</v>
      </c>
      <c r="I705" s="93" t="e">
        <f t="shared" si="300"/>
        <v>#REF!</v>
      </c>
      <c r="J705" s="93" t="e">
        <f t="shared" si="300"/>
        <v>#REF!</v>
      </c>
      <c r="K705" s="93" t="e">
        <f t="shared" si="300"/>
        <v>#REF!</v>
      </c>
      <c r="L705" s="35"/>
      <c r="M705" s="35"/>
      <c r="N705" s="35"/>
    </row>
    <row r="706" spans="1:14" x14ac:dyDescent="0.3">
      <c r="A706" s="397"/>
      <c r="B706" s="94">
        <v>20</v>
      </c>
      <c r="C706" s="93" t="e">
        <f t="shared" ref="C706:K706" si="301">C682/$G$522</f>
        <v>#REF!</v>
      </c>
      <c r="D706" s="93" t="e">
        <f t="shared" si="301"/>
        <v>#REF!</v>
      </c>
      <c r="E706" s="93" t="e">
        <f t="shared" si="301"/>
        <v>#REF!</v>
      </c>
      <c r="F706" s="93" t="e">
        <f t="shared" si="301"/>
        <v>#REF!</v>
      </c>
      <c r="G706" s="93" t="e">
        <f t="shared" si="301"/>
        <v>#REF!</v>
      </c>
      <c r="H706" s="93" t="e">
        <f t="shared" si="301"/>
        <v>#REF!</v>
      </c>
      <c r="I706" s="93" t="e">
        <f t="shared" si="301"/>
        <v>#REF!</v>
      </c>
      <c r="J706" s="93" t="e">
        <f t="shared" si="301"/>
        <v>#REF!</v>
      </c>
      <c r="K706" s="93" t="e">
        <f t="shared" si="301"/>
        <v>#REF!</v>
      </c>
      <c r="L706" s="35"/>
      <c r="M706" s="35"/>
      <c r="N706" s="35"/>
    </row>
    <row r="707" spans="1:14" x14ac:dyDescent="0.3">
      <c r="A707" s="397"/>
      <c r="B707" s="94">
        <v>25</v>
      </c>
      <c r="C707" s="93" t="e">
        <f t="shared" ref="C707:K707" si="302">C683/$G$522</f>
        <v>#REF!</v>
      </c>
      <c r="D707" s="93" t="e">
        <f t="shared" si="302"/>
        <v>#REF!</v>
      </c>
      <c r="E707" s="93" t="e">
        <f t="shared" si="302"/>
        <v>#REF!</v>
      </c>
      <c r="F707" s="93" t="e">
        <f t="shared" si="302"/>
        <v>#REF!</v>
      </c>
      <c r="G707" s="93" t="e">
        <f t="shared" si="302"/>
        <v>#REF!</v>
      </c>
      <c r="H707" s="93" t="e">
        <f t="shared" si="302"/>
        <v>#REF!</v>
      </c>
      <c r="I707" s="93" t="e">
        <f t="shared" si="302"/>
        <v>#REF!</v>
      </c>
      <c r="J707" s="93" t="e">
        <f t="shared" si="302"/>
        <v>#REF!</v>
      </c>
      <c r="K707" s="93" t="e">
        <f t="shared" si="302"/>
        <v>#REF!</v>
      </c>
      <c r="L707" s="35"/>
      <c r="M707" s="35"/>
      <c r="N707" s="35"/>
    </row>
    <row r="708" spans="1:14" x14ac:dyDescent="0.3">
      <c r="A708" s="397"/>
      <c r="B708" s="94">
        <v>30</v>
      </c>
      <c r="C708" s="93" t="e">
        <f t="shared" ref="C708:K708" si="303">C684/$G$522</f>
        <v>#REF!</v>
      </c>
      <c r="D708" s="93" t="e">
        <f t="shared" si="303"/>
        <v>#REF!</v>
      </c>
      <c r="E708" s="93" t="e">
        <f t="shared" si="303"/>
        <v>#REF!</v>
      </c>
      <c r="F708" s="93" t="e">
        <f t="shared" si="303"/>
        <v>#REF!</v>
      </c>
      <c r="G708" s="93" t="e">
        <f t="shared" si="303"/>
        <v>#REF!</v>
      </c>
      <c r="H708" s="93" t="e">
        <f t="shared" si="303"/>
        <v>#REF!</v>
      </c>
      <c r="I708" s="93" t="e">
        <f t="shared" si="303"/>
        <v>#REF!</v>
      </c>
      <c r="J708" s="93" t="e">
        <f t="shared" si="303"/>
        <v>#REF!</v>
      </c>
      <c r="K708" s="93" t="e">
        <f t="shared" si="303"/>
        <v>#REF!</v>
      </c>
      <c r="L708" s="35"/>
      <c r="M708" s="35"/>
      <c r="N708" s="35"/>
    </row>
    <row r="709" spans="1:14" x14ac:dyDescent="0.3">
      <c r="A709" s="397"/>
      <c r="B709" s="94">
        <v>35</v>
      </c>
      <c r="C709" s="93" t="e">
        <f t="shared" ref="C709:K709" si="304">C685/$G$522</f>
        <v>#REF!</v>
      </c>
      <c r="D709" s="93" t="e">
        <f t="shared" si="304"/>
        <v>#REF!</v>
      </c>
      <c r="E709" s="93" t="e">
        <f t="shared" si="304"/>
        <v>#REF!</v>
      </c>
      <c r="F709" s="93" t="e">
        <f t="shared" si="304"/>
        <v>#REF!</v>
      </c>
      <c r="G709" s="93" t="e">
        <f t="shared" si="304"/>
        <v>#REF!</v>
      </c>
      <c r="H709" s="93" t="e">
        <f t="shared" si="304"/>
        <v>#REF!</v>
      </c>
      <c r="I709" s="93" t="e">
        <f t="shared" si="304"/>
        <v>#REF!</v>
      </c>
      <c r="J709" s="93" t="e">
        <f t="shared" si="304"/>
        <v>#REF!</v>
      </c>
      <c r="K709" s="93" t="e">
        <f t="shared" si="304"/>
        <v>#REF!</v>
      </c>
      <c r="L709" s="35"/>
      <c r="M709" s="35"/>
      <c r="N709" s="35"/>
    </row>
    <row r="710" spans="1:14" x14ac:dyDescent="0.3">
      <c r="A710" s="397"/>
      <c r="B710" s="94">
        <v>40</v>
      </c>
      <c r="C710" s="93" t="e">
        <f t="shared" ref="C710:K710" si="305">C686/$G$522</f>
        <v>#REF!</v>
      </c>
      <c r="D710" s="93" t="e">
        <f t="shared" si="305"/>
        <v>#REF!</v>
      </c>
      <c r="E710" s="93" t="e">
        <f t="shared" si="305"/>
        <v>#REF!</v>
      </c>
      <c r="F710" s="93" t="e">
        <f t="shared" si="305"/>
        <v>#REF!</v>
      </c>
      <c r="G710" s="93" t="e">
        <f t="shared" si="305"/>
        <v>#REF!</v>
      </c>
      <c r="H710" s="93" t="e">
        <f t="shared" si="305"/>
        <v>#REF!</v>
      </c>
      <c r="I710" s="93" t="e">
        <f t="shared" si="305"/>
        <v>#REF!</v>
      </c>
      <c r="J710" s="93" t="e">
        <f t="shared" si="305"/>
        <v>#REF!</v>
      </c>
      <c r="K710" s="93" t="e">
        <f t="shared" si="305"/>
        <v>#REF!</v>
      </c>
      <c r="L710" s="35"/>
      <c r="M710" s="35"/>
      <c r="N710" s="35"/>
    </row>
    <row r="711" spans="1:14" x14ac:dyDescent="0.3">
      <c r="A711" s="397"/>
      <c r="B711" s="94">
        <v>45</v>
      </c>
      <c r="C711" s="93" t="e">
        <f t="shared" ref="C711:K711" si="306">C687/$G$522</f>
        <v>#REF!</v>
      </c>
      <c r="D711" s="93" t="e">
        <f t="shared" si="306"/>
        <v>#REF!</v>
      </c>
      <c r="E711" s="93" t="e">
        <f t="shared" si="306"/>
        <v>#REF!</v>
      </c>
      <c r="F711" s="93" t="e">
        <f t="shared" si="306"/>
        <v>#REF!</v>
      </c>
      <c r="G711" s="93" t="e">
        <f t="shared" si="306"/>
        <v>#REF!</v>
      </c>
      <c r="H711" s="93" t="e">
        <f t="shared" si="306"/>
        <v>#REF!</v>
      </c>
      <c r="I711" s="93" t="e">
        <f t="shared" si="306"/>
        <v>#REF!</v>
      </c>
      <c r="J711" s="93" t="e">
        <f t="shared" si="306"/>
        <v>#REF!</v>
      </c>
      <c r="K711" s="93" t="e">
        <f t="shared" si="306"/>
        <v>#REF!</v>
      </c>
      <c r="L711" s="35"/>
      <c r="M711" s="35"/>
      <c r="N711" s="35"/>
    </row>
    <row r="712" spans="1:14" x14ac:dyDescent="0.3">
      <c r="A712" s="397"/>
      <c r="B712" s="94">
        <v>50</v>
      </c>
      <c r="C712" s="93" t="e">
        <f t="shared" ref="C712:K712" si="307">C688/$G$522</f>
        <v>#REF!</v>
      </c>
      <c r="D712" s="93" t="e">
        <f t="shared" si="307"/>
        <v>#REF!</v>
      </c>
      <c r="E712" s="93" t="e">
        <f t="shared" si="307"/>
        <v>#REF!</v>
      </c>
      <c r="F712" s="93" t="e">
        <f t="shared" si="307"/>
        <v>#REF!</v>
      </c>
      <c r="G712" s="93" t="e">
        <f t="shared" si="307"/>
        <v>#REF!</v>
      </c>
      <c r="H712" s="93" t="e">
        <f t="shared" si="307"/>
        <v>#REF!</v>
      </c>
      <c r="I712" s="93" t="e">
        <f t="shared" si="307"/>
        <v>#REF!</v>
      </c>
      <c r="J712" s="93" t="e">
        <f t="shared" si="307"/>
        <v>#REF!</v>
      </c>
      <c r="K712" s="93" t="e">
        <f t="shared" si="307"/>
        <v>#REF!</v>
      </c>
      <c r="L712" s="35"/>
      <c r="M712" s="35"/>
      <c r="N712" s="35"/>
    </row>
    <row r="713" spans="1:14" x14ac:dyDescent="0.3">
      <c r="A713" s="397"/>
      <c r="B713" s="94">
        <v>55</v>
      </c>
      <c r="C713" s="93" t="e">
        <f t="shared" ref="C713:K713" si="308">C689/$G$522</f>
        <v>#REF!</v>
      </c>
      <c r="D713" s="93" t="e">
        <f t="shared" si="308"/>
        <v>#REF!</v>
      </c>
      <c r="E713" s="93" t="e">
        <f t="shared" si="308"/>
        <v>#REF!</v>
      </c>
      <c r="F713" s="93" t="e">
        <f t="shared" si="308"/>
        <v>#REF!</v>
      </c>
      <c r="G713" s="93" t="e">
        <f t="shared" si="308"/>
        <v>#REF!</v>
      </c>
      <c r="H713" s="93" t="e">
        <f t="shared" si="308"/>
        <v>#REF!</v>
      </c>
      <c r="I713" s="93" t="e">
        <f t="shared" si="308"/>
        <v>#REF!</v>
      </c>
      <c r="J713" s="93" t="e">
        <f t="shared" si="308"/>
        <v>#REF!</v>
      </c>
      <c r="K713" s="93" t="e">
        <f t="shared" si="308"/>
        <v>#REF!</v>
      </c>
      <c r="L713" s="35"/>
      <c r="M713" s="35"/>
      <c r="N713" s="35"/>
    </row>
    <row r="714" spans="1:14" x14ac:dyDescent="0.3">
      <c r="A714" s="397"/>
      <c r="B714" s="94">
        <v>60</v>
      </c>
      <c r="C714" s="93" t="e">
        <f t="shared" ref="C714:K714" si="309">C690/$G$522</f>
        <v>#REF!</v>
      </c>
      <c r="D714" s="93" t="e">
        <f t="shared" si="309"/>
        <v>#REF!</v>
      </c>
      <c r="E714" s="93" t="e">
        <f t="shared" si="309"/>
        <v>#REF!</v>
      </c>
      <c r="F714" s="93" t="e">
        <f t="shared" si="309"/>
        <v>#REF!</v>
      </c>
      <c r="G714" s="93" t="e">
        <f t="shared" si="309"/>
        <v>#REF!</v>
      </c>
      <c r="H714" s="93" t="e">
        <f t="shared" si="309"/>
        <v>#REF!</v>
      </c>
      <c r="I714" s="93" t="e">
        <f t="shared" si="309"/>
        <v>#REF!</v>
      </c>
      <c r="J714" s="93" t="e">
        <f t="shared" si="309"/>
        <v>#REF!</v>
      </c>
      <c r="K714" s="93" t="e">
        <f t="shared" si="309"/>
        <v>#REF!</v>
      </c>
      <c r="L714" s="35"/>
      <c r="M714" s="35"/>
      <c r="N714" s="35"/>
    </row>
    <row r="715" spans="1:14" x14ac:dyDescent="0.3">
      <c r="A715" s="397"/>
      <c r="B715" s="94">
        <v>65</v>
      </c>
      <c r="C715" s="93" t="e">
        <f t="shared" ref="C715:K715" si="310">C691/$G$522</f>
        <v>#REF!</v>
      </c>
      <c r="D715" s="93" t="e">
        <f t="shared" si="310"/>
        <v>#REF!</v>
      </c>
      <c r="E715" s="93" t="e">
        <f t="shared" si="310"/>
        <v>#REF!</v>
      </c>
      <c r="F715" s="93" t="e">
        <f t="shared" si="310"/>
        <v>#REF!</v>
      </c>
      <c r="G715" s="93" t="e">
        <f t="shared" si="310"/>
        <v>#REF!</v>
      </c>
      <c r="H715" s="93" t="e">
        <f t="shared" si="310"/>
        <v>#REF!</v>
      </c>
      <c r="I715" s="93" t="e">
        <f t="shared" si="310"/>
        <v>#REF!</v>
      </c>
      <c r="J715" s="93" t="e">
        <f t="shared" si="310"/>
        <v>#REF!</v>
      </c>
      <c r="K715" s="93" t="e">
        <f t="shared" si="310"/>
        <v>#REF!</v>
      </c>
      <c r="L715" s="35"/>
      <c r="M715" s="35"/>
      <c r="N715" s="35"/>
    </row>
    <row r="716" spans="1:14" x14ac:dyDescent="0.3">
      <c r="A716" s="397"/>
      <c r="B716" s="94">
        <v>70</v>
      </c>
      <c r="C716" s="93" t="e">
        <f t="shared" ref="C716:K716" si="311">C692/$G$522</f>
        <v>#REF!</v>
      </c>
      <c r="D716" s="93" t="e">
        <f t="shared" si="311"/>
        <v>#REF!</v>
      </c>
      <c r="E716" s="93" t="e">
        <f t="shared" si="311"/>
        <v>#REF!</v>
      </c>
      <c r="F716" s="93" t="e">
        <f t="shared" si="311"/>
        <v>#REF!</v>
      </c>
      <c r="G716" s="93" t="e">
        <f t="shared" si="311"/>
        <v>#REF!</v>
      </c>
      <c r="H716" s="93" t="e">
        <f t="shared" si="311"/>
        <v>#REF!</v>
      </c>
      <c r="I716" s="93" t="e">
        <f t="shared" si="311"/>
        <v>#REF!</v>
      </c>
      <c r="J716" s="93" t="e">
        <f t="shared" si="311"/>
        <v>#REF!</v>
      </c>
      <c r="K716" s="93" t="e">
        <f t="shared" si="311"/>
        <v>#REF!</v>
      </c>
      <c r="L716" s="35"/>
      <c r="M716" s="35"/>
      <c r="N716" s="35"/>
    </row>
    <row r="717" spans="1:14" x14ac:dyDescent="0.3">
      <c r="A717" s="397"/>
      <c r="B717" s="94">
        <v>75</v>
      </c>
      <c r="C717" s="93" t="e">
        <f t="shared" ref="C717:K717" si="312">C693/$G$522</f>
        <v>#REF!</v>
      </c>
      <c r="D717" s="93" t="e">
        <f t="shared" si="312"/>
        <v>#REF!</v>
      </c>
      <c r="E717" s="93" t="e">
        <f t="shared" si="312"/>
        <v>#REF!</v>
      </c>
      <c r="F717" s="93" t="e">
        <f t="shared" si="312"/>
        <v>#REF!</v>
      </c>
      <c r="G717" s="93" t="e">
        <f t="shared" si="312"/>
        <v>#REF!</v>
      </c>
      <c r="H717" s="93" t="e">
        <f t="shared" si="312"/>
        <v>#REF!</v>
      </c>
      <c r="I717" s="93" t="e">
        <f t="shared" si="312"/>
        <v>#REF!</v>
      </c>
      <c r="J717" s="93" t="e">
        <f t="shared" si="312"/>
        <v>#REF!</v>
      </c>
      <c r="K717" s="93" t="e">
        <f t="shared" si="312"/>
        <v>#REF!</v>
      </c>
      <c r="L717" s="35"/>
      <c r="M717" s="35"/>
      <c r="N717" s="35"/>
    </row>
    <row r="718" spans="1:14" x14ac:dyDescent="0.3">
      <c r="A718" s="397"/>
      <c r="B718" s="94">
        <v>80</v>
      </c>
      <c r="C718" s="93" t="e">
        <f t="shared" ref="C718:K718" si="313">C694/$G$522</f>
        <v>#REF!</v>
      </c>
      <c r="D718" s="93" t="e">
        <f t="shared" si="313"/>
        <v>#REF!</v>
      </c>
      <c r="E718" s="93" t="e">
        <f t="shared" si="313"/>
        <v>#REF!</v>
      </c>
      <c r="F718" s="93" t="e">
        <f t="shared" si="313"/>
        <v>#REF!</v>
      </c>
      <c r="G718" s="93" t="e">
        <f t="shared" si="313"/>
        <v>#REF!</v>
      </c>
      <c r="H718" s="93" t="e">
        <f t="shared" si="313"/>
        <v>#REF!</v>
      </c>
      <c r="I718" s="93" t="e">
        <f t="shared" si="313"/>
        <v>#REF!</v>
      </c>
      <c r="J718" s="93" t="e">
        <f t="shared" si="313"/>
        <v>#REF!</v>
      </c>
      <c r="K718" s="93" t="e">
        <f t="shared" si="313"/>
        <v>#REF!</v>
      </c>
      <c r="L718" s="35"/>
      <c r="M718" s="35"/>
      <c r="N718" s="35"/>
    </row>
    <row r="719" spans="1:14" x14ac:dyDescent="0.3">
      <c r="A719" s="397"/>
      <c r="B719" s="94">
        <v>85</v>
      </c>
      <c r="C719" s="93" t="e">
        <f t="shared" ref="C719:K719" si="314">C695/$G$522</f>
        <v>#REF!</v>
      </c>
      <c r="D719" s="93" t="e">
        <f t="shared" si="314"/>
        <v>#REF!</v>
      </c>
      <c r="E719" s="93" t="e">
        <f t="shared" si="314"/>
        <v>#REF!</v>
      </c>
      <c r="F719" s="93" t="e">
        <f t="shared" si="314"/>
        <v>#REF!</v>
      </c>
      <c r="G719" s="93" t="e">
        <f t="shared" si="314"/>
        <v>#REF!</v>
      </c>
      <c r="H719" s="93" t="e">
        <f t="shared" si="314"/>
        <v>#REF!</v>
      </c>
      <c r="I719" s="93" t="e">
        <f t="shared" si="314"/>
        <v>#REF!</v>
      </c>
      <c r="J719" s="93" t="e">
        <f t="shared" si="314"/>
        <v>#REF!</v>
      </c>
      <c r="K719" s="93" t="e">
        <f t="shared" si="314"/>
        <v>#REF!</v>
      </c>
      <c r="L719" s="35"/>
      <c r="M719" s="35"/>
      <c r="N719" s="35"/>
    </row>
    <row r="720" spans="1:14" x14ac:dyDescent="0.3">
      <c r="A720" s="397"/>
      <c r="B720" s="94">
        <v>90</v>
      </c>
      <c r="C720" s="93" t="e">
        <f t="shared" ref="C720:K720" si="315">C696/$G$522</f>
        <v>#REF!</v>
      </c>
      <c r="D720" s="93" t="e">
        <f t="shared" si="315"/>
        <v>#REF!</v>
      </c>
      <c r="E720" s="93" t="e">
        <f t="shared" si="315"/>
        <v>#REF!</v>
      </c>
      <c r="F720" s="93" t="e">
        <f t="shared" si="315"/>
        <v>#REF!</v>
      </c>
      <c r="G720" s="93" t="e">
        <f t="shared" si="315"/>
        <v>#REF!</v>
      </c>
      <c r="H720" s="93" t="e">
        <f t="shared" si="315"/>
        <v>#REF!</v>
      </c>
      <c r="I720" s="93" t="e">
        <f t="shared" si="315"/>
        <v>#REF!</v>
      </c>
      <c r="J720" s="93" t="e">
        <f t="shared" si="315"/>
        <v>#REF!</v>
      </c>
      <c r="K720" s="93" t="e">
        <f t="shared" si="315"/>
        <v>#REF!</v>
      </c>
      <c r="L720" s="35"/>
      <c r="M720" s="35"/>
      <c r="N720" s="35"/>
    </row>
    <row r="721" spans="1:14" x14ac:dyDescent="0.3">
      <c r="A721" s="397"/>
      <c r="B721" s="94">
        <v>95</v>
      </c>
      <c r="C721" s="93" t="e">
        <f t="shared" ref="C721:K721" si="316">C697/$G$522</f>
        <v>#REF!</v>
      </c>
      <c r="D721" s="93" t="e">
        <f t="shared" si="316"/>
        <v>#REF!</v>
      </c>
      <c r="E721" s="93" t="e">
        <f t="shared" si="316"/>
        <v>#REF!</v>
      </c>
      <c r="F721" s="93" t="e">
        <f t="shared" si="316"/>
        <v>#REF!</v>
      </c>
      <c r="G721" s="93" t="e">
        <f t="shared" si="316"/>
        <v>#REF!</v>
      </c>
      <c r="H721" s="93" t="e">
        <f t="shared" si="316"/>
        <v>#REF!</v>
      </c>
      <c r="I721" s="93" t="e">
        <f t="shared" si="316"/>
        <v>#REF!</v>
      </c>
      <c r="J721" s="93" t="e">
        <f t="shared" si="316"/>
        <v>#REF!</v>
      </c>
      <c r="K721" s="93" t="e">
        <f t="shared" si="316"/>
        <v>#REF!</v>
      </c>
      <c r="L721" s="35"/>
      <c r="M721" s="35"/>
      <c r="N721" s="35"/>
    </row>
    <row r="722" spans="1:14" x14ac:dyDescent="0.3">
      <c r="A722" s="397"/>
      <c r="B722" s="94">
        <v>100</v>
      </c>
      <c r="C722" s="93" t="e">
        <f t="shared" ref="C722:K722" si="317">C698/$G$522</f>
        <v>#REF!</v>
      </c>
      <c r="D722" s="93" t="e">
        <f t="shared" si="317"/>
        <v>#REF!</v>
      </c>
      <c r="E722" s="93" t="e">
        <f t="shared" si="317"/>
        <v>#REF!</v>
      </c>
      <c r="F722" s="93" t="e">
        <f t="shared" si="317"/>
        <v>#REF!</v>
      </c>
      <c r="G722" s="93" t="e">
        <f t="shared" si="317"/>
        <v>#REF!</v>
      </c>
      <c r="H722" s="93" t="e">
        <f t="shared" si="317"/>
        <v>#REF!</v>
      </c>
      <c r="I722" s="93" t="e">
        <f t="shared" si="317"/>
        <v>#REF!</v>
      </c>
      <c r="J722" s="93" t="e">
        <f t="shared" si="317"/>
        <v>#REF!</v>
      </c>
      <c r="K722" s="93" t="e">
        <f t="shared" si="317"/>
        <v>#REF!</v>
      </c>
      <c r="L722" s="35"/>
      <c r="M722" s="35"/>
      <c r="N722" s="35"/>
    </row>
    <row r="723" spans="1:14" x14ac:dyDescent="0.3">
      <c r="A723" s="7"/>
      <c r="B723" s="37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</row>
    <row r="724" spans="1:14" x14ac:dyDescent="0.3">
      <c r="A724" s="415" t="s">
        <v>507</v>
      </c>
      <c r="B724" s="416"/>
      <c r="C724" s="416"/>
      <c r="D724" s="416"/>
      <c r="E724" s="416"/>
      <c r="F724" s="416"/>
      <c r="G724" s="416"/>
      <c r="H724" s="416"/>
      <c r="I724" s="416"/>
      <c r="J724" s="416"/>
      <c r="K724" s="369"/>
      <c r="L724" s="35"/>
      <c r="M724" s="35"/>
      <c r="N724" s="35"/>
    </row>
    <row r="725" spans="1:14" x14ac:dyDescent="0.3">
      <c r="A725" s="360"/>
      <c r="B725" s="361"/>
      <c r="C725" s="364" t="s">
        <v>230</v>
      </c>
      <c r="D725" s="365"/>
      <c r="E725" s="365"/>
      <c r="F725" s="365"/>
      <c r="G725" s="365"/>
      <c r="H725" s="365"/>
      <c r="I725" s="365"/>
      <c r="J725" s="365"/>
      <c r="K725" s="366"/>
      <c r="L725" s="35"/>
      <c r="M725" s="35"/>
      <c r="N725" s="35"/>
    </row>
    <row r="726" spans="1:14" x14ac:dyDescent="0.3">
      <c r="A726" s="362"/>
      <c r="B726" s="363"/>
      <c r="C726" s="94">
        <v>5</v>
      </c>
      <c r="D726" s="94">
        <v>10</v>
      </c>
      <c r="E726" s="94">
        <v>15</v>
      </c>
      <c r="F726" s="94">
        <v>20</v>
      </c>
      <c r="G726" s="94">
        <v>25</v>
      </c>
      <c r="H726" s="94">
        <v>30</v>
      </c>
      <c r="I726" s="94">
        <v>35</v>
      </c>
      <c r="J726" s="94">
        <v>40</v>
      </c>
      <c r="K726" s="94">
        <v>45</v>
      </c>
      <c r="L726" s="35"/>
      <c r="M726" s="35"/>
      <c r="N726" s="35"/>
    </row>
    <row r="727" spans="1:14" x14ac:dyDescent="0.3">
      <c r="A727" s="397" t="s">
        <v>231</v>
      </c>
      <c r="B727" s="94">
        <v>5</v>
      </c>
      <c r="C727" s="144" t="e">
        <f>RADIANS(C703)</f>
        <v>#REF!</v>
      </c>
      <c r="D727" s="144" t="e">
        <f t="shared" ref="D727:K727" si="318">RADIANS(D703)</f>
        <v>#REF!</v>
      </c>
      <c r="E727" s="144" t="e">
        <f t="shared" si="318"/>
        <v>#REF!</v>
      </c>
      <c r="F727" s="144" t="e">
        <f t="shared" si="318"/>
        <v>#REF!</v>
      </c>
      <c r="G727" s="144" t="e">
        <f t="shared" si="318"/>
        <v>#REF!</v>
      </c>
      <c r="H727" s="144" t="e">
        <f t="shared" si="318"/>
        <v>#REF!</v>
      </c>
      <c r="I727" s="144" t="e">
        <f t="shared" si="318"/>
        <v>#REF!</v>
      </c>
      <c r="J727" s="144" t="e">
        <f t="shared" si="318"/>
        <v>#REF!</v>
      </c>
      <c r="K727" s="144" t="e">
        <f t="shared" si="318"/>
        <v>#REF!</v>
      </c>
      <c r="L727" s="35"/>
      <c r="M727" s="35"/>
      <c r="N727" s="35"/>
    </row>
    <row r="728" spans="1:14" x14ac:dyDescent="0.3">
      <c r="A728" s="397"/>
      <c r="B728" s="94">
        <v>10</v>
      </c>
      <c r="C728" s="144" t="e">
        <f t="shared" ref="C728:K746" si="319">RADIANS(C704)</f>
        <v>#REF!</v>
      </c>
      <c r="D728" s="144" t="e">
        <f t="shared" si="319"/>
        <v>#REF!</v>
      </c>
      <c r="E728" s="144" t="e">
        <f t="shared" si="319"/>
        <v>#REF!</v>
      </c>
      <c r="F728" s="144" t="e">
        <f t="shared" si="319"/>
        <v>#REF!</v>
      </c>
      <c r="G728" s="144" t="e">
        <f t="shared" si="319"/>
        <v>#REF!</v>
      </c>
      <c r="H728" s="144" t="e">
        <f t="shared" si="319"/>
        <v>#REF!</v>
      </c>
      <c r="I728" s="144" t="e">
        <f t="shared" si="319"/>
        <v>#REF!</v>
      </c>
      <c r="J728" s="144" t="e">
        <f t="shared" si="319"/>
        <v>#REF!</v>
      </c>
      <c r="K728" s="144" t="e">
        <f t="shared" si="319"/>
        <v>#REF!</v>
      </c>
      <c r="L728" s="35"/>
      <c r="M728" s="35"/>
      <c r="N728" s="35"/>
    </row>
    <row r="729" spans="1:14" x14ac:dyDescent="0.3">
      <c r="A729" s="397"/>
      <c r="B729" s="94">
        <v>15</v>
      </c>
      <c r="C729" s="144" t="e">
        <f t="shared" si="319"/>
        <v>#REF!</v>
      </c>
      <c r="D729" s="144" t="e">
        <f t="shared" si="319"/>
        <v>#REF!</v>
      </c>
      <c r="E729" s="144" t="e">
        <f t="shared" si="319"/>
        <v>#REF!</v>
      </c>
      <c r="F729" s="144" t="e">
        <f t="shared" si="319"/>
        <v>#REF!</v>
      </c>
      <c r="G729" s="144" t="e">
        <f t="shared" si="319"/>
        <v>#REF!</v>
      </c>
      <c r="H729" s="144" t="e">
        <f t="shared" si="319"/>
        <v>#REF!</v>
      </c>
      <c r="I729" s="144" t="e">
        <f t="shared" si="319"/>
        <v>#REF!</v>
      </c>
      <c r="J729" s="144" t="e">
        <f t="shared" si="319"/>
        <v>#REF!</v>
      </c>
      <c r="K729" s="144" t="e">
        <f t="shared" si="319"/>
        <v>#REF!</v>
      </c>
      <c r="L729" s="35"/>
      <c r="M729" s="35"/>
      <c r="N729" s="35"/>
    </row>
    <row r="730" spans="1:14" x14ac:dyDescent="0.3">
      <c r="A730" s="397"/>
      <c r="B730" s="94">
        <v>20</v>
      </c>
      <c r="C730" s="144" t="e">
        <f t="shared" si="319"/>
        <v>#REF!</v>
      </c>
      <c r="D730" s="144" t="e">
        <f t="shared" si="319"/>
        <v>#REF!</v>
      </c>
      <c r="E730" s="144" t="e">
        <f t="shared" si="319"/>
        <v>#REF!</v>
      </c>
      <c r="F730" s="144" t="e">
        <f t="shared" si="319"/>
        <v>#REF!</v>
      </c>
      <c r="G730" s="144" t="e">
        <f t="shared" si="319"/>
        <v>#REF!</v>
      </c>
      <c r="H730" s="144" t="e">
        <f t="shared" si="319"/>
        <v>#REF!</v>
      </c>
      <c r="I730" s="144" t="e">
        <f t="shared" si="319"/>
        <v>#REF!</v>
      </c>
      <c r="J730" s="144" t="e">
        <f t="shared" si="319"/>
        <v>#REF!</v>
      </c>
      <c r="K730" s="144" t="e">
        <f t="shared" si="319"/>
        <v>#REF!</v>
      </c>
      <c r="L730" s="35"/>
      <c r="M730" s="35"/>
      <c r="N730" s="35"/>
    </row>
    <row r="731" spans="1:14" x14ac:dyDescent="0.3">
      <c r="A731" s="397"/>
      <c r="B731" s="94">
        <v>25</v>
      </c>
      <c r="C731" s="144" t="e">
        <f t="shared" si="319"/>
        <v>#REF!</v>
      </c>
      <c r="D731" s="144" t="e">
        <f t="shared" si="319"/>
        <v>#REF!</v>
      </c>
      <c r="E731" s="144" t="e">
        <f t="shared" si="319"/>
        <v>#REF!</v>
      </c>
      <c r="F731" s="144" t="e">
        <f t="shared" si="319"/>
        <v>#REF!</v>
      </c>
      <c r="G731" s="144" t="e">
        <f t="shared" si="319"/>
        <v>#REF!</v>
      </c>
      <c r="H731" s="144" t="e">
        <f t="shared" si="319"/>
        <v>#REF!</v>
      </c>
      <c r="I731" s="144" t="e">
        <f t="shared" si="319"/>
        <v>#REF!</v>
      </c>
      <c r="J731" s="144" t="e">
        <f t="shared" si="319"/>
        <v>#REF!</v>
      </c>
      <c r="K731" s="144" t="e">
        <f t="shared" si="319"/>
        <v>#REF!</v>
      </c>
      <c r="L731" s="35"/>
      <c r="M731" s="35"/>
      <c r="N731" s="35"/>
    </row>
    <row r="732" spans="1:14" x14ac:dyDescent="0.3">
      <c r="A732" s="397"/>
      <c r="B732" s="94">
        <v>30</v>
      </c>
      <c r="C732" s="144" t="e">
        <f t="shared" si="319"/>
        <v>#REF!</v>
      </c>
      <c r="D732" s="144" t="e">
        <f t="shared" si="319"/>
        <v>#REF!</v>
      </c>
      <c r="E732" s="144" t="e">
        <f t="shared" si="319"/>
        <v>#REF!</v>
      </c>
      <c r="F732" s="144" t="e">
        <f t="shared" si="319"/>
        <v>#REF!</v>
      </c>
      <c r="G732" s="144" t="e">
        <f t="shared" si="319"/>
        <v>#REF!</v>
      </c>
      <c r="H732" s="144" t="e">
        <f t="shared" si="319"/>
        <v>#REF!</v>
      </c>
      <c r="I732" s="144" t="e">
        <f t="shared" si="319"/>
        <v>#REF!</v>
      </c>
      <c r="J732" s="144" t="e">
        <f t="shared" si="319"/>
        <v>#REF!</v>
      </c>
      <c r="K732" s="144" t="e">
        <f t="shared" si="319"/>
        <v>#REF!</v>
      </c>
      <c r="L732" s="35"/>
      <c r="M732" s="35"/>
      <c r="N732" s="35"/>
    </row>
    <row r="733" spans="1:14" x14ac:dyDescent="0.3">
      <c r="A733" s="397"/>
      <c r="B733" s="94">
        <v>35</v>
      </c>
      <c r="C733" s="144" t="e">
        <f t="shared" si="319"/>
        <v>#REF!</v>
      </c>
      <c r="D733" s="144" t="e">
        <f t="shared" si="319"/>
        <v>#REF!</v>
      </c>
      <c r="E733" s="144" t="e">
        <f t="shared" si="319"/>
        <v>#REF!</v>
      </c>
      <c r="F733" s="144" t="e">
        <f t="shared" si="319"/>
        <v>#REF!</v>
      </c>
      <c r="G733" s="144" t="e">
        <f t="shared" si="319"/>
        <v>#REF!</v>
      </c>
      <c r="H733" s="144" t="e">
        <f t="shared" si="319"/>
        <v>#REF!</v>
      </c>
      <c r="I733" s="144" t="e">
        <f t="shared" si="319"/>
        <v>#REF!</v>
      </c>
      <c r="J733" s="144" t="e">
        <f t="shared" si="319"/>
        <v>#REF!</v>
      </c>
      <c r="K733" s="144" t="e">
        <f t="shared" si="319"/>
        <v>#REF!</v>
      </c>
      <c r="L733" s="35"/>
      <c r="M733" s="35"/>
      <c r="N733" s="35"/>
    </row>
    <row r="734" spans="1:14" x14ac:dyDescent="0.3">
      <c r="A734" s="397"/>
      <c r="B734" s="94">
        <v>40</v>
      </c>
      <c r="C734" s="144" t="e">
        <f t="shared" si="319"/>
        <v>#REF!</v>
      </c>
      <c r="D734" s="144" t="e">
        <f t="shared" si="319"/>
        <v>#REF!</v>
      </c>
      <c r="E734" s="144" t="e">
        <f t="shared" si="319"/>
        <v>#REF!</v>
      </c>
      <c r="F734" s="144" t="e">
        <f t="shared" si="319"/>
        <v>#REF!</v>
      </c>
      <c r="G734" s="144" t="e">
        <f t="shared" si="319"/>
        <v>#REF!</v>
      </c>
      <c r="H734" s="144" t="e">
        <f t="shared" si="319"/>
        <v>#REF!</v>
      </c>
      <c r="I734" s="144" t="e">
        <f t="shared" si="319"/>
        <v>#REF!</v>
      </c>
      <c r="J734" s="144" t="e">
        <f t="shared" si="319"/>
        <v>#REF!</v>
      </c>
      <c r="K734" s="144" t="e">
        <f t="shared" si="319"/>
        <v>#REF!</v>
      </c>
      <c r="L734" s="35"/>
      <c r="M734" s="35"/>
      <c r="N734" s="35"/>
    </row>
    <row r="735" spans="1:14" x14ac:dyDescent="0.3">
      <c r="A735" s="397"/>
      <c r="B735" s="94">
        <v>45</v>
      </c>
      <c r="C735" s="144" t="e">
        <f t="shared" si="319"/>
        <v>#REF!</v>
      </c>
      <c r="D735" s="144" t="e">
        <f t="shared" si="319"/>
        <v>#REF!</v>
      </c>
      <c r="E735" s="144" t="e">
        <f t="shared" si="319"/>
        <v>#REF!</v>
      </c>
      <c r="F735" s="144" t="e">
        <f t="shared" si="319"/>
        <v>#REF!</v>
      </c>
      <c r="G735" s="144" t="e">
        <f t="shared" si="319"/>
        <v>#REF!</v>
      </c>
      <c r="H735" s="144" t="e">
        <f t="shared" si="319"/>
        <v>#REF!</v>
      </c>
      <c r="I735" s="144" t="e">
        <f t="shared" si="319"/>
        <v>#REF!</v>
      </c>
      <c r="J735" s="144" t="e">
        <f t="shared" si="319"/>
        <v>#REF!</v>
      </c>
      <c r="K735" s="144" t="e">
        <f t="shared" si="319"/>
        <v>#REF!</v>
      </c>
      <c r="L735" s="35"/>
      <c r="M735" s="35"/>
      <c r="N735" s="35"/>
    </row>
    <row r="736" spans="1:14" x14ac:dyDescent="0.3">
      <c r="A736" s="397"/>
      <c r="B736" s="94">
        <v>50</v>
      </c>
      <c r="C736" s="144" t="e">
        <f t="shared" si="319"/>
        <v>#REF!</v>
      </c>
      <c r="D736" s="144" t="e">
        <f t="shared" si="319"/>
        <v>#REF!</v>
      </c>
      <c r="E736" s="144" t="e">
        <f t="shared" si="319"/>
        <v>#REF!</v>
      </c>
      <c r="F736" s="144" t="e">
        <f t="shared" si="319"/>
        <v>#REF!</v>
      </c>
      <c r="G736" s="144" t="e">
        <f t="shared" si="319"/>
        <v>#REF!</v>
      </c>
      <c r="H736" s="144" t="e">
        <f t="shared" si="319"/>
        <v>#REF!</v>
      </c>
      <c r="I736" s="144" t="e">
        <f t="shared" si="319"/>
        <v>#REF!</v>
      </c>
      <c r="J736" s="144" t="e">
        <f t="shared" si="319"/>
        <v>#REF!</v>
      </c>
      <c r="K736" s="144" t="e">
        <f t="shared" si="319"/>
        <v>#REF!</v>
      </c>
      <c r="L736" s="35"/>
      <c r="M736" s="35"/>
      <c r="N736" s="35"/>
    </row>
    <row r="737" spans="1:14" x14ac:dyDescent="0.3">
      <c r="A737" s="397"/>
      <c r="B737" s="94">
        <v>55</v>
      </c>
      <c r="C737" s="144" t="e">
        <f t="shared" si="319"/>
        <v>#REF!</v>
      </c>
      <c r="D737" s="144" t="e">
        <f t="shared" si="319"/>
        <v>#REF!</v>
      </c>
      <c r="E737" s="144" t="e">
        <f t="shared" si="319"/>
        <v>#REF!</v>
      </c>
      <c r="F737" s="144" t="e">
        <f t="shared" si="319"/>
        <v>#REF!</v>
      </c>
      <c r="G737" s="144" t="e">
        <f t="shared" si="319"/>
        <v>#REF!</v>
      </c>
      <c r="H737" s="144" t="e">
        <f t="shared" si="319"/>
        <v>#REF!</v>
      </c>
      <c r="I737" s="144" t="e">
        <f t="shared" si="319"/>
        <v>#REF!</v>
      </c>
      <c r="J737" s="144" t="e">
        <f t="shared" si="319"/>
        <v>#REF!</v>
      </c>
      <c r="K737" s="144" t="e">
        <f t="shared" si="319"/>
        <v>#REF!</v>
      </c>
      <c r="L737" s="35"/>
      <c r="M737" s="35"/>
      <c r="N737" s="35"/>
    </row>
    <row r="738" spans="1:14" x14ac:dyDescent="0.3">
      <c r="A738" s="397"/>
      <c r="B738" s="94">
        <v>60</v>
      </c>
      <c r="C738" s="144" t="e">
        <f t="shared" si="319"/>
        <v>#REF!</v>
      </c>
      <c r="D738" s="144" t="e">
        <f t="shared" si="319"/>
        <v>#REF!</v>
      </c>
      <c r="E738" s="144" t="e">
        <f t="shared" si="319"/>
        <v>#REF!</v>
      </c>
      <c r="F738" s="144" t="e">
        <f t="shared" si="319"/>
        <v>#REF!</v>
      </c>
      <c r="G738" s="144" t="e">
        <f t="shared" si="319"/>
        <v>#REF!</v>
      </c>
      <c r="H738" s="144" t="e">
        <f t="shared" si="319"/>
        <v>#REF!</v>
      </c>
      <c r="I738" s="144" t="e">
        <f t="shared" si="319"/>
        <v>#REF!</v>
      </c>
      <c r="J738" s="144" t="e">
        <f t="shared" si="319"/>
        <v>#REF!</v>
      </c>
      <c r="K738" s="144" t="e">
        <f t="shared" si="319"/>
        <v>#REF!</v>
      </c>
      <c r="L738" s="35"/>
      <c r="M738" s="35"/>
      <c r="N738" s="35"/>
    </row>
    <row r="739" spans="1:14" x14ac:dyDescent="0.3">
      <c r="A739" s="397"/>
      <c r="B739" s="94">
        <v>65</v>
      </c>
      <c r="C739" s="144" t="e">
        <f t="shared" si="319"/>
        <v>#REF!</v>
      </c>
      <c r="D739" s="144" t="e">
        <f t="shared" si="319"/>
        <v>#REF!</v>
      </c>
      <c r="E739" s="144" t="e">
        <f t="shared" si="319"/>
        <v>#REF!</v>
      </c>
      <c r="F739" s="144" t="e">
        <f t="shared" si="319"/>
        <v>#REF!</v>
      </c>
      <c r="G739" s="144" t="e">
        <f t="shared" si="319"/>
        <v>#REF!</v>
      </c>
      <c r="H739" s="144" t="e">
        <f t="shared" si="319"/>
        <v>#REF!</v>
      </c>
      <c r="I739" s="144" t="e">
        <f t="shared" si="319"/>
        <v>#REF!</v>
      </c>
      <c r="J739" s="144" t="e">
        <f t="shared" si="319"/>
        <v>#REF!</v>
      </c>
      <c r="K739" s="144" t="e">
        <f t="shared" si="319"/>
        <v>#REF!</v>
      </c>
      <c r="L739" s="35"/>
      <c r="M739" s="35"/>
      <c r="N739" s="35"/>
    </row>
    <row r="740" spans="1:14" x14ac:dyDescent="0.3">
      <c r="A740" s="397"/>
      <c r="B740" s="94">
        <v>70</v>
      </c>
      <c r="C740" s="144" t="e">
        <f t="shared" si="319"/>
        <v>#REF!</v>
      </c>
      <c r="D740" s="144" t="e">
        <f t="shared" si="319"/>
        <v>#REF!</v>
      </c>
      <c r="E740" s="144" t="e">
        <f t="shared" si="319"/>
        <v>#REF!</v>
      </c>
      <c r="F740" s="144" t="e">
        <f t="shared" si="319"/>
        <v>#REF!</v>
      </c>
      <c r="G740" s="144" t="e">
        <f t="shared" si="319"/>
        <v>#REF!</v>
      </c>
      <c r="H740" s="144" t="e">
        <f t="shared" si="319"/>
        <v>#REF!</v>
      </c>
      <c r="I740" s="144" t="e">
        <f t="shared" si="319"/>
        <v>#REF!</v>
      </c>
      <c r="J740" s="144" t="e">
        <f t="shared" si="319"/>
        <v>#REF!</v>
      </c>
      <c r="K740" s="144" t="e">
        <f t="shared" si="319"/>
        <v>#REF!</v>
      </c>
      <c r="L740" s="35"/>
      <c r="M740" s="35"/>
      <c r="N740" s="35"/>
    </row>
    <row r="741" spans="1:14" x14ac:dyDescent="0.3">
      <c r="A741" s="397"/>
      <c r="B741" s="94">
        <v>75</v>
      </c>
      <c r="C741" s="144" t="e">
        <f t="shared" si="319"/>
        <v>#REF!</v>
      </c>
      <c r="D741" s="144" t="e">
        <f t="shared" si="319"/>
        <v>#REF!</v>
      </c>
      <c r="E741" s="144" t="e">
        <f t="shared" si="319"/>
        <v>#REF!</v>
      </c>
      <c r="F741" s="144" t="e">
        <f t="shared" si="319"/>
        <v>#REF!</v>
      </c>
      <c r="G741" s="144" t="e">
        <f t="shared" si="319"/>
        <v>#REF!</v>
      </c>
      <c r="H741" s="144" t="e">
        <f t="shared" si="319"/>
        <v>#REF!</v>
      </c>
      <c r="I741" s="144" t="e">
        <f t="shared" si="319"/>
        <v>#REF!</v>
      </c>
      <c r="J741" s="144" t="e">
        <f t="shared" si="319"/>
        <v>#REF!</v>
      </c>
      <c r="K741" s="144" t="e">
        <f t="shared" si="319"/>
        <v>#REF!</v>
      </c>
      <c r="L741" s="35"/>
      <c r="M741" s="35"/>
      <c r="N741" s="35"/>
    </row>
    <row r="742" spans="1:14" x14ac:dyDescent="0.3">
      <c r="A742" s="397"/>
      <c r="B742" s="94">
        <v>80</v>
      </c>
      <c r="C742" s="144" t="e">
        <f t="shared" si="319"/>
        <v>#REF!</v>
      </c>
      <c r="D742" s="144" t="e">
        <f t="shared" si="319"/>
        <v>#REF!</v>
      </c>
      <c r="E742" s="144" t="e">
        <f t="shared" si="319"/>
        <v>#REF!</v>
      </c>
      <c r="F742" s="144" t="e">
        <f t="shared" si="319"/>
        <v>#REF!</v>
      </c>
      <c r="G742" s="144" t="e">
        <f t="shared" si="319"/>
        <v>#REF!</v>
      </c>
      <c r="H742" s="144" t="e">
        <f t="shared" si="319"/>
        <v>#REF!</v>
      </c>
      <c r="I742" s="144" t="e">
        <f t="shared" si="319"/>
        <v>#REF!</v>
      </c>
      <c r="J742" s="144" t="e">
        <f t="shared" si="319"/>
        <v>#REF!</v>
      </c>
      <c r="K742" s="144" t="e">
        <f t="shared" si="319"/>
        <v>#REF!</v>
      </c>
      <c r="L742" s="35"/>
      <c r="M742" s="35"/>
      <c r="N742" s="35"/>
    </row>
    <row r="743" spans="1:14" x14ac:dyDescent="0.3">
      <c r="A743" s="397"/>
      <c r="B743" s="94">
        <v>85</v>
      </c>
      <c r="C743" s="144" t="e">
        <f t="shared" si="319"/>
        <v>#REF!</v>
      </c>
      <c r="D743" s="144" t="e">
        <f t="shared" si="319"/>
        <v>#REF!</v>
      </c>
      <c r="E743" s="144" t="e">
        <f t="shared" si="319"/>
        <v>#REF!</v>
      </c>
      <c r="F743" s="144" t="e">
        <f t="shared" si="319"/>
        <v>#REF!</v>
      </c>
      <c r="G743" s="144" t="e">
        <f t="shared" si="319"/>
        <v>#REF!</v>
      </c>
      <c r="H743" s="144" t="e">
        <f t="shared" si="319"/>
        <v>#REF!</v>
      </c>
      <c r="I743" s="144" t="e">
        <f t="shared" si="319"/>
        <v>#REF!</v>
      </c>
      <c r="J743" s="144" t="e">
        <f t="shared" si="319"/>
        <v>#REF!</v>
      </c>
      <c r="K743" s="144" t="e">
        <f t="shared" si="319"/>
        <v>#REF!</v>
      </c>
      <c r="L743" s="35"/>
      <c r="M743" s="35"/>
      <c r="N743" s="35"/>
    </row>
    <row r="744" spans="1:14" x14ac:dyDescent="0.3">
      <c r="A744" s="397"/>
      <c r="B744" s="94">
        <v>90</v>
      </c>
      <c r="C744" s="144" t="e">
        <f t="shared" si="319"/>
        <v>#REF!</v>
      </c>
      <c r="D744" s="144" t="e">
        <f t="shared" si="319"/>
        <v>#REF!</v>
      </c>
      <c r="E744" s="144" t="e">
        <f t="shared" si="319"/>
        <v>#REF!</v>
      </c>
      <c r="F744" s="144" t="e">
        <f t="shared" si="319"/>
        <v>#REF!</v>
      </c>
      <c r="G744" s="144" t="e">
        <f t="shared" si="319"/>
        <v>#REF!</v>
      </c>
      <c r="H744" s="144" t="e">
        <f t="shared" si="319"/>
        <v>#REF!</v>
      </c>
      <c r="I744" s="144" t="e">
        <f t="shared" si="319"/>
        <v>#REF!</v>
      </c>
      <c r="J744" s="144" t="e">
        <f t="shared" si="319"/>
        <v>#REF!</v>
      </c>
      <c r="K744" s="144" t="e">
        <f t="shared" si="319"/>
        <v>#REF!</v>
      </c>
      <c r="L744" s="35"/>
      <c r="M744" s="35"/>
      <c r="N744" s="35"/>
    </row>
    <row r="745" spans="1:14" x14ac:dyDescent="0.3">
      <c r="A745" s="397"/>
      <c r="B745" s="94">
        <v>95</v>
      </c>
      <c r="C745" s="144" t="e">
        <f t="shared" si="319"/>
        <v>#REF!</v>
      </c>
      <c r="D745" s="144" t="e">
        <f t="shared" si="319"/>
        <v>#REF!</v>
      </c>
      <c r="E745" s="144" t="e">
        <f t="shared" si="319"/>
        <v>#REF!</v>
      </c>
      <c r="F745" s="144" t="e">
        <f t="shared" si="319"/>
        <v>#REF!</v>
      </c>
      <c r="G745" s="144" t="e">
        <f t="shared" si="319"/>
        <v>#REF!</v>
      </c>
      <c r="H745" s="144" t="e">
        <f t="shared" si="319"/>
        <v>#REF!</v>
      </c>
      <c r="I745" s="144" t="e">
        <f t="shared" si="319"/>
        <v>#REF!</v>
      </c>
      <c r="J745" s="144" t="e">
        <f t="shared" si="319"/>
        <v>#REF!</v>
      </c>
      <c r="K745" s="144" t="e">
        <f t="shared" si="319"/>
        <v>#REF!</v>
      </c>
      <c r="L745" s="35"/>
      <c r="M745" s="35"/>
      <c r="N745" s="35"/>
    </row>
    <row r="746" spans="1:14" x14ac:dyDescent="0.3">
      <c r="A746" s="397"/>
      <c r="B746" s="94">
        <v>100</v>
      </c>
      <c r="C746" s="144" t="e">
        <f t="shared" si="319"/>
        <v>#REF!</v>
      </c>
      <c r="D746" s="144" t="e">
        <f t="shared" si="319"/>
        <v>#REF!</v>
      </c>
      <c r="E746" s="144" t="e">
        <f t="shared" si="319"/>
        <v>#REF!</v>
      </c>
      <c r="F746" s="144" t="e">
        <f t="shared" si="319"/>
        <v>#REF!</v>
      </c>
      <c r="G746" s="144" t="e">
        <f t="shared" si="319"/>
        <v>#REF!</v>
      </c>
      <c r="H746" s="144" t="e">
        <f t="shared" si="319"/>
        <v>#REF!</v>
      </c>
      <c r="I746" s="144" t="e">
        <f t="shared" si="319"/>
        <v>#REF!</v>
      </c>
      <c r="J746" s="144" t="e">
        <f t="shared" si="319"/>
        <v>#REF!</v>
      </c>
      <c r="K746" s="144" t="e">
        <f t="shared" si="319"/>
        <v>#REF!</v>
      </c>
      <c r="L746" s="35"/>
      <c r="M746" s="35"/>
      <c r="N746" s="35"/>
    </row>
    <row r="747" spans="1:14" x14ac:dyDescent="0.3">
      <c r="A747" s="141"/>
      <c r="B747" s="141"/>
      <c r="C747" s="153"/>
      <c r="D747" s="153"/>
      <c r="E747" s="153"/>
      <c r="F747" s="153"/>
      <c r="G747" s="153"/>
      <c r="H747" s="153"/>
      <c r="I747" s="153"/>
      <c r="J747" s="153"/>
      <c r="K747" s="153"/>
      <c r="L747" s="35"/>
      <c r="M747" s="35"/>
      <c r="N747" s="35"/>
    </row>
    <row r="748" spans="1:14" x14ac:dyDescent="0.3">
      <c r="A748" s="381" t="s">
        <v>535</v>
      </c>
      <c r="B748" s="381"/>
      <c r="C748" s="153"/>
      <c r="D748" s="153"/>
      <c r="E748" s="153"/>
      <c r="F748" s="153"/>
      <c r="G748" s="153"/>
      <c r="H748" s="153"/>
      <c r="I748" s="153"/>
      <c r="J748" s="153"/>
      <c r="K748" s="153"/>
      <c r="L748" s="35"/>
      <c r="M748" s="35"/>
      <c r="N748" s="35"/>
    </row>
    <row r="749" spans="1:14" x14ac:dyDescent="0.3">
      <c r="A749" s="141"/>
      <c r="B749" s="141"/>
      <c r="C749" s="153"/>
      <c r="D749" s="153"/>
      <c r="E749" s="153"/>
      <c r="F749" s="153"/>
      <c r="G749" s="153"/>
      <c r="H749" s="153"/>
      <c r="I749" s="153"/>
      <c r="J749" s="153"/>
      <c r="K749" s="153"/>
      <c r="L749" s="35"/>
      <c r="M749" s="35"/>
      <c r="N749" s="35"/>
    </row>
    <row r="750" spans="1:14" x14ac:dyDescent="0.3">
      <c r="A750" s="145" t="s">
        <v>532</v>
      </c>
      <c r="B750" s="96">
        <v>-0.8</v>
      </c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</row>
    <row r="751" spans="1:14" x14ac:dyDescent="0.3">
      <c r="A751" s="145" t="s">
        <v>189</v>
      </c>
      <c r="B751" s="97">
        <f>RADIANS(B750)</f>
        <v>-1.3962634015954637E-2</v>
      </c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</row>
    <row r="752" spans="1:14" x14ac:dyDescent="0.3">
      <c r="A752" s="7"/>
      <c r="B752" s="37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</row>
    <row r="753" spans="1:14" x14ac:dyDescent="0.3">
      <c r="A753" s="415" t="s">
        <v>533</v>
      </c>
      <c r="B753" s="416"/>
      <c r="C753" s="416"/>
      <c r="D753" s="416"/>
      <c r="E753" s="416"/>
      <c r="F753" s="416"/>
      <c r="G753" s="416"/>
      <c r="H753" s="416"/>
      <c r="I753" s="416"/>
      <c r="J753" s="416"/>
      <c r="K753" s="369"/>
      <c r="L753" s="35"/>
      <c r="M753" s="35"/>
      <c r="N753" s="35"/>
    </row>
    <row r="754" spans="1:14" x14ac:dyDescent="0.3">
      <c r="A754" s="360"/>
      <c r="B754" s="361"/>
      <c r="C754" s="364" t="s">
        <v>230</v>
      </c>
      <c r="D754" s="365"/>
      <c r="E754" s="365"/>
      <c r="F754" s="365"/>
      <c r="G754" s="365"/>
      <c r="H754" s="365"/>
      <c r="I754" s="365"/>
      <c r="J754" s="365"/>
      <c r="K754" s="366"/>
      <c r="L754" s="35"/>
      <c r="M754" s="35"/>
      <c r="N754" s="35"/>
    </row>
    <row r="755" spans="1:14" x14ac:dyDescent="0.3">
      <c r="A755" s="362"/>
      <c r="B755" s="363"/>
      <c r="C755" s="94">
        <v>5</v>
      </c>
      <c r="D755" s="94">
        <v>10</v>
      </c>
      <c r="E755" s="94">
        <v>15</v>
      </c>
      <c r="F755" s="94">
        <v>20</v>
      </c>
      <c r="G755" s="94">
        <v>25</v>
      </c>
      <c r="H755" s="94">
        <v>30</v>
      </c>
      <c r="I755" s="94">
        <v>35</v>
      </c>
      <c r="J755" s="94">
        <v>40</v>
      </c>
      <c r="K755" s="94">
        <v>45</v>
      </c>
      <c r="L755" s="35"/>
      <c r="M755" s="35"/>
      <c r="N755" s="35"/>
    </row>
    <row r="756" spans="1:14" x14ac:dyDescent="0.3">
      <c r="A756" s="397" t="s">
        <v>231</v>
      </c>
      <c r="B756" s="94">
        <v>5</v>
      </c>
      <c r="C756" s="144" t="e">
        <f t="shared" ref="C756:K756" si="320">$B$751/C727</f>
        <v>#REF!</v>
      </c>
      <c r="D756" s="144" t="e">
        <f t="shared" si="320"/>
        <v>#REF!</v>
      </c>
      <c r="E756" s="144" t="e">
        <f t="shared" si="320"/>
        <v>#REF!</v>
      </c>
      <c r="F756" s="144" t="e">
        <f t="shared" si="320"/>
        <v>#REF!</v>
      </c>
      <c r="G756" s="144" t="e">
        <f t="shared" si="320"/>
        <v>#REF!</v>
      </c>
      <c r="H756" s="144" t="e">
        <f t="shared" si="320"/>
        <v>#REF!</v>
      </c>
      <c r="I756" s="144" t="e">
        <f t="shared" si="320"/>
        <v>#REF!</v>
      </c>
      <c r="J756" s="144" t="e">
        <f t="shared" si="320"/>
        <v>#REF!</v>
      </c>
      <c r="K756" s="144" t="e">
        <f t="shared" si="320"/>
        <v>#REF!</v>
      </c>
      <c r="L756" s="35"/>
      <c r="M756" s="35"/>
      <c r="N756" s="35"/>
    </row>
    <row r="757" spans="1:14" x14ac:dyDescent="0.3">
      <c r="A757" s="397"/>
      <c r="B757" s="94">
        <v>10</v>
      </c>
      <c r="C757" s="144" t="e">
        <f t="shared" ref="C757:K757" si="321">$B$751/C728</f>
        <v>#REF!</v>
      </c>
      <c r="D757" s="144" t="e">
        <f t="shared" si="321"/>
        <v>#REF!</v>
      </c>
      <c r="E757" s="144" t="e">
        <f t="shared" si="321"/>
        <v>#REF!</v>
      </c>
      <c r="F757" s="144" t="e">
        <f t="shared" si="321"/>
        <v>#REF!</v>
      </c>
      <c r="G757" s="144" t="e">
        <f t="shared" si="321"/>
        <v>#REF!</v>
      </c>
      <c r="H757" s="144" t="e">
        <f t="shared" si="321"/>
        <v>#REF!</v>
      </c>
      <c r="I757" s="144" t="e">
        <f t="shared" si="321"/>
        <v>#REF!</v>
      </c>
      <c r="J757" s="144" t="e">
        <f t="shared" si="321"/>
        <v>#REF!</v>
      </c>
      <c r="K757" s="144" t="e">
        <f t="shared" si="321"/>
        <v>#REF!</v>
      </c>
      <c r="L757" s="35"/>
      <c r="M757" s="35"/>
      <c r="N757" s="35"/>
    </row>
    <row r="758" spans="1:14" x14ac:dyDescent="0.3">
      <c r="A758" s="397"/>
      <c r="B758" s="94">
        <v>15</v>
      </c>
      <c r="C758" s="144" t="e">
        <f t="shared" ref="C758:K758" si="322">$B$751/C729</f>
        <v>#REF!</v>
      </c>
      <c r="D758" s="144" t="e">
        <f t="shared" si="322"/>
        <v>#REF!</v>
      </c>
      <c r="E758" s="144" t="e">
        <f t="shared" si="322"/>
        <v>#REF!</v>
      </c>
      <c r="F758" s="144" t="e">
        <f t="shared" si="322"/>
        <v>#REF!</v>
      </c>
      <c r="G758" s="144" t="e">
        <f t="shared" si="322"/>
        <v>#REF!</v>
      </c>
      <c r="H758" s="144" t="e">
        <f t="shared" si="322"/>
        <v>#REF!</v>
      </c>
      <c r="I758" s="144" t="e">
        <f t="shared" si="322"/>
        <v>#REF!</v>
      </c>
      <c r="J758" s="144" t="e">
        <f t="shared" si="322"/>
        <v>#REF!</v>
      </c>
      <c r="K758" s="144" t="e">
        <f t="shared" si="322"/>
        <v>#REF!</v>
      </c>
      <c r="L758" s="35"/>
      <c r="M758" s="35"/>
      <c r="N758" s="35"/>
    </row>
    <row r="759" spans="1:14" x14ac:dyDescent="0.3">
      <c r="A759" s="397"/>
      <c r="B759" s="94">
        <v>20</v>
      </c>
      <c r="C759" s="144" t="e">
        <f t="shared" ref="C759:K759" si="323">$B$751/C730</f>
        <v>#REF!</v>
      </c>
      <c r="D759" s="144" t="e">
        <f t="shared" si="323"/>
        <v>#REF!</v>
      </c>
      <c r="E759" s="144" t="e">
        <f t="shared" si="323"/>
        <v>#REF!</v>
      </c>
      <c r="F759" s="144" t="e">
        <f t="shared" si="323"/>
        <v>#REF!</v>
      </c>
      <c r="G759" s="144" t="e">
        <f t="shared" si="323"/>
        <v>#REF!</v>
      </c>
      <c r="H759" s="144" t="e">
        <f t="shared" si="323"/>
        <v>#REF!</v>
      </c>
      <c r="I759" s="144" t="e">
        <f t="shared" si="323"/>
        <v>#REF!</v>
      </c>
      <c r="J759" s="144" t="e">
        <f t="shared" si="323"/>
        <v>#REF!</v>
      </c>
      <c r="K759" s="144" t="e">
        <f t="shared" si="323"/>
        <v>#REF!</v>
      </c>
      <c r="L759" s="35"/>
      <c r="M759" s="35"/>
      <c r="N759" s="35"/>
    </row>
    <row r="760" spans="1:14" x14ac:dyDescent="0.3">
      <c r="A760" s="397"/>
      <c r="B760" s="94">
        <v>25</v>
      </c>
      <c r="C760" s="144" t="e">
        <f t="shared" ref="C760:K760" si="324">$B$751/C731</f>
        <v>#REF!</v>
      </c>
      <c r="D760" s="144" t="e">
        <f t="shared" si="324"/>
        <v>#REF!</v>
      </c>
      <c r="E760" s="144" t="e">
        <f t="shared" si="324"/>
        <v>#REF!</v>
      </c>
      <c r="F760" s="144" t="e">
        <f t="shared" si="324"/>
        <v>#REF!</v>
      </c>
      <c r="G760" s="144" t="e">
        <f t="shared" si="324"/>
        <v>#REF!</v>
      </c>
      <c r="H760" s="144" t="e">
        <f t="shared" si="324"/>
        <v>#REF!</v>
      </c>
      <c r="I760" s="144" t="e">
        <f t="shared" si="324"/>
        <v>#REF!</v>
      </c>
      <c r="J760" s="144" t="e">
        <f t="shared" si="324"/>
        <v>#REF!</v>
      </c>
      <c r="K760" s="144" t="e">
        <f t="shared" si="324"/>
        <v>#REF!</v>
      </c>
      <c r="L760" s="35"/>
      <c r="M760" s="35"/>
      <c r="N760" s="35"/>
    </row>
    <row r="761" spans="1:14" x14ac:dyDescent="0.3">
      <c r="A761" s="397"/>
      <c r="B761" s="94">
        <v>30</v>
      </c>
      <c r="C761" s="144" t="e">
        <f t="shared" ref="C761:K761" si="325">$B$751/C732</f>
        <v>#REF!</v>
      </c>
      <c r="D761" s="144" t="e">
        <f t="shared" si="325"/>
        <v>#REF!</v>
      </c>
      <c r="E761" s="144" t="e">
        <f t="shared" si="325"/>
        <v>#REF!</v>
      </c>
      <c r="F761" s="144" t="e">
        <f t="shared" si="325"/>
        <v>#REF!</v>
      </c>
      <c r="G761" s="144" t="e">
        <f t="shared" si="325"/>
        <v>#REF!</v>
      </c>
      <c r="H761" s="144" t="e">
        <f t="shared" si="325"/>
        <v>#REF!</v>
      </c>
      <c r="I761" s="144" t="e">
        <f t="shared" si="325"/>
        <v>#REF!</v>
      </c>
      <c r="J761" s="144" t="e">
        <f t="shared" si="325"/>
        <v>#REF!</v>
      </c>
      <c r="K761" s="144" t="e">
        <f t="shared" si="325"/>
        <v>#REF!</v>
      </c>
      <c r="L761" s="35"/>
      <c r="M761" s="35"/>
      <c r="N761" s="35"/>
    </row>
    <row r="762" spans="1:14" x14ac:dyDescent="0.3">
      <c r="A762" s="397"/>
      <c r="B762" s="94">
        <v>35</v>
      </c>
      <c r="C762" s="144" t="e">
        <f t="shared" ref="C762:K762" si="326">$B$751/C733</f>
        <v>#REF!</v>
      </c>
      <c r="D762" s="144" t="e">
        <f t="shared" si="326"/>
        <v>#REF!</v>
      </c>
      <c r="E762" s="144" t="e">
        <f t="shared" si="326"/>
        <v>#REF!</v>
      </c>
      <c r="F762" s="144" t="e">
        <f t="shared" si="326"/>
        <v>#REF!</v>
      </c>
      <c r="G762" s="144" t="e">
        <f t="shared" si="326"/>
        <v>#REF!</v>
      </c>
      <c r="H762" s="144" t="e">
        <f t="shared" si="326"/>
        <v>#REF!</v>
      </c>
      <c r="I762" s="144" t="e">
        <f t="shared" si="326"/>
        <v>#REF!</v>
      </c>
      <c r="J762" s="144" t="e">
        <f t="shared" si="326"/>
        <v>#REF!</v>
      </c>
      <c r="K762" s="144" t="e">
        <f t="shared" si="326"/>
        <v>#REF!</v>
      </c>
      <c r="L762" s="35"/>
      <c r="M762" s="35"/>
      <c r="N762" s="35"/>
    </row>
    <row r="763" spans="1:14" x14ac:dyDescent="0.3">
      <c r="A763" s="397"/>
      <c r="B763" s="94">
        <v>40</v>
      </c>
      <c r="C763" s="144" t="e">
        <f t="shared" ref="C763:K763" si="327">$B$751/C734</f>
        <v>#REF!</v>
      </c>
      <c r="D763" s="144" t="e">
        <f t="shared" si="327"/>
        <v>#REF!</v>
      </c>
      <c r="E763" s="144" t="e">
        <f t="shared" si="327"/>
        <v>#REF!</v>
      </c>
      <c r="F763" s="144" t="e">
        <f t="shared" si="327"/>
        <v>#REF!</v>
      </c>
      <c r="G763" s="144" t="e">
        <f t="shared" si="327"/>
        <v>#REF!</v>
      </c>
      <c r="H763" s="144" t="e">
        <f t="shared" si="327"/>
        <v>#REF!</v>
      </c>
      <c r="I763" s="144" t="e">
        <f t="shared" si="327"/>
        <v>#REF!</v>
      </c>
      <c r="J763" s="144" t="e">
        <f t="shared" si="327"/>
        <v>#REF!</v>
      </c>
      <c r="K763" s="144" t="e">
        <f t="shared" si="327"/>
        <v>#REF!</v>
      </c>
      <c r="L763" s="35"/>
      <c r="M763" s="35"/>
      <c r="N763" s="35"/>
    </row>
    <row r="764" spans="1:14" x14ac:dyDescent="0.3">
      <c r="A764" s="397"/>
      <c r="B764" s="94">
        <v>45</v>
      </c>
      <c r="C764" s="144" t="e">
        <f t="shared" ref="C764:K764" si="328">$B$751/C735</f>
        <v>#REF!</v>
      </c>
      <c r="D764" s="144" t="e">
        <f t="shared" si="328"/>
        <v>#REF!</v>
      </c>
      <c r="E764" s="144" t="e">
        <f t="shared" si="328"/>
        <v>#REF!</v>
      </c>
      <c r="F764" s="144" t="e">
        <f t="shared" si="328"/>
        <v>#REF!</v>
      </c>
      <c r="G764" s="144" t="e">
        <f t="shared" si="328"/>
        <v>#REF!</v>
      </c>
      <c r="H764" s="144" t="e">
        <f t="shared" si="328"/>
        <v>#REF!</v>
      </c>
      <c r="I764" s="144" t="e">
        <f t="shared" si="328"/>
        <v>#REF!</v>
      </c>
      <c r="J764" s="144" t="e">
        <f t="shared" si="328"/>
        <v>#REF!</v>
      </c>
      <c r="K764" s="144" t="e">
        <f t="shared" si="328"/>
        <v>#REF!</v>
      </c>
      <c r="L764" s="35"/>
      <c r="M764" s="35"/>
      <c r="N764" s="35"/>
    </row>
    <row r="765" spans="1:14" x14ac:dyDescent="0.3">
      <c r="A765" s="397"/>
      <c r="B765" s="94">
        <v>50</v>
      </c>
      <c r="C765" s="144" t="e">
        <f t="shared" ref="C765:K765" si="329">$B$751/C736</f>
        <v>#REF!</v>
      </c>
      <c r="D765" s="144" t="e">
        <f t="shared" si="329"/>
        <v>#REF!</v>
      </c>
      <c r="E765" s="144" t="e">
        <f t="shared" si="329"/>
        <v>#REF!</v>
      </c>
      <c r="F765" s="144" t="e">
        <f t="shared" si="329"/>
        <v>#REF!</v>
      </c>
      <c r="G765" s="144" t="e">
        <f t="shared" si="329"/>
        <v>#REF!</v>
      </c>
      <c r="H765" s="144" t="e">
        <f t="shared" si="329"/>
        <v>#REF!</v>
      </c>
      <c r="I765" s="144" t="e">
        <f t="shared" si="329"/>
        <v>#REF!</v>
      </c>
      <c r="J765" s="144" t="e">
        <f t="shared" si="329"/>
        <v>#REF!</v>
      </c>
      <c r="K765" s="144" t="e">
        <f t="shared" si="329"/>
        <v>#REF!</v>
      </c>
      <c r="L765" s="35"/>
      <c r="M765" s="35"/>
      <c r="N765" s="35"/>
    </row>
    <row r="766" spans="1:14" x14ac:dyDescent="0.3">
      <c r="A766" s="397"/>
      <c r="B766" s="94">
        <v>55</v>
      </c>
      <c r="C766" s="144" t="e">
        <f t="shared" ref="C766:K766" si="330">$B$751/C737</f>
        <v>#REF!</v>
      </c>
      <c r="D766" s="144" t="e">
        <f t="shared" si="330"/>
        <v>#REF!</v>
      </c>
      <c r="E766" s="144" t="e">
        <f t="shared" si="330"/>
        <v>#REF!</v>
      </c>
      <c r="F766" s="144" t="e">
        <f t="shared" si="330"/>
        <v>#REF!</v>
      </c>
      <c r="G766" s="144" t="e">
        <f t="shared" si="330"/>
        <v>#REF!</v>
      </c>
      <c r="H766" s="144" t="e">
        <f t="shared" si="330"/>
        <v>#REF!</v>
      </c>
      <c r="I766" s="144" t="e">
        <f t="shared" si="330"/>
        <v>#REF!</v>
      </c>
      <c r="J766" s="144" t="e">
        <f t="shared" si="330"/>
        <v>#REF!</v>
      </c>
      <c r="K766" s="144" t="e">
        <f t="shared" si="330"/>
        <v>#REF!</v>
      </c>
      <c r="L766" s="35"/>
      <c r="M766" s="35"/>
      <c r="N766" s="35"/>
    </row>
    <row r="767" spans="1:14" x14ac:dyDescent="0.3">
      <c r="A767" s="397"/>
      <c r="B767" s="94">
        <v>60</v>
      </c>
      <c r="C767" s="144" t="e">
        <f t="shared" ref="C767:K767" si="331">$B$751/C738</f>
        <v>#REF!</v>
      </c>
      <c r="D767" s="144" t="e">
        <f t="shared" si="331"/>
        <v>#REF!</v>
      </c>
      <c r="E767" s="144" t="e">
        <f t="shared" si="331"/>
        <v>#REF!</v>
      </c>
      <c r="F767" s="144" t="e">
        <f t="shared" si="331"/>
        <v>#REF!</v>
      </c>
      <c r="G767" s="144" t="e">
        <f t="shared" si="331"/>
        <v>#REF!</v>
      </c>
      <c r="H767" s="144" t="e">
        <f t="shared" si="331"/>
        <v>#REF!</v>
      </c>
      <c r="I767" s="144" t="e">
        <f t="shared" si="331"/>
        <v>#REF!</v>
      </c>
      <c r="J767" s="144" t="e">
        <f t="shared" si="331"/>
        <v>#REF!</v>
      </c>
      <c r="K767" s="144" t="e">
        <f t="shared" si="331"/>
        <v>#REF!</v>
      </c>
      <c r="L767" s="35"/>
      <c r="M767" s="35"/>
      <c r="N767" s="35"/>
    </row>
    <row r="768" spans="1:14" x14ac:dyDescent="0.3">
      <c r="A768" s="397"/>
      <c r="B768" s="94">
        <v>65</v>
      </c>
      <c r="C768" s="144" t="e">
        <f t="shared" ref="C768:K768" si="332">$B$751/C739</f>
        <v>#REF!</v>
      </c>
      <c r="D768" s="144" t="e">
        <f t="shared" si="332"/>
        <v>#REF!</v>
      </c>
      <c r="E768" s="144" t="e">
        <f t="shared" si="332"/>
        <v>#REF!</v>
      </c>
      <c r="F768" s="144" t="e">
        <f t="shared" si="332"/>
        <v>#REF!</v>
      </c>
      <c r="G768" s="144" t="e">
        <f t="shared" si="332"/>
        <v>#REF!</v>
      </c>
      <c r="H768" s="144" t="e">
        <f t="shared" si="332"/>
        <v>#REF!</v>
      </c>
      <c r="I768" s="144" t="e">
        <f t="shared" si="332"/>
        <v>#REF!</v>
      </c>
      <c r="J768" s="144" t="e">
        <f t="shared" si="332"/>
        <v>#REF!</v>
      </c>
      <c r="K768" s="144" t="e">
        <f t="shared" si="332"/>
        <v>#REF!</v>
      </c>
      <c r="L768" s="35"/>
      <c r="M768" s="35"/>
      <c r="N768" s="35"/>
    </row>
    <row r="769" spans="1:14" x14ac:dyDescent="0.3">
      <c r="A769" s="397"/>
      <c r="B769" s="94">
        <v>70</v>
      </c>
      <c r="C769" s="144" t="e">
        <f t="shared" ref="C769:K769" si="333">$B$751/C740</f>
        <v>#REF!</v>
      </c>
      <c r="D769" s="144" t="e">
        <f t="shared" si="333"/>
        <v>#REF!</v>
      </c>
      <c r="E769" s="144" t="e">
        <f t="shared" si="333"/>
        <v>#REF!</v>
      </c>
      <c r="F769" s="144" t="e">
        <f t="shared" si="333"/>
        <v>#REF!</v>
      </c>
      <c r="G769" s="144" t="e">
        <f t="shared" si="333"/>
        <v>#REF!</v>
      </c>
      <c r="H769" s="144" t="e">
        <f t="shared" si="333"/>
        <v>#REF!</v>
      </c>
      <c r="I769" s="144" t="e">
        <f t="shared" si="333"/>
        <v>#REF!</v>
      </c>
      <c r="J769" s="144" t="e">
        <f t="shared" si="333"/>
        <v>#REF!</v>
      </c>
      <c r="K769" s="144" t="e">
        <f t="shared" si="333"/>
        <v>#REF!</v>
      </c>
      <c r="L769" s="35"/>
      <c r="M769" s="35"/>
      <c r="N769" s="35"/>
    </row>
    <row r="770" spans="1:14" x14ac:dyDescent="0.3">
      <c r="A770" s="397"/>
      <c r="B770" s="94">
        <v>75</v>
      </c>
      <c r="C770" s="144" t="e">
        <f t="shared" ref="C770:K770" si="334">$B$751/C741</f>
        <v>#REF!</v>
      </c>
      <c r="D770" s="144" t="e">
        <f t="shared" si="334"/>
        <v>#REF!</v>
      </c>
      <c r="E770" s="144" t="e">
        <f t="shared" si="334"/>
        <v>#REF!</v>
      </c>
      <c r="F770" s="144" t="e">
        <f t="shared" si="334"/>
        <v>#REF!</v>
      </c>
      <c r="G770" s="144" t="e">
        <f t="shared" si="334"/>
        <v>#REF!</v>
      </c>
      <c r="H770" s="144" t="e">
        <f t="shared" si="334"/>
        <v>#REF!</v>
      </c>
      <c r="I770" s="144" t="e">
        <f t="shared" si="334"/>
        <v>#REF!</v>
      </c>
      <c r="J770" s="144" t="e">
        <f t="shared" si="334"/>
        <v>#REF!</v>
      </c>
      <c r="K770" s="144" t="e">
        <f t="shared" si="334"/>
        <v>#REF!</v>
      </c>
      <c r="L770" s="35"/>
      <c r="M770" s="35"/>
      <c r="N770" s="35"/>
    </row>
    <row r="771" spans="1:14" x14ac:dyDescent="0.3">
      <c r="A771" s="397"/>
      <c r="B771" s="94">
        <v>80</v>
      </c>
      <c r="C771" s="144" t="e">
        <f t="shared" ref="C771:K771" si="335">$B$751/C742</f>
        <v>#REF!</v>
      </c>
      <c r="D771" s="144" t="e">
        <f t="shared" si="335"/>
        <v>#REF!</v>
      </c>
      <c r="E771" s="144" t="e">
        <f t="shared" si="335"/>
        <v>#REF!</v>
      </c>
      <c r="F771" s="144" t="e">
        <f t="shared" si="335"/>
        <v>#REF!</v>
      </c>
      <c r="G771" s="144" t="e">
        <f t="shared" si="335"/>
        <v>#REF!</v>
      </c>
      <c r="H771" s="144" t="e">
        <f t="shared" si="335"/>
        <v>#REF!</v>
      </c>
      <c r="I771" s="144" t="e">
        <f t="shared" si="335"/>
        <v>#REF!</v>
      </c>
      <c r="J771" s="144" t="e">
        <f t="shared" si="335"/>
        <v>#REF!</v>
      </c>
      <c r="K771" s="144" t="e">
        <f t="shared" si="335"/>
        <v>#REF!</v>
      </c>
      <c r="L771" s="35"/>
      <c r="M771" s="35"/>
      <c r="N771" s="35"/>
    </row>
    <row r="772" spans="1:14" x14ac:dyDescent="0.3">
      <c r="A772" s="397"/>
      <c r="B772" s="94">
        <v>85</v>
      </c>
      <c r="C772" s="144" t="e">
        <f t="shared" ref="C772:K772" si="336">$B$751/C743</f>
        <v>#REF!</v>
      </c>
      <c r="D772" s="144" t="e">
        <f t="shared" si="336"/>
        <v>#REF!</v>
      </c>
      <c r="E772" s="144" t="e">
        <f t="shared" si="336"/>
        <v>#REF!</v>
      </c>
      <c r="F772" s="144" t="e">
        <f t="shared" si="336"/>
        <v>#REF!</v>
      </c>
      <c r="G772" s="144" t="e">
        <f t="shared" si="336"/>
        <v>#REF!</v>
      </c>
      <c r="H772" s="144" t="e">
        <f t="shared" si="336"/>
        <v>#REF!</v>
      </c>
      <c r="I772" s="144" t="e">
        <f t="shared" si="336"/>
        <v>#REF!</v>
      </c>
      <c r="J772" s="144" t="e">
        <f t="shared" si="336"/>
        <v>#REF!</v>
      </c>
      <c r="K772" s="144" t="e">
        <f t="shared" si="336"/>
        <v>#REF!</v>
      </c>
      <c r="L772" s="35"/>
      <c r="M772" s="35"/>
      <c r="N772" s="35"/>
    </row>
    <row r="773" spans="1:14" x14ac:dyDescent="0.3">
      <c r="A773" s="397"/>
      <c r="B773" s="94">
        <v>90</v>
      </c>
      <c r="C773" s="144" t="e">
        <f t="shared" ref="C773:K773" si="337">$B$751/C744</f>
        <v>#REF!</v>
      </c>
      <c r="D773" s="144" t="e">
        <f t="shared" si="337"/>
        <v>#REF!</v>
      </c>
      <c r="E773" s="144" t="e">
        <f t="shared" si="337"/>
        <v>#REF!</v>
      </c>
      <c r="F773" s="144" t="e">
        <f t="shared" si="337"/>
        <v>#REF!</v>
      </c>
      <c r="G773" s="144" t="e">
        <f t="shared" si="337"/>
        <v>#REF!</v>
      </c>
      <c r="H773" s="144" t="e">
        <f t="shared" si="337"/>
        <v>#REF!</v>
      </c>
      <c r="I773" s="144" t="e">
        <f t="shared" si="337"/>
        <v>#REF!</v>
      </c>
      <c r="J773" s="144" t="e">
        <f t="shared" si="337"/>
        <v>#REF!</v>
      </c>
      <c r="K773" s="144" t="e">
        <f t="shared" si="337"/>
        <v>#REF!</v>
      </c>
      <c r="L773" s="35"/>
      <c r="M773" s="35"/>
      <c r="N773" s="35"/>
    </row>
    <row r="774" spans="1:14" x14ac:dyDescent="0.3">
      <c r="A774" s="397"/>
      <c r="B774" s="94">
        <v>95</v>
      </c>
      <c r="C774" s="144" t="e">
        <f t="shared" ref="C774:K774" si="338">$B$751/C745</f>
        <v>#REF!</v>
      </c>
      <c r="D774" s="144" t="e">
        <f t="shared" si="338"/>
        <v>#REF!</v>
      </c>
      <c r="E774" s="144" t="e">
        <f t="shared" si="338"/>
        <v>#REF!</v>
      </c>
      <c r="F774" s="144" t="e">
        <f t="shared" si="338"/>
        <v>#REF!</v>
      </c>
      <c r="G774" s="144" t="e">
        <f t="shared" si="338"/>
        <v>#REF!</v>
      </c>
      <c r="H774" s="144" t="e">
        <f t="shared" si="338"/>
        <v>#REF!</v>
      </c>
      <c r="I774" s="144" t="e">
        <f t="shared" si="338"/>
        <v>#REF!</v>
      </c>
      <c r="J774" s="144" t="e">
        <f t="shared" si="338"/>
        <v>#REF!</v>
      </c>
      <c r="K774" s="144" t="e">
        <f t="shared" si="338"/>
        <v>#REF!</v>
      </c>
      <c r="L774" s="35"/>
      <c r="M774" s="35"/>
      <c r="N774" s="35"/>
    </row>
    <row r="775" spans="1:14" x14ac:dyDescent="0.3">
      <c r="A775" s="397"/>
      <c r="B775" s="94">
        <v>100</v>
      </c>
      <c r="C775" s="144" t="e">
        <f t="shared" ref="C775:K775" si="339">$B$751/C746</f>
        <v>#REF!</v>
      </c>
      <c r="D775" s="144" t="e">
        <f t="shared" si="339"/>
        <v>#REF!</v>
      </c>
      <c r="E775" s="144" t="e">
        <f t="shared" si="339"/>
        <v>#REF!</v>
      </c>
      <c r="F775" s="144" t="e">
        <f t="shared" si="339"/>
        <v>#REF!</v>
      </c>
      <c r="G775" s="144" t="e">
        <f t="shared" si="339"/>
        <v>#REF!</v>
      </c>
      <c r="H775" s="144" t="e">
        <f t="shared" si="339"/>
        <v>#REF!</v>
      </c>
      <c r="I775" s="144" t="e">
        <f t="shared" si="339"/>
        <v>#REF!</v>
      </c>
      <c r="J775" s="144" t="e">
        <f t="shared" si="339"/>
        <v>#REF!</v>
      </c>
      <c r="K775" s="144" t="e">
        <f t="shared" si="339"/>
        <v>#REF!</v>
      </c>
      <c r="L775" s="35"/>
      <c r="M775" s="35"/>
      <c r="N775" s="35"/>
    </row>
    <row r="776" spans="1:14" x14ac:dyDescent="0.3">
      <c r="A776" s="7"/>
      <c r="B776" s="37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</row>
    <row r="777" spans="1:14" x14ac:dyDescent="0.3">
      <c r="A777" s="415" t="s">
        <v>534</v>
      </c>
      <c r="B777" s="416"/>
      <c r="C777" s="416"/>
      <c r="D777" s="416"/>
      <c r="E777" s="416"/>
      <c r="F777" s="416"/>
      <c r="G777" s="416"/>
      <c r="H777" s="416"/>
      <c r="I777" s="416"/>
      <c r="J777" s="416"/>
      <c r="K777" s="369"/>
      <c r="L777" s="35"/>
      <c r="M777" s="35"/>
      <c r="N777" s="35"/>
    </row>
    <row r="778" spans="1:14" x14ac:dyDescent="0.3">
      <c r="A778" s="360"/>
      <c r="B778" s="361"/>
      <c r="C778" s="364" t="s">
        <v>230</v>
      </c>
      <c r="D778" s="365"/>
      <c r="E778" s="365"/>
      <c r="F778" s="365"/>
      <c r="G778" s="365"/>
      <c r="H778" s="365"/>
      <c r="I778" s="365"/>
      <c r="J778" s="365"/>
      <c r="K778" s="366"/>
      <c r="L778" s="35"/>
      <c r="M778" s="35"/>
      <c r="N778" s="35"/>
    </row>
    <row r="779" spans="1:14" x14ac:dyDescent="0.3">
      <c r="A779" s="362"/>
      <c r="B779" s="363"/>
      <c r="C779" s="94">
        <v>5</v>
      </c>
      <c r="D779" s="94">
        <v>10</v>
      </c>
      <c r="E779" s="94">
        <v>15</v>
      </c>
      <c r="F779" s="94">
        <v>20</v>
      </c>
      <c r="G779" s="94">
        <v>25</v>
      </c>
      <c r="H779" s="94">
        <v>30</v>
      </c>
      <c r="I779" s="94">
        <v>35</v>
      </c>
      <c r="J779" s="94">
        <v>40</v>
      </c>
      <c r="K779" s="94">
        <v>45</v>
      </c>
      <c r="L779" s="35"/>
      <c r="M779" s="35"/>
      <c r="N779" s="35"/>
    </row>
    <row r="780" spans="1:14" x14ac:dyDescent="0.3">
      <c r="A780" s="397" t="s">
        <v>231</v>
      </c>
      <c r="B780" s="94">
        <v>5</v>
      </c>
      <c r="C780" s="144" t="e">
        <f>($E$4/2)/(1-C756)</f>
        <v>#REF!</v>
      </c>
      <c r="D780" s="144" t="e">
        <f t="shared" ref="D780:K780" si="340">($E$4/2)/(1-D756)</f>
        <v>#REF!</v>
      </c>
      <c r="E780" s="144" t="e">
        <f t="shared" si="340"/>
        <v>#REF!</v>
      </c>
      <c r="F780" s="144" t="e">
        <f t="shared" si="340"/>
        <v>#REF!</v>
      </c>
      <c r="G780" s="144" t="e">
        <f t="shared" si="340"/>
        <v>#REF!</v>
      </c>
      <c r="H780" s="144" t="e">
        <f t="shared" si="340"/>
        <v>#REF!</v>
      </c>
      <c r="I780" s="144" t="e">
        <f t="shared" si="340"/>
        <v>#REF!</v>
      </c>
      <c r="J780" s="144" t="e">
        <f t="shared" si="340"/>
        <v>#REF!</v>
      </c>
      <c r="K780" s="144" t="e">
        <f t="shared" si="340"/>
        <v>#REF!</v>
      </c>
      <c r="L780" s="35"/>
      <c r="M780" s="35"/>
      <c r="N780" s="35"/>
    </row>
    <row r="781" spans="1:14" x14ac:dyDescent="0.3">
      <c r="A781" s="397"/>
      <c r="B781" s="94">
        <v>10</v>
      </c>
      <c r="C781" s="144" t="e">
        <f t="shared" ref="C781:K799" si="341">($E$4/2)/(1-C757)</f>
        <v>#REF!</v>
      </c>
      <c r="D781" s="144" t="e">
        <f t="shared" si="341"/>
        <v>#REF!</v>
      </c>
      <c r="E781" s="144" t="e">
        <f t="shared" si="341"/>
        <v>#REF!</v>
      </c>
      <c r="F781" s="144" t="e">
        <f t="shared" si="341"/>
        <v>#REF!</v>
      </c>
      <c r="G781" s="144" t="e">
        <f t="shared" si="341"/>
        <v>#REF!</v>
      </c>
      <c r="H781" s="144" t="e">
        <f t="shared" si="341"/>
        <v>#REF!</v>
      </c>
      <c r="I781" s="144" t="e">
        <f t="shared" si="341"/>
        <v>#REF!</v>
      </c>
      <c r="J781" s="144" t="e">
        <f t="shared" si="341"/>
        <v>#REF!</v>
      </c>
      <c r="K781" s="144" t="e">
        <f t="shared" si="341"/>
        <v>#REF!</v>
      </c>
      <c r="L781" s="35"/>
      <c r="M781" s="35"/>
      <c r="N781" s="35"/>
    </row>
    <row r="782" spans="1:14" x14ac:dyDescent="0.3">
      <c r="A782" s="397"/>
      <c r="B782" s="94">
        <v>15</v>
      </c>
      <c r="C782" s="144" t="e">
        <f t="shared" si="341"/>
        <v>#REF!</v>
      </c>
      <c r="D782" s="144" t="e">
        <f t="shared" si="341"/>
        <v>#REF!</v>
      </c>
      <c r="E782" s="144" t="e">
        <f t="shared" si="341"/>
        <v>#REF!</v>
      </c>
      <c r="F782" s="144" t="e">
        <f t="shared" si="341"/>
        <v>#REF!</v>
      </c>
      <c r="G782" s="144" t="e">
        <f t="shared" si="341"/>
        <v>#REF!</v>
      </c>
      <c r="H782" s="144" t="e">
        <f t="shared" si="341"/>
        <v>#REF!</v>
      </c>
      <c r="I782" s="144" t="e">
        <f t="shared" si="341"/>
        <v>#REF!</v>
      </c>
      <c r="J782" s="144" t="e">
        <f t="shared" si="341"/>
        <v>#REF!</v>
      </c>
      <c r="K782" s="144" t="e">
        <f t="shared" si="341"/>
        <v>#REF!</v>
      </c>
      <c r="L782" s="35"/>
      <c r="M782" s="35"/>
      <c r="N782" s="35"/>
    </row>
    <row r="783" spans="1:14" x14ac:dyDescent="0.3">
      <c r="A783" s="397"/>
      <c r="B783" s="94">
        <v>20</v>
      </c>
      <c r="C783" s="144" t="e">
        <f t="shared" si="341"/>
        <v>#REF!</v>
      </c>
      <c r="D783" s="144" t="e">
        <f t="shared" si="341"/>
        <v>#REF!</v>
      </c>
      <c r="E783" s="144" t="e">
        <f t="shared" si="341"/>
        <v>#REF!</v>
      </c>
      <c r="F783" s="144" t="e">
        <f t="shared" si="341"/>
        <v>#REF!</v>
      </c>
      <c r="G783" s="144" t="e">
        <f t="shared" si="341"/>
        <v>#REF!</v>
      </c>
      <c r="H783" s="144" t="e">
        <f t="shared" si="341"/>
        <v>#REF!</v>
      </c>
      <c r="I783" s="144" t="e">
        <f t="shared" si="341"/>
        <v>#REF!</v>
      </c>
      <c r="J783" s="144" t="e">
        <f t="shared" si="341"/>
        <v>#REF!</v>
      </c>
      <c r="K783" s="144" t="e">
        <f t="shared" si="341"/>
        <v>#REF!</v>
      </c>
      <c r="L783" s="35"/>
      <c r="M783" s="35"/>
      <c r="N783" s="35"/>
    </row>
    <row r="784" spans="1:14" x14ac:dyDescent="0.3">
      <c r="A784" s="397"/>
      <c r="B784" s="94">
        <v>25</v>
      </c>
      <c r="C784" s="144" t="e">
        <f t="shared" si="341"/>
        <v>#REF!</v>
      </c>
      <c r="D784" s="144" t="e">
        <f t="shared" si="341"/>
        <v>#REF!</v>
      </c>
      <c r="E784" s="144" t="e">
        <f t="shared" si="341"/>
        <v>#REF!</v>
      </c>
      <c r="F784" s="144" t="e">
        <f t="shared" si="341"/>
        <v>#REF!</v>
      </c>
      <c r="G784" s="144" t="e">
        <f t="shared" si="341"/>
        <v>#REF!</v>
      </c>
      <c r="H784" s="144" t="e">
        <f t="shared" si="341"/>
        <v>#REF!</v>
      </c>
      <c r="I784" s="144" t="e">
        <f t="shared" si="341"/>
        <v>#REF!</v>
      </c>
      <c r="J784" s="144" t="e">
        <f t="shared" si="341"/>
        <v>#REF!</v>
      </c>
      <c r="K784" s="144" t="e">
        <f t="shared" si="341"/>
        <v>#REF!</v>
      </c>
      <c r="L784" s="35"/>
      <c r="M784" s="35"/>
      <c r="N784" s="35"/>
    </row>
    <row r="785" spans="1:14" x14ac:dyDescent="0.3">
      <c r="A785" s="397"/>
      <c r="B785" s="94">
        <v>30</v>
      </c>
      <c r="C785" s="144" t="e">
        <f t="shared" si="341"/>
        <v>#REF!</v>
      </c>
      <c r="D785" s="144" t="e">
        <f t="shared" si="341"/>
        <v>#REF!</v>
      </c>
      <c r="E785" s="144" t="e">
        <f t="shared" si="341"/>
        <v>#REF!</v>
      </c>
      <c r="F785" s="144" t="e">
        <f t="shared" si="341"/>
        <v>#REF!</v>
      </c>
      <c r="G785" s="144" t="e">
        <f t="shared" si="341"/>
        <v>#REF!</v>
      </c>
      <c r="H785" s="144" t="e">
        <f t="shared" si="341"/>
        <v>#REF!</v>
      </c>
      <c r="I785" s="144" t="e">
        <f t="shared" si="341"/>
        <v>#REF!</v>
      </c>
      <c r="J785" s="144" t="e">
        <f t="shared" si="341"/>
        <v>#REF!</v>
      </c>
      <c r="K785" s="144" t="e">
        <f t="shared" si="341"/>
        <v>#REF!</v>
      </c>
      <c r="L785" s="35"/>
      <c r="M785" s="35"/>
      <c r="N785" s="35"/>
    </row>
    <row r="786" spans="1:14" x14ac:dyDescent="0.3">
      <c r="A786" s="397"/>
      <c r="B786" s="94">
        <v>35</v>
      </c>
      <c r="C786" s="144" t="e">
        <f t="shared" si="341"/>
        <v>#REF!</v>
      </c>
      <c r="D786" s="144" t="e">
        <f t="shared" si="341"/>
        <v>#REF!</v>
      </c>
      <c r="E786" s="144" t="e">
        <f t="shared" si="341"/>
        <v>#REF!</v>
      </c>
      <c r="F786" s="144" t="e">
        <f t="shared" si="341"/>
        <v>#REF!</v>
      </c>
      <c r="G786" s="144" t="e">
        <f t="shared" si="341"/>
        <v>#REF!</v>
      </c>
      <c r="H786" s="144" t="e">
        <f t="shared" si="341"/>
        <v>#REF!</v>
      </c>
      <c r="I786" s="144" t="e">
        <f t="shared" si="341"/>
        <v>#REF!</v>
      </c>
      <c r="J786" s="144" t="e">
        <f t="shared" si="341"/>
        <v>#REF!</v>
      </c>
      <c r="K786" s="144" t="e">
        <f t="shared" si="341"/>
        <v>#REF!</v>
      </c>
      <c r="L786" s="35"/>
      <c r="M786" s="35"/>
      <c r="N786" s="35"/>
    </row>
    <row r="787" spans="1:14" x14ac:dyDescent="0.3">
      <c r="A787" s="397"/>
      <c r="B787" s="94">
        <v>40</v>
      </c>
      <c r="C787" s="144" t="e">
        <f t="shared" si="341"/>
        <v>#REF!</v>
      </c>
      <c r="D787" s="144" t="e">
        <f t="shared" si="341"/>
        <v>#REF!</v>
      </c>
      <c r="E787" s="144" t="e">
        <f t="shared" si="341"/>
        <v>#REF!</v>
      </c>
      <c r="F787" s="144" t="e">
        <f t="shared" si="341"/>
        <v>#REF!</v>
      </c>
      <c r="G787" s="144" t="e">
        <f t="shared" si="341"/>
        <v>#REF!</v>
      </c>
      <c r="H787" s="144" t="e">
        <f t="shared" si="341"/>
        <v>#REF!</v>
      </c>
      <c r="I787" s="144" t="e">
        <f t="shared" si="341"/>
        <v>#REF!</v>
      </c>
      <c r="J787" s="144" t="e">
        <f t="shared" si="341"/>
        <v>#REF!</v>
      </c>
      <c r="K787" s="144" t="e">
        <f t="shared" si="341"/>
        <v>#REF!</v>
      </c>
      <c r="L787" s="35"/>
      <c r="M787" s="35"/>
      <c r="N787" s="35"/>
    </row>
    <row r="788" spans="1:14" x14ac:dyDescent="0.3">
      <c r="A788" s="397"/>
      <c r="B788" s="94">
        <v>45</v>
      </c>
      <c r="C788" s="144" t="e">
        <f t="shared" si="341"/>
        <v>#REF!</v>
      </c>
      <c r="D788" s="144" t="e">
        <f t="shared" si="341"/>
        <v>#REF!</v>
      </c>
      <c r="E788" s="144" t="e">
        <f t="shared" si="341"/>
        <v>#REF!</v>
      </c>
      <c r="F788" s="144" t="e">
        <f t="shared" si="341"/>
        <v>#REF!</v>
      </c>
      <c r="G788" s="144" t="e">
        <f t="shared" si="341"/>
        <v>#REF!</v>
      </c>
      <c r="H788" s="144" t="e">
        <f t="shared" si="341"/>
        <v>#REF!</v>
      </c>
      <c r="I788" s="144" t="e">
        <f t="shared" si="341"/>
        <v>#REF!</v>
      </c>
      <c r="J788" s="144" t="e">
        <f t="shared" si="341"/>
        <v>#REF!</v>
      </c>
      <c r="K788" s="144" t="e">
        <f t="shared" si="341"/>
        <v>#REF!</v>
      </c>
      <c r="L788" s="35"/>
      <c r="M788" s="35"/>
      <c r="N788" s="35"/>
    </row>
    <row r="789" spans="1:14" x14ac:dyDescent="0.3">
      <c r="A789" s="397"/>
      <c r="B789" s="94">
        <v>50</v>
      </c>
      <c r="C789" s="144" t="e">
        <f t="shared" si="341"/>
        <v>#REF!</v>
      </c>
      <c r="D789" s="144" t="e">
        <f t="shared" si="341"/>
        <v>#REF!</v>
      </c>
      <c r="E789" s="144" t="e">
        <f t="shared" si="341"/>
        <v>#REF!</v>
      </c>
      <c r="F789" s="144" t="e">
        <f t="shared" si="341"/>
        <v>#REF!</v>
      </c>
      <c r="G789" s="144" t="e">
        <f t="shared" si="341"/>
        <v>#REF!</v>
      </c>
      <c r="H789" s="144" t="e">
        <f t="shared" si="341"/>
        <v>#REF!</v>
      </c>
      <c r="I789" s="144" t="e">
        <f t="shared" si="341"/>
        <v>#REF!</v>
      </c>
      <c r="J789" s="144" t="e">
        <f t="shared" si="341"/>
        <v>#REF!</v>
      </c>
      <c r="K789" s="144" t="e">
        <f t="shared" si="341"/>
        <v>#REF!</v>
      </c>
      <c r="L789" s="35"/>
      <c r="M789" s="35"/>
      <c r="N789" s="35"/>
    </row>
    <row r="790" spans="1:14" x14ac:dyDescent="0.3">
      <c r="A790" s="397"/>
      <c r="B790" s="94">
        <v>55</v>
      </c>
      <c r="C790" s="144" t="e">
        <f t="shared" si="341"/>
        <v>#REF!</v>
      </c>
      <c r="D790" s="144" t="e">
        <f t="shared" si="341"/>
        <v>#REF!</v>
      </c>
      <c r="E790" s="144" t="e">
        <f t="shared" si="341"/>
        <v>#REF!</v>
      </c>
      <c r="F790" s="144" t="e">
        <f t="shared" si="341"/>
        <v>#REF!</v>
      </c>
      <c r="G790" s="144" t="e">
        <f t="shared" si="341"/>
        <v>#REF!</v>
      </c>
      <c r="H790" s="144" t="e">
        <f t="shared" si="341"/>
        <v>#REF!</v>
      </c>
      <c r="I790" s="144" t="e">
        <f t="shared" si="341"/>
        <v>#REF!</v>
      </c>
      <c r="J790" s="144" t="e">
        <f t="shared" si="341"/>
        <v>#REF!</v>
      </c>
      <c r="K790" s="144" t="e">
        <f t="shared" si="341"/>
        <v>#REF!</v>
      </c>
      <c r="L790" s="35"/>
      <c r="M790" s="35"/>
      <c r="N790" s="35"/>
    </row>
    <row r="791" spans="1:14" x14ac:dyDescent="0.3">
      <c r="A791" s="397"/>
      <c r="B791" s="94">
        <v>60</v>
      </c>
      <c r="C791" s="144" t="e">
        <f t="shared" si="341"/>
        <v>#REF!</v>
      </c>
      <c r="D791" s="144" t="e">
        <f t="shared" si="341"/>
        <v>#REF!</v>
      </c>
      <c r="E791" s="144" t="e">
        <f t="shared" si="341"/>
        <v>#REF!</v>
      </c>
      <c r="F791" s="144" t="e">
        <f t="shared" si="341"/>
        <v>#REF!</v>
      </c>
      <c r="G791" s="144" t="e">
        <f t="shared" si="341"/>
        <v>#REF!</v>
      </c>
      <c r="H791" s="144" t="e">
        <f t="shared" si="341"/>
        <v>#REF!</v>
      </c>
      <c r="I791" s="144" t="e">
        <f t="shared" si="341"/>
        <v>#REF!</v>
      </c>
      <c r="J791" s="144" t="e">
        <f t="shared" si="341"/>
        <v>#REF!</v>
      </c>
      <c r="K791" s="144" t="e">
        <f t="shared" si="341"/>
        <v>#REF!</v>
      </c>
      <c r="L791" s="35"/>
      <c r="M791" s="35"/>
      <c r="N791" s="35"/>
    </row>
    <row r="792" spans="1:14" x14ac:dyDescent="0.3">
      <c r="A792" s="397"/>
      <c r="B792" s="94">
        <v>65</v>
      </c>
      <c r="C792" s="144" t="e">
        <f t="shared" si="341"/>
        <v>#REF!</v>
      </c>
      <c r="D792" s="144" t="e">
        <f t="shared" si="341"/>
        <v>#REF!</v>
      </c>
      <c r="E792" s="144" t="e">
        <f t="shared" si="341"/>
        <v>#REF!</v>
      </c>
      <c r="F792" s="144" t="e">
        <f t="shared" si="341"/>
        <v>#REF!</v>
      </c>
      <c r="G792" s="144" t="e">
        <f t="shared" si="341"/>
        <v>#REF!</v>
      </c>
      <c r="H792" s="144" t="e">
        <f t="shared" si="341"/>
        <v>#REF!</v>
      </c>
      <c r="I792" s="144" t="e">
        <f t="shared" si="341"/>
        <v>#REF!</v>
      </c>
      <c r="J792" s="144" t="e">
        <f t="shared" si="341"/>
        <v>#REF!</v>
      </c>
      <c r="K792" s="144" t="e">
        <f t="shared" si="341"/>
        <v>#REF!</v>
      </c>
      <c r="L792" s="35"/>
      <c r="M792" s="35"/>
      <c r="N792" s="35"/>
    </row>
    <row r="793" spans="1:14" x14ac:dyDescent="0.3">
      <c r="A793" s="397"/>
      <c r="B793" s="94">
        <v>70</v>
      </c>
      <c r="C793" s="144" t="e">
        <f t="shared" si="341"/>
        <v>#REF!</v>
      </c>
      <c r="D793" s="144" t="e">
        <f t="shared" si="341"/>
        <v>#REF!</v>
      </c>
      <c r="E793" s="144" t="e">
        <f t="shared" si="341"/>
        <v>#REF!</v>
      </c>
      <c r="F793" s="144" t="e">
        <f t="shared" si="341"/>
        <v>#REF!</v>
      </c>
      <c r="G793" s="144" t="e">
        <f t="shared" si="341"/>
        <v>#REF!</v>
      </c>
      <c r="H793" s="144" t="e">
        <f t="shared" si="341"/>
        <v>#REF!</v>
      </c>
      <c r="I793" s="144" t="e">
        <f t="shared" si="341"/>
        <v>#REF!</v>
      </c>
      <c r="J793" s="144" t="e">
        <f t="shared" si="341"/>
        <v>#REF!</v>
      </c>
      <c r="K793" s="144" t="e">
        <f t="shared" si="341"/>
        <v>#REF!</v>
      </c>
      <c r="L793" s="35"/>
      <c r="M793" s="35"/>
      <c r="N793" s="35"/>
    </row>
    <row r="794" spans="1:14" x14ac:dyDescent="0.3">
      <c r="A794" s="397"/>
      <c r="B794" s="94">
        <v>75</v>
      </c>
      <c r="C794" s="144" t="e">
        <f t="shared" si="341"/>
        <v>#REF!</v>
      </c>
      <c r="D794" s="144" t="e">
        <f t="shared" si="341"/>
        <v>#REF!</v>
      </c>
      <c r="E794" s="144" t="e">
        <f t="shared" si="341"/>
        <v>#REF!</v>
      </c>
      <c r="F794" s="144" t="e">
        <f t="shared" si="341"/>
        <v>#REF!</v>
      </c>
      <c r="G794" s="144" t="e">
        <f t="shared" si="341"/>
        <v>#REF!</v>
      </c>
      <c r="H794" s="144" t="e">
        <f t="shared" si="341"/>
        <v>#REF!</v>
      </c>
      <c r="I794" s="144" t="e">
        <f t="shared" si="341"/>
        <v>#REF!</v>
      </c>
      <c r="J794" s="144" t="e">
        <f t="shared" si="341"/>
        <v>#REF!</v>
      </c>
      <c r="K794" s="144" t="e">
        <f t="shared" si="341"/>
        <v>#REF!</v>
      </c>
      <c r="L794" s="35"/>
      <c r="M794" s="35"/>
      <c r="N794" s="35"/>
    </row>
    <row r="795" spans="1:14" x14ac:dyDescent="0.3">
      <c r="A795" s="397"/>
      <c r="B795" s="94">
        <v>80</v>
      </c>
      <c r="C795" s="144" t="e">
        <f t="shared" si="341"/>
        <v>#REF!</v>
      </c>
      <c r="D795" s="144" t="e">
        <f t="shared" si="341"/>
        <v>#REF!</v>
      </c>
      <c r="E795" s="144" t="e">
        <f t="shared" si="341"/>
        <v>#REF!</v>
      </c>
      <c r="F795" s="144" t="e">
        <f t="shared" si="341"/>
        <v>#REF!</v>
      </c>
      <c r="G795" s="144" t="e">
        <f t="shared" si="341"/>
        <v>#REF!</v>
      </c>
      <c r="H795" s="144" t="e">
        <f t="shared" si="341"/>
        <v>#REF!</v>
      </c>
      <c r="I795" s="144" t="e">
        <f t="shared" si="341"/>
        <v>#REF!</v>
      </c>
      <c r="J795" s="144" t="e">
        <f t="shared" si="341"/>
        <v>#REF!</v>
      </c>
      <c r="K795" s="144" t="e">
        <f t="shared" si="341"/>
        <v>#REF!</v>
      </c>
      <c r="L795" s="35"/>
      <c r="M795" s="35"/>
      <c r="N795" s="35"/>
    </row>
    <row r="796" spans="1:14" x14ac:dyDescent="0.3">
      <c r="A796" s="397"/>
      <c r="B796" s="94">
        <v>85</v>
      </c>
      <c r="C796" s="144" t="e">
        <f t="shared" si="341"/>
        <v>#REF!</v>
      </c>
      <c r="D796" s="144" t="e">
        <f t="shared" si="341"/>
        <v>#REF!</v>
      </c>
      <c r="E796" s="144" t="e">
        <f t="shared" si="341"/>
        <v>#REF!</v>
      </c>
      <c r="F796" s="144" t="e">
        <f t="shared" si="341"/>
        <v>#REF!</v>
      </c>
      <c r="G796" s="144" t="e">
        <f t="shared" si="341"/>
        <v>#REF!</v>
      </c>
      <c r="H796" s="144" t="e">
        <f t="shared" si="341"/>
        <v>#REF!</v>
      </c>
      <c r="I796" s="144" t="e">
        <f t="shared" si="341"/>
        <v>#REF!</v>
      </c>
      <c r="J796" s="144" t="e">
        <f t="shared" si="341"/>
        <v>#REF!</v>
      </c>
      <c r="K796" s="144" t="e">
        <f t="shared" si="341"/>
        <v>#REF!</v>
      </c>
      <c r="L796" s="35"/>
      <c r="M796" s="35"/>
      <c r="N796" s="35"/>
    </row>
    <row r="797" spans="1:14" x14ac:dyDescent="0.3">
      <c r="A797" s="397"/>
      <c r="B797" s="94">
        <v>90</v>
      </c>
      <c r="C797" s="144" t="e">
        <f t="shared" si="341"/>
        <v>#REF!</v>
      </c>
      <c r="D797" s="144" t="e">
        <f t="shared" si="341"/>
        <v>#REF!</v>
      </c>
      <c r="E797" s="144" t="e">
        <f t="shared" si="341"/>
        <v>#REF!</v>
      </c>
      <c r="F797" s="144" t="e">
        <f t="shared" si="341"/>
        <v>#REF!</v>
      </c>
      <c r="G797" s="144" t="e">
        <f t="shared" si="341"/>
        <v>#REF!</v>
      </c>
      <c r="H797" s="144" t="e">
        <f t="shared" si="341"/>
        <v>#REF!</v>
      </c>
      <c r="I797" s="144" t="e">
        <f t="shared" si="341"/>
        <v>#REF!</v>
      </c>
      <c r="J797" s="144" t="e">
        <f t="shared" si="341"/>
        <v>#REF!</v>
      </c>
      <c r="K797" s="144" t="e">
        <f t="shared" si="341"/>
        <v>#REF!</v>
      </c>
      <c r="L797" s="35"/>
      <c r="M797" s="35"/>
      <c r="N797" s="35"/>
    </row>
    <row r="798" spans="1:14" x14ac:dyDescent="0.3">
      <c r="A798" s="397"/>
      <c r="B798" s="94">
        <v>95</v>
      </c>
      <c r="C798" s="144" t="e">
        <f t="shared" si="341"/>
        <v>#REF!</v>
      </c>
      <c r="D798" s="144" t="e">
        <f t="shared" si="341"/>
        <v>#REF!</v>
      </c>
      <c r="E798" s="144" t="e">
        <f t="shared" si="341"/>
        <v>#REF!</v>
      </c>
      <c r="F798" s="144" t="e">
        <f t="shared" si="341"/>
        <v>#REF!</v>
      </c>
      <c r="G798" s="144" t="e">
        <f t="shared" si="341"/>
        <v>#REF!</v>
      </c>
      <c r="H798" s="144" t="e">
        <f t="shared" si="341"/>
        <v>#REF!</v>
      </c>
      <c r="I798" s="144" t="e">
        <f t="shared" si="341"/>
        <v>#REF!</v>
      </c>
      <c r="J798" s="144" t="e">
        <f t="shared" si="341"/>
        <v>#REF!</v>
      </c>
      <c r="K798" s="144" t="e">
        <f t="shared" si="341"/>
        <v>#REF!</v>
      </c>
      <c r="L798" s="35"/>
      <c r="M798" s="35"/>
      <c r="N798" s="35"/>
    </row>
    <row r="799" spans="1:14" x14ac:dyDescent="0.3">
      <c r="A799" s="397"/>
      <c r="B799" s="94">
        <v>100</v>
      </c>
      <c r="C799" s="144" t="e">
        <f t="shared" si="341"/>
        <v>#REF!</v>
      </c>
      <c r="D799" s="144" t="e">
        <f t="shared" si="341"/>
        <v>#REF!</v>
      </c>
      <c r="E799" s="144" t="e">
        <f t="shared" si="341"/>
        <v>#REF!</v>
      </c>
      <c r="F799" s="144" t="e">
        <f t="shared" si="341"/>
        <v>#REF!</v>
      </c>
      <c r="G799" s="144" t="e">
        <f t="shared" si="341"/>
        <v>#REF!</v>
      </c>
      <c r="H799" s="144" t="e">
        <f t="shared" si="341"/>
        <v>#REF!</v>
      </c>
      <c r="I799" s="144" t="e">
        <f t="shared" si="341"/>
        <v>#REF!</v>
      </c>
      <c r="J799" s="144" t="e">
        <f t="shared" si="341"/>
        <v>#REF!</v>
      </c>
      <c r="K799" s="144" t="e">
        <f t="shared" si="341"/>
        <v>#REF!</v>
      </c>
      <c r="L799" s="35"/>
      <c r="M799" s="35"/>
      <c r="N799" s="35"/>
    </row>
    <row r="800" spans="1:14" x14ac:dyDescent="0.3">
      <c r="A800" s="7"/>
      <c r="B800" s="37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</row>
    <row r="801" spans="1:14" x14ac:dyDescent="0.3">
      <c r="A801" s="415" t="s">
        <v>540</v>
      </c>
      <c r="B801" s="416"/>
      <c r="C801" s="416"/>
      <c r="D801" s="416"/>
      <c r="E801" s="416"/>
      <c r="F801" s="416"/>
      <c r="G801" s="416"/>
      <c r="H801" s="416"/>
      <c r="I801" s="416"/>
      <c r="J801" s="416"/>
      <c r="K801" s="369"/>
      <c r="L801" s="35"/>
      <c r="M801" s="35"/>
      <c r="N801" s="35"/>
    </row>
    <row r="802" spans="1:14" ht="15" customHeight="1" x14ac:dyDescent="0.3">
      <c r="A802" s="360"/>
      <c r="B802" s="361"/>
      <c r="C802" s="364" t="s">
        <v>230</v>
      </c>
      <c r="D802" s="365"/>
      <c r="E802" s="365"/>
      <c r="F802" s="365"/>
      <c r="G802" s="365"/>
      <c r="H802" s="365"/>
      <c r="I802" s="365"/>
      <c r="J802" s="365"/>
      <c r="K802" s="366"/>
      <c r="L802" s="35"/>
      <c r="M802" s="35"/>
      <c r="N802" s="35"/>
    </row>
    <row r="803" spans="1:14" ht="15" customHeight="1" x14ac:dyDescent="0.3">
      <c r="A803" s="362"/>
      <c r="B803" s="363"/>
      <c r="C803" s="94">
        <v>5</v>
      </c>
      <c r="D803" s="94">
        <v>10</v>
      </c>
      <c r="E803" s="94">
        <v>15</v>
      </c>
      <c r="F803" s="94">
        <v>20</v>
      </c>
      <c r="G803" s="94">
        <v>25</v>
      </c>
      <c r="H803" s="94">
        <v>30</v>
      </c>
      <c r="I803" s="94">
        <v>35</v>
      </c>
      <c r="J803" s="94">
        <v>40</v>
      </c>
      <c r="K803" s="94">
        <v>45</v>
      </c>
      <c r="L803" s="35"/>
      <c r="M803" s="35"/>
      <c r="N803" s="35"/>
    </row>
    <row r="804" spans="1:14" ht="15" customHeight="1" x14ac:dyDescent="0.3">
      <c r="A804" s="397" t="s">
        <v>231</v>
      </c>
      <c r="B804" s="94">
        <v>5</v>
      </c>
      <c r="C804" s="144" t="e">
        <f>DEGREES(ATAN(1/(C780*1000)))</f>
        <v>#REF!</v>
      </c>
      <c r="D804" s="144" t="e">
        <f t="shared" ref="D804:K804" si="342">DEGREES(ATAN(1/(D780*1000)))</f>
        <v>#REF!</v>
      </c>
      <c r="E804" s="144" t="e">
        <f t="shared" si="342"/>
        <v>#REF!</v>
      </c>
      <c r="F804" s="144" t="e">
        <f t="shared" si="342"/>
        <v>#REF!</v>
      </c>
      <c r="G804" s="144" t="e">
        <f t="shared" si="342"/>
        <v>#REF!</v>
      </c>
      <c r="H804" s="144" t="e">
        <f t="shared" si="342"/>
        <v>#REF!</v>
      </c>
      <c r="I804" s="144" t="e">
        <f t="shared" si="342"/>
        <v>#REF!</v>
      </c>
      <c r="J804" s="144" t="e">
        <f t="shared" si="342"/>
        <v>#REF!</v>
      </c>
      <c r="K804" s="144" t="e">
        <f t="shared" si="342"/>
        <v>#REF!</v>
      </c>
      <c r="L804" s="35"/>
      <c r="M804" s="35"/>
      <c r="N804" s="35"/>
    </row>
    <row r="805" spans="1:14" ht="15" customHeight="1" x14ac:dyDescent="0.3">
      <c r="A805" s="397"/>
      <c r="B805" s="94">
        <v>10</v>
      </c>
      <c r="C805" s="144" t="e">
        <f t="shared" ref="C805:K823" si="343">DEGREES(ATAN(1/(C781*1000)))</f>
        <v>#REF!</v>
      </c>
      <c r="D805" s="144" t="e">
        <f t="shared" si="343"/>
        <v>#REF!</v>
      </c>
      <c r="E805" s="144" t="e">
        <f t="shared" si="343"/>
        <v>#REF!</v>
      </c>
      <c r="F805" s="144" t="e">
        <f t="shared" si="343"/>
        <v>#REF!</v>
      </c>
      <c r="G805" s="144" t="e">
        <f t="shared" si="343"/>
        <v>#REF!</v>
      </c>
      <c r="H805" s="144" t="e">
        <f t="shared" si="343"/>
        <v>#REF!</v>
      </c>
      <c r="I805" s="144" t="e">
        <f t="shared" si="343"/>
        <v>#REF!</v>
      </c>
      <c r="J805" s="144" t="e">
        <f t="shared" si="343"/>
        <v>#REF!</v>
      </c>
      <c r="K805" s="144" t="e">
        <f t="shared" si="343"/>
        <v>#REF!</v>
      </c>
      <c r="L805" s="35"/>
      <c r="M805" s="35"/>
      <c r="N805" s="35"/>
    </row>
    <row r="806" spans="1:14" ht="15" customHeight="1" x14ac:dyDescent="0.3">
      <c r="A806" s="397"/>
      <c r="B806" s="94">
        <v>15</v>
      </c>
      <c r="C806" s="144" t="e">
        <f t="shared" si="343"/>
        <v>#REF!</v>
      </c>
      <c r="D806" s="144" t="e">
        <f t="shared" si="343"/>
        <v>#REF!</v>
      </c>
      <c r="E806" s="144" t="e">
        <f t="shared" si="343"/>
        <v>#REF!</v>
      </c>
      <c r="F806" s="144" t="e">
        <f t="shared" si="343"/>
        <v>#REF!</v>
      </c>
      <c r="G806" s="144" t="e">
        <f t="shared" si="343"/>
        <v>#REF!</v>
      </c>
      <c r="H806" s="144" t="e">
        <f t="shared" si="343"/>
        <v>#REF!</v>
      </c>
      <c r="I806" s="144" t="e">
        <f t="shared" si="343"/>
        <v>#REF!</v>
      </c>
      <c r="J806" s="144" t="e">
        <f t="shared" si="343"/>
        <v>#REF!</v>
      </c>
      <c r="K806" s="144" t="e">
        <f t="shared" si="343"/>
        <v>#REF!</v>
      </c>
      <c r="L806" s="35"/>
      <c r="M806" s="35"/>
      <c r="N806" s="35"/>
    </row>
    <row r="807" spans="1:14" ht="15" customHeight="1" x14ac:dyDescent="0.3">
      <c r="A807" s="397"/>
      <c r="B807" s="94">
        <v>20</v>
      </c>
      <c r="C807" s="144" t="e">
        <f t="shared" si="343"/>
        <v>#REF!</v>
      </c>
      <c r="D807" s="144" t="e">
        <f t="shared" si="343"/>
        <v>#REF!</v>
      </c>
      <c r="E807" s="144" t="e">
        <f t="shared" si="343"/>
        <v>#REF!</v>
      </c>
      <c r="F807" s="144" t="e">
        <f t="shared" si="343"/>
        <v>#REF!</v>
      </c>
      <c r="G807" s="144" t="e">
        <f t="shared" si="343"/>
        <v>#REF!</v>
      </c>
      <c r="H807" s="144" t="e">
        <f t="shared" si="343"/>
        <v>#REF!</v>
      </c>
      <c r="I807" s="144" t="e">
        <f t="shared" si="343"/>
        <v>#REF!</v>
      </c>
      <c r="J807" s="144" t="e">
        <f t="shared" si="343"/>
        <v>#REF!</v>
      </c>
      <c r="K807" s="144" t="e">
        <f t="shared" si="343"/>
        <v>#REF!</v>
      </c>
      <c r="L807" s="35"/>
      <c r="M807" s="35"/>
      <c r="N807" s="35"/>
    </row>
    <row r="808" spans="1:14" ht="15" customHeight="1" x14ac:dyDescent="0.3">
      <c r="A808" s="397"/>
      <c r="B808" s="94">
        <v>25</v>
      </c>
      <c r="C808" s="144" t="e">
        <f t="shared" si="343"/>
        <v>#REF!</v>
      </c>
      <c r="D808" s="144" t="e">
        <f t="shared" si="343"/>
        <v>#REF!</v>
      </c>
      <c r="E808" s="144" t="e">
        <f t="shared" si="343"/>
        <v>#REF!</v>
      </c>
      <c r="F808" s="144" t="e">
        <f t="shared" si="343"/>
        <v>#REF!</v>
      </c>
      <c r="G808" s="144" t="e">
        <f t="shared" si="343"/>
        <v>#REF!</v>
      </c>
      <c r="H808" s="144" t="e">
        <f t="shared" si="343"/>
        <v>#REF!</v>
      </c>
      <c r="I808" s="144" t="e">
        <f t="shared" si="343"/>
        <v>#REF!</v>
      </c>
      <c r="J808" s="144" t="e">
        <f t="shared" si="343"/>
        <v>#REF!</v>
      </c>
      <c r="K808" s="144" t="e">
        <f t="shared" si="343"/>
        <v>#REF!</v>
      </c>
      <c r="L808" s="35"/>
      <c r="M808" s="35"/>
      <c r="N808" s="35"/>
    </row>
    <row r="809" spans="1:14" ht="15" customHeight="1" x14ac:dyDescent="0.3">
      <c r="A809" s="397"/>
      <c r="B809" s="94">
        <v>30</v>
      </c>
      <c r="C809" s="144" t="e">
        <f t="shared" si="343"/>
        <v>#REF!</v>
      </c>
      <c r="D809" s="144" t="e">
        <f t="shared" si="343"/>
        <v>#REF!</v>
      </c>
      <c r="E809" s="144" t="e">
        <f t="shared" si="343"/>
        <v>#REF!</v>
      </c>
      <c r="F809" s="144" t="e">
        <f t="shared" si="343"/>
        <v>#REF!</v>
      </c>
      <c r="G809" s="144" t="e">
        <f t="shared" si="343"/>
        <v>#REF!</v>
      </c>
      <c r="H809" s="144" t="e">
        <f t="shared" si="343"/>
        <v>#REF!</v>
      </c>
      <c r="I809" s="144" t="e">
        <f t="shared" si="343"/>
        <v>#REF!</v>
      </c>
      <c r="J809" s="144" t="e">
        <f t="shared" si="343"/>
        <v>#REF!</v>
      </c>
      <c r="K809" s="144" t="e">
        <f t="shared" si="343"/>
        <v>#REF!</v>
      </c>
      <c r="L809" s="35"/>
      <c r="M809" s="35"/>
      <c r="N809" s="35"/>
    </row>
    <row r="810" spans="1:14" ht="15" customHeight="1" x14ac:dyDescent="0.3">
      <c r="A810" s="397"/>
      <c r="B810" s="94">
        <v>35</v>
      </c>
      <c r="C810" s="144" t="e">
        <f t="shared" si="343"/>
        <v>#REF!</v>
      </c>
      <c r="D810" s="144" t="e">
        <f t="shared" si="343"/>
        <v>#REF!</v>
      </c>
      <c r="E810" s="144" t="e">
        <f t="shared" si="343"/>
        <v>#REF!</v>
      </c>
      <c r="F810" s="144" t="e">
        <f t="shared" si="343"/>
        <v>#REF!</v>
      </c>
      <c r="G810" s="144" t="e">
        <f t="shared" si="343"/>
        <v>#REF!</v>
      </c>
      <c r="H810" s="144" t="e">
        <f t="shared" si="343"/>
        <v>#REF!</v>
      </c>
      <c r="I810" s="144" t="e">
        <f t="shared" si="343"/>
        <v>#REF!</v>
      </c>
      <c r="J810" s="144" t="e">
        <f t="shared" si="343"/>
        <v>#REF!</v>
      </c>
      <c r="K810" s="144" t="e">
        <f t="shared" si="343"/>
        <v>#REF!</v>
      </c>
      <c r="L810" s="35"/>
      <c r="M810" s="35"/>
      <c r="N810" s="35"/>
    </row>
    <row r="811" spans="1:14" ht="15" customHeight="1" x14ac:dyDescent="0.3">
      <c r="A811" s="397"/>
      <c r="B811" s="94">
        <v>40</v>
      </c>
      <c r="C811" s="144" t="e">
        <f t="shared" si="343"/>
        <v>#REF!</v>
      </c>
      <c r="D811" s="144" t="e">
        <f t="shared" si="343"/>
        <v>#REF!</v>
      </c>
      <c r="E811" s="144" t="e">
        <f t="shared" si="343"/>
        <v>#REF!</v>
      </c>
      <c r="F811" s="144" t="e">
        <f t="shared" si="343"/>
        <v>#REF!</v>
      </c>
      <c r="G811" s="144" t="e">
        <f t="shared" si="343"/>
        <v>#REF!</v>
      </c>
      <c r="H811" s="144" t="e">
        <f t="shared" si="343"/>
        <v>#REF!</v>
      </c>
      <c r="I811" s="144" t="e">
        <f t="shared" si="343"/>
        <v>#REF!</v>
      </c>
      <c r="J811" s="144" t="e">
        <f t="shared" si="343"/>
        <v>#REF!</v>
      </c>
      <c r="K811" s="144" t="e">
        <f t="shared" si="343"/>
        <v>#REF!</v>
      </c>
      <c r="L811" s="35"/>
      <c r="M811" s="35"/>
      <c r="N811" s="35"/>
    </row>
    <row r="812" spans="1:14" ht="15" customHeight="1" x14ac:dyDescent="0.3">
      <c r="A812" s="397"/>
      <c r="B812" s="94">
        <v>45</v>
      </c>
      <c r="C812" s="144" t="e">
        <f t="shared" si="343"/>
        <v>#REF!</v>
      </c>
      <c r="D812" s="144" t="e">
        <f t="shared" si="343"/>
        <v>#REF!</v>
      </c>
      <c r="E812" s="144" t="e">
        <f t="shared" si="343"/>
        <v>#REF!</v>
      </c>
      <c r="F812" s="144" t="e">
        <f t="shared" si="343"/>
        <v>#REF!</v>
      </c>
      <c r="G812" s="144" t="e">
        <f t="shared" si="343"/>
        <v>#REF!</v>
      </c>
      <c r="H812" s="144" t="e">
        <f t="shared" si="343"/>
        <v>#REF!</v>
      </c>
      <c r="I812" s="144" t="e">
        <f t="shared" si="343"/>
        <v>#REF!</v>
      </c>
      <c r="J812" s="144" t="e">
        <f t="shared" si="343"/>
        <v>#REF!</v>
      </c>
      <c r="K812" s="144" t="e">
        <f t="shared" si="343"/>
        <v>#REF!</v>
      </c>
      <c r="L812" s="35"/>
      <c r="M812" s="35"/>
      <c r="N812" s="35"/>
    </row>
    <row r="813" spans="1:14" ht="15" customHeight="1" x14ac:dyDescent="0.3">
      <c r="A813" s="397"/>
      <c r="B813" s="94">
        <v>50</v>
      </c>
      <c r="C813" s="144" t="e">
        <f t="shared" si="343"/>
        <v>#REF!</v>
      </c>
      <c r="D813" s="144" t="e">
        <f t="shared" si="343"/>
        <v>#REF!</v>
      </c>
      <c r="E813" s="144" t="e">
        <f t="shared" si="343"/>
        <v>#REF!</v>
      </c>
      <c r="F813" s="144" t="e">
        <f t="shared" si="343"/>
        <v>#REF!</v>
      </c>
      <c r="G813" s="144" t="e">
        <f t="shared" si="343"/>
        <v>#REF!</v>
      </c>
      <c r="H813" s="144" t="e">
        <f t="shared" si="343"/>
        <v>#REF!</v>
      </c>
      <c r="I813" s="144" t="e">
        <f t="shared" si="343"/>
        <v>#REF!</v>
      </c>
      <c r="J813" s="144" t="e">
        <f t="shared" si="343"/>
        <v>#REF!</v>
      </c>
      <c r="K813" s="144" t="e">
        <f t="shared" si="343"/>
        <v>#REF!</v>
      </c>
      <c r="L813" s="35"/>
      <c r="M813" s="35"/>
      <c r="N813" s="35"/>
    </row>
    <row r="814" spans="1:14" ht="15" customHeight="1" x14ac:dyDescent="0.3">
      <c r="A814" s="397"/>
      <c r="B814" s="94">
        <v>55</v>
      </c>
      <c r="C814" s="144" t="e">
        <f t="shared" si="343"/>
        <v>#REF!</v>
      </c>
      <c r="D814" s="144" t="e">
        <f t="shared" si="343"/>
        <v>#REF!</v>
      </c>
      <c r="E814" s="144" t="e">
        <f t="shared" si="343"/>
        <v>#REF!</v>
      </c>
      <c r="F814" s="144" t="e">
        <f t="shared" si="343"/>
        <v>#REF!</v>
      </c>
      <c r="G814" s="144" t="e">
        <f t="shared" si="343"/>
        <v>#REF!</v>
      </c>
      <c r="H814" s="144" t="e">
        <f t="shared" si="343"/>
        <v>#REF!</v>
      </c>
      <c r="I814" s="144" t="e">
        <f t="shared" si="343"/>
        <v>#REF!</v>
      </c>
      <c r="J814" s="144" t="e">
        <f t="shared" si="343"/>
        <v>#REF!</v>
      </c>
      <c r="K814" s="144" t="e">
        <f t="shared" si="343"/>
        <v>#REF!</v>
      </c>
      <c r="L814" s="35"/>
      <c r="M814" s="35"/>
      <c r="N814" s="35"/>
    </row>
    <row r="815" spans="1:14" ht="15" customHeight="1" x14ac:dyDescent="0.3">
      <c r="A815" s="397"/>
      <c r="B815" s="94">
        <v>60</v>
      </c>
      <c r="C815" s="144" t="e">
        <f t="shared" si="343"/>
        <v>#REF!</v>
      </c>
      <c r="D815" s="144" t="e">
        <f t="shared" si="343"/>
        <v>#REF!</v>
      </c>
      <c r="E815" s="144" t="e">
        <f t="shared" si="343"/>
        <v>#REF!</v>
      </c>
      <c r="F815" s="144" t="e">
        <f t="shared" si="343"/>
        <v>#REF!</v>
      </c>
      <c r="G815" s="144" t="e">
        <f t="shared" si="343"/>
        <v>#REF!</v>
      </c>
      <c r="H815" s="144" t="e">
        <f t="shared" si="343"/>
        <v>#REF!</v>
      </c>
      <c r="I815" s="144" t="e">
        <f t="shared" si="343"/>
        <v>#REF!</v>
      </c>
      <c r="J815" s="144" t="e">
        <f t="shared" si="343"/>
        <v>#REF!</v>
      </c>
      <c r="K815" s="144" t="e">
        <f t="shared" si="343"/>
        <v>#REF!</v>
      </c>
      <c r="L815" s="35"/>
      <c r="M815" s="35"/>
      <c r="N815" s="35"/>
    </row>
    <row r="816" spans="1:14" ht="15" customHeight="1" x14ac:dyDescent="0.3">
      <c r="A816" s="397"/>
      <c r="B816" s="94">
        <v>65</v>
      </c>
      <c r="C816" s="144" t="e">
        <f t="shared" si="343"/>
        <v>#REF!</v>
      </c>
      <c r="D816" s="144" t="e">
        <f t="shared" si="343"/>
        <v>#REF!</v>
      </c>
      <c r="E816" s="144" t="e">
        <f t="shared" si="343"/>
        <v>#REF!</v>
      </c>
      <c r="F816" s="144" t="e">
        <f t="shared" si="343"/>
        <v>#REF!</v>
      </c>
      <c r="G816" s="144" t="e">
        <f t="shared" si="343"/>
        <v>#REF!</v>
      </c>
      <c r="H816" s="144" t="e">
        <f t="shared" si="343"/>
        <v>#REF!</v>
      </c>
      <c r="I816" s="144" t="e">
        <f t="shared" si="343"/>
        <v>#REF!</v>
      </c>
      <c r="J816" s="144" t="e">
        <f t="shared" si="343"/>
        <v>#REF!</v>
      </c>
      <c r="K816" s="144" t="e">
        <f t="shared" si="343"/>
        <v>#REF!</v>
      </c>
      <c r="L816" s="35"/>
      <c r="M816" s="35"/>
      <c r="N816" s="35"/>
    </row>
    <row r="817" spans="1:14" ht="15" customHeight="1" x14ac:dyDescent="0.3">
      <c r="A817" s="397"/>
      <c r="B817" s="94">
        <v>70</v>
      </c>
      <c r="C817" s="144" t="e">
        <f t="shared" si="343"/>
        <v>#REF!</v>
      </c>
      <c r="D817" s="144" t="e">
        <f t="shared" si="343"/>
        <v>#REF!</v>
      </c>
      <c r="E817" s="144" t="e">
        <f t="shared" si="343"/>
        <v>#REF!</v>
      </c>
      <c r="F817" s="144" t="e">
        <f t="shared" si="343"/>
        <v>#REF!</v>
      </c>
      <c r="G817" s="144" t="e">
        <f t="shared" si="343"/>
        <v>#REF!</v>
      </c>
      <c r="H817" s="144" t="e">
        <f t="shared" si="343"/>
        <v>#REF!</v>
      </c>
      <c r="I817" s="144" t="e">
        <f t="shared" si="343"/>
        <v>#REF!</v>
      </c>
      <c r="J817" s="144" t="e">
        <f t="shared" si="343"/>
        <v>#REF!</v>
      </c>
      <c r="K817" s="144" t="e">
        <f t="shared" si="343"/>
        <v>#REF!</v>
      </c>
      <c r="L817" s="35"/>
      <c r="M817" s="35"/>
      <c r="N817" s="35"/>
    </row>
    <row r="818" spans="1:14" ht="15" customHeight="1" x14ac:dyDescent="0.3">
      <c r="A818" s="397"/>
      <c r="B818" s="94">
        <v>75</v>
      </c>
      <c r="C818" s="144" t="e">
        <f t="shared" si="343"/>
        <v>#REF!</v>
      </c>
      <c r="D818" s="144" t="e">
        <f t="shared" si="343"/>
        <v>#REF!</v>
      </c>
      <c r="E818" s="144" t="e">
        <f t="shared" si="343"/>
        <v>#REF!</v>
      </c>
      <c r="F818" s="144" t="e">
        <f t="shared" si="343"/>
        <v>#REF!</v>
      </c>
      <c r="G818" s="144" t="e">
        <f t="shared" si="343"/>
        <v>#REF!</v>
      </c>
      <c r="H818" s="144" t="e">
        <f t="shared" si="343"/>
        <v>#REF!</v>
      </c>
      <c r="I818" s="144" t="e">
        <f t="shared" si="343"/>
        <v>#REF!</v>
      </c>
      <c r="J818" s="144" t="e">
        <f t="shared" si="343"/>
        <v>#REF!</v>
      </c>
      <c r="K818" s="144" t="e">
        <f t="shared" si="343"/>
        <v>#REF!</v>
      </c>
      <c r="L818" s="35"/>
      <c r="M818" s="35"/>
      <c r="N818" s="35"/>
    </row>
    <row r="819" spans="1:14" ht="15" customHeight="1" x14ac:dyDescent="0.3">
      <c r="A819" s="397"/>
      <c r="B819" s="94">
        <v>80</v>
      </c>
      <c r="C819" s="144" t="e">
        <f t="shared" si="343"/>
        <v>#REF!</v>
      </c>
      <c r="D819" s="144" t="e">
        <f t="shared" si="343"/>
        <v>#REF!</v>
      </c>
      <c r="E819" s="144" t="e">
        <f t="shared" si="343"/>
        <v>#REF!</v>
      </c>
      <c r="F819" s="144" t="e">
        <f t="shared" si="343"/>
        <v>#REF!</v>
      </c>
      <c r="G819" s="144" t="e">
        <f t="shared" si="343"/>
        <v>#REF!</v>
      </c>
      <c r="H819" s="144" t="e">
        <f t="shared" si="343"/>
        <v>#REF!</v>
      </c>
      <c r="I819" s="144" t="e">
        <f t="shared" si="343"/>
        <v>#REF!</v>
      </c>
      <c r="J819" s="144" t="e">
        <f t="shared" si="343"/>
        <v>#REF!</v>
      </c>
      <c r="K819" s="144" t="e">
        <f t="shared" si="343"/>
        <v>#REF!</v>
      </c>
      <c r="L819" s="35"/>
      <c r="M819" s="35"/>
      <c r="N819" s="35"/>
    </row>
    <row r="820" spans="1:14" ht="15" customHeight="1" x14ac:dyDescent="0.3">
      <c r="A820" s="397"/>
      <c r="B820" s="94">
        <v>85</v>
      </c>
      <c r="C820" s="144" t="e">
        <f t="shared" si="343"/>
        <v>#REF!</v>
      </c>
      <c r="D820" s="144" t="e">
        <f t="shared" si="343"/>
        <v>#REF!</v>
      </c>
      <c r="E820" s="144" t="e">
        <f t="shared" si="343"/>
        <v>#REF!</v>
      </c>
      <c r="F820" s="144" t="e">
        <f t="shared" si="343"/>
        <v>#REF!</v>
      </c>
      <c r="G820" s="144" t="e">
        <f t="shared" si="343"/>
        <v>#REF!</v>
      </c>
      <c r="H820" s="144" t="e">
        <f t="shared" si="343"/>
        <v>#REF!</v>
      </c>
      <c r="I820" s="144" t="e">
        <f t="shared" si="343"/>
        <v>#REF!</v>
      </c>
      <c r="J820" s="144" t="e">
        <f t="shared" si="343"/>
        <v>#REF!</v>
      </c>
      <c r="K820" s="144" t="e">
        <f t="shared" si="343"/>
        <v>#REF!</v>
      </c>
      <c r="L820" s="35"/>
      <c r="M820" s="35"/>
      <c r="N820" s="35"/>
    </row>
    <row r="821" spans="1:14" ht="15" customHeight="1" x14ac:dyDescent="0.3">
      <c r="A821" s="397"/>
      <c r="B821" s="94">
        <v>90</v>
      </c>
      <c r="C821" s="144" t="e">
        <f t="shared" si="343"/>
        <v>#REF!</v>
      </c>
      <c r="D821" s="144" t="e">
        <f t="shared" si="343"/>
        <v>#REF!</v>
      </c>
      <c r="E821" s="144" t="e">
        <f t="shared" si="343"/>
        <v>#REF!</v>
      </c>
      <c r="F821" s="144" t="e">
        <f t="shared" si="343"/>
        <v>#REF!</v>
      </c>
      <c r="G821" s="144" t="e">
        <f t="shared" si="343"/>
        <v>#REF!</v>
      </c>
      <c r="H821" s="144" t="e">
        <f t="shared" si="343"/>
        <v>#REF!</v>
      </c>
      <c r="I821" s="144" t="e">
        <f t="shared" si="343"/>
        <v>#REF!</v>
      </c>
      <c r="J821" s="144" t="e">
        <f t="shared" si="343"/>
        <v>#REF!</v>
      </c>
      <c r="K821" s="144" t="e">
        <f t="shared" si="343"/>
        <v>#REF!</v>
      </c>
      <c r="L821" s="35"/>
      <c r="M821" s="35"/>
      <c r="N821" s="35"/>
    </row>
    <row r="822" spans="1:14" ht="15" customHeight="1" x14ac:dyDescent="0.3">
      <c r="A822" s="397"/>
      <c r="B822" s="94">
        <v>95</v>
      </c>
      <c r="C822" s="144" t="e">
        <f t="shared" si="343"/>
        <v>#REF!</v>
      </c>
      <c r="D822" s="144" t="e">
        <f t="shared" si="343"/>
        <v>#REF!</v>
      </c>
      <c r="E822" s="144" t="e">
        <f t="shared" si="343"/>
        <v>#REF!</v>
      </c>
      <c r="F822" s="144" t="e">
        <f t="shared" si="343"/>
        <v>#REF!</v>
      </c>
      <c r="G822" s="144" t="e">
        <f t="shared" si="343"/>
        <v>#REF!</v>
      </c>
      <c r="H822" s="144" t="e">
        <f t="shared" si="343"/>
        <v>#REF!</v>
      </c>
      <c r="I822" s="144" t="e">
        <f t="shared" si="343"/>
        <v>#REF!</v>
      </c>
      <c r="J822" s="144" t="e">
        <f t="shared" si="343"/>
        <v>#REF!</v>
      </c>
      <c r="K822" s="144" t="e">
        <f t="shared" si="343"/>
        <v>#REF!</v>
      </c>
      <c r="L822" s="35"/>
      <c r="M822" s="35"/>
      <c r="N822" s="35"/>
    </row>
    <row r="823" spans="1:14" ht="15" customHeight="1" x14ac:dyDescent="0.3">
      <c r="A823" s="397"/>
      <c r="B823" s="94">
        <v>100</v>
      </c>
      <c r="C823" s="144" t="e">
        <f t="shared" si="343"/>
        <v>#REF!</v>
      </c>
      <c r="D823" s="144" t="e">
        <f t="shared" si="343"/>
        <v>#REF!</v>
      </c>
      <c r="E823" s="144" t="e">
        <f t="shared" si="343"/>
        <v>#REF!</v>
      </c>
      <c r="F823" s="144" t="e">
        <f t="shared" si="343"/>
        <v>#REF!</v>
      </c>
      <c r="G823" s="144" t="e">
        <f t="shared" si="343"/>
        <v>#REF!</v>
      </c>
      <c r="H823" s="144" t="e">
        <f t="shared" si="343"/>
        <v>#REF!</v>
      </c>
      <c r="I823" s="144" t="e">
        <f t="shared" si="343"/>
        <v>#REF!</v>
      </c>
      <c r="J823" s="144" t="e">
        <f t="shared" si="343"/>
        <v>#REF!</v>
      </c>
      <c r="K823" s="144" t="e">
        <f t="shared" si="343"/>
        <v>#REF!</v>
      </c>
      <c r="L823" s="35"/>
      <c r="M823" s="35"/>
      <c r="N823" s="35"/>
    </row>
    <row r="824" spans="1:14" ht="15" customHeight="1" x14ac:dyDescent="0.3">
      <c r="A824" s="7"/>
      <c r="B824" s="37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</row>
    <row r="825" spans="1:14" ht="15" customHeight="1" x14ac:dyDescent="0.3">
      <c r="A825" s="415" t="s">
        <v>506</v>
      </c>
      <c r="B825" s="416"/>
      <c r="C825" s="416"/>
      <c r="D825" s="416"/>
      <c r="E825" s="416"/>
      <c r="F825" s="416"/>
      <c r="G825" s="416"/>
      <c r="H825" s="416"/>
      <c r="I825" s="416"/>
      <c r="J825" s="416"/>
      <c r="K825" s="369"/>
      <c r="L825" s="35"/>
      <c r="M825" s="35"/>
      <c r="N825" s="35"/>
    </row>
    <row r="826" spans="1:14" ht="15" customHeight="1" x14ac:dyDescent="0.3">
      <c r="A826" s="360"/>
      <c r="B826" s="361"/>
      <c r="C826" s="364" t="s">
        <v>230</v>
      </c>
      <c r="D826" s="365"/>
      <c r="E826" s="365"/>
      <c r="F826" s="365"/>
      <c r="G826" s="365"/>
      <c r="H826" s="365"/>
      <c r="I826" s="365"/>
      <c r="J826" s="365"/>
      <c r="K826" s="366"/>
      <c r="L826" s="35"/>
      <c r="M826" s="35"/>
      <c r="N826" s="35"/>
    </row>
    <row r="827" spans="1:14" x14ac:dyDescent="0.3">
      <c r="A827" s="362"/>
      <c r="B827" s="363"/>
      <c r="C827" s="94">
        <v>5</v>
      </c>
      <c r="D827" s="94">
        <v>10</v>
      </c>
      <c r="E827" s="94">
        <v>15</v>
      </c>
      <c r="F827" s="94">
        <v>20</v>
      </c>
      <c r="G827" s="94">
        <v>25</v>
      </c>
      <c r="H827" s="94">
        <v>30</v>
      </c>
      <c r="I827" s="94">
        <v>35</v>
      </c>
      <c r="J827" s="94">
        <v>40</v>
      </c>
      <c r="K827" s="94">
        <v>45</v>
      </c>
      <c r="L827" s="35"/>
      <c r="M827" s="35"/>
      <c r="N827" s="35"/>
    </row>
    <row r="828" spans="1:14" x14ac:dyDescent="0.3">
      <c r="A828" s="397" t="s">
        <v>231</v>
      </c>
      <c r="B828" s="94">
        <v>5</v>
      </c>
      <c r="C828" s="144" t="e">
        <f t="shared" ref="C828:K828" si="344">TAN(C703)*($G$521/2)</f>
        <v>#REF!</v>
      </c>
      <c r="D828" s="144" t="e">
        <f t="shared" si="344"/>
        <v>#REF!</v>
      </c>
      <c r="E828" s="144" t="e">
        <f t="shared" si="344"/>
        <v>#REF!</v>
      </c>
      <c r="F828" s="144" t="e">
        <f t="shared" si="344"/>
        <v>#REF!</v>
      </c>
      <c r="G828" s="144" t="e">
        <f t="shared" si="344"/>
        <v>#REF!</v>
      </c>
      <c r="H828" s="144" t="e">
        <f t="shared" si="344"/>
        <v>#REF!</v>
      </c>
      <c r="I828" s="144" t="e">
        <f t="shared" si="344"/>
        <v>#REF!</v>
      </c>
      <c r="J828" s="144" t="e">
        <f t="shared" si="344"/>
        <v>#REF!</v>
      </c>
      <c r="K828" s="144" t="e">
        <f t="shared" si="344"/>
        <v>#REF!</v>
      </c>
      <c r="L828" s="35"/>
      <c r="M828" s="35"/>
      <c r="N828" s="35"/>
    </row>
    <row r="829" spans="1:14" x14ac:dyDescent="0.3">
      <c r="A829" s="397"/>
      <c r="B829" s="94">
        <v>10</v>
      </c>
      <c r="C829" s="144" t="e">
        <f t="shared" ref="C829:K829" si="345">TAN(C704)*($G$521/2)</f>
        <v>#REF!</v>
      </c>
      <c r="D829" s="144" t="e">
        <f t="shared" si="345"/>
        <v>#REF!</v>
      </c>
      <c r="E829" s="144" t="e">
        <f t="shared" si="345"/>
        <v>#REF!</v>
      </c>
      <c r="F829" s="144" t="e">
        <f t="shared" si="345"/>
        <v>#REF!</v>
      </c>
      <c r="G829" s="144" t="e">
        <f t="shared" si="345"/>
        <v>#REF!</v>
      </c>
      <c r="H829" s="144" t="e">
        <f t="shared" si="345"/>
        <v>#REF!</v>
      </c>
      <c r="I829" s="144" t="e">
        <f t="shared" si="345"/>
        <v>#REF!</v>
      </c>
      <c r="J829" s="144" t="e">
        <f t="shared" si="345"/>
        <v>#REF!</v>
      </c>
      <c r="K829" s="144" t="e">
        <f t="shared" si="345"/>
        <v>#REF!</v>
      </c>
      <c r="L829" s="35"/>
      <c r="M829" s="35"/>
      <c r="N829" s="35"/>
    </row>
    <row r="830" spans="1:14" x14ac:dyDescent="0.3">
      <c r="A830" s="397"/>
      <c r="B830" s="94">
        <v>15</v>
      </c>
      <c r="C830" s="144" t="e">
        <f t="shared" ref="C830:K830" si="346">TAN(C705)*($G$521/2)</f>
        <v>#REF!</v>
      </c>
      <c r="D830" s="144" t="e">
        <f t="shared" si="346"/>
        <v>#REF!</v>
      </c>
      <c r="E830" s="144" t="e">
        <f t="shared" si="346"/>
        <v>#REF!</v>
      </c>
      <c r="F830" s="144" t="e">
        <f t="shared" si="346"/>
        <v>#REF!</v>
      </c>
      <c r="G830" s="144" t="e">
        <f t="shared" si="346"/>
        <v>#REF!</v>
      </c>
      <c r="H830" s="144" t="e">
        <f t="shared" si="346"/>
        <v>#REF!</v>
      </c>
      <c r="I830" s="144" t="e">
        <f t="shared" si="346"/>
        <v>#REF!</v>
      </c>
      <c r="J830" s="144" t="e">
        <f t="shared" si="346"/>
        <v>#REF!</v>
      </c>
      <c r="K830" s="144" t="e">
        <f t="shared" si="346"/>
        <v>#REF!</v>
      </c>
      <c r="L830" s="35"/>
      <c r="M830" s="35"/>
      <c r="N830" s="35"/>
    </row>
    <row r="831" spans="1:14" x14ac:dyDescent="0.3">
      <c r="A831" s="397"/>
      <c r="B831" s="94">
        <v>20</v>
      </c>
      <c r="C831" s="144" t="e">
        <f t="shared" ref="C831:K831" si="347">TAN(C706)*($G$521/2)</f>
        <v>#REF!</v>
      </c>
      <c r="D831" s="144" t="e">
        <f t="shared" si="347"/>
        <v>#REF!</v>
      </c>
      <c r="E831" s="144" t="e">
        <f t="shared" si="347"/>
        <v>#REF!</v>
      </c>
      <c r="F831" s="144" t="e">
        <f t="shared" si="347"/>
        <v>#REF!</v>
      </c>
      <c r="G831" s="144" t="e">
        <f t="shared" si="347"/>
        <v>#REF!</v>
      </c>
      <c r="H831" s="144" t="e">
        <f t="shared" si="347"/>
        <v>#REF!</v>
      </c>
      <c r="I831" s="144" t="e">
        <f t="shared" si="347"/>
        <v>#REF!</v>
      </c>
      <c r="J831" s="144" t="e">
        <f t="shared" si="347"/>
        <v>#REF!</v>
      </c>
      <c r="K831" s="144" t="e">
        <f t="shared" si="347"/>
        <v>#REF!</v>
      </c>
      <c r="L831" s="35"/>
      <c r="M831" s="35"/>
      <c r="N831" s="35"/>
    </row>
    <row r="832" spans="1:14" x14ac:dyDescent="0.3">
      <c r="A832" s="397"/>
      <c r="B832" s="94">
        <v>25</v>
      </c>
      <c r="C832" s="144" t="e">
        <f t="shared" ref="C832:K832" si="348">TAN(C707)*($G$521/2)</f>
        <v>#REF!</v>
      </c>
      <c r="D832" s="144" t="e">
        <f t="shared" si="348"/>
        <v>#REF!</v>
      </c>
      <c r="E832" s="144" t="e">
        <f t="shared" si="348"/>
        <v>#REF!</v>
      </c>
      <c r="F832" s="144" t="e">
        <f t="shared" si="348"/>
        <v>#REF!</v>
      </c>
      <c r="G832" s="144" t="e">
        <f t="shared" si="348"/>
        <v>#REF!</v>
      </c>
      <c r="H832" s="144" t="e">
        <f t="shared" si="348"/>
        <v>#REF!</v>
      </c>
      <c r="I832" s="144" t="e">
        <f t="shared" si="348"/>
        <v>#REF!</v>
      </c>
      <c r="J832" s="144" t="e">
        <f t="shared" si="348"/>
        <v>#REF!</v>
      </c>
      <c r="K832" s="144" t="e">
        <f t="shared" si="348"/>
        <v>#REF!</v>
      </c>
      <c r="L832" s="35"/>
      <c r="M832" s="35"/>
      <c r="N832" s="35"/>
    </row>
    <row r="833" spans="1:14" x14ac:dyDescent="0.3">
      <c r="A833" s="397"/>
      <c r="B833" s="94">
        <v>30</v>
      </c>
      <c r="C833" s="144" t="e">
        <f t="shared" ref="C833:K833" si="349">TAN(C708)*($G$521/2)</f>
        <v>#REF!</v>
      </c>
      <c r="D833" s="144" t="e">
        <f t="shared" si="349"/>
        <v>#REF!</v>
      </c>
      <c r="E833" s="144" t="e">
        <f t="shared" si="349"/>
        <v>#REF!</v>
      </c>
      <c r="F833" s="144" t="e">
        <f t="shared" si="349"/>
        <v>#REF!</v>
      </c>
      <c r="G833" s="144" t="e">
        <f t="shared" si="349"/>
        <v>#REF!</v>
      </c>
      <c r="H833" s="144" t="e">
        <f t="shared" si="349"/>
        <v>#REF!</v>
      </c>
      <c r="I833" s="144" t="e">
        <f t="shared" si="349"/>
        <v>#REF!</v>
      </c>
      <c r="J833" s="144" t="e">
        <f t="shared" si="349"/>
        <v>#REF!</v>
      </c>
      <c r="K833" s="144" t="e">
        <f t="shared" si="349"/>
        <v>#REF!</v>
      </c>
      <c r="L833" s="35"/>
      <c r="M833" s="35"/>
      <c r="N833" s="35"/>
    </row>
    <row r="834" spans="1:14" x14ac:dyDescent="0.3">
      <c r="A834" s="397"/>
      <c r="B834" s="94">
        <v>35</v>
      </c>
      <c r="C834" s="144" t="e">
        <f t="shared" ref="C834:K834" si="350">TAN(C709)*($G$521/2)</f>
        <v>#REF!</v>
      </c>
      <c r="D834" s="144" t="e">
        <f t="shared" si="350"/>
        <v>#REF!</v>
      </c>
      <c r="E834" s="144" t="e">
        <f t="shared" si="350"/>
        <v>#REF!</v>
      </c>
      <c r="F834" s="144" t="e">
        <f t="shared" si="350"/>
        <v>#REF!</v>
      </c>
      <c r="G834" s="144" t="e">
        <f t="shared" si="350"/>
        <v>#REF!</v>
      </c>
      <c r="H834" s="144" t="e">
        <f t="shared" si="350"/>
        <v>#REF!</v>
      </c>
      <c r="I834" s="144" t="e">
        <f t="shared" si="350"/>
        <v>#REF!</v>
      </c>
      <c r="J834" s="144" t="e">
        <f t="shared" si="350"/>
        <v>#REF!</v>
      </c>
      <c r="K834" s="144" t="e">
        <f t="shared" si="350"/>
        <v>#REF!</v>
      </c>
      <c r="L834" s="35"/>
      <c r="M834" s="35"/>
      <c r="N834" s="35"/>
    </row>
    <row r="835" spans="1:14" x14ac:dyDescent="0.3">
      <c r="A835" s="397"/>
      <c r="B835" s="94">
        <v>40</v>
      </c>
      <c r="C835" s="144" t="e">
        <f t="shared" ref="C835:K835" si="351">TAN(C710)*($G$521/2)</f>
        <v>#REF!</v>
      </c>
      <c r="D835" s="144" t="e">
        <f t="shared" si="351"/>
        <v>#REF!</v>
      </c>
      <c r="E835" s="144" t="e">
        <f t="shared" si="351"/>
        <v>#REF!</v>
      </c>
      <c r="F835" s="144" t="e">
        <f t="shared" si="351"/>
        <v>#REF!</v>
      </c>
      <c r="G835" s="144" t="e">
        <f t="shared" si="351"/>
        <v>#REF!</v>
      </c>
      <c r="H835" s="144" t="e">
        <f t="shared" si="351"/>
        <v>#REF!</v>
      </c>
      <c r="I835" s="144" t="e">
        <f t="shared" si="351"/>
        <v>#REF!</v>
      </c>
      <c r="J835" s="144" t="e">
        <f t="shared" si="351"/>
        <v>#REF!</v>
      </c>
      <c r="K835" s="144" t="e">
        <f t="shared" si="351"/>
        <v>#REF!</v>
      </c>
      <c r="L835" s="35"/>
      <c r="M835" s="35"/>
      <c r="N835" s="35"/>
    </row>
    <row r="836" spans="1:14" x14ac:dyDescent="0.3">
      <c r="A836" s="397"/>
      <c r="B836" s="94">
        <v>45</v>
      </c>
      <c r="C836" s="144" t="e">
        <f t="shared" ref="C836:K836" si="352">TAN(C711)*($G$521/2)</f>
        <v>#REF!</v>
      </c>
      <c r="D836" s="144" t="e">
        <f t="shared" si="352"/>
        <v>#REF!</v>
      </c>
      <c r="E836" s="144" t="e">
        <f t="shared" si="352"/>
        <v>#REF!</v>
      </c>
      <c r="F836" s="144" t="e">
        <f t="shared" si="352"/>
        <v>#REF!</v>
      </c>
      <c r="G836" s="144" t="e">
        <f t="shared" si="352"/>
        <v>#REF!</v>
      </c>
      <c r="H836" s="144" t="e">
        <f t="shared" si="352"/>
        <v>#REF!</v>
      </c>
      <c r="I836" s="144" t="e">
        <f t="shared" si="352"/>
        <v>#REF!</v>
      </c>
      <c r="J836" s="144" t="e">
        <f t="shared" si="352"/>
        <v>#REF!</v>
      </c>
      <c r="K836" s="144" t="e">
        <f t="shared" si="352"/>
        <v>#REF!</v>
      </c>
      <c r="L836" s="35"/>
      <c r="M836" s="35"/>
      <c r="N836" s="35"/>
    </row>
    <row r="837" spans="1:14" x14ac:dyDescent="0.3">
      <c r="A837" s="397"/>
      <c r="B837" s="94">
        <v>50</v>
      </c>
      <c r="C837" s="144" t="e">
        <f t="shared" ref="C837:K837" si="353">TAN(C712)*($G$521/2)</f>
        <v>#REF!</v>
      </c>
      <c r="D837" s="144" t="e">
        <f t="shared" si="353"/>
        <v>#REF!</v>
      </c>
      <c r="E837" s="144" t="e">
        <f t="shared" si="353"/>
        <v>#REF!</v>
      </c>
      <c r="F837" s="144" t="e">
        <f t="shared" si="353"/>
        <v>#REF!</v>
      </c>
      <c r="G837" s="144" t="e">
        <f t="shared" si="353"/>
        <v>#REF!</v>
      </c>
      <c r="H837" s="144" t="e">
        <f t="shared" si="353"/>
        <v>#REF!</v>
      </c>
      <c r="I837" s="144" t="e">
        <f t="shared" si="353"/>
        <v>#REF!</v>
      </c>
      <c r="J837" s="144" t="e">
        <f t="shared" si="353"/>
        <v>#REF!</v>
      </c>
      <c r="K837" s="144" t="e">
        <f t="shared" si="353"/>
        <v>#REF!</v>
      </c>
      <c r="L837" s="35"/>
      <c r="M837" s="35"/>
      <c r="N837" s="35"/>
    </row>
    <row r="838" spans="1:14" x14ac:dyDescent="0.3">
      <c r="A838" s="397"/>
      <c r="B838" s="94">
        <v>55</v>
      </c>
      <c r="C838" s="144" t="e">
        <f t="shared" ref="C838:K838" si="354">TAN(C713)*($G$521/2)</f>
        <v>#REF!</v>
      </c>
      <c r="D838" s="144" t="e">
        <f t="shared" si="354"/>
        <v>#REF!</v>
      </c>
      <c r="E838" s="144" t="e">
        <f t="shared" si="354"/>
        <v>#REF!</v>
      </c>
      <c r="F838" s="144" t="e">
        <f t="shared" si="354"/>
        <v>#REF!</v>
      </c>
      <c r="G838" s="144" t="e">
        <f t="shared" si="354"/>
        <v>#REF!</v>
      </c>
      <c r="H838" s="144" t="e">
        <f t="shared" si="354"/>
        <v>#REF!</v>
      </c>
      <c r="I838" s="144" t="e">
        <f t="shared" si="354"/>
        <v>#REF!</v>
      </c>
      <c r="J838" s="144" t="e">
        <f t="shared" si="354"/>
        <v>#REF!</v>
      </c>
      <c r="K838" s="144" t="e">
        <f t="shared" si="354"/>
        <v>#REF!</v>
      </c>
      <c r="L838" s="35"/>
      <c r="M838" s="35"/>
      <c r="N838" s="35"/>
    </row>
    <row r="839" spans="1:14" x14ac:dyDescent="0.3">
      <c r="A839" s="397"/>
      <c r="B839" s="94">
        <v>60</v>
      </c>
      <c r="C839" s="144" t="e">
        <f t="shared" ref="C839:K839" si="355">TAN(C714)*($G$521/2)</f>
        <v>#REF!</v>
      </c>
      <c r="D839" s="144" t="e">
        <f t="shared" si="355"/>
        <v>#REF!</v>
      </c>
      <c r="E839" s="144" t="e">
        <f t="shared" si="355"/>
        <v>#REF!</v>
      </c>
      <c r="F839" s="144" t="e">
        <f t="shared" si="355"/>
        <v>#REF!</v>
      </c>
      <c r="G839" s="144" t="e">
        <f t="shared" si="355"/>
        <v>#REF!</v>
      </c>
      <c r="H839" s="144" t="e">
        <f t="shared" si="355"/>
        <v>#REF!</v>
      </c>
      <c r="I839" s="144" t="e">
        <f t="shared" si="355"/>
        <v>#REF!</v>
      </c>
      <c r="J839" s="144" t="e">
        <f t="shared" si="355"/>
        <v>#REF!</v>
      </c>
      <c r="K839" s="144" t="e">
        <f t="shared" si="355"/>
        <v>#REF!</v>
      </c>
      <c r="L839" s="35"/>
      <c r="M839" s="35"/>
      <c r="N839" s="35"/>
    </row>
    <row r="840" spans="1:14" x14ac:dyDescent="0.3">
      <c r="A840" s="397"/>
      <c r="B840" s="94">
        <v>65</v>
      </c>
      <c r="C840" s="144" t="e">
        <f t="shared" ref="C840:K840" si="356">TAN(C715)*($G$521/2)</f>
        <v>#REF!</v>
      </c>
      <c r="D840" s="144" t="e">
        <f t="shared" si="356"/>
        <v>#REF!</v>
      </c>
      <c r="E840" s="144" t="e">
        <f t="shared" si="356"/>
        <v>#REF!</v>
      </c>
      <c r="F840" s="144" t="e">
        <f t="shared" si="356"/>
        <v>#REF!</v>
      </c>
      <c r="G840" s="144" t="e">
        <f t="shared" si="356"/>
        <v>#REF!</v>
      </c>
      <c r="H840" s="144" t="e">
        <f t="shared" si="356"/>
        <v>#REF!</v>
      </c>
      <c r="I840" s="144" t="e">
        <f t="shared" si="356"/>
        <v>#REF!</v>
      </c>
      <c r="J840" s="144" t="e">
        <f t="shared" si="356"/>
        <v>#REF!</v>
      </c>
      <c r="K840" s="144" t="e">
        <f t="shared" si="356"/>
        <v>#REF!</v>
      </c>
      <c r="L840" s="35"/>
      <c r="M840" s="35"/>
      <c r="N840" s="35"/>
    </row>
    <row r="841" spans="1:14" x14ac:dyDescent="0.3">
      <c r="A841" s="397"/>
      <c r="B841" s="94">
        <v>70</v>
      </c>
      <c r="C841" s="144" t="e">
        <f t="shared" ref="C841:K841" si="357">TAN(C716)*($G$521/2)</f>
        <v>#REF!</v>
      </c>
      <c r="D841" s="144" t="e">
        <f t="shared" si="357"/>
        <v>#REF!</v>
      </c>
      <c r="E841" s="144" t="e">
        <f t="shared" si="357"/>
        <v>#REF!</v>
      </c>
      <c r="F841" s="144" t="e">
        <f t="shared" si="357"/>
        <v>#REF!</v>
      </c>
      <c r="G841" s="144" t="e">
        <f t="shared" si="357"/>
        <v>#REF!</v>
      </c>
      <c r="H841" s="144" t="e">
        <f t="shared" si="357"/>
        <v>#REF!</v>
      </c>
      <c r="I841" s="144" t="e">
        <f t="shared" si="357"/>
        <v>#REF!</v>
      </c>
      <c r="J841" s="144" t="e">
        <f t="shared" si="357"/>
        <v>#REF!</v>
      </c>
      <c r="K841" s="144" t="e">
        <f t="shared" si="357"/>
        <v>#REF!</v>
      </c>
      <c r="L841" s="35"/>
      <c r="M841" s="35"/>
      <c r="N841" s="35"/>
    </row>
    <row r="842" spans="1:14" x14ac:dyDescent="0.3">
      <c r="A842" s="397"/>
      <c r="B842" s="94">
        <v>75</v>
      </c>
      <c r="C842" s="144" t="e">
        <f t="shared" ref="C842:K842" si="358">TAN(C717)*($G$521/2)</f>
        <v>#REF!</v>
      </c>
      <c r="D842" s="144" t="e">
        <f t="shared" si="358"/>
        <v>#REF!</v>
      </c>
      <c r="E842" s="144" t="e">
        <f t="shared" si="358"/>
        <v>#REF!</v>
      </c>
      <c r="F842" s="144" t="e">
        <f t="shared" si="358"/>
        <v>#REF!</v>
      </c>
      <c r="G842" s="144" t="e">
        <f t="shared" si="358"/>
        <v>#REF!</v>
      </c>
      <c r="H842" s="144" t="e">
        <f t="shared" si="358"/>
        <v>#REF!</v>
      </c>
      <c r="I842" s="144" t="e">
        <f t="shared" si="358"/>
        <v>#REF!</v>
      </c>
      <c r="J842" s="144" t="e">
        <f t="shared" si="358"/>
        <v>#REF!</v>
      </c>
      <c r="K842" s="144" t="e">
        <f t="shared" si="358"/>
        <v>#REF!</v>
      </c>
      <c r="L842" s="35"/>
      <c r="M842" s="35"/>
      <c r="N842" s="35"/>
    </row>
    <row r="843" spans="1:14" x14ac:dyDescent="0.3">
      <c r="A843" s="397"/>
      <c r="B843" s="94">
        <v>80</v>
      </c>
      <c r="C843" s="144" t="e">
        <f t="shared" ref="C843:K843" si="359">TAN(C718)*($G$521/2)</f>
        <v>#REF!</v>
      </c>
      <c r="D843" s="144" t="e">
        <f t="shared" si="359"/>
        <v>#REF!</v>
      </c>
      <c r="E843" s="144" t="e">
        <f t="shared" si="359"/>
        <v>#REF!</v>
      </c>
      <c r="F843" s="144" t="e">
        <f t="shared" si="359"/>
        <v>#REF!</v>
      </c>
      <c r="G843" s="144" t="e">
        <f t="shared" si="359"/>
        <v>#REF!</v>
      </c>
      <c r="H843" s="144" t="e">
        <f t="shared" si="359"/>
        <v>#REF!</v>
      </c>
      <c r="I843" s="144" t="e">
        <f t="shared" si="359"/>
        <v>#REF!</v>
      </c>
      <c r="J843" s="144" t="e">
        <f t="shared" si="359"/>
        <v>#REF!</v>
      </c>
      <c r="K843" s="144" t="e">
        <f t="shared" si="359"/>
        <v>#REF!</v>
      </c>
      <c r="L843" s="35"/>
      <c r="M843" s="35"/>
      <c r="N843" s="35"/>
    </row>
    <row r="844" spans="1:14" x14ac:dyDescent="0.3">
      <c r="A844" s="397"/>
      <c r="B844" s="94">
        <v>85</v>
      </c>
      <c r="C844" s="144" t="e">
        <f t="shared" ref="C844:K844" si="360">TAN(C719)*($G$521/2)</f>
        <v>#REF!</v>
      </c>
      <c r="D844" s="144" t="e">
        <f t="shared" si="360"/>
        <v>#REF!</v>
      </c>
      <c r="E844" s="144" t="e">
        <f t="shared" si="360"/>
        <v>#REF!</v>
      </c>
      <c r="F844" s="144" t="e">
        <f t="shared" si="360"/>
        <v>#REF!</v>
      </c>
      <c r="G844" s="144" t="e">
        <f t="shared" si="360"/>
        <v>#REF!</v>
      </c>
      <c r="H844" s="144" t="e">
        <f t="shared" si="360"/>
        <v>#REF!</v>
      </c>
      <c r="I844" s="144" t="e">
        <f t="shared" si="360"/>
        <v>#REF!</v>
      </c>
      <c r="J844" s="144" t="e">
        <f t="shared" si="360"/>
        <v>#REF!</v>
      </c>
      <c r="K844" s="144" t="e">
        <f t="shared" si="360"/>
        <v>#REF!</v>
      </c>
      <c r="L844" s="35"/>
      <c r="M844" s="35"/>
      <c r="N844" s="35"/>
    </row>
    <row r="845" spans="1:14" x14ac:dyDescent="0.3">
      <c r="A845" s="397"/>
      <c r="B845" s="94">
        <v>90</v>
      </c>
      <c r="C845" s="144" t="e">
        <f t="shared" ref="C845:K845" si="361">TAN(C720)*($G$521/2)</f>
        <v>#REF!</v>
      </c>
      <c r="D845" s="144" t="e">
        <f t="shared" si="361"/>
        <v>#REF!</v>
      </c>
      <c r="E845" s="144" t="e">
        <f t="shared" si="361"/>
        <v>#REF!</v>
      </c>
      <c r="F845" s="144" t="e">
        <f t="shared" si="361"/>
        <v>#REF!</v>
      </c>
      <c r="G845" s="144" t="e">
        <f t="shared" si="361"/>
        <v>#REF!</v>
      </c>
      <c r="H845" s="144" t="e">
        <f t="shared" si="361"/>
        <v>#REF!</v>
      </c>
      <c r="I845" s="144" t="e">
        <f t="shared" si="361"/>
        <v>#REF!</v>
      </c>
      <c r="J845" s="144" t="e">
        <f t="shared" si="361"/>
        <v>#REF!</v>
      </c>
      <c r="K845" s="144" t="e">
        <f t="shared" si="361"/>
        <v>#REF!</v>
      </c>
      <c r="L845" s="35"/>
      <c r="M845" s="35"/>
      <c r="N845" s="35"/>
    </row>
    <row r="846" spans="1:14" x14ac:dyDescent="0.3">
      <c r="A846" s="397"/>
      <c r="B846" s="94">
        <v>95</v>
      </c>
      <c r="C846" s="144" t="e">
        <f t="shared" ref="C846:K846" si="362">TAN(C721)*($G$521/2)</f>
        <v>#REF!</v>
      </c>
      <c r="D846" s="144" t="e">
        <f t="shared" si="362"/>
        <v>#REF!</v>
      </c>
      <c r="E846" s="144" t="e">
        <f t="shared" si="362"/>
        <v>#REF!</v>
      </c>
      <c r="F846" s="144" t="e">
        <f t="shared" si="362"/>
        <v>#REF!</v>
      </c>
      <c r="G846" s="144" t="e">
        <f t="shared" si="362"/>
        <v>#REF!</v>
      </c>
      <c r="H846" s="144" t="e">
        <f t="shared" si="362"/>
        <v>#REF!</v>
      </c>
      <c r="I846" s="144" t="e">
        <f t="shared" si="362"/>
        <v>#REF!</v>
      </c>
      <c r="J846" s="144" t="e">
        <f t="shared" si="362"/>
        <v>#REF!</v>
      </c>
      <c r="K846" s="144" t="e">
        <f t="shared" si="362"/>
        <v>#REF!</v>
      </c>
      <c r="L846" s="35"/>
      <c r="M846" s="35"/>
      <c r="N846" s="35"/>
    </row>
    <row r="847" spans="1:14" x14ac:dyDescent="0.3">
      <c r="A847" s="397"/>
      <c r="B847" s="94">
        <v>100</v>
      </c>
      <c r="C847" s="144" t="e">
        <f t="shared" ref="C847:K847" si="363">TAN(C722)*($G$521/2)</f>
        <v>#REF!</v>
      </c>
      <c r="D847" s="144" t="e">
        <f t="shared" si="363"/>
        <v>#REF!</v>
      </c>
      <c r="E847" s="144" t="e">
        <f t="shared" si="363"/>
        <v>#REF!</v>
      </c>
      <c r="F847" s="144" t="e">
        <f t="shared" si="363"/>
        <v>#REF!</v>
      </c>
      <c r="G847" s="144" t="e">
        <f t="shared" si="363"/>
        <v>#REF!</v>
      </c>
      <c r="H847" s="144" t="e">
        <f t="shared" si="363"/>
        <v>#REF!</v>
      </c>
      <c r="I847" s="144" t="e">
        <f t="shared" si="363"/>
        <v>#REF!</v>
      </c>
      <c r="J847" s="144" t="e">
        <f t="shared" si="363"/>
        <v>#REF!</v>
      </c>
      <c r="K847" s="144" t="e">
        <f t="shared" si="363"/>
        <v>#REF!</v>
      </c>
      <c r="L847" s="35"/>
      <c r="M847" s="35"/>
      <c r="N847" s="35"/>
    </row>
    <row r="848" spans="1:14" x14ac:dyDescent="0.3">
      <c r="A848" s="7"/>
      <c r="B848" s="37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</row>
    <row r="849" spans="1:14" x14ac:dyDescent="0.3">
      <c r="A849" s="415" t="s">
        <v>259</v>
      </c>
      <c r="B849" s="416"/>
      <c r="C849" s="416"/>
      <c r="D849" s="416"/>
      <c r="E849" s="416"/>
      <c r="F849" s="416"/>
      <c r="G849" s="369"/>
      <c r="H849" s="35"/>
      <c r="I849" s="35"/>
      <c r="J849" s="35"/>
      <c r="K849" s="35"/>
      <c r="L849" s="35"/>
      <c r="M849" s="35"/>
      <c r="N849" s="35"/>
    </row>
    <row r="850" spans="1:14" x14ac:dyDescent="0.3">
      <c r="A850" s="7"/>
      <c r="B850" s="37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</row>
    <row r="851" spans="1:14" x14ac:dyDescent="0.3">
      <c r="A851" s="102" t="s">
        <v>240</v>
      </c>
      <c r="B851" s="96">
        <v>3</v>
      </c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</row>
    <row r="852" spans="1:14" x14ac:dyDescent="0.3">
      <c r="A852" s="104" t="s">
        <v>189</v>
      </c>
      <c r="B852" s="105">
        <f>RADIANS(B851)</f>
        <v>5.235987755982989E-2</v>
      </c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</row>
    <row r="853" spans="1:14" x14ac:dyDescent="0.3">
      <c r="A853" s="102" t="s">
        <v>241</v>
      </c>
      <c r="B853" s="96">
        <v>2</v>
      </c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</row>
    <row r="854" spans="1:14" x14ac:dyDescent="0.3">
      <c r="A854" s="104" t="s">
        <v>189</v>
      </c>
      <c r="B854" s="105">
        <f>RADIANS(B853)</f>
        <v>3.4906585039886591E-2</v>
      </c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</row>
    <row r="855" spans="1:14" x14ac:dyDescent="0.3">
      <c r="A855" s="102" t="s">
        <v>242</v>
      </c>
      <c r="B855" s="96">
        <v>3</v>
      </c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</row>
    <row r="856" spans="1:14" x14ac:dyDescent="0.3">
      <c r="A856" s="104" t="s">
        <v>189</v>
      </c>
      <c r="B856" s="105">
        <f>RADIANS(B855)</f>
        <v>5.235987755982989E-2</v>
      </c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</row>
    <row r="857" spans="1:14" x14ac:dyDescent="0.3">
      <c r="A857" s="102" t="s">
        <v>243</v>
      </c>
      <c r="B857" s="96">
        <v>2</v>
      </c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</row>
    <row r="858" spans="1:14" x14ac:dyDescent="0.3">
      <c r="A858" s="104" t="s">
        <v>189</v>
      </c>
      <c r="B858" s="105">
        <f>RADIANS(B857)</f>
        <v>3.4906585039886591E-2</v>
      </c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</row>
    <row r="859" spans="1:14" x14ac:dyDescent="0.3">
      <c r="A859" s="7"/>
      <c r="B859" s="37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</row>
    <row r="860" spans="1:14" x14ac:dyDescent="0.3">
      <c r="A860" s="367" t="s">
        <v>244</v>
      </c>
      <c r="B860" s="367"/>
      <c r="C860" s="35"/>
      <c r="D860" s="35"/>
      <c r="E860" s="35"/>
      <c r="F860" s="420" t="s">
        <v>257</v>
      </c>
      <c r="G860" s="421"/>
      <c r="H860" s="35"/>
      <c r="I860" s="35"/>
      <c r="J860" s="35"/>
      <c r="K860" s="35"/>
      <c r="L860" s="35"/>
      <c r="M860" s="35"/>
      <c r="N860" s="35"/>
    </row>
    <row r="861" spans="1:14" x14ac:dyDescent="0.3">
      <c r="A861" s="7"/>
      <c r="B861" s="37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</row>
    <row r="862" spans="1:14" x14ac:dyDescent="0.3">
      <c r="A862" s="376" t="s">
        <v>191</v>
      </c>
      <c r="B862" s="376"/>
      <c r="C862" s="35"/>
      <c r="D862" s="35"/>
      <c r="E862" s="35"/>
      <c r="F862" s="200" t="s">
        <v>191</v>
      </c>
      <c r="G862" s="200"/>
      <c r="H862" s="35"/>
      <c r="I862" s="35"/>
      <c r="J862" s="35"/>
      <c r="K862" s="35"/>
      <c r="L862" s="35"/>
      <c r="M862" s="35"/>
      <c r="N862" s="35"/>
    </row>
    <row r="863" spans="1:14" x14ac:dyDescent="0.3">
      <c r="A863" s="403" t="s">
        <v>190</v>
      </c>
      <c r="B863" s="403"/>
      <c r="C863" s="35"/>
      <c r="D863" s="35"/>
      <c r="E863" s="35"/>
      <c r="F863" s="201" t="s">
        <v>190</v>
      </c>
      <c r="G863" s="201"/>
      <c r="H863" s="35"/>
      <c r="I863" s="35"/>
      <c r="J863" s="35"/>
      <c r="K863" s="35"/>
      <c r="L863" s="35"/>
      <c r="M863" s="35"/>
      <c r="N863" s="35"/>
    </row>
    <row r="864" spans="1:14" x14ac:dyDescent="0.3">
      <c r="A864" s="376" t="s">
        <v>192</v>
      </c>
      <c r="B864" s="376"/>
      <c r="C864" s="35"/>
      <c r="D864" s="35"/>
      <c r="E864" s="35"/>
      <c r="F864" s="200" t="s">
        <v>192</v>
      </c>
      <c r="G864" s="200"/>
      <c r="H864" s="35"/>
      <c r="I864" s="35"/>
      <c r="J864" s="35"/>
      <c r="K864" s="35"/>
      <c r="L864" s="35"/>
      <c r="M864" s="35"/>
      <c r="N864" s="35"/>
    </row>
    <row r="865" spans="1:14" x14ac:dyDescent="0.3">
      <c r="A865" s="403" t="s">
        <v>193</v>
      </c>
      <c r="B865" s="403"/>
      <c r="C865" s="35"/>
      <c r="D865" s="35"/>
      <c r="E865" s="35"/>
      <c r="F865" s="201" t="s">
        <v>193</v>
      </c>
      <c r="G865" s="201"/>
      <c r="H865" s="35"/>
      <c r="I865" s="35"/>
      <c r="J865" s="35"/>
      <c r="K865" s="35"/>
      <c r="L865" s="35"/>
      <c r="M865" s="35"/>
      <c r="N865" s="35"/>
    </row>
    <row r="866" spans="1:14" x14ac:dyDescent="0.3">
      <c r="A866" s="95" t="s">
        <v>194</v>
      </c>
      <c r="B866" s="100">
        <f>(-TAN(B852))</f>
        <v>-5.240777928304121E-2</v>
      </c>
      <c r="C866" s="35"/>
      <c r="D866" s="35"/>
      <c r="E866" s="35"/>
      <c r="F866" s="98" t="s">
        <v>194</v>
      </c>
      <c r="G866" s="100">
        <f>TAN(B856)</f>
        <v>5.240777928304121E-2</v>
      </c>
      <c r="H866" s="35"/>
      <c r="I866" s="35"/>
      <c r="J866" s="35"/>
      <c r="K866" s="35"/>
      <c r="L866" s="35"/>
      <c r="M866" s="35"/>
      <c r="N866" s="35"/>
    </row>
    <row r="867" spans="1:14" x14ac:dyDescent="0.3">
      <c r="A867" s="95" t="s">
        <v>195</v>
      </c>
      <c r="B867" s="100">
        <f>TAN(B854)</f>
        <v>3.492076949174773E-2</v>
      </c>
      <c r="C867" s="35"/>
      <c r="D867" s="35"/>
      <c r="E867" s="35"/>
      <c r="F867" s="98" t="s">
        <v>195</v>
      </c>
      <c r="G867" s="100">
        <f>(-TAN(B858))</f>
        <v>-3.492076949174773E-2</v>
      </c>
      <c r="H867" s="35"/>
      <c r="I867" s="35"/>
      <c r="J867" s="35"/>
      <c r="K867" s="35"/>
      <c r="L867" s="35"/>
      <c r="M867" s="35"/>
      <c r="N867" s="35"/>
    </row>
    <row r="868" spans="1:14" x14ac:dyDescent="0.3">
      <c r="A868" s="95" t="s">
        <v>250</v>
      </c>
      <c r="B868" s="96">
        <v>0.1</v>
      </c>
      <c r="C868" s="35"/>
      <c r="D868" s="35"/>
      <c r="E868" s="35"/>
      <c r="F868" s="98" t="s">
        <v>250</v>
      </c>
      <c r="G868" s="96">
        <v>0.1</v>
      </c>
      <c r="H868" s="35"/>
      <c r="I868" s="35"/>
      <c r="J868" s="35"/>
      <c r="K868" s="35"/>
      <c r="L868" s="35"/>
      <c r="M868" s="35"/>
      <c r="N868" s="35"/>
    </row>
    <row r="869" spans="1:14" x14ac:dyDescent="0.3">
      <c r="A869" s="95" t="s">
        <v>249</v>
      </c>
      <c r="B869" s="96">
        <v>0.1</v>
      </c>
      <c r="C869" s="35"/>
      <c r="D869" s="35"/>
      <c r="E869" s="35"/>
      <c r="F869" s="98" t="s">
        <v>249</v>
      </c>
      <c r="G869" s="96">
        <v>0.1</v>
      </c>
      <c r="H869" s="35"/>
      <c r="I869" s="35"/>
      <c r="J869" s="35"/>
      <c r="K869" s="35"/>
      <c r="L869" s="35"/>
      <c r="M869" s="35"/>
      <c r="N869" s="35"/>
    </row>
    <row r="870" spans="1:14" x14ac:dyDescent="0.3">
      <c r="A870" s="95" t="s">
        <v>246</v>
      </c>
      <c r="B870" s="96">
        <v>0.1</v>
      </c>
      <c r="C870" s="35"/>
      <c r="D870" s="35"/>
      <c r="E870" s="35"/>
      <c r="F870" s="98" t="s">
        <v>246</v>
      </c>
      <c r="G870" s="96">
        <v>0.1</v>
      </c>
      <c r="H870" s="35"/>
      <c r="I870" s="35"/>
      <c r="J870" s="35"/>
      <c r="K870" s="35"/>
      <c r="L870" s="35"/>
      <c r="M870" s="35"/>
      <c r="N870" s="35"/>
    </row>
    <row r="871" spans="1:14" x14ac:dyDescent="0.3">
      <c r="A871" s="95" t="s">
        <v>245</v>
      </c>
      <c r="B871" s="100">
        <f>((0.5*C4)+B870)*(TAN(B852))</f>
        <v>7.3370890996257696E-2</v>
      </c>
      <c r="C871" s="35"/>
      <c r="D871" s="35"/>
      <c r="E871" s="35"/>
      <c r="F871" s="98" t="s">
        <v>245</v>
      </c>
      <c r="G871" s="100">
        <f>((0.5*C4)+G870)*(TAN(B856))</f>
        <v>7.3370890996257696E-2</v>
      </c>
      <c r="H871" s="35"/>
      <c r="I871" s="35"/>
      <c r="J871" s="35"/>
      <c r="K871" s="35"/>
      <c r="L871" s="35"/>
      <c r="M871" s="35"/>
      <c r="N871" s="35"/>
    </row>
    <row r="872" spans="1:14" x14ac:dyDescent="0.3">
      <c r="A872" s="95" t="s">
        <v>247</v>
      </c>
      <c r="B872" s="96">
        <v>0.1</v>
      </c>
      <c r="C872" s="35"/>
      <c r="D872" s="35"/>
      <c r="E872" s="35"/>
      <c r="F872" s="98" t="s">
        <v>247</v>
      </c>
      <c r="G872" s="96">
        <v>0.1</v>
      </c>
      <c r="H872" s="35"/>
      <c r="I872" s="35"/>
      <c r="J872" s="35"/>
      <c r="K872" s="35"/>
      <c r="L872" s="35"/>
      <c r="M872" s="35"/>
      <c r="N872" s="35"/>
    </row>
    <row r="873" spans="1:14" x14ac:dyDescent="0.3">
      <c r="A873" s="95" t="s">
        <v>248</v>
      </c>
      <c r="B873" s="100">
        <f>(B872+(0.5*C4))*(TAN(B854))</f>
        <v>4.8889077288446825E-2</v>
      </c>
      <c r="C873" s="35"/>
      <c r="D873" s="35"/>
      <c r="E873" s="35"/>
      <c r="F873" s="98" t="s">
        <v>248</v>
      </c>
      <c r="G873" s="100">
        <f>(G872+(0.5*C4))*(TAN(B858))</f>
        <v>4.8889077288446825E-2</v>
      </c>
      <c r="H873" s="35"/>
      <c r="I873" s="35"/>
      <c r="J873" s="35"/>
      <c r="K873" s="35"/>
      <c r="L873" s="35"/>
      <c r="M873" s="35"/>
      <c r="N873" s="35"/>
    </row>
    <row r="874" spans="1:14" x14ac:dyDescent="0.3">
      <c r="A874" s="95" t="s">
        <v>204</v>
      </c>
      <c r="B874" s="100">
        <f>B869+B868-B871</f>
        <v>0.1266291090037423</v>
      </c>
      <c r="C874" s="35"/>
      <c r="D874" s="35"/>
      <c r="E874" s="35"/>
      <c r="F874" s="98" t="s">
        <v>204</v>
      </c>
      <c r="G874" s="100">
        <f>G869+G868-G871</f>
        <v>0.1266291090037423</v>
      </c>
      <c r="H874" s="35"/>
      <c r="I874" s="35"/>
      <c r="J874" s="35"/>
      <c r="K874" s="35"/>
      <c r="L874" s="35"/>
      <c r="M874" s="35"/>
      <c r="N874" s="35"/>
    </row>
    <row r="875" spans="1:14" x14ac:dyDescent="0.3">
      <c r="A875" s="95" t="s">
        <v>199</v>
      </c>
      <c r="B875" s="100">
        <f>B873</f>
        <v>4.8889077288446825E-2</v>
      </c>
      <c r="C875" s="35"/>
      <c r="D875" s="35"/>
      <c r="E875" s="35"/>
      <c r="F875" s="98" t="s">
        <v>199</v>
      </c>
      <c r="G875" s="100">
        <f>G873</f>
        <v>4.8889077288446825E-2</v>
      </c>
      <c r="H875" s="35"/>
      <c r="I875" s="35"/>
      <c r="J875" s="35"/>
      <c r="K875" s="35"/>
      <c r="L875" s="35"/>
      <c r="M875" s="35"/>
      <c r="N875" s="35"/>
    </row>
    <row r="876" spans="1:14" x14ac:dyDescent="0.3">
      <c r="A876" s="95" t="s">
        <v>205</v>
      </c>
      <c r="B876" s="100">
        <f>(B869+B868-B871-B873)/(-B866+B867)</f>
        <v>0.89020180463297027</v>
      </c>
      <c r="C876" s="35"/>
      <c r="D876" s="35"/>
      <c r="E876" s="35"/>
      <c r="F876" s="98" t="s">
        <v>205</v>
      </c>
      <c r="G876" s="100">
        <f>(G869+G868-G871-G873)/(-G866+G867)</f>
        <v>-0.89020180463297027</v>
      </c>
      <c r="H876" s="35"/>
      <c r="I876" s="35"/>
      <c r="J876" s="35"/>
      <c r="K876" s="35"/>
      <c r="L876" s="35"/>
      <c r="M876" s="35"/>
      <c r="N876" s="35"/>
    </row>
    <row r="877" spans="1:14" x14ac:dyDescent="0.3">
      <c r="A877" s="7"/>
      <c r="B877" s="37"/>
      <c r="C877" s="35"/>
      <c r="D877" s="35"/>
      <c r="E877" s="35"/>
      <c r="F877" s="7"/>
      <c r="G877" s="37"/>
      <c r="H877" s="35"/>
      <c r="I877" s="35"/>
      <c r="J877" s="35"/>
      <c r="K877" s="35"/>
      <c r="L877" s="35"/>
      <c r="M877" s="35"/>
      <c r="N877" s="35"/>
    </row>
    <row r="878" spans="1:14" x14ac:dyDescent="0.3">
      <c r="A878" s="357" t="s">
        <v>251</v>
      </c>
      <c r="B878" s="358"/>
      <c r="C878" s="358"/>
      <c r="D878" s="358"/>
      <c r="E878" s="358"/>
      <c r="F878" s="358"/>
      <c r="G878" s="359"/>
      <c r="H878" s="35"/>
      <c r="I878" s="35"/>
      <c r="J878" s="35"/>
      <c r="K878" s="35"/>
      <c r="L878" s="35"/>
      <c r="M878" s="35"/>
      <c r="N878" s="35"/>
    </row>
    <row r="879" spans="1:14" x14ac:dyDescent="0.3">
      <c r="A879" s="7"/>
      <c r="B879" s="37"/>
      <c r="C879" s="35"/>
      <c r="D879" s="35"/>
      <c r="E879" s="35"/>
      <c r="F879" s="7"/>
      <c r="G879" s="37"/>
      <c r="H879" s="35"/>
      <c r="I879" s="35"/>
      <c r="J879" s="35"/>
      <c r="K879" s="35"/>
      <c r="L879" s="35"/>
      <c r="M879" s="35"/>
      <c r="N879" s="35"/>
    </row>
    <row r="880" spans="1:14" x14ac:dyDescent="0.3">
      <c r="A880" s="98" t="s">
        <v>253</v>
      </c>
      <c r="B880" s="100">
        <f>(0.5*C4)+ABS(B876)</f>
        <v>2.1902018046329701</v>
      </c>
      <c r="C880" s="35"/>
      <c r="D880" s="35"/>
      <c r="E880" s="35"/>
      <c r="F880" s="98" t="s">
        <v>253</v>
      </c>
      <c r="G880" s="100">
        <f>(0.5*C4)+ABS(G876)</f>
        <v>2.1902018046329701</v>
      </c>
      <c r="H880" s="35"/>
      <c r="I880" s="35"/>
      <c r="J880" s="35"/>
      <c r="K880" s="35"/>
      <c r="L880" s="35"/>
      <c r="M880" s="35"/>
      <c r="N880" s="35"/>
    </row>
    <row r="881" spans="1:14" x14ac:dyDescent="0.3">
      <c r="A881" s="7"/>
      <c r="B881" s="37"/>
      <c r="C881" s="35"/>
      <c r="D881" s="35"/>
      <c r="E881" s="35"/>
      <c r="F881" s="7"/>
      <c r="G881" s="37"/>
      <c r="H881" s="35"/>
      <c r="I881" s="35"/>
      <c r="J881" s="35"/>
      <c r="K881" s="35"/>
      <c r="L881" s="35"/>
      <c r="M881" s="35"/>
      <c r="N881" s="35"/>
    </row>
    <row r="882" spans="1:14" x14ac:dyDescent="0.3">
      <c r="A882" s="357" t="s">
        <v>255</v>
      </c>
      <c r="B882" s="358"/>
      <c r="C882" s="358"/>
      <c r="D882" s="358"/>
      <c r="E882" s="358"/>
      <c r="F882" s="358"/>
      <c r="G882" s="359"/>
      <c r="H882" s="35"/>
      <c r="I882" s="35"/>
      <c r="J882" s="35"/>
      <c r="K882" s="35"/>
      <c r="L882" s="35"/>
      <c r="M882" s="35"/>
      <c r="N882" s="35"/>
    </row>
    <row r="883" spans="1:14" x14ac:dyDescent="0.3">
      <c r="A883" s="7"/>
      <c r="B883" s="37"/>
      <c r="C883" s="35"/>
      <c r="D883" s="35"/>
      <c r="E883" s="35"/>
      <c r="F883" s="7"/>
      <c r="G883" s="37"/>
      <c r="H883" s="35"/>
      <c r="I883" s="35"/>
      <c r="J883" s="35"/>
      <c r="K883" s="35"/>
      <c r="L883" s="35"/>
      <c r="M883" s="35"/>
      <c r="N883" s="35"/>
    </row>
    <row r="884" spans="1:14" x14ac:dyDescent="0.3">
      <c r="A884" s="102" t="s">
        <v>212</v>
      </c>
      <c r="B884" s="100">
        <f>C127</f>
        <v>0.51639999999999997</v>
      </c>
      <c r="C884" s="35"/>
      <c r="D884" s="35"/>
      <c r="E884" s="35"/>
      <c r="F884" s="7"/>
      <c r="G884" s="99"/>
      <c r="H884" s="35"/>
      <c r="I884" s="35"/>
      <c r="J884" s="35"/>
      <c r="K884" s="35"/>
      <c r="L884" s="35"/>
      <c r="M884" s="35"/>
      <c r="N884" s="35"/>
    </row>
    <row r="885" spans="1:14" x14ac:dyDescent="0.3">
      <c r="A885" s="101"/>
      <c r="B885" s="99"/>
      <c r="C885" s="35"/>
      <c r="D885" s="35"/>
      <c r="E885" s="35"/>
      <c r="F885" s="7"/>
      <c r="G885" s="99"/>
      <c r="H885" s="35"/>
      <c r="I885" s="35"/>
      <c r="J885" s="35"/>
      <c r="K885" s="35"/>
      <c r="L885" s="35"/>
      <c r="M885" s="35"/>
      <c r="N885" s="35"/>
    </row>
    <row r="886" spans="1:14" x14ac:dyDescent="0.3">
      <c r="A886" s="404" t="s">
        <v>256</v>
      </c>
      <c r="B886" s="404"/>
      <c r="C886" s="35"/>
      <c r="D886" s="35"/>
      <c r="E886" s="35"/>
      <c r="F886" s="409" t="s">
        <v>258</v>
      </c>
      <c r="G886" s="410"/>
      <c r="H886" s="35"/>
      <c r="I886" s="35"/>
      <c r="J886" s="35"/>
      <c r="K886" s="35"/>
      <c r="L886" s="35"/>
      <c r="M886" s="35"/>
      <c r="N886" s="35"/>
    </row>
    <row r="887" spans="1:14" x14ac:dyDescent="0.3">
      <c r="A887" s="102" t="s">
        <v>229</v>
      </c>
      <c r="B887" s="100">
        <f>(B880+B872)*TAN(B854)</f>
        <v>7.9975609309172621E-2</v>
      </c>
      <c r="C887" s="35"/>
      <c r="D887" s="35"/>
      <c r="E887" s="35"/>
      <c r="F887" s="102" t="s">
        <v>229</v>
      </c>
      <c r="G887" s="100">
        <f>(G880+G872)*TAN(B858)</f>
        <v>7.9975609309172621E-2</v>
      </c>
      <c r="H887" s="35"/>
      <c r="I887" s="35"/>
      <c r="J887" s="35"/>
      <c r="K887" s="35"/>
      <c r="L887" s="35"/>
      <c r="M887" s="35"/>
      <c r="N887" s="35"/>
    </row>
    <row r="888" spans="1:14" x14ac:dyDescent="0.3">
      <c r="A888" s="102" t="s">
        <v>213</v>
      </c>
      <c r="B888" s="100">
        <f>(0.5*B884)-B869+B887</f>
        <v>0.23817560930917259</v>
      </c>
      <c r="C888" s="35"/>
      <c r="D888" s="35"/>
      <c r="E888" s="35"/>
      <c r="F888" s="102" t="s">
        <v>213</v>
      </c>
      <c r="G888" s="100">
        <f>(0.5*B884)-G869+G887</f>
        <v>0.23817560930917259</v>
      </c>
      <c r="H888" s="35"/>
      <c r="I888" s="35"/>
      <c r="J888" s="35"/>
      <c r="K888" s="35"/>
      <c r="L888" s="35"/>
      <c r="M888" s="35"/>
      <c r="N888" s="35"/>
    </row>
    <row r="889" spans="1:14" x14ac:dyDescent="0.3">
      <c r="A889" s="102" t="s">
        <v>214</v>
      </c>
      <c r="B889" s="100">
        <f>ABS(B876)</f>
        <v>0.89020180463297027</v>
      </c>
      <c r="C889" s="35"/>
      <c r="D889" s="35"/>
      <c r="E889" s="35"/>
      <c r="F889" s="102" t="s">
        <v>214</v>
      </c>
      <c r="G889" s="100">
        <f>ABS(G876)</f>
        <v>0.89020180463297027</v>
      </c>
      <c r="H889" s="35"/>
      <c r="I889" s="35"/>
      <c r="J889" s="35"/>
      <c r="K889" s="35"/>
      <c r="L889" s="35"/>
      <c r="M889" s="35"/>
      <c r="N889" s="35"/>
    </row>
    <row r="890" spans="1:14" x14ac:dyDescent="0.3">
      <c r="A890" s="101"/>
      <c r="B890" s="37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</row>
    <row r="891" spans="1:14" x14ac:dyDescent="0.3">
      <c r="A891" s="415" t="s">
        <v>260</v>
      </c>
      <c r="B891" s="416"/>
      <c r="C891" s="416"/>
      <c r="D891" s="416"/>
      <c r="E891" s="416"/>
      <c r="F891" s="416"/>
      <c r="G891" s="369"/>
      <c r="H891" s="35"/>
      <c r="I891" s="35"/>
      <c r="J891" s="35"/>
      <c r="K891" s="35"/>
      <c r="L891" s="35"/>
      <c r="M891" s="35"/>
      <c r="N891" s="35"/>
    </row>
    <row r="892" spans="1:14" x14ac:dyDescent="0.3">
      <c r="A892" s="101"/>
      <c r="B892" s="37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</row>
    <row r="893" spans="1:14" x14ac:dyDescent="0.3">
      <c r="A893" s="102" t="s">
        <v>261</v>
      </c>
      <c r="B893" s="100">
        <f>ATAN(B888/B880)</f>
        <v>0.10832031616008495</v>
      </c>
      <c r="C893" s="35"/>
      <c r="D893" s="35"/>
      <c r="E893" s="35"/>
      <c r="F893" s="103" t="s">
        <v>261</v>
      </c>
      <c r="G893" s="74">
        <f>ATAN(G888/G880)</f>
        <v>0.10832031616008495</v>
      </c>
      <c r="H893" s="35"/>
      <c r="I893" s="35"/>
      <c r="J893" s="35"/>
      <c r="K893" s="35"/>
      <c r="L893" s="35"/>
      <c r="M893" s="35"/>
      <c r="N893" s="35"/>
    </row>
    <row r="894" spans="1:14" x14ac:dyDescent="0.3">
      <c r="A894" s="104" t="s">
        <v>219</v>
      </c>
      <c r="B894" s="100">
        <f>DEGREES(B893)</f>
        <v>6.2062969514955952</v>
      </c>
      <c r="C894" s="35"/>
      <c r="D894" s="35"/>
      <c r="E894" s="35"/>
      <c r="F894" s="26" t="s">
        <v>219</v>
      </c>
      <c r="G894" s="74">
        <f>DEGREES(G893)</f>
        <v>6.2062969514955952</v>
      </c>
      <c r="H894" s="35"/>
      <c r="I894" s="35"/>
      <c r="J894" s="35"/>
      <c r="K894" s="35"/>
      <c r="L894" s="35"/>
      <c r="M894" s="35"/>
      <c r="N894" s="35"/>
    </row>
    <row r="895" spans="1:14" x14ac:dyDescent="0.3">
      <c r="A895" s="376" t="s">
        <v>262</v>
      </c>
      <c r="B895" s="376"/>
      <c r="C895" s="35"/>
      <c r="D895" s="35"/>
      <c r="E895" s="35"/>
      <c r="F895" s="413" t="s">
        <v>262</v>
      </c>
      <c r="G895" s="414"/>
      <c r="H895" s="35"/>
      <c r="I895" s="35"/>
      <c r="J895" s="35"/>
      <c r="K895" s="35"/>
      <c r="L895" s="35"/>
      <c r="M895" s="35"/>
      <c r="N895" s="35"/>
    </row>
    <row r="896" spans="1:14" x14ac:dyDescent="0.3">
      <c r="A896" s="403" t="s">
        <v>263</v>
      </c>
      <c r="B896" s="403"/>
      <c r="C896" s="35"/>
      <c r="D896" s="35"/>
      <c r="E896" s="35"/>
      <c r="F896" s="201" t="s">
        <v>263</v>
      </c>
      <c r="G896" s="201"/>
      <c r="H896" s="35"/>
      <c r="I896" s="35"/>
      <c r="J896" s="35"/>
      <c r="K896" s="35"/>
      <c r="L896" s="35"/>
      <c r="M896" s="35"/>
      <c r="N896" s="35"/>
    </row>
    <row r="897" spans="1:14" x14ac:dyDescent="0.3">
      <c r="A897" s="104" t="s">
        <v>265</v>
      </c>
      <c r="B897" s="100">
        <f>TAN(B893)</f>
        <v>0.10874596523724699</v>
      </c>
      <c r="C897" s="35"/>
      <c r="D897" s="35"/>
      <c r="E897" s="35"/>
      <c r="F897" s="104" t="s">
        <v>265</v>
      </c>
      <c r="G897" s="100">
        <f>(-TAN(G893))</f>
        <v>-0.10874596523724699</v>
      </c>
      <c r="H897" s="35"/>
      <c r="I897" s="35"/>
      <c r="J897" s="35"/>
      <c r="K897" s="35"/>
      <c r="L897" s="35"/>
      <c r="M897" s="35"/>
      <c r="N897" s="35"/>
    </row>
    <row r="898" spans="1:14" x14ac:dyDescent="0.3">
      <c r="A898" s="104" t="s">
        <v>264</v>
      </c>
      <c r="B898" s="100">
        <f>TAN(B893)*(0.5*C4)</f>
        <v>0.14136975480842109</v>
      </c>
      <c r="C898" s="35"/>
      <c r="D898" s="35"/>
      <c r="E898" s="35"/>
      <c r="F898" s="104" t="s">
        <v>264</v>
      </c>
      <c r="G898" s="100">
        <f>TAN(G893)*(0.5*C4)</f>
        <v>0.14136975480842109</v>
      </c>
      <c r="H898" s="35"/>
      <c r="I898" s="35"/>
      <c r="J898" s="35"/>
      <c r="K898" s="35"/>
      <c r="L898" s="35"/>
      <c r="M898" s="35"/>
      <c r="N898" s="35"/>
    </row>
    <row r="899" spans="1:14" x14ac:dyDescent="0.3">
      <c r="A899" s="7"/>
      <c r="B899" s="37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</row>
    <row r="900" spans="1:14" x14ac:dyDescent="0.3">
      <c r="A900" s="104" t="s">
        <v>266</v>
      </c>
      <c r="B900" s="97">
        <f>(G898-B898)/(B897-G897)</f>
        <v>0</v>
      </c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</row>
    <row r="901" spans="1:14" x14ac:dyDescent="0.3">
      <c r="A901" s="104" t="s">
        <v>267</v>
      </c>
      <c r="B901" s="106">
        <f>((0.5*C4)+B900)*TAN(B893)</f>
        <v>0.14136975480842109</v>
      </c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</row>
    <row r="902" spans="1:14" x14ac:dyDescent="0.3">
      <c r="A902" s="7"/>
      <c r="B902" s="37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</row>
    <row r="903" spans="1:14" x14ac:dyDescent="0.3">
      <c r="A903" s="415" t="s">
        <v>511</v>
      </c>
      <c r="B903" s="416"/>
      <c r="C903" s="416"/>
      <c r="D903" s="416"/>
      <c r="E903" s="416"/>
      <c r="F903" s="416"/>
      <c r="G903" s="369"/>
      <c r="H903" s="35"/>
      <c r="I903" s="35"/>
      <c r="J903" s="35"/>
      <c r="K903" s="35"/>
      <c r="L903" s="35"/>
      <c r="M903" s="35"/>
      <c r="N903" s="35"/>
    </row>
    <row r="904" spans="1:14" x14ac:dyDescent="0.3">
      <c r="A904" s="122"/>
      <c r="B904" s="122"/>
      <c r="C904" s="122"/>
      <c r="D904" s="122"/>
      <c r="E904" s="122"/>
      <c r="F904" s="107"/>
      <c r="G904" s="107"/>
      <c r="H904" s="35"/>
      <c r="I904" s="35"/>
      <c r="J904" s="35"/>
      <c r="K904" s="35"/>
      <c r="L904" s="35"/>
      <c r="M904" s="35"/>
      <c r="N904" s="35"/>
    </row>
    <row r="905" spans="1:14" x14ac:dyDescent="0.3">
      <c r="A905" s="376" t="s">
        <v>280</v>
      </c>
      <c r="B905" s="376"/>
      <c r="C905" s="122"/>
      <c r="D905" s="122"/>
      <c r="E905" s="122"/>
      <c r="F905" s="413" t="s">
        <v>281</v>
      </c>
      <c r="G905" s="414"/>
      <c r="H905" s="35"/>
      <c r="I905" s="35"/>
      <c r="J905" s="35"/>
      <c r="K905" s="35"/>
      <c r="L905" s="35"/>
      <c r="M905" s="35"/>
      <c r="N905" s="35"/>
    </row>
    <row r="906" spans="1:14" x14ac:dyDescent="0.3">
      <c r="A906" s="422">
        <f>DEGREES(ATAN(1/(B880*1000)))</f>
        <v>2.6160043978828287E-2</v>
      </c>
      <c r="B906" s="422"/>
      <c r="C906" s="35"/>
      <c r="D906" s="35"/>
      <c r="E906" s="35"/>
      <c r="F906" s="423">
        <f>DEGREES(ATAN(1/(1000*G880)))</f>
        <v>2.6160043978828287E-2</v>
      </c>
      <c r="G906" s="424"/>
      <c r="H906" s="35"/>
      <c r="I906" s="35"/>
      <c r="J906" s="35"/>
      <c r="K906" s="35"/>
      <c r="L906" s="35"/>
      <c r="M906" s="35"/>
      <c r="N906" s="35"/>
    </row>
    <row r="907" spans="1:14" x14ac:dyDescent="0.3">
      <c r="A907" s="7"/>
      <c r="B907" s="37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</row>
    <row r="908" spans="1:14" x14ac:dyDescent="0.3">
      <c r="A908" s="370" t="s">
        <v>141</v>
      </c>
      <c r="B908" s="370"/>
      <c r="C908" s="370"/>
      <c r="D908" s="107"/>
      <c r="E908" s="107"/>
      <c r="F908" s="107"/>
      <c r="G908" s="7"/>
      <c r="H908" s="7"/>
      <c r="I908" s="7"/>
      <c r="J908" s="7"/>
      <c r="K908" s="7"/>
      <c r="L908" s="7"/>
      <c r="M908" s="7"/>
      <c r="N908" s="7"/>
    </row>
    <row r="909" spans="1:14" x14ac:dyDescent="0.3">
      <c r="A909" s="7"/>
      <c r="B909" s="37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</row>
    <row r="910" spans="1:14" x14ac:dyDescent="0.3">
      <c r="B910" s="367" t="s">
        <v>80</v>
      </c>
      <c r="C910" s="367"/>
      <c r="D910" s="107"/>
      <c r="E910" s="107"/>
      <c r="F910" s="107"/>
      <c r="G910" s="35"/>
      <c r="H910" s="35"/>
      <c r="I910" s="35"/>
      <c r="J910" s="35"/>
      <c r="K910" s="35"/>
      <c r="L910" s="35"/>
      <c r="M910" s="35"/>
      <c r="N910" s="35"/>
    </row>
    <row r="911" spans="1:14" x14ac:dyDescent="0.3">
      <c r="A911" t="s">
        <v>160</v>
      </c>
      <c r="B911" s="29" t="s">
        <v>146</v>
      </c>
      <c r="C911" s="26">
        <f>(C67/(C67+C70))*100</f>
        <v>56.53846153846154</v>
      </c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</row>
    <row r="912" spans="1:14" x14ac:dyDescent="0.3">
      <c r="A912" t="s">
        <v>161</v>
      </c>
      <c r="B912" s="29" t="s">
        <v>152</v>
      </c>
      <c r="C912" s="26">
        <f>100-C911</f>
        <v>43.46153846153846</v>
      </c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</row>
    <row r="913" spans="1:14" x14ac:dyDescent="0.3">
      <c r="A913" t="s">
        <v>149</v>
      </c>
      <c r="B913" s="29" t="s">
        <v>143</v>
      </c>
      <c r="C913" s="26">
        <f>B888</f>
        <v>0.23817560930917259</v>
      </c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</row>
    <row r="914" spans="1:14" x14ac:dyDescent="0.3">
      <c r="A914" t="s">
        <v>148</v>
      </c>
      <c r="B914" s="29" t="s">
        <v>142</v>
      </c>
      <c r="C914" s="26">
        <f>B880</f>
        <v>2.1902018046329701</v>
      </c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</row>
    <row r="915" spans="1:14" x14ac:dyDescent="0.3">
      <c r="A915" t="s">
        <v>147</v>
      </c>
      <c r="B915" s="69" t="s">
        <v>150</v>
      </c>
      <c r="C915" s="26">
        <f>ATAN(C913/C914)</f>
        <v>0.10832031616008495</v>
      </c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</row>
    <row r="916" spans="1:14" x14ac:dyDescent="0.3">
      <c r="B916" s="69" t="s">
        <v>151</v>
      </c>
      <c r="C916" s="26">
        <f>DEGREES(C915)</f>
        <v>6.2062969514955952</v>
      </c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</row>
    <row r="917" spans="1:14" x14ac:dyDescent="0.3">
      <c r="A917" s="7" t="s">
        <v>144</v>
      </c>
      <c r="B917" s="69" t="s">
        <v>145</v>
      </c>
      <c r="C917" s="34">
        <f>(C911*$C$4*TAN(C915))/C47</f>
        <v>53.285522966251023</v>
      </c>
      <c r="D917" s="35"/>
      <c r="E917" s="35"/>
      <c r="F917" s="35"/>
      <c r="G917" s="46"/>
      <c r="H917" s="46"/>
      <c r="I917" s="46"/>
      <c r="J917" s="46"/>
      <c r="K917" s="46"/>
      <c r="L917" s="46"/>
      <c r="M917" s="46"/>
      <c r="N917" s="46"/>
    </row>
    <row r="918" spans="1:14" x14ac:dyDescent="0.3">
      <c r="A918" s="7" t="s">
        <v>155</v>
      </c>
      <c r="B918" s="69" t="s">
        <v>157</v>
      </c>
      <c r="C918" s="16">
        <f>B858</f>
        <v>3.4906585039886591E-2</v>
      </c>
      <c r="D918" s="35"/>
      <c r="E918" s="35"/>
      <c r="F918" s="35"/>
      <c r="G918" s="46"/>
      <c r="H918" s="46"/>
      <c r="I918" s="46"/>
      <c r="J918" s="46"/>
      <c r="K918" s="46"/>
      <c r="L918" s="46"/>
      <c r="M918" s="46"/>
      <c r="N918" s="46"/>
    </row>
    <row r="919" spans="1:14" x14ac:dyDescent="0.3">
      <c r="A919" s="7"/>
      <c r="B919" s="69" t="s">
        <v>156</v>
      </c>
      <c r="C919" s="16">
        <f>DEGREES(C918)</f>
        <v>2</v>
      </c>
      <c r="D919" s="35"/>
      <c r="E919" s="35"/>
      <c r="F919" s="35"/>
      <c r="G919" s="46"/>
      <c r="H919" s="46"/>
      <c r="I919" s="46"/>
      <c r="J919" s="46"/>
      <c r="K919" s="46"/>
      <c r="L919" s="46"/>
      <c r="M919" s="46"/>
      <c r="N919" s="46"/>
    </row>
    <row r="920" spans="1:14" x14ac:dyDescent="0.3">
      <c r="A920" s="7" t="s">
        <v>153</v>
      </c>
      <c r="B920" s="69" t="s">
        <v>154</v>
      </c>
      <c r="C920" s="34">
        <f>(C912*$C$4*TAN(C918))/C47</f>
        <v>13.153489841891647</v>
      </c>
      <c r="D920" s="35"/>
      <c r="E920" s="35"/>
      <c r="F920" s="35"/>
      <c r="G920" s="46"/>
      <c r="H920" s="46"/>
      <c r="I920" s="46"/>
      <c r="J920" s="46"/>
      <c r="K920" s="46"/>
      <c r="L920" s="46"/>
      <c r="M920" s="46"/>
      <c r="N920" s="46"/>
    </row>
    <row r="921" spans="1:14" x14ac:dyDescent="0.3">
      <c r="A921" s="7" t="s">
        <v>158</v>
      </c>
      <c r="B921" s="69" t="s">
        <v>159</v>
      </c>
      <c r="C921" s="34">
        <f>(($C$4*TAN(C918))/C47)*100</f>
        <v>30.264666892848034</v>
      </c>
      <c r="D921" s="35"/>
      <c r="E921" s="35"/>
      <c r="F921" s="35"/>
      <c r="G921" s="46"/>
      <c r="H921" s="46"/>
      <c r="I921" s="46"/>
      <c r="J921" s="46"/>
      <c r="K921" s="46"/>
      <c r="L921" s="46"/>
      <c r="M921" s="46"/>
      <c r="N921" s="46"/>
    </row>
    <row r="922" spans="1:14" x14ac:dyDescent="0.3">
      <c r="A922" s="7"/>
      <c r="B922" s="36"/>
      <c r="C922" s="35"/>
      <c r="D922" s="35"/>
      <c r="E922" s="35"/>
      <c r="F922" s="35"/>
      <c r="G922" s="46"/>
      <c r="H922" s="46"/>
      <c r="I922" s="46"/>
      <c r="J922" s="46"/>
      <c r="K922" s="46"/>
      <c r="L922" s="46"/>
      <c r="M922" s="46"/>
      <c r="N922" s="46"/>
    </row>
    <row r="923" spans="1:14" x14ac:dyDescent="0.3">
      <c r="B923" s="367" t="s">
        <v>81</v>
      </c>
      <c r="C923" s="367"/>
      <c r="D923" s="107"/>
      <c r="E923" s="107"/>
      <c r="F923" s="107"/>
    </row>
    <row r="924" spans="1:14" x14ac:dyDescent="0.3">
      <c r="A924" t="s">
        <v>160</v>
      </c>
      <c r="B924" s="29" t="s">
        <v>146</v>
      </c>
      <c r="C924" s="26">
        <f>(C83/(C83+C86))*100</f>
        <v>51.92307692307692</v>
      </c>
      <c r="D924" s="35"/>
      <c r="E924" s="35"/>
      <c r="F924" s="35"/>
    </row>
    <row r="925" spans="1:14" x14ac:dyDescent="0.3">
      <c r="A925" t="s">
        <v>161</v>
      </c>
      <c r="B925" s="29" t="s">
        <v>152</v>
      </c>
      <c r="C925" s="26">
        <f>100-C924</f>
        <v>48.07692307692308</v>
      </c>
      <c r="D925" s="35"/>
      <c r="E925" s="35"/>
      <c r="F925" s="35"/>
    </row>
    <row r="926" spans="1:14" x14ac:dyDescent="0.3">
      <c r="A926" t="s">
        <v>149</v>
      </c>
      <c r="B926" s="29" t="s">
        <v>143</v>
      </c>
      <c r="C926" s="26">
        <f>B888</f>
        <v>0.23817560930917259</v>
      </c>
      <c r="D926" s="35"/>
      <c r="E926" s="35"/>
      <c r="F926" s="35"/>
    </row>
    <row r="927" spans="1:14" x14ac:dyDescent="0.3">
      <c r="A927" t="s">
        <v>148</v>
      </c>
      <c r="B927" s="29" t="s">
        <v>142</v>
      </c>
      <c r="C927" s="26">
        <f>B880</f>
        <v>2.1902018046329701</v>
      </c>
      <c r="D927" s="35"/>
      <c r="E927" s="35"/>
      <c r="F927" s="35"/>
    </row>
    <row r="928" spans="1:14" x14ac:dyDescent="0.3">
      <c r="A928" t="s">
        <v>147</v>
      </c>
      <c r="B928" s="69" t="s">
        <v>150</v>
      </c>
      <c r="C928" s="26">
        <f>ATAN(C926/C927)</f>
        <v>0.10832031616008495</v>
      </c>
      <c r="D928" s="35"/>
      <c r="E928" s="35"/>
      <c r="F928" s="35"/>
    </row>
    <row r="929" spans="1:6" x14ac:dyDescent="0.3">
      <c r="B929" s="69" t="s">
        <v>151</v>
      </c>
      <c r="C929" s="26">
        <f>DEGREES(C928)</f>
        <v>6.2062969514955952</v>
      </c>
      <c r="D929" s="35"/>
      <c r="E929" s="35"/>
      <c r="F929" s="35"/>
    </row>
    <row r="930" spans="1:6" x14ac:dyDescent="0.3">
      <c r="A930" s="7" t="s">
        <v>144</v>
      </c>
      <c r="B930" s="69" t="s">
        <v>145</v>
      </c>
      <c r="C930" s="34">
        <f>(C924*$C$4*TAN(C928))/C47</f>
        <v>48.935684356761151</v>
      </c>
      <c r="D930" s="35"/>
      <c r="E930" s="35"/>
      <c r="F930" s="35"/>
    </row>
    <row r="931" spans="1:6" x14ac:dyDescent="0.3">
      <c r="A931" s="7" t="s">
        <v>155</v>
      </c>
      <c r="B931" s="69" t="s">
        <v>157</v>
      </c>
      <c r="C931" s="16">
        <f>B858</f>
        <v>3.4906585039886591E-2</v>
      </c>
      <c r="D931" s="35"/>
      <c r="E931" s="35"/>
      <c r="F931" s="35"/>
    </row>
    <row r="932" spans="1:6" x14ac:dyDescent="0.3">
      <c r="A932" s="7"/>
      <c r="B932" s="69" t="s">
        <v>156</v>
      </c>
      <c r="C932" s="16">
        <f>DEGREES(C931)</f>
        <v>2</v>
      </c>
      <c r="D932" s="35"/>
      <c r="E932" s="35"/>
      <c r="F932" s="35"/>
    </row>
    <row r="933" spans="1:6" x14ac:dyDescent="0.3">
      <c r="A933" s="7" t="s">
        <v>153</v>
      </c>
      <c r="B933" s="69" t="s">
        <v>154</v>
      </c>
      <c r="C933" s="34">
        <f>(C925*$C$4*TAN(C931))/C47</f>
        <v>14.550320621561557</v>
      </c>
      <c r="D933" s="35"/>
      <c r="E933" s="35"/>
      <c r="F933" s="35"/>
    </row>
    <row r="934" spans="1:6" x14ac:dyDescent="0.3">
      <c r="A934" s="7" t="s">
        <v>158</v>
      </c>
      <c r="B934" s="69" t="s">
        <v>159</v>
      </c>
      <c r="C934" s="34">
        <f>(($C$4*TAN(C931))/C47)*100</f>
        <v>30.264666892848034</v>
      </c>
      <c r="D934" s="35"/>
      <c r="E934" s="35"/>
      <c r="F934" s="35"/>
    </row>
    <row r="935" spans="1:6" x14ac:dyDescent="0.3">
      <c r="D935" s="7"/>
      <c r="E935" s="7"/>
      <c r="F935" s="7"/>
    </row>
    <row r="936" spans="1:6" x14ac:dyDescent="0.3">
      <c r="B936" s="367" t="s">
        <v>82</v>
      </c>
      <c r="C936" s="367"/>
      <c r="D936" s="107"/>
      <c r="E936" s="107"/>
      <c r="F936" s="107"/>
    </row>
    <row r="937" spans="1:6" x14ac:dyDescent="0.3">
      <c r="A937" t="s">
        <v>160</v>
      </c>
      <c r="B937" s="29" t="s">
        <v>146</v>
      </c>
      <c r="C937" s="26">
        <f>(C99/(C99+C102))*100</f>
        <v>46.730769230769234</v>
      </c>
      <c r="D937" s="35"/>
      <c r="E937" s="35"/>
      <c r="F937" s="35"/>
    </row>
    <row r="938" spans="1:6" x14ac:dyDescent="0.3">
      <c r="A938" t="s">
        <v>161</v>
      </c>
      <c r="B938" s="29" t="s">
        <v>152</v>
      </c>
      <c r="C938" s="26">
        <f>100-C937</f>
        <v>53.269230769230766</v>
      </c>
      <c r="D938" s="35"/>
      <c r="E938" s="35"/>
      <c r="F938" s="35"/>
    </row>
    <row r="939" spans="1:6" x14ac:dyDescent="0.3">
      <c r="A939" t="s">
        <v>149</v>
      </c>
      <c r="B939" s="29" t="s">
        <v>143</v>
      </c>
      <c r="C939" s="26">
        <f>B888</f>
        <v>0.23817560930917259</v>
      </c>
      <c r="D939" s="35"/>
      <c r="E939" s="35"/>
      <c r="F939" s="35"/>
    </row>
    <row r="940" spans="1:6" x14ac:dyDescent="0.3">
      <c r="A940" t="s">
        <v>148</v>
      </c>
      <c r="B940" s="29" t="s">
        <v>142</v>
      </c>
      <c r="C940" s="26">
        <f>B880</f>
        <v>2.1902018046329701</v>
      </c>
      <c r="D940" s="35"/>
      <c r="E940" s="35"/>
      <c r="F940" s="35"/>
    </row>
    <row r="941" spans="1:6" x14ac:dyDescent="0.3">
      <c r="A941" t="s">
        <v>147</v>
      </c>
      <c r="B941" s="69" t="s">
        <v>150</v>
      </c>
      <c r="C941" s="26">
        <f>ATAN(C939/C940)</f>
        <v>0.10832031616008495</v>
      </c>
      <c r="D941" s="35"/>
      <c r="E941" s="35"/>
      <c r="F941" s="35"/>
    </row>
    <row r="942" spans="1:6" x14ac:dyDescent="0.3">
      <c r="B942" s="69" t="s">
        <v>151</v>
      </c>
      <c r="C942" s="26">
        <f>DEGREES(C941)</f>
        <v>6.2062969514955952</v>
      </c>
      <c r="D942" s="35"/>
      <c r="E942" s="35"/>
      <c r="F942" s="35"/>
    </row>
    <row r="943" spans="1:6" x14ac:dyDescent="0.3">
      <c r="A943" s="7" t="s">
        <v>144</v>
      </c>
      <c r="B943" s="69" t="s">
        <v>145</v>
      </c>
      <c r="C943" s="34">
        <f>(C937*$C$4*TAN(C941))/C47</f>
        <v>44.042115921085035</v>
      </c>
      <c r="D943" s="35"/>
      <c r="E943" s="35"/>
      <c r="F943" s="35"/>
    </row>
    <row r="944" spans="1:6" x14ac:dyDescent="0.3">
      <c r="A944" s="7" t="s">
        <v>155</v>
      </c>
      <c r="B944" s="69" t="s">
        <v>157</v>
      </c>
      <c r="C944" s="16">
        <f>B858</f>
        <v>3.4906585039886591E-2</v>
      </c>
      <c r="D944" s="35"/>
      <c r="E944" s="35"/>
      <c r="F944" s="35"/>
    </row>
    <row r="945" spans="1:6" x14ac:dyDescent="0.3">
      <c r="A945" s="7"/>
      <c r="B945" s="69" t="s">
        <v>156</v>
      </c>
      <c r="C945" s="16">
        <f>DEGREES(C944)</f>
        <v>2</v>
      </c>
      <c r="D945" s="35"/>
      <c r="E945" s="35"/>
      <c r="F945" s="35"/>
    </row>
    <row r="946" spans="1:6" x14ac:dyDescent="0.3">
      <c r="A946" s="7" t="s">
        <v>153</v>
      </c>
      <c r="B946" s="69" t="s">
        <v>154</v>
      </c>
      <c r="C946" s="34">
        <f>(C938*$C$4*TAN(C944))/C47</f>
        <v>16.121755248690203</v>
      </c>
      <c r="D946" s="35"/>
      <c r="E946" s="35"/>
      <c r="F946" s="35"/>
    </row>
    <row r="947" spans="1:6" x14ac:dyDescent="0.3">
      <c r="A947" s="7" t="s">
        <v>158</v>
      </c>
      <c r="B947" s="69" t="s">
        <v>159</v>
      </c>
      <c r="C947" s="34">
        <f>(($C$4*TAN(C944))/C47)*100</f>
        <v>30.264666892848034</v>
      </c>
      <c r="D947" s="35"/>
      <c r="E947" s="35"/>
      <c r="F947" s="35"/>
    </row>
    <row r="950" spans="1:6" x14ac:dyDescent="0.3">
      <c r="A950" s="370" t="s">
        <v>275</v>
      </c>
      <c r="B950" s="370"/>
    </row>
    <row r="952" spans="1:6" x14ac:dyDescent="0.3">
      <c r="A952" s="111" t="s">
        <v>276</v>
      </c>
      <c r="B952" s="112">
        <v>4</v>
      </c>
    </row>
    <row r="953" spans="1:6" x14ac:dyDescent="0.3">
      <c r="A953" s="111" t="s">
        <v>277</v>
      </c>
      <c r="B953" s="113">
        <f>RADIANS(B952)</f>
        <v>6.9813170079773182E-2</v>
      </c>
    </row>
    <row r="954" spans="1:6" x14ac:dyDescent="0.3">
      <c r="A954" s="5"/>
    </row>
    <row r="955" spans="1:6" x14ac:dyDescent="0.3">
      <c r="A955" s="111" t="s">
        <v>279</v>
      </c>
      <c r="B955" s="108">
        <v>0</v>
      </c>
    </row>
    <row r="956" spans="1:6" x14ac:dyDescent="0.3">
      <c r="A956" s="111" t="s">
        <v>212</v>
      </c>
      <c r="B956" s="109">
        <f>B368</f>
        <v>0.51639999999999997</v>
      </c>
    </row>
    <row r="957" spans="1:6" x14ac:dyDescent="0.3">
      <c r="A957" s="7"/>
      <c r="B957" s="47"/>
    </row>
    <row r="958" spans="1:6" x14ac:dyDescent="0.3">
      <c r="A958" s="111" t="s">
        <v>278</v>
      </c>
      <c r="B958" s="110">
        <f>((0.5*B956)*TAN(B953))+B955</f>
        <v>1.8055102843814386E-2</v>
      </c>
    </row>
  </sheetData>
  <mergeCells count="172">
    <mergeCell ref="A778:B779"/>
    <mergeCell ref="A780:A799"/>
    <mergeCell ref="A281:A284"/>
    <mergeCell ref="A903:G903"/>
    <mergeCell ref="F905:G905"/>
    <mergeCell ref="F906:G906"/>
    <mergeCell ref="C826:K826"/>
    <mergeCell ref="A825:K825"/>
    <mergeCell ref="A849:G849"/>
    <mergeCell ref="F860:G860"/>
    <mergeCell ref="A878:G878"/>
    <mergeCell ref="A882:G882"/>
    <mergeCell ref="F886:G886"/>
    <mergeCell ref="A891:G891"/>
    <mergeCell ref="F895:G895"/>
    <mergeCell ref="A905:B905"/>
    <mergeCell ref="A906:B906"/>
    <mergeCell ref="A362:G362"/>
    <mergeCell ref="A366:G366"/>
    <mergeCell ref="A407:G407"/>
    <mergeCell ref="A411:G411"/>
    <mergeCell ref="A381:G381"/>
    <mergeCell ref="A336:G336"/>
    <mergeCell ref="A441:K441"/>
    <mergeCell ref="A435:G435"/>
    <mergeCell ref="A430:G430"/>
    <mergeCell ref="A383:B383"/>
    <mergeCell ref="A389:B389"/>
    <mergeCell ref="A390:B390"/>
    <mergeCell ref="A391:B391"/>
    <mergeCell ref="A392:B392"/>
    <mergeCell ref="A415:B415"/>
    <mergeCell ref="A437:B437"/>
    <mergeCell ref="C605:K605"/>
    <mergeCell ref="A604:K604"/>
    <mergeCell ref="A628:K628"/>
    <mergeCell ref="C629:K629"/>
    <mergeCell ref="A652:K652"/>
    <mergeCell ref="C653:K653"/>
    <mergeCell ref="A552:B553"/>
    <mergeCell ref="A554:A573"/>
    <mergeCell ref="B910:C910"/>
    <mergeCell ref="C581:K581"/>
    <mergeCell ref="A580:K580"/>
    <mergeCell ref="C677:K677"/>
    <mergeCell ref="A676:K676"/>
    <mergeCell ref="A700:K700"/>
    <mergeCell ref="A607:A626"/>
    <mergeCell ref="C701:K701"/>
    <mergeCell ref="A724:K724"/>
    <mergeCell ref="C725:K725"/>
    <mergeCell ref="A753:K753"/>
    <mergeCell ref="C754:K754"/>
    <mergeCell ref="C778:K778"/>
    <mergeCell ref="A777:K777"/>
    <mergeCell ref="A801:K801"/>
    <mergeCell ref="C802:K802"/>
    <mergeCell ref="B923:C923"/>
    <mergeCell ref="B936:C936"/>
    <mergeCell ref="A908:C908"/>
    <mergeCell ref="A420:B420"/>
    <mergeCell ref="A426:B426"/>
    <mergeCell ref="A444:A463"/>
    <mergeCell ref="A466:B467"/>
    <mergeCell ref="A862:B862"/>
    <mergeCell ref="A863:B863"/>
    <mergeCell ref="A864:B864"/>
    <mergeCell ref="A865:B865"/>
    <mergeCell ref="A432:B432"/>
    <mergeCell ref="A826:B827"/>
    <mergeCell ref="A828:A847"/>
    <mergeCell ref="A725:B726"/>
    <mergeCell ref="A727:A746"/>
    <mergeCell ref="A701:B702"/>
    <mergeCell ref="A703:A722"/>
    <mergeCell ref="A748:B748"/>
    <mergeCell ref="A754:B755"/>
    <mergeCell ref="A756:A775"/>
    <mergeCell ref="A527:K527"/>
    <mergeCell ref="A551:K551"/>
    <mergeCell ref="C552:K552"/>
    <mergeCell ref="C112:F112"/>
    <mergeCell ref="B114:F114"/>
    <mergeCell ref="B116:F116"/>
    <mergeCell ref="A442:B443"/>
    <mergeCell ref="A895:B895"/>
    <mergeCell ref="A896:B896"/>
    <mergeCell ref="A886:B886"/>
    <mergeCell ref="A468:A487"/>
    <mergeCell ref="A490:B491"/>
    <mergeCell ref="A492:A511"/>
    <mergeCell ref="A677:B678"/>
    <mergeCell ref="A679:A698"/>
    <mergeCell ref="A515:B515"/>
    <mergeCell ref="A629:B630"/>
    <mergeCell ref="A631:A650"/>
    <mergeCell ref="A802:B803"/>
    <mergeCell ref="A804:A823"/>
    <mergeCell ref="A575:B575"/>
    <mergeCell ref="A581:B582"/>
    <mergeCell ref="A583:A602"/>
    <mergeCell ref="A605:B606"/>
    <mergeCell ref="A528:B529"/>
    <mergeCell ref="A530:A549"/>
    <mergeCell ref="A653:B654"/>
    <mergeCell ref="B1:H1"/>
    <mergeCell ref="B34:F34"/>
    <mergeCell ref="B60:F60"/>
    <mergeCell ref="B62:F62"/>
    <mergeCell ref="B78:F78"/>
    <mergeCell ref="B49:F49"/>
    <mergeCell ref="B94:F94"/>
    <mergeCell ref="H62:L62"/>
    <mergeCell ref="I60:L60"/>
    <mergeCell ref="H78:L78"/>
    <mergeCell ref="H94:L94"/>
    <mergeCell ref="A950:B950"/>
    <mergeCell ref="A195:A198"/>
    <mergeCell ref="A199:A202"/>
    <mergeCell ref="A241:A244"/>
    <mergeCell ref="A249:A252"/>
    <mergeCell ref="A245:A248"/>
    <mergeCell ref="A225:A228"/>
    <mergeCell ref="A860:B860"/>
    <mergeCell ref="A204:C204"/>
    <mergeCell ref="A217:F217"/>
    <mergeCell ref="A253:A256"/>
    <mergeCell ref="A219:C219"/>
    <mergeCell ref="D219:F219"/>
    <mergeCell ref="A347:B347"/>
    <mergeCell ref="A313:C313"/>
    <mergeCell ref="A212:A215"/>
    <mergeCell ref="A370:B370"/>
    <mergeCell ref="A375:B375"/>
    <mergeCell ref="A338:B338"/>
    <mergeCell ref="A344:B344"/>
    <mergeCell ref="A345:B345"/>
    <mergeCell ref="A346:B346"/>
    <mergeCell ref="A208:A211"/>
    <mergeCell ref="A655:A674"/>
    <mergeCell ref="B118:F118"/>
    <mergeCell ref="A121:C121"/>
    <mergeCell ref="A189:F189"/>
    <mergeCell ref="A180:C180"/>
    <mergeCell ref="B135:F135"/>
    <mergeCell ref="B150:F150"/>
    <mergeCell ref="B165:F165"/>
    <mergeCell ref="A133:F133"/>
    <mergeCell ref="D204:F204"/>
    <mergeCell ref="A191:C191"/>
    <mergeCell ref="D191:F191"/>
    <mergeCell ref="A221:A222"/>
    <mergeCell ref="A257:A260"/>
    <mergeCell ref="A269:A272"/>
    <mergeCell ref="A273:A276"/>
    <mergeCell ref="A261:A264"/>
    <mergeCell ref="A265:A268"/>
    <mergeCell ref="A325:C325"/>
    <mergeCell ref="A333:B333"/>
    <mergeCell ref="A229:A232"/>
    <mergeCell ref="A233:A236"/>
    <mergeCell ref="A237:A240"/>
    <mergeCell ref="A277:A280"/>
    <mergeCell ref="A465:K465"/>
    <mergeCell ref="C466:K466"/>
    <mergeCell ref="C442:K442"/>
    <mergeCell ref="C490:K490"/>
    <mergeCell ref="A489:K489"/>
    <mergeCell ref="A513:G513"/>
    <mergeCell ref="A525:G525"/>
    <mergeCell ref="A524:G524"/>
    <mergeCell ref="C528:K52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opLeftCell="A94" zoomScaleNormal="100" workbookViewId="0">
      <selection activeCell="H125" sqref="H125"/>
    </sheetView>
  </sheetViews>
  <sheetFormatPr defaultRowHeight="14.4" x14ac:dyDescent="0.3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 x14ac:dyDescent="0.3">
      <c r="C1" s="490"/>
      <c r="D1" s="490"/>
      <c r="E1" s="490"/>
      <c r="F1" s="490"/>
      <c r="G1" s="490"/>
      <c r="H1" s="490"/>
      <c r="I1" s="490"/>
    </row>
    <row r="2" spans="1:9" x14ac:dyDescent="0.3">
      <c r="C2" s="490"/>
      <c r="D2" s="490"/>
      <c r="E2" s="490"/>
      <c r="F2" s="490"/>
      <c r="G2" s="490"/>
      <c r="H2" s="490"/>
      <c r="I2" s="490"/>
    </row>
    <row r="3" spans="1:9" x14ac:dyDescent="0.3">
      <c r="C3" s="490"/>
      <c r="D3" s="490"/>
      <c r="E3" s="490"/>
      <c r="F3" s="490"/>
      <c r="G3" s="490"/>
      <c r="H3" s="490"/>
      <c r="I3" s="490"/>
    </row>
    <row r="4" spans="1:9" x14ac:dyDescent="0.3">
      <c r="C4" s="490"/>
      <c r="D4" s="490"/>
      <c r="E4" s="490"/>
      <c r="F4" s="490"/>
      <c r="G4" s="490"/>
      <c r="H4" s="490"/>
      <c r="I4" s="490"/>
    </row>
    <row r="5" spans="1:9" ht="15.6" customHeight="1" x14ac:dyDescent="0.3">
      <c r="C5" s="489" t="s">
        <v>563</v>
      </c>
      <c r="D5" s="489"/>
      <c r="E5" s="489"/>
      <c r="F5" s="489"/>
      <c r="G5" s="489"/>
      <c r="H5" s="489"/>
      <c r="I5" s="489"/>
    </row>
    <row r="6" spans="1:9" ht="15.6" customHeight="1" x14ac:dyDescent="0.3">
      <c r="C6" s="489"/>
      <c r="D6" s="489"/>
      <c r="E6" s="489"/>
      <c r="F6" s="489"/>
      <c r="G6" s="489"/>
      <c r="H6" s="489"/>
      <c r="I6" s="489"/>
    </row>
    <row r="7" spans="1:9" ht="15.6" customHeight="1" x14ac:dyDescent="0.3">
      <c r="C7" s="491" t="s">
        <v>564</v>
      </c>
      <c r="D7" s="492"/>
      <c r="E7" s="492"/>
      <c r="F7" s="492"/>
      <c r="G7" s="492"/>
      <c r="H7" s="492"/>
      <c r="I7" s="492"/>
    </row>
    <row r="8" spans="1:9" ht="15.6" customHeight="1" x14ac:dyDescent="0.3">
      <c r="C8" s="492"/>
      <c r="D8" s="492"/>
      <c r="E8" s="492"/>
      <c r="F8" s="492"/>
      <c r="G8" s="492"/>
      <c r="H8" s="492"/>
      <c r="I8" s="492"/>
    </row>
    <row r="9" spans="1:9" ht="15.6" customHeight="1" x14ac:dyDescent="0.3">
      <c r="C9" s="492"/>
      <c r="D9" s="492"/>
      <c r="E9" s="492"/>
      <c r="F9" s="492"/>
      <c r="G9" s="492"/>
      <c r="H9" s="492"/>
      <c r="I9" s="492"/>
    </row>
    <row r="10" spans="1:9" x14ac:dyDescent="0.3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 x14ac:dyDescent="0.3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 x14ac:dyDescent="0.35">
      <c r="B12" s="158" t="s">
        <v>562</v>
      </c>
      <c r="C12" s="149" t="s">
        <v>521</v>
      </c>
    </row>
    <row r="13" spans="1:9" ht="13.8" customHeight="1" thickBot="1" x14ac:dyDescent="0.35">
      <c r="A13" s="157" t="s">
        <v>558</v>
      </c>
      <c r="B13" s="162" t="s">
        <v>544</v>
      </c>
      <c r="C13" s="155" t="s">
        <v>547</v>
      </c>
      <c r="D13" s="175">
        <v>150</v>
      </c>
      <c r="E13" s="176"/>
      <c r="F13" s="175">
        <v>1300</v>
      </c>
      <c r="G13" s="176">
        <f>D13*F13</f>
        <v>195000</v>
      </c>
      <c r="H13" s="175">
        <v>500</v>
      </c>
      <c r="I13" s="176">
        <f t="shared" ref="I13:I77" si="0">D13*H13</f>
        <v>75000</v>
      </c>
    </row>
    <row r="14" spans="1:9" ht="13.8" customHeight="1" x14ac:dyDescent="0.3">
      <c r="B14" t="s">
        <v>559</v>
      </c>
      <c r="C14" s="150" t="s">
        <v>560</v>
      </c>
      <c r="D14" s="177"/>
      <c r="E14" s="163"/>
      <c r="F14" s="177">
        <v>1300</v>
      </c>
      <c r="G14" s="41">
        <f t="shared" ref="G14:G78" si="1">D14*F14</f>
        <v>0</v>
      </c>
      <c r="H14" s="177">
        <v>500</v>
      </c>
      <c r="I14" s="41">
        <f t="shared" si="0"/>
        <v>0</v>
      </c>
    </row>
    <row r="15" spans="1:9" ht="13.8" customHeight="1" x14ac:dyDescent="0.3">
      <c r="B15" t="s">
        <v>625</v>
      </c>
      <c r="C15" s="150" t="s">
        <v>642</v>
      </c>
      <c r="D15" s="177">
        <v>10</v>
      </c>
      <c r="E15" s="163"/>
      <c r="F15" s="177">
        <v>800</v>
      </c>
      <c r="G15" s="41">
        <f t="shared" si="1"/>
        <v>8000</v>
      </c>
      <c r="H15" s="177">
        <v>500</v>
      </c>
      <c r="I15" s="41">
        <f t="shared" si="0"/>
        <v>5000</v>
      </c>
    </row>
    <row r="16" spans="1:9" ht="13.8" customHeight="1" x14ac:dyDescent="0.3">
      <c r="B16" t="s">
        <v>624</v>
      </c>
      <c r="C16" s="150" t="s">
        <v>643</v>
      </c>
      <c r="D16" s="177">
        <v>10</v>
      </c>
      <c r="E16" s="163"/>
      <c r="F16" s="177">
        <v>800</v>
      </c>
      <c r="G16" s="41">
        <f t="shared" si="1"/>
        <v>8000</v>
      </c>
      <c r="H16" s="177">
        <v>500</v>
      </c>
      <c r="I16" s="41">
        <f t="shared" si="0"/>
        <v>5000</v>
      </c>
    </row>
    <row r="17" spans="1:9" ht="13.8" customHeight="1" x14ac:dyDescent="0.3">
      <c r="B17" t="s">
        <v>627</v>
      </c>
      <c r="C17" s="150" t="s">
        <v>644</v>
      </c>
      <c r="D17" s="177">
        <v>10</v>
      </c>
      <c r="E17" s="163"/>
      <c r="F17" s="177">
        <v>1900</v>
      </c>
      <c r="G17" s="41">
        <f t="shared" si="1"/>
        <v>19000</v>
      </c>
      <c r="H17" s="177">
        <v>500</v>
      </c>
      <c r="I17" s="41">
        <f t="shared" si="0"/>
        <v>5000</v>
      </c>
    </row>
    <row r="18" spans="1:9" ht="13.8" customHeight="1" x14ac:dyDescent="0.3">
      <c r="B18" t="s">
        <v>626</v>
      </c>
      <c r="C18" s="150" t="s">
        <v>645</v>
      </c>
      <c r="D18" s="177">
        <v>10</v>
      </c>
      <c r="E18" s="163"/>
      <c r="F18" s="177">
        <v>1900</v>
      </c>
      <c r="G18" s="41">
        <f t="shared" si="1"/>
        <v>19000</v>
      </c>
      <c r="H18" s="177">
        <v>500</v>
      </c>
      <c r="I18" s="41">
        <f t="shared" si="0"/>
        <v>5000</v>
      </c>
    </row>
    <row r="19" spans="1:9" ht="13.8" customHeight="1" thickBot="1" x14ac:dyDescent="0.35">
      <c r="B19" t="s">
        <v>573</v>
      </c>
      <c r="C19" s="150" t="s">
        <v>646</v>
      </c>
      <c r="D19" s="177">
        <v>5</v>
      </c>
      <c r="E19" s="163"/>
      <c r="F19" s="177">
        <v>-50</v>
      </c>
      <c r="G19" s="41">
        <f t="shared" si="1"/>
        <v>-250</v>
      </c>
      <c r="H19" s="177">
        <v>1000</v>
      </c>
      <c r="I19" s="41">
        <f t="shared" si="0"/>
        <v>5000</v>
      </c>
    </row>
    <row r="20" spans="1:9" ht="15" thickBot="1" x14ac:dyDescent="0.35">
      <c r="A20" s="157" t="s">
        <v>637</v>
      </c>
      <c r="B20" s="154" t="s">
        <v>543</v>
      </c>
      <c r="C20" s="155" t="s">
        <v>545</v>
      </c>
      <c r="D20" s="175">
        <v>2</v>
      </c>
      <c r="E20" s="176"/>
      <c r="F20" s="175">
        <v>500</v>
      </c>
      <c r="G20" s="176">
        <f t="shared" si="1"/>
        <v>1000</v>
      </c>
      <c r="H20" s="175">
        <v>800</v>
      </c>
      <c r="I20" s="176">
        <f t="shared" si="0"/>
        <v>1600</v>
      </c>
    </row>
    <row r="21" spans="1:9" x14ac:dyDescent="0.3">
      <c r="B21" t="s">
        <v>548</v>
      </c>
      <c r="C21" s="150" t="s">
        <v>549</v>
      </c>
      <c r="D21" s="177">
        <v>5</v>
      </c>
      <c r="E21" s="163"/>
      <c r="F21" s="177">
        <v>400</v>
      </c>
      <c r="G21" s="41">
        <f t="shared" si="1"/>
        <v>2000</v>
      </c>
      <c r="H21" s="177">
        <v>700</v>
      </c>
      <c r="I21" s="41">
        <f t="shared" si="0"/>
        <v>3500</v>
      </c>
    </row>
    <row r="22" spans="1:9" ht="14.4" customHeight="1" x14ac:dyDescent="0.3">
      <c r="B22" t="s">
        <v>541</v>
      </c>
      <c r="C22" s="150" t="s">
        <v>522</v>
      </c>
      <c r="D22" s="177">
        <v>5</v>
      </c>
      <c r="E22" s="163"/>
      <c r="F22" s="177">
        <v>50</v>
      </c>
      <c r="G22" s="41">
        <f t="shared" si="1"/>
        <v>250</v>
      </c>
      <c r="H22" s="177">
        <v>600</v>
      </c>
      <c r="I22" s="41">
        <f t="shared" si="0"/>
        <v>3000</v>
      </c>
    </row>
    <row r="23" spans="1:9" ht="14.4" customHeight="1" x14ac:dyDescent="0.3">
      <c r="B23" t="s">
        <v>641</v>
      </c>
      <c r="C23" s="150" t="s">
        <v>640</v>
      </c>
      <c r="D23" s="177">
        <v>1.5</v>
      </c>
      <c r="E23" s="163"/>
      <c r="F23" s="177">
        <v>50</v>
      </c>
      <c r="G23" s="41">
        <f t="shared" si="1"/>
        <v>75</v>
      </c>
      <c r="H23" s="177">
        <v>550</v>
      </c>
      <c r="I23" s="41">
        <f t="shared" si="0"/>
        <v>825</v>
      </c>
    </row>
    <row r="24" spans="1:9" ht="14.4" customHeight="1" thickBot="1" x14ac:dyDescent="0.35">
      <c r="B24" t="s">
        <v>638</v>
      </c>
      <c r="C24" s="150" t="s">
        <v>639</v>
      </c>
      <c r="D24" s="177">
        <v>1.5</v>
      </c>
      <c r="E24" s="163"/>
      <c r="F24" s="177">
        <v>50</v>
      </c>
      <c r="G24" s="41">
        <f t="shared" si="1"/>
        <v>75</v>
      </c>
      <c r="H24" s="177">
        <v>550</v>
      </c>
      <c r="I24" s="41">
        <f t="shared" si="0"/>
        <v>825</v>
      </c>
    </row>
    <row r="25" spans="1:9" ht="15" thickBot="1" x14ac:dyDescent="0.35">
      <c r="A25" s="157" t="s">
        <v>555</v>
      </c>
      <c r="B25" s="154" t="s">
        <v>585</v>
      </c>
      <c r="C25" s="155" t="s">
        <v>595</v>
      </c>
      <c r="D25" s="175">
        <v>1.2</v>
      </c>
      <c r="E25" s="176"/>
      <c r="F25" s="175">
        <v>20</v>
      </c>
      <c r="G25" s="176">
        <f t="shared" si="1"/>
        <v>24</v>
      </c>
      <c r="H25" s="175">
        <v>350</v>
      </c>
      <c r="I25" s="176">
        <f t="shared" si="0"/>
        <v>420</v>
      </c>
    </row>
    <row r="26" spans="1:9" x14ac:dyDescent="0.3">
      <c r="A26" s="5"/>
      <c r="B26" s="7" t="s">
        <v>584</v>
      </c>
      <c r="C26" s="166" t="s">
        <v>594</v>
      </c>
      <c r="D26" s="178">
        <v>1.2</v>
      </c>
      <c r="E26" s="41"/>
      <c r="F26" s="178">
        <v>20</v>
      </c>
      <c r="G26" s="41">
        <f t="shared" si="1"/>
        <v>24</v>
      </c>
      <c r="H26" s="178">
        <v>350</v>
      </c>
      <c r="I26" s="41">
        <f t="shared" si="0"/>
        <v>420</v>
      </c>
    </row>
    <row r="27" spans="1:9" ht="15.6" customHeight="1" x14ac:dyDescent="0.3">
      <c r="B27" t="s">
        <v>587</v>
      </c>
      <c r="C27" s="151" t="s">
        <v>593</v>
      </c>
      <c r="D27" s="177">
        <v>2</v>
      </c>
      <c r="E27" s="163"/>
      <c r="F27" s="177">
        <v>20</v>
      </c>
      <c r="G27" s="41">
        <f t="shared" si="1"/>
        <v>40</v>
      </c>
      <c r="H27" s="177">
        <v>150</v>
      </c>
      <c r="I27" s="41">
        <f t="shared" si="0"/>
        <v>300</v>
      </c>
    </row>
    <row r="28" spans="1:9" ht="15.6" customHeight="1" x14ac:dyDescent="0.3">
      <c r="B28" t="s">
        <v>586</v>
      </c>
      <c r="C28" s="151" t="s">
        <v>592</v>
      </c>
      <c r="D28" s="177">
        <v>2</v>
      </c>
      <c r="E28" s="163"/>
      <c r="F28" s="177">
        <v>20</v>
      </c>
      <c r="G28" s="41">
        <f t="shared" si="1"/>
        <v>40</v>
      </c>
      <c r="H28" s="177">
        <v>150</v>
      </c>
      <c r="I28" s="41">
        <f t="shared" si="0"/>
        <v>300</v>
      </c>
    </row>
    <row r="29" spans="1:9" x14ac:dyDescent="0.3">
      <c r="B29" t="s">
        <v>588</v>
      </c>
      <c r="C29" s="151" t="s">
        <v>589</v>
      </c>
      <c r="D29" s="177">
        <v>2</v>
      </c>
      <c r="E29" s="163"/>
      <c r="F29" s="177">
        <v>5</v>
      </c>
      <c r="G29" s="41">
        <f t="shared" si="1"/>
        <v>10</v>
      </c>
      <c r="H29" s="177">
        <v>200</v>
      </c>
      <c r="I29" s="41">
        <f t="shared" si="0"/>
        <v>400</v>
      </c>
    </row>
    <row r="30" spans="1:9" x14ac:dyDescent="0.3">
      <c r="B30" t="s">
        <v>590</v>
      </c>
      <c r="C30" s="151" t="s">
        <v>591</v>
      </c>
      <c r="D30" s="177">
        <v>2</v>
      </c>
      <c r="E30" s="163"/>
      <c r="F30" s="177">
        <v>5</v>
      </c>
      <c r="G30" s="41">
        <f t="shared" si="1"/>
        <v>10</v>
      </c>
      <c r="H30" s="177">
        <v>200</v>
      </c>
      <c r="I30" s="41">
        <f t="shared" si="0"/>
        <v>400</v>
      </c>
    </row>
    <row r="31" spans="1:9" ht="15" customHeight="1" x14ac:dyDescent="0.3">
      <c r="B31" t="s">
        <v>597</v>
      </c>
      <c r="C31" s="151" t="s">
        <v>598</v>
      </c>
      <c r="D31" s="177">
        <v>7</v>
      </c>
      <c r="E31" s="163"/>
      <c r="F31" s="177">
        <v>0</v>
      </c>
      <c r="G31" s="41">
        <f t="shared" si="1"/>
        <v>0</v>
      </c>
      <c r="H31" s="177">
        <v>200</v>
      </c>
      <c r="I31" s="41">
        <f t="shared" si="0"/>
        <v>1400</v>
      </c>
    </row>
    <row r="32" spans="1:9" ht="15" customHeight="1" x14ac:dyDescent="0.3">
      <c r="B32" t="s">
        <v>596</v>
      </c>
      <c r="C32" s="151" t="s">
        <v>599</v>
      </c>
      <c r="D32" s="177">
        <v>7</v>
      </c>
      <c r="E32" s="163"/>
      <c r="F32" s="177">
        <v>0</v>
      </c>
      <c r="G32" s="41">
        <f t="shared" si="1"/>
        <v>0</v>
      </c>
      <c r="H32" s="177">
        <v>200</v>
      </c>
      <c r="I32" s="41">
        <f t="shared" si="0"/>
        <v>1400</v>
      </c>
    </row>
    <row r="33" spans="1:9" ht="15" customHeight="1" x14ac:dyDescent="0.3">
      <c r="B33" t="s">
        <v>601</v>
      </c>
      <c r="C33" s="151" t="s">
        <v>603</v>
      </c>
      <c r="D33" s="177">
        <v>2</v>
      </c>
      <c r="E33" s="163"/>
      <c r="F33" s="177">
        <v>20</v>
      </c>
      <c r="G33" s="41">
        <f t="shared" si="1"/>
        <v>40</v>
      </c>
      <c r="H33" s="177">
        <v>220</v>
      </c>
      <c r="I33" s="41">
        <f t="shared" si="0"/>
        <v>440</v>
      </c>
    </row>
    <row r="34" spans="1:9" ht="15" customHeight="1" x14ac:dyDescent="0.3">
      <c r="B34" t="s">
        <v>600</v>
      </c>
      <c r="C34" s="151" t="s">
        <v>602</v>
      </c>
      <c r="D34" s="177">
        <v>2</v>
      </c>
      <c r="E34" s="163"/>
      <c r="F34" s="177">
        <v>20</v>
      </c>
      <c r="G34" s="41">
        <f t="shared" si="1"/>
        <v>40</v>
      </c>
      <c r="H34" s="177">
        <v>220</v>
      </c>
      <c r="I34" s="41">
        <f t="shared" si="0"/>
        <v>440</v>
      </c>
    </row>
    <row r="35" spans="1:9" ht="15" customHeight="1" x14ac:dyDescent="0.3">
      <c r="B35" t="s">
        <v>605</v>
      </c>
      <c r="C35" s="151" t="s">
        <v>606</v>
      </c>
      <c r="D35" s="177">
        <v>3</v>
      </c>
      <c r="E35" s="163"/>
      <c r="F35" s="177">
        <v>30</v>
      </c>
      <c r="G35" s="41">
        <f t="shared" si="1"/>
        <v>90</v>
      </c>
      <c r="H35" s="177">
        <v>300</v>
      </c>
      <c r="I35" s="41">
        <f t="shared" si="0"/>
        <v>900</v>
      </c>
    </row>
    <row r="36" spans="1:9" ht="15" customHeight="1" x14ac:dyDescent="0.3">
      <c r="B36" t="s">
        <v>604</v>
      </c>
      <c r="C36" s="151" t="s">
        <v>607</v>
      </c>
      <c r="D36" s="177">
        <v>3</v>
      </c>
      <c r="E36" s="163"/>
      <c r="F36" s="177">
        <v>30</v>
      </c>
      <c r="G36" s="41">
        <f t="shared" si="1"/>
        <v>90</v>
      </c>
      <c r="H36" s="177">
        <v>300</v>
      </c>
      <c r="I36" s="41">
        <f t="shared" si="0"/>
        <v>900</v>
      </c>
    </row>
    <row r="37" spans="1:9" ht="15" customHeight="1" x14ac:dyDescent="0.3">
      <c r="B37" t="s">
        <v>621</v>
      </c>
      <c r="C37" s="151" t="s">
        <v>623</v>
      </c>
      <c r="D37" s="177">
        <v>0.5</v>
      </c>
      <c r="E37" s="163"/>
      <c r="F37" s="177">
        <v>35</v>
      </c>
      <c r="G37" s="41">
        <f t="shared" si="1"/>
        <v>17.5</v>
      </c>
      <c r="H37" s="177">
        <v>400</v>
      </c>
      <c r="I37" s="41">
        <f t="shared" si="0"/>
        <v>200</v>
      </c>
    </row>
    <row r="38" spans="1:9" ht="15" customHeight="1" x14ac:dyDescent="0.3">
      <c r="B38" t="s">
        <v>620</v>
      </c>
      <c r="C38" s="151" t="s">
        <v>622</v>
      </c>
      <c r="D38" s="177">
        <v>0.5</v>
      </c>
      <c r="E38" s="163"/>
      <c r="F38" s="177">
        <v>35</v>
      </c>
      <c r="G38" s="41">
        <f t="shared" si="1"/>
        <v>17.5</v>
      </c>
      <c r="H38" s="177">
        <v>400</v>
      </c>
      <c r="I38" s="41">
        <f t="shared" si="0"/>
        <v>200</v>
      </c>
    </row>
    <row r="39" spans="1:9" ht="16.8" customHeight="1" x14ac:dyDescent="0.3">
      <c r="B39" t="s">
        <v>618</v>
      </c>
      <c r="C39" s="150" t="s">
        <v>619</v>
      </c>
      <c r="D39" s="177">
        <v>1</v>
      </c>
      <c r="E39" s="163"/>
      <c r="F39" s="177">
        <v>0</v>
      </c>
      <c r="G39" s="41">
        <f t="shared" si="1"/>
        <v>0</v>
      </c>
      <c r="H39" s="177">
        <v>200</v>
      </c>
      <c r="I39" s="41">
        <f t="shared" si="0"/>
        <v>200</v>
      </c>
    </row>
    <row r="40" spans="1:9" ht="16.8" customHeight="1" x14ac:dyDescent="0.3">
      <c r="B40" t="s">
        <v>616</v>
      </c>
      <c r="C40" s="150" t="s">
        <v>617</v>
      </c>
      <c r="D40" s="177">
        <v>1</v>
      </c>
      <c r="E40" s="163"/>
      <c r="F40" s="177">
        <v>0</v>
      </c>
      <c r="G40" s="41">
        <f t="shared" si="1"/>
        <v>0</v>
      </c>
      <c r="H40" s="177">
        <v>200</v>
      </c>
      <c r="I40" s="41">
        <f t="shared" si="0"/>
        <v>200</v>
      </c>
    </row>
    <row r="41" spans="1:9" ht="16.2" customHeight="1" x14ac:dyDescent="0.3">
      <c r="B41" t="s">
        <v>615</v>
      </c>
      <c r="C41" s="150" t="s">
        <v>614</v>
      </c>
      <c r="D41" s="177">
        <v>6.5</v>
      </c>
      <c r="E41" s="163"/>
      <c r="F41" s="177">
        <v>0</v>
      </c>
      <c r="G41" s="41">
        <f t="shared" si="1"/>
        <v>0</v>
      </c>
      <c r="H41" s="177">
        <v>200</v>
      </c>
      <c r="I41" s="41">
        <f t="shared" si="0"/>
        <v>1300</v>
      </c>
    </row>
    <row r="42" spans="1:9" ht="16.2" customHeight="1" x14ac:dyDescent="0.3">
      <c r="B42" t="s">
        <v>612</v>
      </c>
      <c r="C42" s="150" t="s">
        <v>613</v>
      </c>
      <c r="D42" s="177">
        <v>6.5</v>
      </c>
      <c r="E42" s="163"/>
      <c r="F42" s="177">
        <v>0</v>
      </c>
      <c r="G42" s="41">
        <f t="shared" si="1"/>
        <v>0</v>
      </c>
      <c r="H42" s="177">
        <v>200</v>
      </c>
      <c r="I42" s="41">
        <f t="shared" si="0"/>
        <v>1300</v>
      </c>
    </row>
    <row r="43" spans="1:9" ht="16.2" customHeight="1" x14ac:dyDescent="0.3">
      <c r="B43" t="s">
        <v>611</v>
      </c>
      <c r="C43" s="150" t="s">
        <v>610</v>
      </c>
      <c r="D43" s="177">
        <v>6</v>
      </c>
      <c r="E43" s="163"/>
      <c r="F43" s="177">
        <v>0</v>
      </c>
      <c r="G43" s="41">
        <f t="shared" si="1"/>
        <v>0</v>
      </c>
      <c r="H43" s="177">
        <v>200</v>
      </c>
      <c r="I43" s="41">
        <f t="shared" si="0"/>
        <v>1200</v>
      </c>
    </row>
    <row r="44" spans="1:9" ht="16.2" customHeight="1" x14ac:dyDescent="0.3">
      <c r="B44" t="s">
        <v>608</v>
      </c>
      <c r="C44" s="150" t="s">
        <v>609</v>
      </c>
      <c r="D44" s="177">
        <v>6</v>
      </c>
      <c r="E44" s="163"/>
      <c r="F44" s="177">
        <v>0</v>
      </c>
      <c r="G44" s="41">
        <f t="shared" si="1"/>
        <v>0</v>
      </c>
      <c r="H44" s="177">
        <v>200</v>
      </c>
      <c r="I44" s="41">
        <f t="shared" si="0"/>
        <v>1200</v>
      </c>
    </row>
    <row r="45" spans="1:9" ht="15" thickBot="1" x14ac:dyDescent="0.35">
      <c r="B45" t="s">
        <v>542</v>
      </c>
      <c r="C45" s="150" t="s">
        <v>546</v>
      </c>
      <c r="D45" s="177">
        <v>4</v>
      </c>
      <c r="E45" s="163"/>
      <c r="F45" s="177">
        <v>-50</v>
      </c>
      <c r="G45" s="41">
        <f t="shared" si="1"/>
        <v>-200</v>
      </c>
      <c r="H45" s="177">
        <v>250</v>
      </c>
      <c r="I45" s="41">
        <f t="shared" si="0"/>
        <v>1000</v>
      </c>
    </row>
    <row r="46" spans="1:9" ht="15" customHeight="1" thickBot="1" x14ac:dyDescent="0.35">
      <c r="A46" s="157" t="s">
        <v>556</v>
      </c>
      <c r="B46" s="154" t="s">
        <v>585</v>
      </c>
      <c r="C46" s="155" t="s">
        <v>595</v>
      </c>
      <c r="D46" s="175">
        <v>1.2</v>
      </c>
      <c r="E46" s="176"/>
      <c r="F46" s="175">
        <v>2600</v>
      </c>
      <c r="G46" s="176">
        <f t="shared" si="1"/>
        <v>3120</v>
      </c>
      <c r="H46" s="175">
        <v>350</v>
      </c>
      <c r="I46" s="176">
        <f t="shared" si="0"/>
        <v>420</v>
      </c>
    </row>
    <row r="47" spans="1:9" ht="15" customHeight="1" x14ac:dyDescent="0.3">
      <c r="A47" s="5"/>
      <c r="B47" s="7" t="s">
        <v>584</v>
      </c>
      <c r="C47" s="166" t="s">
        <v>594</v>
      </c>
      <c r="D47" s="178">
        <v>1.2</v>
      </c>
      <c r="E47" s="41"/>
      <c r="F47" s="178">
        <v>2600</v>
      </c>
      <c r="G47" s="41">
        <f t="shared" si="1"/>
        <v>3120</v>
      </c>
      <c r="H47" s="178">
        <v>350</v>
      </c>
      <c r="I47" s="41">
        <f t="shared" si="0"/>
        <v>420</v>
      </c>
    </row>
    <row r="48" spans="1:9" ht="16.2" customHeight="1" x14ac:dyDescent="0.3">
      <c r="B48" t="s">
        <v>587</v>
      </c>
      <c r="C48" s="150" t="s">
        <v>593</v>
      </c>
      <c r="D48" s="177">
        <v>2</v>
      </c>
      <c r="E48" s="163"/>
      <c r="F48" s="177">
        <v>2600</v>
      </c>
      <c r="G48" s="41">
        <f t="shared" si="1"/>
        <v>5200</v>
      </c>
      <c r="H48" s="177">
        <v>150</v>
      </c>
      <c r="I48" s="41">
        <f t="shared" si="0"/>
        <v>300</v>
      </c>
    </row>
    <row r="49" spans="2:9" ht="16.2" customHeight="1" x14ac:dyDescent="0.3">
      <c r="B49" t="s">
        <v>586</v>
      </c>
      <c r="C49" s="150" t="s">
        <v>592</v>
      </c>
      <c r="D49" s="177">
        <v>2</v>
      </c>
      <c r="E49" s="163"/>
      <c r="F49" s="177">
        <v>2600</v>
      </c>
      <c r="G49" s="41">
        <f t="shared" si="1"/>
        <v>5200</v>
      </c>
      <c r="H49" s="177">
        <v>150</v>
      </c>
      <c r="I49" s="41">
        <f t="shared" si="0"/>
        <v>300</v>
      </c>
    </row>
    <row r="50" spans="2:9" ht="16.2" customHeight="1" x14ac:dyDescent="0.3">
      <c r="B50" t="s">
        <v>588</v>
      </c>
      <c r="C50" s="150" t="s">
        <v>589</v>
      </c>
      <c r="D50" s="177">
        <v>2</v>
      </c>
      <c r="E50" s="163"/>
      <c r="F50" s="177">
        <v>2600</v>
      </c>
      <c r="G50" s="41">
        <f t="shared" si="1"/>
        <v>5200</v>
      </c>
      <c r="H50" s="177">
        <v>200</v>
      </c>
      <c r="I50" s="41">
        <f t="shared" si="0"/>
        <v>400</v>
      </c>
    </row>
    <row r="51" spans="2:9" ht="16.2" customHeight="1" x14ac:dyDescent="0.3">
      <c r="B51" t="s">
        <v>590</v>
      </c>
      <c r="C51" s="150" t="s">
        <v>591</v>
      </c>
      <c r="D51" s="177">
        <v>2</v>
      </c>
      <c r="E51" s="163"/>
      <c r="F51" s="177">
        <v>2600</v>
      </c>
      <c r="G51" s="41">
        <f t="shared" si="1"/>
        <v>5200</v>
      </c>
      <c r="H51" s="177">
        <v>200</v>
      </c>
      <c r="I51" s="41">
        <f t="shared" si="0"/>
        <v>400</v>
      </c>
    </row>
    <row r="52" spans="2:9" x14ac:dyDescent="0.3">
      <c r="B52" t="s">
        <v>597</v>
      </c>
      <c r="C52" s="151" t="s">
        <v>598</v>
      </c>
      <c r="D52" s="177">
        <v>7</v>
      </c>
      <c r="E52" s="163"/>
      <c r="F52" s="177">
        <v>2600</v>
      </c>
      <c r="G52" s="41">
        <f t="shared" si="1"/>
        <v>18200</v>
      </c>
      <c r="H52" s="177">
        <v>200</v>
      </c>
      <c r="I52" s="41">
        <f t="shared" si="0"/>
        <v>1400</v>
      </c>
    </row>
    <row r="53" spans="2:9" x14ac:dyDescent="0.3">
      <c r="B53" t="s">
        <v>596</v>
      </c>
      <c r="C53" s="151" t="s">
        <v>599</v>
      </c>
      <c r="D53" s="177">
        <v>7</v>
      </c>
      <c r="E53" s="163"/>
      <c r="F53" s="177">
        <v>2600</v>
      </c>
      <c r="G53" s="41">
        <f t="shared" si="1"/>
        <v>18200</v>
      </c>
      <c r="H53" s="177">
        <v>200</v>
      </c>
      <c r="I53" s="41">
        <f t="shared" si="0"/>
        <v>1400</v>
      </c>
    </row>
    <row r="54" spans="2:9" x14ac:dyDescent="0.3">
      <c r="B54" t="s">
        <v>601</v>
      </c>
      <c r="C54" s="151" t="s">
        <v>603</v>
      </c>
      <c r="D54" s="177">
        <v>2</v>
      </c>
      <c r="E54" s="163"/>
      <c r="F54" s="177">
        <v>2620</v>
      </c>
      <c r="G54" s="41">
        <f t="shared" si="1"/>
        <v>5240</v>
      </c>
      <c r="H54" s="177">
        <v>220</v>
      </c>
      <c r="I54" s="41">
        <f t="shared" si="0"/>
        <v>440</v>
      </c>
    </row>
    <row r="55" spans="2:9" x14ac:dyDescent="0.3">
      <c r="B55" t="s">
        <v>600</v>
      </c>
      <c r="C55" s="151" t="s">
        <v>602</v>
      </c>
      <c r="D55" s="177">
        <v>2</v>
      </c>
      <c r="E55" s="163"/>
      <c r="F55" s="177">
        <v>2620</v>
      </c>
      <c r="G55" s="41">
        <f t="shared" si="1"/>
        <v>5240</v>
      </c>
      <c r="H55" s="177">
        <v>220</v>
      </c>
      <c r="I55" s="41">
        <f t="shared" si="0"/>
        <v>440</v>
      </c>
    </row>
    <row r="56" spans="2:9" x14ac:dyDescent="0.3">
      <c r="B56" t="s">
        <v>605</v>
      </c>
      <c r="C56" s="151" t="s">
        <v>606</v>
      </c>
      <c r="D56" s="177">
        <v>3</v>
      </c>
      <c r="E56" s="163"/>
      <c r="F56" s="177">
        <v>2580</v>
      </c>
      <c r="G56" s="41">
        <f t="shared" si="1"/>
        <v>7740</v>
      </c>
      <c r="H56" s="177">
        <v>300</v>
      </c>
      <c r="I56" s="41">
        <f t="shared" si="0"/>
        <v>900</v>
      </c>
    </row>
    <row r="57" spans="2:9" x14ac:dyDescent="0.3">
      <c r="B57" t="s">
        <v>604</v>
      </c>
      <c r="C57" s="151" t="s">
        <v>607</v>
      </c>
      <c r="D57" s="177">
        <v>3</v>
      </c>
      <c r="E57" s="163"/>
      <c r="F57" s="177">
        <v>2580</v>
      </c>
      <c r="G57" s="41">
        <f t="shared" si="1"/>
        <v>7740</v>
      </c>
      <c r="H57" s="177">
        <v>300</v>
      </c>
      <c r="I57" s="41">
        <f t="shared" si="0"/>
        <v>900</v>
      </c>
    </row>
    <row r="58" spans="2:9" x14ac:dyDescent="0.3">
      <c r="B58" t="s">
        <v>621</v>
      </c>
      <c r="C58" s="151" t="s">
        <v>623</v>
      </c>
      <c r="D58" s="177">
        <v>0.5</v>
      </c>
      <c r="E58" s="163"/>
      <c r="F58" s="177">
        <v>2550</v>
      </c>
      <c r="G58" s="41">
        <f t="shared" si="1"/>
        <v>1275</v>
      </c>
      <c r="H58" s="177">
        <v>400</v>
      </c>
      <c r="I58" s="41">
        <f t="shared" si="0"/>
        <v>200</v>
      </c>
    </row>
    <row r="59" spans="2:9" x14ac:dyDescent="0.3">
      <c r="B59" t="s">
        <v>620</v>
      </c>
      <c r="C59" s="151" t="s">
        <v>622</v>
      </c>
      <c r="D59" s="177">
        <v>0.5</v>
      </c>
      <c r="E59" s="163"/>
      <c r="F59" s="177">
        <v>2550</v>
      </c>
      <c r="G59" s="41">
        <f t="shared" si="1"/>
        <v>1275</v>
      </c>
      <c r="H59" s="177">
        <v>400</v>
      </c>
      <c r="I59" s="41">
        <f t="shared" si="0"/>
        <v>200</v>
      </c>
    </row>
    <row r="60" spans="2:9" x14ac:dyDescent="0.3">
      <c r="B60" t="s">
        <v>618</v>
      </c>
      <c r="C60" s="151" t="s">
        <v>619</v>
      </c>
      <c r="D60" s="177">
        <v>1</v>
      </c>
      <c r="E60" s="163"/>
      <c r="F60" s="177">
        <v>2600</v>
      </c>
      <c r="G60" s="41">
        <f t="shared" si="1"/>
        <v>2600</v>
      </c>
      <c r="H60" s="177">
        <v>200</v>
      </c>
      <c r="I60" s="41">
        <f t="shared" si="0"/>
        <v>200</v>
      </c>
    </row>
    <row r="61" spans="2:9" x14ac:dyDescent="0.3">
      <c r="B61" t="s">
        <v>616</v>
      </c>
      <c r="C61" s="151" t="s">
        <v>617</v>
      </c>
      <c r="D61" s="177">
        <v>1</v>
      </c>
      <c r="E61" s="163"/>
      <c r="F61" s="177">
        <v>2600</v>
      </c>
      <c r="G61" s="41">
        <f t="shared" si="1"/>
        <v>2600</v>
      </c>
      <c r="H61" s="177">
        <v>200</v>
      </c>
      <c r="I61" s="41">
        <f t="shared" si="0"/>
        <v>200</v>
      </c>
    </row>
    <row r="62" spans="2:9" x14ac:dyDescent="0.3">
      <c r="B62" t="s">
        <v>634</v>
      </c>
      <c r="C62" s="151" t="s">
        <v>635</v>
      </c>
      <c r="D62" s="177">
        <v>5</v>
      </c>
      <c r="E62" s="163"/>
      <c r="F62" s="177">
        <v>2600</v>
      </c>
      <c r="G62" s="41">
        <f t="shared" si="1"/>
        <v>13000</v>
      </c>
      <c r="H62" s="177">
        <v>200</v>
      </c>
      <c r="I62" s="41">
        <f t="shared" si="0"/>
        <v>1000</v>
      </c>
    </row>
    <row r="63" spans="2:9" x14ac:dyDescent="0.3">
      <c r="B63" t="s">
        <v>632</v>
      </c>
      <c r="C63" s="151" t="s">
        <v>633</v>
      </c>
      <c r="D63" s="177">
        <v>5</v>
      </c>
      <c r="E63" s="163"/>
      <c r="F63" s="177">
        <v>2600</v>
      </c>
      <c r="G63" s="41">
        <f t="shared" si="1"/>
        <v>13000</v>
      </c>
      <c r="H63" s="177">
        <v>200</v>
      </c>
      <c r="I63" s="41">
        <f t="shared" si="0"/>
        <v>1000</v>
      </c>
    </row>
    <row r="64" spans="2:9" x14ac:dyDescent="0.3">
      <c r="B64" t="s">
        <v>615</v>
      </c>
      <c r="C64" s="151" t="s">
        <v>614</v>
      </c>
      <c r="D64" s="177">
        <v>6.5</v>
      </c>
      <c r="E64" s="163"/>
      <c r="F64" s="177">
        <v>2600</v>
      </c>
      <c r="G64" s="41">
        <f t="shared" si="1"/>
        <v>16900</v>
      </c>
      <c r="H64" s="177">
        <v>200</v>
      </c>
      <c r="I64" s="41">
        <f t="shared" si="0"/>
        <v>1300</v>
      </c>
    </row>
    <row r="65" spans="1:9" x14ac:dyDescent="0.3">
      <c r="B65" t="s">
        <v>612</v>
      </c>
      <c r="C65" s="151" t="s">
        <v>613</v>
      </c>
      <c r="D65" s="177">
        <v>6.5</v>
      </c>
      <c r="E65" s="163"/>
      <c r="F65" s="177">
        <v>2600</v>
      </c>
      <c r="G65" s="41">
        <f t="shared" si="1"/>
        <v>16900</v>
      </c>
      <c r="H65" s="177">
        <v>200</v>
      </c>
      <c r="I65" s="41">
        <f t="shared" si="0"/>
        <v>1300</v>
      </c>
    </row>
    <row r="66" spans="1:9" x14ac:dyDescent="0.3">
      <c r="B66" t="s">
        <v>611</v>
      </c>
      <c r="C66" s="151" t="s">
        <v>610</v>
      </c>
      <c r="D66" s="177">
        <v>6</v>
      </c>
      <c r="E66" s="163"/>
      <c r="F66" s="177">
        <v>2600</v>
      </c>
      <c r="G66" s="41">
        <f t="shared" si="1"/>
        <v>15600</v>
      </c>
      <c r="H66" s="177">
        <v>200</v>
      </c>
      <c r="I66" s="41">
        <f t="shared" si="0"/>
        <v>1200</v>
      </c>
    </row>
    <row r="67" spans="1:9" x14ac:dyDescent="0.3">
      <c r="B67" t="s">
        <v>608</v>
      </c>
      <c r="C67" s="151" t="s">
        <v>609</v>
      </c>
      <c r="D67" s="177">
        <v>6</v>
      </c>
      <c r="E67" s="163"/>
      <c r="F67" s="177">
        <v>2600</v>
      </c>
      <c r="G67" s="41">
        <f t="shared" si="1"/>
        <v>15600</v>
      </c>
      <c r="H67" s="177">
        <v>200</v>
      </c>
      <c r="I67" s="41">
        <f t="shared" si="0"/>
        <v>1200</v>
      </c>
    </row>
    <row r="68" spans="1:9" ht="15" thickBot="1" x14ac:dyDescent="0.35">
      <c r="B68" t="s">
        <v>542</v>
      </c>
      <c r="C68" s="151" t="s">
        <v>546</v>
      </c>
      <c r="D68" s="177">
        <v>4</v>
      </c>
      <c r="E68" s="163"/>
      <c r="F68" s="177">
        <v>2400</v>
      </c>
      <c r="G68" s="41">
        <f t="shared" si="1"/>
        <v>9600</v>
      </c>
      <c r="H68" s="177">
        <v>250</v>
      </c>
      <c r="I68" s="41">
        <f t="shared" si="0"/>
        <v>1000</v>
      </c>
    </row>
    <row r="69" spans="1:9" ht="15" thickBot="1" x14ac:dyDescent="0.35">
      <c r="A69" s="157" t="s">
        <v>557</v>
      </c>
      <c r="B69" s="154" t="s">
        <v>550</v>
      </c>
      <c r="C69" s="156" t="s">
        <v>551</v>
      </c>
      <c r="D69" s="175">
        <v>50</v>
      </c>
      <c r="E69" s="176"/>
      <c r="F69" s="175">
        <v>2500</v>
      </c>
      <c r="G69" s="176">
        <f t="shared" si="1"/>
        <v>125000</v>
      </c>
      <c r="H69" s="175">
        <v>500</v>
      </c>
      <c r="I69" s="176">
        <f t="shared" si="0"/>
        <v>25000</v>
      </c>
    </row>
    <row r="70" spans="1:9" x14ac:dyDescent="0.3">
      <c r="B70" s="7" t="s">
        <v>553</v>
      </c>
      <c r="C70" s="151" t="s">
        <v>561</v>
      </c>
      <c r="D70" s="177">
        <v>20</v>
      </c>
      <c r="E70" s="163"/>
      <c r="F70" s="177">
        <v>1900</v>
      </c>
      <c r="G70" s="41">
        <f t="shared" si="1"/>
        <v>38000</v>
      </c>
      <c r="H70" s="177">
        <v>400</v>
      </c>
      <c r="I70" s="41">
        <f t="shared" si="0"/>
        <v>8000</v>
      </c>
    </row>
    <row r="71" spans="1:9" ht="15" thickBot="1" x14ac:dyDescent="0.35">
      <c r="B71" s="7" t="s">
        <v>552</v>
      </c>
      <c r="C71" s="151" t="s">
        <v>554</v>
      </c>
      <c r="D71" s="177">
        <v>25</v>
      </c>
      <c r="E71" s="163"/>
      <c r="F71" s="177">
        <v>1700</v>
      </c>
      <c r="G71" s="41">
        <f t="shared" si="1"/>
        <v>42500</v>
      </c>
      <c r="H71" s="177">
        <v>400</v>
      </c>
      <c r="I71" s="41">
        <f t="shared" si="0"/>
        <v>10000</v>
      </c>
    </row>
    <row r="72" spans="1:9" ht="15" thickBot="1" x14ac:dyDescent="0.35">
      <c r="A72" s="157" t="s">
        <v>565</v>
      </c>
      <c r="B72" s="154" t="s">
        <v>571</v>
      </c>
      <c r="C72" s="156" t="s">
        <v>572</v>
      </c>
      <c r="D72" s="175">
        <v>6</v>
      </c>
      <c r="E72" s="176"/>
      <c r="F72" s="175">
        <v>2400</v>
      </c>
      <c r="G72" s="176">
        <f t="shared" si="1"/>
        <v>14400</v>
      </c>
      <c r="H72" s="175">
        <v>400</v>
      </c>
      <c r="I72" s="176">
        <f t="shared" si="0"/>
        <v>2400</v>
      </c>
    </row>
    <row r="73" spans="1:9" x14ac:dyDescent="0.3">
      <c r="B73" s="7" t="s">
        <v>576</v>
      </c>
      <c r="C73" s="151" t="s">
        <v>577</v>
      </c>
      <c r="D73" s="177">
        <v>5</v>
      </c>
      <c r="E73" s="163"/>
      <c r="F73" s="177">
        <v>1500</v>
      </c>
      <c r="G73" s="41">
        <f t="shared" si="1"/>
        <v>7500</v>
      </c>
      <c r="H73" s="177">
        <v>400</v>
      </c>
      <c r="I73" s="41">
        <f t="shared" si="0"/>
        <v>2000</v>
      </c>
    </row>
    <row r="74" spans="1:9" x14ac:dyDescent="0.3">
      <c r="B74" s="7" t="s">
        <v>650</v>
      </c>
      <c r="C74" s="151" t="s">
        <v>651</v>
      </c>
      <c r="D74" s="177">
        <v>10</v>
      </c>
      <c r="E74" s="163"/>
      <c r="F74" s="177">
        <v>1500</v>
      </c>
      <c r="G74" s="41">
        <f t="shared" si="1"/>
        <v>15000</v>
      </c>
      <c r="H74" s="177">
        <v>1500</v>
      </c>
      <c r="I74" s="41">
        <f t="shared" si="0"/>
        <v>15000</v>
      </c>
    </row>
    <row r="75" spans="1:9" x14ac:dyDescent="0.3">
      <c r="B75" s="7" t="s">
        <v>652</v>
      </c>
      <c r="C75" s="151" t="s">
        <v>653</v>
      </c>
      <c r="D75" s="177">
        <v>20</v>
      </c>
      <c r="E75" s="163"/>
      <c r="F75" s="177">
        <v>2400</v>
      </c>
      <c r="G75" s="41">
        <f t="shared" si="1"/>
        <v>48000</v>
      </c>
      <c r="H75" s="177">
        <v>600</v>
      </c>
      <c r="I75" s="41"/>
    </row>
    <row r="76" spans="1:9" ht="15" thickBot="1" x14ac:dyDescent="0.35">
      <c r="C76" s="151"/>
      <c r="D76" s="177"/>
      <c r="E76" s="163"/>
      <c r="F76" s="177"/>
      <c r="G76" s="41">
        <f t="shared" si="1"/>
        <v>0</v>
      </c>
      <c r="H76" s="177"/>
      <c r="I76" s="41">
        <f t="shared" si="0"/>
        <v>0</v>
      </c>
    </row>
    <row r="77" spans="1:9" ht="15" thickBot="1" x14ac:dyDescent="0.35">
      <c r="A77" s="157" t="s">
        <v>566</v>
      </c>
      <c r="B77" s="154" t="s">
        <v>629</v>
      </c>
      <c r="C77" s="156" t="s">
        <v>630</v>
      </c>
      <c r="D77" s="175">
        <v>15</v>
      </c>
      <c r="E77" s="176"/>
      <c r="F77" s="175">
        <v>1000</v>
      </c>
      <c r="G77" s="176">
        <f t="shared" si="1"/>
        <v>15000</v>
      </c>
      <c r="H77" s="175">
        <v>600</v>
      </c>
      <c r="I77" s="176">
        <f t="shared" si="0"/>
        <v>9000</v>
      </c>
    </row>
    <row r="78" spans="1:9" x14ac:dyDescent="0.3">
      <c r="A78" s="5"/>
      <c r="B78" s="7" t="s">
        <v>628</v>
      </c>
      <c r="C78" s="167" t="s">
        <v>631</v>
      </c>
      <c r="D78" s="178">
        <v>15</v>
      </c>
      <c r="E78" s="41"/>
      <c r="F78" s="178">
        <v>1000</v>
      </c>
      <c r="G78" s="41">
        <f t="shared" si="1"/>
        <v>15000</v>
      </c>
      <c r="H78" s="178">
        <v>600</v>
      </c>
      <c r="I78" s="41">
        <f t="shared" ref="I78:I85" si="2">D78*H78</f>
        <v>9000</v>
      </c>
    </row>
    <row r="79" spans="1:9" x14ac:dyDescent="0.3">
      <c r="B79" t="s">
        <v>569</v>
      </c>
      <c r="C79" s="151" t="s">
        <v>570</v>
      </c>
      <c r="D79" s="177">
        <v>30</v>
      </c>
      <c r="E79" s="163"/>
      <c r="F79" s="177">
        <v>2300</v>
      </c>
      <c r="G79" s="41">
        <f t="shared" ref="G79:G85" si="3">D79*F79</f>
        <v>69000</v>
      </c>
      <c r="H79" s="177">
        <v>600</v>
      </c>
      <c r="I79" s="41">
        <f t="shared" si="2"/>
        <v>18000</v>
      </c>
    </row>
    <row r="80" spans="1:9" x14ac:dyDescent="0.3">
      <c r="B80" t="s">
        <v>567</v>
      </c>
      <c r="C80" s="151" t="s">
        <v>568</v>
      </c>
      <c r="D80" s="177">
        <v>5</v>
      </c>
      <c r="E80" s="163"/>
      <c r="F80" s="177">
        <v>1000</v>
      </c>
      <c r="G80" s="41">
        <f t="shared" si="3"/>
        <v>5000</v>
      </c>
      <c r="H80" s="177">
        <v>300</v>
      </c>
      <c r="I80" s="41">
        <f t="shared" si="2"/>
        <v>1500</v>
      </c>
    </row>
    <row r="81" spans="1:9" x14ac:dyDescent="0.3">
      <c r="C81" s="151"/>
      <c r="D81" s="177"/>
      <c r="E81" s="163"/>
      <c r="F81" s="177"/>
      <c r="G81" s="41">
        <f t="shared" si="3"/>
        <v>0</v>
      </c>
      <c r="H81" s="177"/>
      <c r="I81" s="41">
        <f t="shared" si="2"/>
        <v>0</v>
      </c>
    </row>
    <row r="82" spans="1:9" x14ac:dyDescent="0.3">
      <c r="C82" s="151"/>
      <c r="D82" s="177"/>
      <c r="E82" s="163"/>
      <c r="F82" s="177"/>
      <c r="G82" s="41">
        <f t="shared" si="3"/>
        <v>0</v>
      </c>
      <c r="H82" s="177"/>
      <c r="I82" s="41">
        <f t="shared" si="2"/>
        <v>0</v>
      </c>
    </row>
    <row r="83" spans="1:9" x14ac:dyDescent="0.3">
      <c r="C83" s="151"/>
      <c r="D83" s="177"/>
      <c r="E83" s="163"/>
      <c r="F83" s="177"/>
      <c r="G83" s="41">
        <f t="shared" si="3"/>
        <v>0</v>
      </c>
      <c r="H83" s="177"/>
      <c r="I83" s="41">
        <f t="shared" si="2"/>
        <v>0</v>
      </c>
    </row>
    <row r="84" spans="1:9" x14ac:dyDescent="0.3">
      <c r="C84" s="151"/>
      <c r="D84" s="177"/>
      <c r="E84" s="163"/>
      <c r="F84" s="177"/>
      <c r="G84" s="41">
        <f t="shared" si="3"/>
        <v>0</v>
      </c>
      <c r="H84" s="177"/>
      <c r="I84" s="41">
        <f t="shared" si="2"/>
        <v>0</v>
      </c>
    </row>
    <row r="85" spans="1:9" x14ac:dyDescent="0.3">
      <c r="C85" s="151"/>
      <c r="D85" s="177"/>
      <c r="E85" s="163"/>
      <c r="F85" s="177"/>
      <c r="G85" s="41">
        <f t="shared" si="3"/>
        <v>0</v>
      </c>
      <c r="H85" s="177"/>
      <c r="I85" s="41">
        <f t="shared" si="2"/>
        <v>0</v>
      </c>
    </row>
    <row r="86" spans="1:9" x14ac:dyDescent="0.3">
      <c r="C86" s="149" t="s">
        <v>523</v>
      </c>
      <c r="D86" s="179">
        <f>SUM(D13:D85)</f>
        <v>553.79999999999995</v>
      </c>
      <c r="E86" s="179"/>
      <c r="F86" s="180">
        <f>G86/D86</f>
        <v>1524.9963885879381</v>
      </c>
      <c r="G86" s="179">
        <f>SUM(G13:G85)</f>
        <v>844543</v>
      </c>
      <c r="H86" s="180">
        <f>I86/D86</f>
        <v>434.61538461538464</v>
      </c>
      <c r="I86" s="179">
        <f>SUM(I13:I85)</f>
        <v>240690</v>
      </c>
    </row>
    <row r="87" spans="1:9" x14ac:dyDescent="0.3">
      <c r="D87" s="163"/>
      <c r="E87" s="163"/>
      <c r="F87" s="163"/>
      <c r="G87" s="163"/>
      <c r="H87" s="163"/>
      <c r="I87" s="163"/>
    </row>
    <row r="88" spans="1:9" x14ac:dyDescent="0.3">
      <c r="A88" s="154"/>
      <c r="B88" s="154"/>
      <c r="C88" s="154"/>
      <c r="D88" s="176"/>
      <c r="E88" s="176"/>
      <c r="F88" s="181"/>
      <c r="G88" s="181"/>
      <c r="H88" s="181"/>
      <c r="I88" s="181"/>
    </row>
    <row r="89" spans="1:9" x14ac:dyDescent="0.3">
      <c r="B89" s="288"/>
      <c r="C89" s="289"/>
      <c r="D89" s="160" t="s">
        <v>513</v>
      </c>
      <c r="E89" s="160"/>
      <c r="F89" s="160" t="s">
        <v>514</v>
      </c>
      <c r="G89" s="160" t="s">
        <v>515</v>
      </c>
      <c r="H89" s="160" t="s">
        <v>516</v>
      </c>
      <c r="I89" s="160" t="s">
        <v>517</v>
      </c>
    </row>
    <row r="90" spans="1:9" x14ac:dyDescent="0.3">
      <c r="B90" s="288"/>
      <c r="C90" s="289"/>
      <c r="D90" s="161" t="s">
        <v>518</v>
      </c>
      <c r="E90" s="161"/>
      <c r="F90" s="161" t="s">
        <v>519</v>
      </c>
      <c r="G90" s="161" t="s">
        <v>520</v>
      </c>
      <c r="H90" s="161" t="s">
        <v>519</v>
      </c>
      <c r="I90" s="161" t="s">
        <v>520</v>
      </c>
    </row>
    <row r="91" spans="1:9" x14ac:dyDescent="0.3">
      <c r="B91" s="288" t="s">
        <v>574</v>
      </c>
      <c r="C91" s="289" t="s">
        <v>524</v>
      </c>
      <c r="D91" s="161"/>
      <c r="E91" s="161"/>
      <c r="F91" s="161"/>
      <c r="G91" s="161"/>
      <c r="H91" s="161"/>
      <c r="I91" s="161"/>
    </row>
    <row r="92" spans="1:9" x14ac:dyDescent="0.3">
      <c r="B92" s="288"/>
      <c r="C92" s="289"/>
      <c r="D92" s="161"/>
      <c r="E92" s="161"/>
      <c r="F92" s="161"/>
      <c r="G92" s="161"/>
      <c r="H92" s="161"/>
      <c r="I92" s="161"/>
    </row>
    <row r="93" spans="1:9" ht="14.4" customHeight="1" x14ac:dyDescent="0.3">
      <c r="B93" t="s">
        <v>575</v>
      </c>
      <c r="C93" s="151" t="s">
        <v>525</v>
      </c>
      <c r="D93" s="177">
        <v>75</v>
      </c>
      <c r="E93" s="182"/>
      <c r="F93" s="177">
        <v>800</v>
      </c>
      <c r="G93" s="163">
        <f>D93*F93</f>
        <v>60000</v>
      </c>
      <c r="H93" s="177">
        <v>800</v>
      </c>
      <c r="I93" s="163">
        <f>D93*H93</f>
        <v>60000</v>
      </c>
    </row>
    <row r="94" spans="1:9" ht="14.4" customHeight="1" x14ac:dyDescent="0.3">
      <c r="C94" s="149"/>
      <c r="D94" s="147"/>
      <c r="E94" s="147"/>
      <c r="F94" s="147"/>
      <c r="G94" s="147"/>
      <c r="H94" s="147"/>
      <c r="I94" s="147"/>
    </row>
    <row r="95" spans="1:9" x14ac:dyDescent="0.3">
      <c r="B95" s="164" t="s">
        <v>578</v>
      </c>
      <c r="C95" s="165" t="s">
        <v>579</v>
      </c>
      <c r="D95" s="176"/>
      <c r="E95" s="176"/>
      <c r="F95" s="176"/>
      <c r="G95" s="176"/>
      <c r="H95" s="176"/>
      <c r="I95" s="176"/>
    </row>
    <row r="96" spans="1:9" x14ac:dyDescent="0.3">
      <c r="B96" s="288"/>
      <c r="C96" s="295"/>
      <c r="D96" s="41"/>
      <c r="E96" s="41"/>
      <c r="F96" s="41"/>
      <c r="G96" s="41"/>
      <c r="H96" s="41"/>
      <c r="I96" s="41"/>
    </row>
    <row r="97" spans="2:9" ht="15" customHeight="1" x14ac:dyDescent="0.3">
      <c r="B97" t="s">
        <v>575</v>
      </c>
      <c r="C97" s="151" t="s">
        <v>649</v>
      </c>
      <c r="D97" s="177">
        <v>75</v>
      </c>
      <c r="E97" s="182"/>
      <c r="F97" s="177">
        <v>800</v>
      </c>
      <c r="G97" s="163">
        <f>D97*F97</f>
        <v>60000</v>
      </c>
      <c r="H97" s="177">
        <v>800</v>
      </c>
      <c r="I97" s="163">
        <f>D97*H97</f>
        <v>60000</v>
      </c>
    </row>
    <row r="98" spans="2:9" ht="15" customHeight="1" x14ac:dyDescent="0.3">
      <c r="C98" s="149"/>
      <c r="D98" s="147"/>
      <c r="E98" s="147"/>
      <c r="F98" s="147"/>
      <c r="G98" s="147"/>
      <c r="H98" s="147"/>
      <c r="I98" s="147"/>
    </row>
    <row r="99" spans="2:9" x14ac:dyDescent="0.3">
      <c r="B99" s="164" t="s">
        <v>580</v>
      </c>
      <c r="C99" s="165" t="s">
        <v>582</v>
      </c>
      <c r="D99" s="176"/>
      <c r="E99" s="176"/>
      <c r="F99" s="176"/>
      <c r="G99" s="176"/>
      <c r="H99" s="176"/>
      <c r="I99" s="176"/>
    </row>
    <row r="100" spans="2:9" x14ac:dyDescent="0.3">
      <c r="B100" s="288"/>
      <c r="C100" s="295"/>
      <c r="D100" s="41"/>
      <c r="E100" s="41"/>
      <c r="F100" s="41"/>
      <c r="G100" s="41"/>
      <c r="H100" s="41"/>
      <c r="I100" s="41"/>
    </row>
    <row r="101" spans="2:9" ht="14.4" customHeight="1" x14ac:dyDescent="0.3">
      <c r="B101" t="s">
        <v>575</v>
      </c>
      <c r="C101" s="151" t="s">
        <v>648</v>
      </c>
      <c r="D101" s="177">
        <v>75</v>
      </c>
      <c r="E101" s="182"/>
      <c r="F101" s="177">
        <v>2100</v>
      </c>
      <c r="G101" s="184">
        <f>D101*F101</f>
        <v>157500</v>
      </c>
      <c r="H101" s="177">
        <v>800</v>
      </c>
      <c r="I101" s="163">
        <f>D101*H101</f>
        <v>60000</v>
      </c>
    </row>
    <row r="102" spans="2:9" x14ac:dyDescent="0.3">
      <c r="C102" s="149"/>
      <c r="D102" s="147"/>
      <c r="E102" s="147"/>
      <c r="F102" s="147"/>
      <c r="G102" s="147"/>
      <c r="H102" s="147"/>
      <c r="I102" s="147"/>
    </row>
    <row r="103" spans="2:9" x14ac:dyDescent="0.3">
      <c r="B103" s="164" t="s">
        <v>581</v>
      </c>
      <c r="C103" s="165" t="s">
        <v>583</v>
      </c>
      <c r="D103" s="176"/>
      <c r="E103" s="176"/>
      <c r="F103" s="176"/>
      <c r="G103" s="176"/>
      <c r="H103" s="176"/>
      <c r="I103" s="176"/>
    </row>
    <row r="104" spans="2:9" x14ac:dyDescent="0.3">
      <c r="B104" s="288"/>
      <c r="C104" s="295"/>
      <c r="D104" s="41"/>
      <c r="E104" s="41"/>
      <c r="F104" s="41"/>
      <c r="G104" s="41"/>
      <c r="H104" s="41"/>
      <c r="I104" s="41"/>
    </row>
    <row r="105" spans="2:9" ht="14.4" customHeight="1" x14ac:dyDescent="0.3">
      <c r="B105" t="s">
        <v>575</v>
      </c>
      <c r="C105" s="151" t="s">
        <v>647</v>
      </c>
      <c r="D105" s="177">
        <v>75</v>
      </c>
      <c r="E105" s="182"/>
      <c r="F105" s="177">
        <v>2100</v>
      </c>
      <c r="G105" s="184">
        <f>D105*F105</f>
        <v>157500</v>
      </c>
      <c r="H105" s="177">
        <v>800</v>
      </c>
      <c r="I105" s="163">
        <f>D105*H105</f>
        <v>60000</v>
      </c>
    </row>
    <row r="106" spans="2:9" x14ac:dyDescent="0.3">
      <c r="C106" s="149"/>
      <c r="D106" s="147"/>
      <c r="E106" s="147"/>
      <c r="F106" s="147"/>
      <c r="G106" s="147"/>
      <c r="H106" s="147"/>
      <c r="I106" s="147"/>
    </row>
    <row r="107" spans="2:9" x14ac:dyDescent="0.3">
      <c r="C107" s="152"/>
      <c r="D107" s="163"/>
      <c r="E107" s="148"/>
      <c r="F107" s="148"/>
      <c r="G107" s="163"/>
      <c r="H107" s="148"/>
      <c r="I107" s="163"/>
    </row>
    <row r="108" spans="2:9" x14ac:dyDescent="0.3">
      <c r="C108" s="150"/>
      <c r="D108" s="290"/>
      <c r="E108" s="291"/>
      <c r="F108" s="291"/>
      <c r="G108" s="292"/>
      <c r="H108" s="291"/>
      <c r="I108" s="163"/>
    </row>
    <row r="109" spans="2:9" x14ac:dyDescent="0.3">
      <c r="C109" s="150"/>
      <c r="D109" s="290"/>
      <c r="E109" s="291"/>
      <c r="F109" s="291"/>
      <c r="G109" s="292"/>
      <c r="H109" s="291"/>
      <c r="I109" s="163"/>
    </row>
    <row r="110" spans="2:9" x14ac:dyDescent="0.3">
      <c r="C110" s="150"/>
      <c r="D110" s="290"/>
      <c r="E110" s="291"/>
      <c r="F110" s="291"/>
      <c r="G110" s="292"/>
      <c r="H110" s="291"/>
      <c r="I110" s="163"/>
    </row>
    <row r="111" spans="2:9" x14ac:dyDescent="0.3">
      <c r="C111" s="150"/>
      <c r="D111" s="290"/>
      <c r="E111" s="291"/>
      <c r="F111" s="291"/>
      <c r="G111" s="292"/>
      <c r="H111" s="291"/>
      <c r="I111" s="163"/>
    </row>
    <row r="112" spans="2:9" x14ac:dyDescent="0.3">
      <c r="C112" s="150"/>
      <c r="D112" s="290"/>
      <c r="E112" s="291"/>
      <c r="F112" s="291"/>
      <c r="G112" s="292"/>
      <c r="H112" s="291"/>
      <c r="I112" s="163"/>
    </row>
    <row r="113" spans="3:9" x14ac:dyDescent="0.3">
      <c r="C113" s="150"/>
      <c r="D113" s="290"/>
      <c r="E113" s="291"/>
      <c r="F113" s="291"/>
      <c r="G113" s="292"/>
      <c r="H113" s="291"/>
      <c r="I113" s="163"/>
    </row>
    <row r="114" spans="3:9" x14ac:dyDescent="0.3">
      <c r="C114" s="150"/>
      <c r="D114" s="290"/>
      <c r="E114" s="291"/>
      <c r="F114" s="291"/>
      <c r="G114" s="292"/>
      <c r="H114" s="291"/>
      <c r="I114" s="163"/>
    </row>
    <row r="115" spans="3:9" x14ac:dyDescent="0.3">
      <c r="C115" s="150"/>
      <c r="D115" s="290"/>
      <c r="E115" s="291"/>
      <c r="F115" s="291"/>
      <c r="G115" s="292"/>
      <c r="H115" s="291"/>
      <c r="I115" s="163"/>
    </row>
    <row r="116" spans="3:9" x14ac:dyDescent="0.3">
      <c r="C116" s="149"/>
      <c r="D116" s="293"/>
      <c r="E116" s="293"/>
      <c r="F116" s="293"/>
      <c r="G116" s="293"/>
      <c r="H116" s="294"/>
      <c r="I116" s="179"/>
    </row>
    <row r="117" spans="3:9" x14ac:dyDescent="0.3">
      <c r="C117" s="150"/>
      <c r="D117" s="163"/>
      <c r="E117" s="163"/>
      <c r="F117" s="163"/>
      <c r="G117" s="163"/>
      <c r="H117" s="163"/>
      <c r="I117" s="163"/>
    </row>
    <row r="118" spans="3:9" x14ac:dyDescent="0.3">
      <c r="C118" s="150"/>
      <c r="D118" s="163"/>
      <c r="E118" s="163"/>
      <c r="F118" s="163"/>
      <c r="G118" s="163"/>
      <c r="H118" s="163"/>
      <c r="I118" s="163"/>
    </row>
    <row r="119" spans="3:9" x14ac:dyDescent="0.3">
      <c r="C119" s="150"/>
      <c r="D119" s="163"/>
      <c r="E119" s="163"/>
      <c r="F119" s="163"/>
      <c r="G119" s="163"/>
      <c r="H119" s="163"/>
      <c r="I119" s="163"/>
    </row>
    <row r="120" spans="3:9" x14ac:dyDescent="0.3">
      <c r="C120" s="150"/>
      <c r="D120" s="163"/>
      <c r="E120" s="163"/>
      <c r="F120" s="163"/>
      <c r="G120" s="163"/>
      <c r="H120" s="163"/>
      <c r="I120" s="163"/>
    </row>
    <row r="121" spans="3:9" x14ac:dyDescent="0.3">
      <c r="C121" s="150"/>
      <c r="D121" s="163"/>
      <c r="E121" s="163"/>
      <c r="F121" s="171" t="s">
        <v>514</v>
      </c>
      <c r="G121" s="171" t="s">
        <v>526</v>
      </c>
      <c r="H121" s="171" t="s">
        <v>516</v>
      </c>
      <c r="I121" s="171" t="s">
        <v>517</v>
      </c>
    </row>
    <row r="122" spans="3:9" ht="15" thickBot="1" x14ac:dyDescent="0.35">
      <c r="C122" s="150"/>
      <c r="D122" s="163"/>
      <c r="E122" s="163"/>
      <c r="F122" s="172" t="s">
        <v>519</v>
      </c>
      <c r="G122" s="173" t="s">
        <v>520</v>
      </c>
      <c r="H122" s="172" t="s">
        <v>527</v>
      </c>
      <c r="I122" s="173" t="s">
        <v>520</v>
      </c>
    </row>
    <row r="123" spans="3:9" ht="15" thickBot="1" x14ac:dyDescent="0.35">
      <c r="C123" s="170" t="s">
        <v>636</v>
      </c>
      <c r="D123" s="168">
        <v>1</v>
      </c>
      <c r="E123" s="185"/>
      <c r="F123" s="186"/>
      <c r="G123" s="186"/>
      <c r="H123" s="186"/>
      <c r="I123" s="186"/>
    </row>
    <row r="124" spans="3:9" x14ac:dyDescent="0.3">
      <c r="C124" s="150"/>
      <c r="D124" s="163"/>
      <c r="E124" s="163"/>
      <c r="F124" s="173"/>
      <c r="G124" s="173"/>
      <c r="H124" s="173"/>
      <c r="I124" s="173"/>
    </row>
    <row r="125" spans="3:9" x14ac:dyDescent="0.3">
      <c r="C125" s="149" t="s">
        <v>528</v>
      </c>
      <c r="D125" s="163">
        <f>D86+D93</f>
        <v>628.79999999999995</v>
      </c>
      <c r="E125" s="163"/>
      <c r="F125" s="187">
        <f>G125/D125</f>
        <v>1438.5225826972012</v>
      </c>
      <c r="G125" s="188">
        <f>G86+G93</f>
        <v>904543</v>
      </c>
      <c r="H125" s="187">
        <f>I125/D125</f>
        <v>478.19656488549623</v>
      </c>
      <c r="I125" s="173">
        <f>I86+I93</f>
        <v>300690</v>
      </c>
    </row>
    <row r="126" spans="3:9" x14ac:dyDescent="0.3">
      <c r="C126" s="150"/>
      <c r="D126" s="163"/>
      <c r="E126" s="163"/>
      <c r="F126" s="173"/>
      <c r="G126" s="173"/>
      <c r="H126" s="173"/>
      <c r="I126" s="173"/>
    </row>
    <row r="127" spans="3:9" x14ac:dyDescent="0.3">
      <c r="C127" s="150" t="s">
        <v>529</v>
      </c>
      <c r="D127" s="183">
        <f>G125/F62</f>
        <v>347.90115384615382</v>
      </c>
      <c r="E127" s="163"/>
      <c r="F127" s="173"/>
      <c r="G127" s="173"/>
      <c r="H127" s="173"/>
      <c r="I127" s="173"/>
    </row>
    <row r="128" spans="3:9" x14ac:dyDescent="0.3">
      <c r="C128" s="150" t="s">
        <v>530</v>
      </c>
      <c r="D128" s="163"/>
      <c r="E128" s="163"/>
      <c r="F128" s="173"/>
      <c r="G128" s="188">
        <f>D125-D127</f>
        <v>280.89884615384614</v>
      </c>
      <c r="H128" s="173"/>
      <c r="I128" s="173"/>
    </row>
    <row r="129" spans="3:9" x14ac:dyDescent="0.3">
      <c r="C129" s="149" t="s">
        <v>531</v>
      </c>
      <c r="D129" s="179"/>
      <c r="E129" s="179"/>
      <c r="F129" s="189">
        <f>G128/D125</f>
        <v>0.44672208357799964</v>
      </c>
      <c r="G129" s="189">
        <f>D127/D125</f>
        <v>0.55327791642200042</v>
      </c>
      <c r="H129" s="189"/>
      <c r="I129" s="190"/>
    </row>
    <row r="130" spans="3:9" ht="15" thickBot="1" x14ac:dyDescent="0.35">
      <c r="D130" s="163"/>
      <c r="E130" s="163"/>
      <c r="F130" s="173"/>
      <c r="G130" s="173"/>
      <c r="H130" s="173"/>
      <c r="I130" s="173"/>
    </row>
    <row r="131" spans="3:9" ht="15" thickBot="1" x14ac:dyDescent="0.35">
      <c r="C131" s="170" t="s">
        <v>636</v>
      </c>
      <c r="D131" s="169" t="s">
        <v>340</v>
      </c>
      <c r="E131" s="185"/>
      <c r="F131" s="186"/>
      <c r="G131" s="186"/>
      <c r="H131" s="186"/>
      <c r="I131" s="186"/>
    </row>
    <row r="132" spans="3:9" x14ac:dyDescent="0.3">
      <c r="D132" s="163"/>
      <c r="E132" s="163"/>
      <c r="F132" s="173"/>
      <c r="G132" s="173"/>
      <c r="H132" s="173"/>
      <c r="I132" s="173"/>
    </row>
    <row r="133" spans="3:9" x14ac:dyDescent="0.3">
      <c r="C133" s="149" t="s">
        <v>528</v>
      </c>
      <c r="D133" s="163">
        <f>D86+D93+D97</f>
        <v>703.8</v>
      </c>
      <c r="E133" s="163"/>
      <c r="F133" s="187">
        <f>G133/D133</f>
        <v>1370.4788292128446</v>
      </c>
      <c r="G133" s="188">
        <f>G86+G93+G97</f>
        <v>964543</v>
      </c>
      <c r="H133" s="187">
        <f>I133/D133</f>
        <v>512.48934356351242</v>
      </c>
      <c r="I133" s="173">
        <f>I86+I93+I97</f>
        <v>360690</v>
      </c>
    </row>
    <row r="134" spans="3:9" x14ac:dyDescent="0.3">
      <c r="C134" s="150"/>
      <c r="D134" s="163"/>
      <c r="E134" s="163"/>
      <c r="F134" s="173"/>
      <c r="G134" s="173"/>
      <c r="H134" s="173"/>
      <c r="I134" s="173"/>
    </row>
    <row r="135" spans="3:9" x14ac:dyDescent="0.3">
      <c r="C135" s="150" t="s">
        <v>529</v>
      </c>
      <c r="D135" s="183">
        <f>G133/F62</f>
        <v>370.97807692307691</v>
      </c>
      <c r="E135" s="163"/>
      <c r="F135" s="173"/>
      <c r="G135" s="173"/>
      <c r="H135" s="173"/>
      <c r="I135" s="173"/>
    </row>
    <row r="136" spans="3:9" x14ac:dyDescent="0.3">
      <c r="C136" s="150" t="s">
        <v>530</v>
      </c>
      <c r="D136" s="163"/>
      <c r="E136" s="163"/>
      <c r="F136" s="173"/>
      <c r="G136" s="188">
        <f>D133-D135</f>
        <v>332.82192307692304</v>
      </c>
      <c r="H136" s="173"/>
      <c r="I136" s="173"/>
    </row>
    <row r="137" spans="3:9" x14ac:dyDescent="0.3">
      <c r="C137" s="149" t="s">
        <v>531</v>
      </c>
      <c r="D137" s="179"/>
      <c r="E137" s="179"/>
      <c r="F137" s="189">
        <f>G136/D133</f>
        <v>0.47289275799505975</v>
      </c>
      <c r="G137" s="189">
        <f>D135/D133</f>
        <v>0.52710724200494019</v>
      </c>
      <c r="H137" s="189"/>
      <c r="I137" s="190"/>
    </row>
    <row r="138" spans="3:9" ht="15" thickBot="1" x14ac:dyDescent="0.35">
      <c r="D138" s="163"/>
      <c r="E138" s="163"/>
      <c r="F138" s="173"/>
      <c r="G138" s="173"/>
      <c r="H138" s="173"/>
      <c r="I138" s="173"/>
    </row>
    <row r="139" spans="3:9" ht="15" thickBot="1" x14ac:dyDescent="0.35">
      <c r="C139" s="170" t="s">
        <v>636</v>
      </c>
      <c r="D139" s="169" t="s">
        <v>341</v>
      </c>
      <c r="E139" s="185"/>
      <c r="F139" s="186"/>
      <c r="G139" s="186"/>
      <c r="H139" s="186"/>
      <c r="I139" s="186"/>
    </row>
    <row r="140" spans="3:9" x14ac:dyDescent="0.3">
      <c r="D140" s="163"/>
      <c r="E140" s="163"/>
      <c r="F140" s="173"/>
      <c r="G140" s="173"/>
      <c r="H140" s="173"/>
      <c r="I140" s="173"/>
    </row>
    <row r="141" spans="3:9" x14ac:dyDescent="0.3">
      <c r="C141" s="149" t="s">
        <v>528</v>
      </c>
      <c r="D141" s="163">
        <f>D86+D93+D101</f>
        <v>703.8</v>
      </c>
      <c r="E141" s="163"/>
      <c r="F141" s="187">
        <f>G141/D141</f>
        <v>1509.0125035521455</v>
      </c>
      <c r="G141" s="188">
        <f>G86+G93+G101</f>
        <v>1062043</v>
      </c>
      <c r="H141" s="187">
        <f>I141/D141</f>
        <v>512.48934356351242</v>
      </c>
      <c r="I141" s="173">
        <f>I86+I93+I101</f>
        <v>360690</v>
      </c>
    </row>
    <row r="142" spans="3:9" x14ac:dyDescent="0.3">
      <c r="C142" s="150"/>
      <c r="D142" s="163"/>
      <c r="E142" s="163"/>
      <c r="F142" s="173"/>
      <c r="G142" s="173"/>
      <c r="H142" s="173"/>
      <c r="I142" s="173"/>
    </row>
    <row r="143" spans="3:9" x14ac:dyDescent="0.3">
      <c r="C143" s="150" t="s">
        <v>529</v>
      </c>
      <c r="D143" s="183">
        <f>G141/F62</f>
        <v>408.47807692307691</v>
      </c>
      <c r="E143" s="163"/>
      <c r="F143" s="173"/>
      <c r="G143" s="173"/>
      <c r="H143" s="173"/>
      <c r="I143" s="173"/>
    </row>
    <row r="144" spans="3:9" x14ac:dyDescent="0.3">
      <c r="C144" s="150" t="s">
        <v>530</v>
      </c>
      <c r="D144" s="163"/>
      <c r="E144" s="163"/>
      <c r="F144" s="173"/>
      <c r="G144" s="188">
        <f>D141-D143</f>
        <v>295.32192307692304</v>
      </c>
      <c r="H144" s="173"/>
      <c r="I144" s="173"/>
    </row>
    <row r="145" spans="3:9" x14ac:dyDescent="0.3">
      <c r="C145" s="149" t="s">
        <v>531</v>
      </c>
      <c r="D145" s="179"/>
      <c r="E145" s="179"/>
      <c r="F145" s="189">
        <f>G144/D141</f>
        <v>0.41961057555686709</v>
      </c>
      <c r="G145" s="189">
        <f>D143/D141</f>
        <v>0.58038942444313291</v>
      </c>
      <c r="H145" s="189"/>
      <c r="I145" s="190"/>
    </row>
    <row r="146" spans="3:9" ht="15" thickBot="1" x14ac:dyDescent="0.35">
      <c r="D146" s="163"/>
      <c r="E146" s="163"/>
      <c r="F146" s="173"/>
      <c r="G146" s="173"/>
      <c r="H146" s="173"/>
      <c r="I146" s="173"/>
    </row>
    <row r="147" spans="3:9" ht="15" thickBot="1" x14ac:dyDescent="0.35">
      <c r="C147" s="170" t="s">
        <v>636</v>
      </c>
      <c r="D147" s="169" t="s">
        <v>342</v>
      </c>
      <c r="E147" s="185"/>
      <c r="F147" s="186"/>
      <c r="G147" s="186"/>
      <c r="H147" s="186"/>
      <c r="I147" s="186"/>
    </row>
    <row r="148" spans="3:9" x14ac:dyDescent="0.3">
      <c r="D148" s="163"/>
      <c r="E148" s="163"/>
      <c r="F148" s="173"/>
      <c r="G148" s="173"/>
      <c r="H148" s="173"/>
      <c r="I148" s="173"/>
    </row>
    <row r="149" spans="3:9" x14ac:dyDescent="0.3">
      <c r="C149" s="149" t="s">
        <v>528</v>
      </c>
      <c r="D149" s="163">
        <f>D86+D93+D105</f>
        <v>703.8</v>
      </c>
      <c r="E149" s="163"/>
      <c r="F149" s="187">
        <f>G149/D149</f>
        <v>1509.0125035521455</v>
      </c>
      <c r="G149" s="188">
        <f>G86+G93+G105</f>
        <v>1062043</v>
      </c>
      <c r="H149" s="187">
        <f>I149/D149</f>
        <v>512.48934356351242</v>
      </c>
      <c r="I149" s="173">
        <f>I86+I93+I105</f>
        <v>360690</v>
      </c>
    </row>
    <row r="150" spans="3:9" x14ac:dyDescent="0.3">
      <c r="C150" s="150"/>
      <c r="D150" s="163"/>
      <c r="E150" s="163"/>
      <c r="F150" s="173"/>
      <c r="G150" s="173"/>
      <c r="H150" s="173"/>
      <c r="I150" s="173"/>
    </row>
    <row r="151" spans="3:9" x14ac:dyDescent="0.3">
      <c r="C151" s="150" t="s">
        <v>529</v>
      </c>
      <c r="D151" s="183">
        <f>G149/F62</f>
        <v>408.47807692307691</v>
      </c>
      <c r="E151" s="163"/>
      <c r="F151" s="173"/>
      <c r="G151" s="173"/>
      <c r="H151" s="173"/>
      <c r="I151" s="173"/>
    </row>
    <row r="152" spans="3:9" x14ac:dyDescent="0.3">
      <c r="C152" s="150" t="s">
        <v>530</v>
      </c>
      <c r="D152" s="163"/>
      <c r="E152" s="163"/>
      <c r="F152" s="173"/>
      <c r="G152" s="188">
        <f>D149-D151</f>
        <v>295.32192307692304</v>
      </c>
      <c r="H152" s="173"/>
      <c r="I152" s="173"/>
    </row>
    <row r="153" spans="3:9" x14ac:dyDescent="0.3">
      <c r="C153" s="149" t="s">
        <v>531</v>
      </c>
      <c r="D153" s="179"/>
      <c r="E153" s="179"/>
      <c r="F153" s="189">
        <f>G152/D149</f>
        <v>0.41961057555686709</v>
      </c>
      <c r="G153" s="189">
        <f>D151/D149</f>
        <v>0.58038942444313291</v>
      </c>
      <c r="H153" s="189"/>
      <c r="I153" s="190"/>
    </row>
    <row r="154" spans="3:9" ht="15" thickBot="1" x14ac:dyDescent="0.35">
      <c r="D154" s="163"/>
      <c r="E154" s="163"/>
      <c r="F154" s="173"/>
      <c r="G154" s="173"/>
      <c r="H154" s="173"/>
      <c r="I154" s="173"/>
    </row>
    <row r="155" spans="3:9" ht="15" thickBot="1" x14ac:dyDescent="0.35">
      <c r="C155" s="170" t="s">
        <v>636</v>
      </c>
      <c r="D155" s="169" t="s">
        <v>343</v>
      </c>
      <c r="E155" s="185"/>
      <c r="F155" s="186"/>
      <c r="G155" s="186"/>
      <c r="H155" s="186"/>
      <c r="I155" s="186"/>
    </row>
    <row r="156" spans="3:9" x14ac:dyDescent="0.3">
      <c r="D156" s="163"/>
      <c r="E156" s="163"/>
      <c r="F156" s="173"/>
      <c r="G156" s="173"/>
      <c r="H156" s="173"/>
      <c r="I156" s="173"/>
    </row>
    <row r="157" spans="3:9" x14ac:dyDescent="0.3">
      <c r="C157" s="149" t="s">
        <v>528</v>
      </c>
      <c r="D157" s="163">
        <f>D86+D93+D97+D101</f>
        <v>778.8</v>
      </c>
      <c r="E157" s="163"/>
      <c r="F157" s="187">
        <f>G157/D157</f>
        <v>1440.7331792501284</v>
      </c>
      <c r="G157" s="188">
        <f>G86+G93+G97+G101</f>
        <v>1122043</v>
      </c>
      <c r="H157" s="187">
        <f>I157/D157</f>
        <v>540.17719568567031</v>
      </c>
      <c r="I157" s="173">
        <f>I86+I93+I97+I101</f>
        <v>420690</v>
      </c>
    </row>
    <row r="158" spans="3:9" x14ac:dyDescent="0.3">
      <c r="C158" s="150"/>
      <c r="D158" s="163"/>
      <c r="E158" s="163"/>
      <c r="F158" s="173"/>
      <c r="G158" s="173"/>
      <c r="H158" s="173"/>
      <c r="I158" s="173"/>
    </row>
    <row r="159" spans="3:9" x14ac:dyDescent="0.3">
      <c r="C159" s="150" t="s">
        <v>529</v>
      </c>
      <c r="D159" s="183">
        <f>G157/F62</f>
        <v>431.55500000000001</v>
      </c>
      <c r="E159" s="163"/>
      <c r="F159" s="173"/>
      <c r="G159" s="173"/>
      <c r="H159" s="173"/>
      <c r="I159" s="173"/>
    </row>
    <row r="160" spans="3:9" x14ac:dyDescent="0.3">
      <c r="C160" s="150" t="s">
        <v>530</v>
      </c>
      <c r="D160" s="163"/>
      <c r="E160" s="163"/>
      <c r="F160" s="173"/>
      <c r="G160" s="188">
        <f>D157-D159</f>
        <v>347.24499999999995</v>
      </c>
      <c r="H160" s="173"/>
      <c r="I160" s="173"/>
    </row>
    <row r="161" spans="3:9" x14ac:dyDescent="0.3">
      <c r="C161" s="149" t="s">
        <v>531</v>
      </c>
      <c r="D161" s="179"/>
      <c r="E161" s="179"/>
      <c r="F161" s="189">
        <f>G160/D157</f>
        <v>0.44587185413456598</v>
      </c>
      <c r="G161" s="189">
        <f>D159/D157</f>
        <v>0.55412814586543402</v>
      </c>
      <c r="H161" s="189"/>
      <c r="I161" s="190"/>
    </row>
    <row r="162" spans="3:9" ht="15" thickBot="1" x14ac:dyDescent="0.35">
      <c r="D162" s="163"/>
      <c r="E162" s="163"/>
      <c r="F162" s="173"/>
      <c r="G162" s="173"/>
      <c r="H162" s="173"/>
      <c r="I162" s="173"/>
    </row>
    <row r="163" spans="3:9" ht="15" thickBot="1" x14ac:dyDescent="0.35">
      <c r="C163" s="170" t="s">
        <v>636</v>
      </c>
      <c r="D163" s="169" t="s">
        <v>344</v>
      </c>
      <c r="E163" s="185"/>
      <c r="F163" s="186"/>
      <c r="G163" s="186"/>
      <c r="H163" s="186"/>
      <c r="I163" s="186"/>
    </row>
    <row r="164" spans="3:9" x14ac:dyDescent="0.3">
      <c r="D164" s="163"/>
      <c r="E164" s="163"/>
      <c r="F164" s="173"/>
      <c r="G164" s="173"/>
      <c r="H164" s="173"/>
      <c r="I164" s="173"/>
    </row>
    <row r="165" spans="3:9" x14ac:dyDescent="0.3">
      <c r="C165" s="149" t="s">
        <v>528</v>
      </c>
      <c r="D165" s="163">
        <f>D86+D93+D97+D105</f>
        <v>778.8</v>
      </c>
      <c r="E165" s="163"/>
      <c r="F165" s="187">
        <f>G165/D165</f>
        <v>1440.7331792501284</v>
      </c>
      <c r="G165" s="188">
        <f>G86+G93+G97+G105</f>
        <v>1122043</v>
      </c>
      <c r="H165" s="187">
        <f>I165/D165</f>
        <v>540.17719568567031</v>
      </c>
      <c r="I165" s="173">
        <f>I86+I93+I97+I105</f>
        <v>420690</v>
      </c>
    </row>
    <row r="166" spans="3:9" x14ac:dyDescent="0.3">
      <c r="C166" s="150"/>
      <c r="D166" s="163"/>
      <c r="E166" s="163"/>
      <c r="F166" s="173"/>
      <c r="G166" s="173"/>
      <c r="H166" s="173"/>
      <c r="I166" s="173"/>
    </row>
    <row r="167" spans="3:9" x14ac:dyDescent="0.3">
      <c r="C167" s="150" t="s">
        <v>529</v>
      </c>
      <c r="D167" s="183">
        <f>G165/F62</f>
        <v>431.55500000000001</v>
      </c>
      <c r="E167" s="163"/>
      <c r="F167" s="173"/>
      <c r="G167" s="173"/>
      <c r="H167" s="173"/>
      <c r="I167" s="173"/>
    </row>
    <row r="168" spans="3:9" x14ac:dyDescent="0.3">
      <c r="C168" s="150" t="s">
        <v>530</v>
      </c>
      <c r="D168" s="163"/>
      <c r="E168" s="163"/>
      <c r="F168" s="173"/>
      <c r="G168" s="188">
        <f>D165-D167</f>
        <v>347.24499999999995</v>
      </c>
      <c r="H168" s="173"/>
      <c r="I168" s="173"/>
    </row>
    <row r="169" spans="3:9" x14ac:dyDescent="0.3">
      <c r="C169" s="149" t="s">
        <v>531</v>
      </c>
      <c r="D169" s="179"/>
      <c r="E169" s="179"/>
      <c r="F169" s="189">
        <f>G168/D165</f>
        <v>0.44587185413456598</v>
      </c>
      <c r="G169" s="189">
        <f>D167/D165</f>
        <v>0.55412814586543402</v>
      </c>
      <c r="H169" s="189"/>
      <c r="I169" s="190"/>
    </row>
    <row r="170" spans="3:9" ht="15" thickBot="1" x14ac:dyDescent="0.35">
      <c r="D170" s="163"/>
      <c r="E170" s="163"/>
      <c r="F170" s="173"/>
      <c r="G170" s="173"/>
      <c r="H170" s="173"/>
      <c r="I170" s="173"/>
    </row>
    <row r="171" spans="3:9" ht="15" thickBot="1" x14ac:dyDescent="0.35">
      <c r="C171" s="170" t="s">
        <v>636</v>
      </c>
      <c r="D171" s="169" t="s">
        <v>345</v>
      </c>
      <c r="E171" s="185"/>
      <c r="F171" s="186"/>
      <c r="G171" s="186"/>
      <c r="H171" s="186"/>
      <c r="I171" s="186"/>
    </row>
    <row r="172" spans="3:9" x14ac:dyDescent="0.3">
      <c r="D172" s="163"/>
      <c r="E172" s="163"/>
      <c r="F172" s="173"/>
      <c r="G172" s="173"/>
      <c r="H172" s="173"/>
      <c r="I172" s="173"/>
    </row>
    <row r="173" spans="3:9" x14ac:dyDescent="0.3">
      <c r="C173" s="149" t="s">
        <v>528</v>
      </c>
      <c r="D173" s="163">
        <f>D86+D93+D101+D105</f>
        <v>778.8</v>
      </c>
      <c r="E173" s="163"/>
      <c r="F173" s="187">
        <f>G173/D173</f>
        <v>1565.9257832562919</v>
      </c>
      <c r="G173" s="188">
        <f>G86+G93+G101+G105</f>
        <v>1219543</v>
      </c>
      <c r="H173" s="187">
        <f>I173/D173</f>
        <v>540.17719568567031</v>
      </c>
      <c r="I173" s="173">
        <f>I86+I93+I101+I105</f>
        <v>420690</v>
      </c>
    </row>
    <row r="174" spans="3:9" x14ac:dyDescent="0.3">
      <c r="C174" s="150"/>
      <c r="D174" s="163"/>
      <c r="E174" s="163"/>
      <c r="F174" s="173"/>
      <c r="G174" s="173"/>
      <c r="H174" s="173"/>
      <c r="I174" s="173"/>
    </row>
    <row r="175" spans="3:9" x14ac:dyDescent="0.3">
      <c r="C175" s="150" t="s">
        <v>529</v>
      </c>
      <c r="D175" s="183">
        <f>G173/F62</f>
        <v>469.05500000000001</v>
      </c>
      <c r="E175" s="163"/>
      <c r="F175" s="173"/>
      <c r="G175" s="173"/>
      <c r="H175" s="173"/>
      <c r="I175" s="173"/>
    </row>
    <row r="176" spans="3:9" x14ac:dyDescent="0.3">
      <c r="C176" s="150" t="s">
        <v>530</v>
      </c>
      <c r="D176" s="163"/>
      <c r="E176" s="163"/>
      <c r="F176" s="173"/>
      <c r="G176" s="188">
        <f>D173-D175</f>
        <v>309.74499999999995</v>
      </c>
      <c r="H176" s="173"/>
      <c r="I176" s="173"/>
    </row>
    <row r="177" spans="3:9" x14ac:dyDescent="0.3">
      <c r="C177" s="149" t="s">
        <v>531</v>
      </c>
      <c r="D177" s="179"/>
      <c r="E177" s="179"/>
      <c r="F177" s="189">
        <f>G176/D173</f>
        <v>0.39772085259373391</v>
      </c>
      <c r="G177" s="189">
        <f>D175/D173</f>
        <v>0.60227914740626609</v>
      </c>
      <c r="H177" s="189"/>
      <c r="I177" s="190"/>
    </row>
    <row r="178" spans="3:9" ht="15" thickBot="1" x14ac:dyDescent="0.35">
      <c r="D178" s="163"/>
      <c r="E178" s="163"/>
      <c r="F178" s="173"/>
      <c r="G178" s="173"/>
      <c r="H178" s="173"/>
      <c r="I178" s="173"/>
    </row>
    <row r="179" spans="3:9" ht="15" thickBot="1" x14ac:dyDescent="0.35">
      <c r="C179" s="170" t="s">
        <v>636</v>
      </c>
      <c r="D179" s="169" t="s">
        <v>346</v>
      </c>
      <c r="E179" s="185"/>
      <c r="F179" s="186"/>
      <c r="G179" s="186"/>
      <c r="H179" s="186"/>
      <c r="I179" s="186"/>
    </row>
    <row r="180" spans="3:9" x14ac:dyDescent="0.3">
      <c r="D180" s="163"/>
      <c r="E180" s="163"/>
      <c r="F180" s="173"/>
      <c r="G180" s="173"/>
      <c r="H180" s="173"/>
      <c r="I180" s="173"/>
    </row>
    <row r="181" spans="3:9" x14ac:dyDescent="0.3">
      <c r="C181" s="149" t="s">
        <v>528</v>
      </c>
      <c r="D181" s="163">
        <f>D86+D93+D97+D101+D105</f>
        <v>853.8</v>
      </c>
      <c r="E181" s="163"/>
      <c r="F181" s="187">
        <f>G181/D181</f>
        <v>1498.6448817053174</v>
      </c>
      <c r="G181" s="188">
        <f>G86+G93+G97+G101+G105</f>
        <v>1279543</v>
      </c>
      <c r="H181" s="187">
        <f>I181/D181</f>
        <v>563.00070274068867</v>
      </c>
      <c r="I181" s="173">
        <f>I86+I93+I97+I101+I105</f>
        <v>480690</v>
      </c>
    </row>
    <row r="182" spans="3:9" x14ac:dyDescent="0.3">
      <c r="C182" s="150"/>
      <c r="D182" s="163"/>
      <c r="E182" s="163"/>
      <c r="F182" s="173"/>
      <c r="G182" s="173"/>
      <c r="H182" s="173"/>
      <c r="I182" s="173"/>
    </row>
    <row r="183" spans="3:9" x14ac:dyDescent="0.3">
      <c r="C183" s="150" t="s">
        <v>529</v>
      </c>
      <c r="D183" s="183">
        <f>G181/F62</f>
        <v>492.1319230769231</v>
      </c>
      <c r="E183" s="163"/>
      <c r="F183" s="173"/>
      <c r="G183" s="173"/>
      <c r="H183" s="173"/>
      <c r="I183" s="173"/>
    </row>
    <row r="184" spans="3:9" x14ac:dyDescent="0.3">
      <c r="C184" s="150" t="s">
        <v>530</v>
      </c>
      <c r="D184" s="163"/>
      <c r="E184" s="163"/>
      <c r="F184" s="173"/>
      <c r="G184" s="188">
        <f>D181-D183</f>
        <v>361.66807692307685</v>
      </c>
      <c r="H184" s="173"/>
      <c r="I184" s="173"/>
    </row>
    <row r="185" spans="3:9" x14ac:dyDescent="0.3">
      <c r="C185" s="149" t="s">
        <v>531</v>
      </c>
      <c r="D185" s="179"/>
      <c r="E185" s="179"/>
      <c r="F185" s="189">
        <f>G184/D181</f>
        <v>0.42359812242103173</v>
      </c>
      <c r="G185" s="189">
        <f>D183/D181</f>
        <v>0.57640187757896832</v>
      </c>
      <c r="H185" s="189"/>
      <c r="I185" s="190"/>
    </row>
    <row r="186" spans="3:9" x14ac:dyDescent="0.3">
      <c r="C186" s="174"/>
      <c r="D186" s="191"/>
      <c r="E186" s="191"/>
      <c r="F186" s="192"/>
      <c r="G186" s="192"/>
      <c r="H186" s="192"/>
      <c r="I186" s="192"/>
    </row>
  </sheetData>
  <mergeCells count="5">
    <mergeCell ref="C6:I6"/>
    <mergeCell ref="C1:I4"/>
    <mergeCell ref="C5:I5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40" zoomScaleNormal="100" workbookViewId="0">
      <selection activeCell="E65" sqref="E65"/>
    </sheetView>
  </sheetViews>
  <sheetFormatPr defaultRowHeight="14.4" x14ac:dyDescent="0.3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 x14ac:dyDescent="0.3">
      <c r="C1" s="490"/>
      <c r="D1" s="490"/>
      <c r="E1" s="490"/>
      <c r="F1" s="490"/>
      <c r="G1" s="490"/>
      <c r="H1" s="490"/>
      <c r="I1" s="490"/>
    </row>
    <row r="2" spans="1:9" x14ac:dyDescent="0.3">
      <c r="C2" s="490"/>
      <c r="D2" s="490"/>
      <c r="E2" s="490"/>
      <c r="F2" s="490"/>
      <c r="G2" s="490"/>
      <c r="H2" s="490"/>
      <c r="I2" s="490"/>
    </row>
    <row r="3" spans="1:9" x14ac:dyDescent="0.3">
      <c r="C3" s="490"/>
      <c r="D3" s="490"/>
      <c r="E3" s="490"/>
      <c r="F3" s="490"/>
      <c r="G3" s="490"/>
      <c r="H3" s="490"/>
      <c r="I3" s="490"/>
    </row>
    <row r="4" spans="1:9" x14ac:dyDescent="0.3">
      <c r="C4" s="490"/>
      <c r="D4" s="490"/>
      <c r="E4" s="490"/>
      <c r="F4" s="490"/>
      <c r="G4" s="490"/>
      <c r="H4" s="490"/>
      <c r="I4" s="490"/>
    </row>
    <row r="5" spans="1:9" ht="15.6" customHeight="1" x14ac:dyDescent="0.3">
      <c r="C5" s="489" t="s">
        <v>655</v>
      </c>
      <c r="D5" s="489"/>
      <c r="E5" s="489"/>
      <c r="F5" s="489"/>
      <c r="G5" s="489"/>
      <c r="H5" s="489"/>
      <c r="I5" s="489"/>
    </row>
    <row r="6" spans="1:9" ht="15.6" customHeight="1" x14ac:dyDescent="0.3">
      <c r="C6" s="489"/>
      <c r="D6" s="489"/>
      <c r="E6" s="489"/>
      <c r="F6" s="489"/>
      <c r="G6" s="489"/>
      <c r="H6" s="489"/>
      <c r="I6" s="489"/>
    </row>
    <row r="7" spans="1:9" ht="15.6" customHeight="1" x14ac:dyDescent="0.3">
      <c r="C7" s="491" t="s">
        <v>656</v>
      </c>
      <c r="D7" s="492"/>
      <c r="E7" s="492"/>
      <c r="F7" s="492"/>
      <c r="G7" s="492"/>
      <c r="H7" s="492"/>
      <c r="I7" s="492"/>
    </row>
    <row r="8" spans="1:9" ht="15.6" customHeight="1" x14ac:dyDescent="0.3">
      <c r="C8" s="492"/>
      <c r="D8" s="492"/>
      <c r="E8" s="492"/>
      <c r="F8" s="492"/>
      <c r="G8" s="492"/>
      <c r="H8" s="492"/>
      <c r="I8" s="492"/>
    </row>
    <row r="9" spans="1:9" ht="15.6" customHeight="1" x14ac:dyDescent="0.3">
      <c r="C9" s="492"/>
      <c r="D9" s="492"/>
      <c r="E9" s="492"/>
      <c r="F9" s="492"/>
      <c r="G9" s="492"/>
      <c r="H9" s="492"/>
      <c r="I9" s="492"/>
    </row>
    <row r="10" spans="1:9" x14ac:dyDescent="0.3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 x14ac:dyDescent="0.3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 x14ac:dyDescent="0.35">
      <c r="B12" s="158" t="s">
        <v>562</v>
      </c>
      <c r="C12" s="149" t="s">
        <v>521</v>
      </c>
    </row>
    <row r="13" spans="1:9" ht="15" thickBot="1" x14ac:dyDescent="0.35">
      <c r="A13" s="157" t="s">
        <v>555</v>
      </c>
      <c r="B13" s="154" t="s">
        <v>585</v>
      </c>
      <c r="C13" s="155" t="s">
        <v>595</v>
      </c>
      <c r="D13" s="175">
        <v>1.2</v>
      </c>
      <c r="E13" s="176"/>
      <c r="F13" s="175">
        <v>20</v>
      </c>
      <c r="G13" s="176">
        <f t="shared" ref="G13:G56" si="0">D13*F13</f>
        <v>24</v>
      </c>
      <c r="H13" s="175">
        <v>350</v>
      </c>
      <c r="I13" s="176">
        <f t="shared" ref="I13:I56" si="1">D13*H13</f>
        <v>420</v>
      </c>
    </row>
    <row r="14" spans="1:9" x14ac:dyDescent="0.3">
      <c r="A14" s="5"/>
      <c r="B14" s="7" t="s">
        <v>584</v>
      </c>
      <c r="C14" s="166" t="s">
        <v>594</v>
      </c>
      <c r="D14" s="178">
        <v>1.2</v>
      </c>
      <c r="E14" s="41"/>
      <c r="F14" s="178">
        <v>20</v>
      </c>
      <c r="G14" s="41">
        <f t="shared" si="0"/>
        <v>24</v>
      </c>
      <c r="H14" s="178">
        <v>350</v>
      </c>
      <c r="I14" s="41">
        <f t="shared" si="1"/>
        <v>420</v>
      </c>
    </row>
    <row r="15" spans="1:9" ht="15.6" customHeight="1" x14ac:dyDescent="0.3">
      <c r="B15" t="s">
        <v>587</v>
      </c>
      <c r="C15" s="151" t="s">
        <v>593</v>
      </c>
      <c r="D15" s="177">
        <v>2</v>
      </c>
      <c r="E15" s="193"/>
      <c r="F15" s="177">
        <v>20</v>
      </c>
      <c r="G15" s="41">
        <f t="shared" si="0"/>
        <v>40</v>
      </c>
      <c r="H15" s="177">
        <v>150</v>
      </c>
      <c r="I15" s="41">
        <f t="shared" si="1"/>
        <v>300</v>
      </c>
    </row>
    <row r="16" spans="1:9" ht="15.6" customHeight="1" x14ac:dyDescent="0.3">
      <c r="B16" t="s">
        <v>586</v>
      </c>
      <c r="C16" s="151" t="s">
        <v>592</v>
      </c>
      <c r="D16" s="177">
        <v>2</v>
      </c>
      <c r="E16" s="193"/>
      <c r="F16" s="177">
        <v>20</v>
      </c>
      <c r="G16" s="41">
        <f t="shared" si="0"/>
        <v>40</v>
      </c>
      <c r="H16" s="177">
        <v>150</v>
      </c>
      <c r="I16" s="41">
        <f t="shared" si="1"/>
        <v>300</v>
      </c>
    </row>
    <row r="17" spans="2:9" x14ac:dyDescent="0.3">
      <c r="B17" t="s">
        <v>588</v>
      </c>
      <c r="C17" s="151" t="s">
        <v>589</v>
      </c>
      <c r="D17" s="177">
        <v>2</v>
      </c>
      <c r="E17" s="193"/>
      <c r="F17" s="177">
        <v>5</v>
      </c>
      <c r="G17" s="41">
        <f t="shared" si="0"/>
        <v>10</v>
      </c>
      <c r="H17" s="177">
        <v>200</v>
      </c>
      <c r="I17" s="41">
        <f t="shared" si="1"/>
        <v>400</v>
      </c>
    </row>
    <row r="18" spans="2:9" x14ac:dyDescent="0.3">
      <c r="B18" t="s">
        <v>590</v>
      </c>
      <c r="C18" s="151" t="s">
        <v>591</v>
      </c>
      <c r="D18" s="177">
        <v>2</v>
      </c>
      <c r="E18" s="193"/>
      <c r="F18" s="177">
        <v>5</v>
      </c>
      <c r="G18" s="41">
        <f t="shared" si="0"/>
        <v>10</v>
      </c>
      <c r="H18" s="177">
        <v>200</v>
      </c>
      <c r="I18" s="41">
        <f t="shared" si="1"/>
        <v>400</v>
      </c>
    </row>
    <row r="19" spans="2:9" ht="15" customHeight="1" x14ac:dyDescent="0.3">
      <c r="B19" t="s">
        <v>597</v>
      </c>
      <c r="C19" s="151" t="s">
        <v>598</v>
      </c>
      <c r="D19" s="177">
        <v>7</v>
      </c>
      <c r="E19" s="193"/>
      <c r="F19" s="177">
        <v>0</v>
      </c>
      <c r="G19" s="41">
        <f t="shared" si="0"/>
        <v>0</v>
      </c>
      <c r="H19" s="177">
        <v>200</v>
      </c>
      <c r="I19" s="41">
        <f t="shared" si="1"/>
        <v>1400</v>
      </c>
    </row>
    <row r="20" spans="2:9" ht="15" customHeight="1" x14ac:dyDescent="0.3">
      <c r="B20" t="s">
        <v>596</v>
      </c>
      <c r="C20" s="151" t="s">
        <v>599</v>
      </c>
      <c r="D20" s="177">
        <v>7</v>
      </c>
      <c r="E20" s="193"/>
      <c r="F20" s="177">
        <v>0</v>
      </c>
      <c r="G20" s="41">
        <f t="shared" si="0"/>
        <v>0</v>
      </c>
      <c r="H20" s="177">
        <v>200</v>
      </c>
      <c r="I20" s="41">
        <f t="shared" si="1"/>
        <v>1400</v>
      </c>
    </row>
    <row r="21" spans="2:9" ht="15" customHeight="1" x14ac:dyDescent="0.3">
      <c r="B21" t="s">
        <v>601</v>
      </c>
      <c r="C21" s="151" t="s">
        <v>603</v>
      </c>
      <c r="D21" s="177">
        <v>2</v>
      </c>
      <c r="E21" s="193"/>
      <c r="F21" s="177">
        <v>20</v>
      </c>
      <c r="G21" s="41">
        <f t="shared" si="0"/>
        <v>40</v>
      </c>
      <c r="H21" s="177">
        <v>220</v>
      </c>
      <c r="I21" s="41">
        <f t="shared" si="1"/>
        <v>440</v>
      </c>
    </row>
    <row r="22" spans="2:9" ht="15" customHeight="1" x14ac:dyDescent="0.3">
      <c r="B22" t="s">
        <v>600</v>
      </c>
      <c r="C22" s="151" t="s">
        <v>602</v>
      </c>
      <c r="D22" s="177">
        <v>2</v>
      </c>
      <c r="E22" s="193"/>
      <c r="F22" s="177">
        <v>20</v>
      </c>
      <c r="G22" s="41">
        <f t="shared" si="0"/>
        <v>40</v>
      </c>
      <c r="H22" s="177">
        <v>220</v>
      </c>
      <c r="I22" s="41">
        <f t="shared" si="1"/>
        <v>440</v>
      </c>
    </row>
    <row r="23" spans="2:9" ht="15" customHeight="1" x14ac:dyDescent="0.3">
      <c r="B23" t="s">
        <v>605</v>
      </c>
      <c r="C23" s="151" t="s">
        <v>606</v>
      </c>
      <c r="D23" s="177">
        <v>3</v>
      </c>
      <c r="E23" s="193"/>
      <c r="F23" s="177">
        <v>30</v>
      </c>
      <c r="G23" s="41">
        <f t="shared" si="0"/>
        <v>90</v>
      </c>
      <c r="H23" s="177">
        <v>300</v>
      </c>
      <c r="I23" s="41">
        <f t="shared" si="1"/>
        <v>900</v>
      </c>
    </row>
    <row r="24" spans="2:9" ht="15" customHeight="1" x14ac:dyDescent="0.3">
      <c r="B24" t="s">
        <v>604</v>
      </c>
      <c r="C24" s="151" t="s">
        <v>607</v>
      </c>
      <c r="D24" s="177">
        <v>3</v>
      </c>
      <c r="E24" s="193"/>
      <c r="F24" s="177">
        <v>30</v>
      </c>
      <c r="G24" s="41">
        <f t="shared" si="0"/>
        <v>90</v>
      </c>
      <c r="H24" s="177">
        <v>300</v>
      </c>
      <c r="I24" s="41">
        <f t="shared" si="1"/>
        <v>900</v>
      </c>
    </row>
    <row r="25" spans="2:9" ht="15" customHeight="1" x14ac:dyDescent="0.3">
      <c r="B25" t="s">
        <v>621</v>
      </c>
      <c r="C25" s="151" t="s">
        <v>623</v>
      </c>
      <c r="D25" s="177">
        <v>0.5</v>
      </c>
      <c r="E25" s="193"/>
      <c r="F25" s="177">
        <v>35</v>
      </c>
      <c r="G25" s="41">
        <f t="shared" si="0"/>
        <v>17.5</v>
      </c>
      <c r="H25" s="177">
        <v>400</v>
      </c>
      <c r="I25" s="41">
        <f t="shared" si="1"/>
        <v>200</v>
      </c>
    </row>
    <row r="26" spans="2:9" ht="15" customHeight="1" x14ac:dyDescent="0.3">
      <c r="B26" t="s">
        <v>620</v>
      </c>
      <c r="C26" s="151" t="s">
        <v>622</v>
      </c>
      <c r="D26" s="177">
        <v>0.5</v>
      </c>
      <c r="E26" s="193"/>
      <c r="F26" s="177">
        <v>35</v>
      </c>
      <c r="G26" s="41">
        <f t="shared" si="0"/>
        <v>17.5</v>
      </c>
      <c r="H26" s="177">
        <v>400</v>
      </c>
      <c r="I26" s="41">
        <f t="shared" si="1"/>
        <v>200</v>
      </c>
    </row>
    <row r="27" spans="2:9" ht="16.8" customHeight="1" x14ac:dyDescent="0.3">
      <c r="B27" t="s">
        <v>618</v>
      </c>
      <c r="C27" s="150" t="s">
        <v>619</v>
      </c>
      <c r="D27" s="177">
        <v>1</v>
      </c>
      <c r="E27" s="193"/>
      <c r="F27" s="177">
        <v>0</v>
      </c>
      <c r="G27" s="41">
        <f t="shared" si="0"/>
        <v>0</v>
      </c>
      <c r="H27" s="177">
        <v>200</v>
      </c>
      <c r="I27" s="41">
        <f t="shared" si="1"/>
        <v>200</v>
      </c>
    </row>
    <row r="28" spans="2:9" ht="16.8" customHeight="1" x14ac:dyDescent="0.3">
      <c r="B28" t="s">
        <v>616</v>
      </c>
      <c r="C28" s="150" t="s">
        <v>617</v>
      </c>
      <c r="D28" s="177">
        <v>1</v>
      </c>
      <c r="E28" s="193"/>
      <c r="F28" s="177">
        <v>0</v>
      </c>
      <c r="G28" s="41">
        <f t="shared" si="0"/>
        <v>0</v>
      </c>
      <c r="H28" s="177">
        <v>200</v>
      </c>
      <c r="I28" s="41">
        <f t="shared" si="1"/>
        <v>200</v>
      </c>
    </row>
    <row r="29" spans="2:9" ht="16.2" customHeight="1" x14ac:dyDescent="0.3">
      <c r="B29" t="s">
        <v>615</v>
      </c>
      <c r="C29" s="150" t="s">
        <v>614</v>
      </c>
      <c r="D29" s="177">
        <v>6.5</v>
      </c>
      <c r="E29" s="193"/>
      <c r="F29" s="177">
        <v>0</v>
      </c>
      <c r="G29" s="41">
        <f t="shared" si="0"/>
        <v>0</v>
      </c>
      <c r="H29" s="177">
        <v>200</v>
      </c>
      <c r="I29" s="41">
        <f t="shared" si="1"/>
        <v>1300</v>
      </c>
    </row>
    <row r="30" spans="2:9" ht="16.2" customHeight="1" x14ac:dyDescent="0.3">
      <c r="B30" t="s">
        <v>612</v>
      </c>
      <c r="C30" s="150" t="s">
        <v>613</v>
      </c>
      <c r="D30" s="177">
        <v>6.5</v>
      </c>
      <c r="E30" s="193"/>
      <c r="F30" s="177">
        <v>0</v>
      </c>
      <c r="G30" s="41">
        <f t="shared" si="0"/>
        <v>0</v>
      </c>
      <c r="H30" s="177">
        <v>200</v>
      </c>
      <c r="I30" s="41">
        <f t="shared" si="1"/>
        <v>1300</v>
      </c>
    </row>
    <row r="31" spans="2:9" ht="16.2" customHeight="1" x14ac:dyDescent="0.3">
      <c r="B31" t="s">
        <v>611</v>
      </c>
      <c r="C31" s="150" t="s">
        <v>610</v>
      </c>
      <c r="D31" s="177">
        <v>6</v>
      </c>
      <c r="E31" s="193"/>
      <c r="F31" s="177">
        <v>0</v>
      </c>
      <c r="G31" s="41">
        <f t="shared" si="0"/>
        <v>0</v>
      </c>
      <c r="H31" s="177">
        <v>200</v>
      </c>
      <c r="I31" s="41">
        <f t="shared" si="1"/>
        <v>1200</v>
      </c>
    </row>
    <row r="32" spans="2:9" ht="16.2" customHeight="1" x14ac:dyDescent="0.3">
      <c r="B32" t="s">
        <v>608</v>
      </c>
      <c r="C32" s="150" t="s">
        <v>609</v>
      </c>
      <c r="D32" s="177">
        <v>6</v>
      </c>
      <c r="E32" s="193"/>
      <c r="F32" s="177">
        <v>0</v>
      </c>
      <c r="G32" s="41">
        <f t="shared" si="0"/>
        <v>0</v>
      </c>
      <c r="H32" s="177">
        <v>200</v>
      </c>
      <c r="I32" s="41">
        <f t="shared" si="1"/>
        <v>1200</v>
      </c>
    </row>
    <row r="33" spans="1:9" ht="15" thickBot="1" x14ac:dyDescent="0.35">
      <c r="B33" t="s">
        <v>542</v>
      </c>
      <c r="C33" s="150" t="s">
        <v>546</v>
      </c>
      <c r="D33" s="177">
        <v>4</v>
      </c>
      <c r="E33" s="193"/>
      <c r="F33" s="177">
        <v>-50</v>
      </c>
      <c r="G33" s="41">
        <f t="shared" si="0"/>
        <v>-200</v>
      </c>
      <c r="H33" s="177">
        <v>250</v>
      </c>
      <c r="I33" s="41">
        <f t="shared" si="1"/>
        <v>1000</v>
      </c>
    </row>
    <row r="34" spans="1:9" ht="15" customHeight="1" thickBot="1" x14ac:dyDescent="0.35">
      <c r="A34" s="157" t="s">
        <v>556</v>
      </c>
      <c r="B34" s="154" t="s">
        <v>585</v>
      </c>
      <c r="C34" s="155" t="s">
        <v>595</v>
      </c>
      <c r="D34" s="175">
        <v>1.2</v>
      </c>
      <c r="E34" s="176"/>
      <c r="F34" s="175">
        <v>2600</v>
      </c>
      <c r="G34" s="176">
        <f t="shared" si="0"/>
        <v>3120</v>
      </c>
      <c r="H34" s="175">
        <v>350</v>
      </c>
      <c r="I34" s="176">
        <f t="shared" si="1"/>
        <v>420</v>
      </c>
    </row>
    <row r="35" spans="1:9" ht="15" customHeight="1" x14ac:dyDescent="0.3">
      <c r="A35" s="5"/>
      <c r="B35" s="7" t="s">
        <v>584</v>
      </c>
      <c r="C35" s="166" t="s">
        <v>594</v>
      </c>
      <c r="D35" s="178">
        <v>1.2</v>
      </c>
      <c r="E35" s="41"/>
      <c r="F35" s="178">
        <v>2600</v>
      </c>
      <c r="G35" s="41">
        <f t="shared" si="0"/>
        <v>3120</v>
      </c>
      <c r="H35" s="178">
        <v>350</v>
      </c>
      <c r="I35" s="41">
        <f t="shared" si="1"/>
        <v>420</v>
      </c>
    </row>
    <row r="36" spans="1:9" ht="16.2" customHeight="1" x14ac:dyDescent="0.3">
      <c r="B36" t="s">
        <v>587</v>
      </c>
      <c r="C36" s="150" t="s">
        <v>593</v>
      </c>
      <c r="D36" s="177">
        <v>2</v>
      </c>
      <c r="E36" s="193"/>
      <c r="F36" s="177">
        <v>2600</v>
      </c>
      <c r="G36" s="41">
        <f t="shared" si="0"/>
        <v>5200</v>
      </c>
      <c r="H36" s="177">
        <v>150</v>
      </c>
      <c r="I36" s="41">
        <f t="shared" si="1"/>
        <v>300</v>
      </c>
    </row>
    <row r="37" spans="1:9" ht="16.2" customHeight="1" x14ac:dyDescent="0.3">
      <c r="B37" t="s">
        <v>586</v>
      </c>
      <c r="C37" s="150" t="s">
        <v>592</v>
      </c>
      <c r="D37" s="177">
        <v>2</v>
      </c>
      <c r="E37" s="193"/>
      <c r="F37" s="177">
        <v>2600</v>
      </c>
      <c r="G37" s="41">
        <f t="shared" si="0"/>
        <v>5200</v>
      </c>
      <c r="H37" s="177">
        <v>150</v>
      </c>
      <c r="I37" s="41">
        <f t="shared" si="1"/>
        <v>300</v>
      </c>
    </row>
    <row r="38" spans="1:9" ht="16.2" customHeight="1" x14ac:dyDescent="0.3">
      <c r="B38" t="s">
        <v>588</v>
      </c>
      <c r="C38" s="150" t="s">
        <v>589</v>
      </c>
      <c r="D38" s="177">
        <v>2</v>
      </c>
      <c r="E38" s="193"/>
      <c r="F38" s="177">
        <v>2600</v>
      </c>
      <c r="G38" s="41">
        <f t="shared" si="0"/>
        <v>5200</v>
      </c>
      <c r="H38" s="177">
        <v>200</v>
      </c>
      <c r="I38" s="41">
        <f t="shared" si="1"/>
        <v>400</v>
      </c>
    </row>
    <row r="39" spans="1:9" ht="16.2" customHeight="1" x14ac:dyDescent="0.3">
      <c r="B39" t="s">
        <v>590</v>
      </c>
      <c r="C39" s="150" t="s">
        <v>591</v>
      </c>
      <c r="D39" s="177">
        <v>2</v>
      </c>
      <c r="E39" s="193"/>
      <c r="F39" s="177">
        <v>2600</v>
      </c>
      <c r="G39" s="41">
        <f t="shared" si="0"/>
        <v>5200</v>
      </c>
      <c r="H39" s="177">
        <v>200</v>
      </c>
      <c r="I39" s="41">
        <f t="shared" si="1"/>
        <v>400</v>
      </c>
    </row>
    <row r="40" spans="1:9" x14ac:dyDescent="0.3">
      <c r="B40" t="s">
        <v>597</v>
      </c>
      <c r="C40" s="151" t="s">
        <v>598</v>
      </c>
      <c r="D40" s="177">
        <v>7</v>
      </c>
      <c r="E40" s="193"/>
      <c r="F40" s="177">
        <v>2600</v>
      </c>
      <c r="G40" s="41">
        <f t="shared" si="0"/>
        <v>18200</v>
      </c>
      <c r="H40" s="177">
        <v>200</v>
      </c>
      <c r="I40" s="41">
        <f t="shared" si="1"/>
        <v>1400</v>
      </c>
    </row>
    <row r="41" spans="1:9" x14ac:dyDescent="0.3">
      <c r="B41" t="s">
        <v>596</v>
      </c>
      <c r="C41" s="151" t="s">
        <v>599</v>
      </c>
      <c r="D41" s="177">
        <v>7</v>
      </c>
      <c r="E41" s="193"/>
      <c r="F41" s="177">
        <v>2600</v>
      </c>
      <c r="G41" s="41">
        <f t="shared" si="0"/>
        <v>18200</v>
      </c>
      <c r="H41" s="177">
        <v>200</v>
      </c>
      <c r="I41" s="41">
        <f t="shared" si="1"/>
        <v>1400</v>
      </c>
    </row>
    <row r="42" spans="1:9" x14ac:dyDescent="0.3">
      <c r="B42" t="s">
        <v>601</v>
      </c>
      <c r="C42" s="151" t="s">
        <v>603</v>
      </c>
      <c r="D42" s="177">
        <v>2</v>
      </c>
      <c r="E42" s="193"/>
      <c r="F42" s="177">
        <v>2620</v>
      </c>
      <c r="G42" s="41">
        <f t="shared" si="0"/>
        <v>5240</v>
      </c>
      <c r="H42" s="177">
        <v>220</v>
      </c>
      <c r="I42" s="41">
        <f t="shared" si="1"/>
        <v>440</v>
      </c>
    </row>
    <row r="43" spans="1:9" x14ac:dyDescent="0.3">
      <c r="B43" t="s">
        <v>600</v>
      </c>
      <c r="C43" s="151" t="s">
        <v>602</v>
      </c>
      <c r="D43" s="177">
        <v>2</v>
      </c>
      <c r="E43" s="193"/>
      <c r="F43" s="177">
        <v>2620</v>
      </c>
      <c r="G43" s="41">
        <f t="shared" si="0"/>
        <v>5240</v>
      </c>
      <c r="H43" s="177">
        <v>220</v>
      </c>
      <c r="I43" s="41">
        <f t="shared" si="1"/>
        <v>440</v>
      </c>
    </row>
    <row r="44" spans="1:9" x14ac:dyDescent="0.3">
      <c r="B44" t="s">
        <v>605</v>
      </c>
      <c r="C44" s="151" t="s">
        <v>606</v>
      </c>
      <c r="D44" s="177">
        <v>3</v>
      </c>
      <c r="E44" s="193"/>
      <c r="F44" s="177">
        <v>2580</v>
      </c>
      <c r="G44" s="41">
        <f t="shared" si="0"/>
        <v>7740</v>
      </c>
      <c r="H44" s="177">
        <v>300</v>
      </c>
      <c r="I44" s="41">
        <f t="shared" si="1"/>
        <v>900</v>
      </c>
    </row>
    <row r="45" spans="1:9" x14ac:dyDescent="0.3">
      <c r="B45" t="s">
        <v>604</v>
      </c>
      <c r="C45" s="151" t="s">
        <v>607</v>
      </c>
      <c r="D45" s="177">
        <v>3</v>
      </c>
      <c r="E45" s="193"/>
      <c r="F45" s="177">
        <v>2580</v>
      </c>
      <c r="G45" s="41">
        <f t="shared" si="0"/>
        <v>7740</v>
      </c>
      <c r="H45" s="177">
        <v>300</v>
      </c>
      <c r="I45" s="41">
        <f t="shared" si="1"/>
        <v>900</v>
      </c>
    </row>
    <row r="46" spans="1:9" x14ac:dyDescent="0.3">
      <c r="B46" t="s">
        <v>621</v>
      </c>
      <c r="C46" s="151" t="s">
        <v>623</v>
      </c>
      <c r="D46" s="177">
        <v>0.5</v>
      </c>
      <c r="E46" s="193"/>
      <c r="F46" s="177">
        <v>2550</v>
      </c>
      <c r="G46" s="41">
        <f t="shared" si="0"/>
        <v>1275</v>
      </c>
      <c r="H46" s="177">
        <v>400</v>
      </c>
      <c r="I46" s="41">
        <f t="shared" si="1"/>
        <v>200</v>
      </c>
    </row>
    <row r="47" spans="1:9" x14ac:dyDescent="0.3">
      <c r="B47" t="s">
        <v>620</v>
      </c>
      <c r="C47" s="151" t="s">
        <v>622</v>
      </c>
      <c r="D47" s="177">
        <v>0.5</v>
      </c>
      <c r="E47" s="193"/>
      <c r="F47" s="177">
        <v>2550</v>
      </c>
      <c r="G47" s="41">
        <f t="shared" si="0"/>
        <v>1275</v>
      </c>
      <c r="H47" s="177">
        <v>400</v>
      </c>
      <c r="I47" s="41">
        <f t="shared" si="1"/>
        <v>200</v>
      </c>
    </row>
    <row r="48" spans="1:9" x14ac:dyDescent="0.3">
      <c r="B48" t="s">
        <v>618</v>
      </c>
      <c r="C48" s="151" t="s">
        <v>619</v>
      </c>
      <c r="D48" s="177">
        <v>1</v>
      </c>
      <c r="E48" s="193"/>
      <c r="F48" s="177">
        <v>2600</v>
      </c>
      <c r="G48" s="41">
        <f t="shared" si="0"/>
        <v>2600</v>
      </c>
      <c r="H48" s="177">
        <v>200</v>
      </c>
      <c r="I48" s="41">
        <f t="shared" si="1"/>
        <v>200</v>
      </c>
    </row>
    <row r="49" spans="2:9" x14ac:dyDescent="0.3">
      <c r="B49" t="s">
        <v>616</v>
      </c>
      <c r="C49" s="151" t="s">
        <v>617</v>
      </c>
      <c r="D49" s="177">
        <v>1</v>
      </c>
      <c r="E49" s="193"/>
      <c r="F49" s="177">
        <v>2600</v>
      </c>
      <c r="G49" s="41">
        <f t="shared" si="0"/>
        <v>2600</v>
      </c>
      <c r="H49" s="177">
        <v>200</v>
      </c>
      <c r="I49" s="41">
        <f t="shared" si="1"/>
        <v>200</v>
      </c>
    </row>
    <row r="50" spans="2:9" x14ac:dyDescent="0.3">
      <c r="B50" t="s">
        <v>634</v>
      </c>
      <c r="C50" s="151" t="s">
        <v>635</v>
      </c>
      <c r="D50" s="177">
        <v>5</v>
      </c>
      <c r="E50" s="193"/>
      <c r="F50" s="177">
        <v>2600</v>
      </c>
      <c r="G50" s="41">
        <f t="shared" si="0"/>
        <v>13000</v>
      </c>
      <c r="H50" s="177">
        <v>200</v>
      </c>
      <c r="I50" s="41">
        <f t="shared" si="1"/>
        <v>1000</v>
      </c>
    </row>
    <row r="51" spans="2:9" x14ac:dyDescent="0.3">
      <c r="B51" t="s">
        <v>632</v>
      </c>
      <c r="C51" s="151" t="s">
        <v>633</v>
      </c>
      <c r="D51" s="177">
        <v>5</v>
      </c>
      <c r="E51" s="193"/>
      <c r="F51" s="177">
        <v>2600</v>
      </c>
      <c r="G51" s="41">
        <f t="shared" si="0"/>
        <v>13000</v>
      </c>
      <c r="H51" s="177">
        <v>200</v>
      </c>
      <c r="I51" s="41">
        <f t="shared" si="1"/>
        <v>1000</v>
      </c>
    </row>
    <row r="52" spans="2:9" x14ac:dyDescent="0.3">
      <c r="B52" t="s">
        <v>615</v>
      </c>
      <c r="C52" s="151" t="s">
        <v>614</v>
      </c>
      <c r="D52" s="177">
        <v>6.5</v>
      </c>
      <c r="E52" s="193"/>
      <c r="F52" s="177">
        <v>2600</v>
      </c>
      <c r="G52" s="41">
        <f t="shared" si="0"/>
        <v>16900</v>
      </c>
      <c r="H52" s="177">
        <v>200</v>
      </c>
      <c r="I52" s="41">
        <f t="shared" si="1"/>
        <v>1300</v>
      </c>
    </row>
    <row r="53" spans="2:9" x14ac:dyDescent="0.3">
      <c r="B53" t="s">
        <v>612</v>
      </c>
      <c r="C53" s="151" t="s">
        <v>613</v>
      </c>
      <c r="D53" s="177">
        <v>6.5</v>
      </c>
      <c r="E53" s="193"/>
      <c r="F53" s="177">
        <v>2600</v>
      </c>
      <c r="G53" s="41">
        <f t="shared" si="0"/>
        <v>16900</v>
      </c>
      <c r="H53" s="177">
        <v>200</v>
      </c>
      <c r="I53" s="41">
        <f t="shared" si="1"/>
        <v>1300</v>
      </c>
    </row>
    <row r="54" spans="2:9" x14ac:dyDescent="0.3">
      <c r="B54" t="s">
        <v>611</v>
      </c>
      <c r="C54" s="151" t="s">
        <v>610</v>
      </c>
      <c r="D54" s="177">
        <v>6</v>
      </c>
      <c r="E54" s="193"/>
      <c r="F54" s="177">
        <v>2600</v>
      </c>
      <c r="G54" s="41">
        <f t="shared" si="0"/>
        <v>15600</v>
      </c>
      <c r="H54" s="177">
        <v>200</v>
      </c>
      <c r="I54" s="41">
        <f t="shared" si="1"/>
        <v>1200</v>
      </c>
    </row>
    <row r="55" spans="2:9" x14ac:dyDescent="0.3">
      <c r="B55" t="s">
        <v>608</v>
      </c>
      <c r="C55" s="151" t="s">
        <v>609</v>
      </c>
      <c r="D55" s="177">
        <v>6</v>
      </c>
      <c r="E55" s="193"/>
      <c r="F55" s="177">
        <v>2600</v>
      </c>
      <c r="G55" s="41">
        <f t="shared" si="0"/>
        <v>15600</v>
      </c>
      <c r="H55" s="177">
        <v>200</v>
      </c>
      <c r="I55" s="41">
        <f t="shared" si="1"/>
        <v>1200</v>
      </c>
    </row>
    <row r="56" spans="2:9" x14ac:dyDescent="0.3">
      <c r="B56" t="s">
        <v>542</v>
      </c>
      <c r="C56" s="151" t="s">
        <v>546</v>
      </c>
      <c r="D56" s="177">
        <v>4</v>
      </c>
      <c r="E56" s="193"/>
      <c r="F56" s="177">
        <v>2400</v>
      </c>
      <c r="G56" s="41">
        <f t="shared" si="0"/>
        <v>9600</v>
      </c>
      <c r="H56" s="177">
        <v>250</v>
      </c>
      <c r="I56" s="41">
        <f t="shared" si="1"/>
        <v>1000</v>
      </c>
    </row>
    <row r="57" spans="2:9" x14ac:dyDescent="0.3">
      <c r="C57" s="151"/>
      <c r="D57" s="177"/>
      <c r="E57" s="193"/>
      <c r="F57" s="177"/>
      <c r="G57" s="41"/>
      <c r="H57" s="177"/>
      <c r="I57" s="41"/>
    </row>
    <row r="58" spans="2:9" x14ac:dyDescent="0.3">
      <c r="C58" s="149" t="s">
        <v>654</v>
      </c>
      <c r="D58" s="195">
        <f>SUM(D13:D56)</f>
        <v>142.80000000000001</v>
      </c>
      <c r="E58" s="179"/>
      <c r="F58" s="194">
        <f>G58/D58</f>
        <v>1386.5056022408962</v>
      </c>
      <c r="G58" s="195">
        <f>SUM(G13:G56)</f>
        <v>197993</v>
      </c>
      <c r="H58" s="194">
        <f>I58/D58</f>
        <v>217.36694677871148</v>
      </c>
      <c r="I58" s="195">
        <f>SUM(I13:I56)</f>
        <v>31040</v>
      </c>
    </row>
    <row r="59" spans="2:9" x14ac:dyDescent="0.3">
      <c r="D59" s="193"/>
      <c r="E59" s="193"/>
      <c r="F59" s="193"/>
      <c r="G59" s="193"/>
      <c r="H59" s="193"/>
      <c r="I59" s="193"/>
    </row>
    <row r="60" spans="2:9" x14ac:dyDescent="0.3">
      <c r="D60" s="193"/>
      <c r="E60" s="193"/>
      <c r="F60" s="193"/>
      <c r="G60" s="193"/>
      <c r="H60" s="193"/>
      <c r="I60" s="193"/>
    </row>
    <row r="61" spans="2:9" x14ac:dyDescent="0.3">
      <c r="C61" s="150"/>
      <c r="D61" s="193"/>
      <c r="E61" s="193"/>
      <c r="F61" s="171" t="s">
        <v>514</v>
      </c>
      <c r="G61" s="171" t="s">
        <v>526</v>
      </c>
      <c r="H61" s="171" t="s">
        <v>516</v>
      </c>
      <c r="I61" s="171" t="s">
        <v>517</v>
      </c>
    </row>
    <row r="62" spans="2:9" ht="15" thickBot="1" x14ac:dyDescent="0.35">
      <c r="C62" s="150"/>
      <c r="D62" s="193"/>
      <c r="E62" s="193"/>
      <c r="F62" s="172" t="s">
        <v>519</v>
      </c>
      <c r="G62" s="173" t="s">
        <v>520</v>
      </c>
      <c r="H62" s="172" t="s">
        <v>527</v>
      </c>
      <c r="I62" s="173" t="s">
        <v>520</v>
      </c>
    </row>
    <row r="63" spans="2:9" ht="15" thickBot="1" x14ac:dyDescent="0.35">
      <c r="C63" s="493" t="s">
        <v>657</v>
      </c>
      <c r="D63" s="494"/>
      <c r="E63" s="185"/>
      <c r="F63" s="186"/>
      <c r="G63" s="186"/>
      <c r="H63" s="186"/>
      <c r="I63" s="186"/>
    </row>
    <row r="64" spans="2:9" x14ac:dyDescent="0.3">
      <c r="C64" s="150"/>
      <c r="D64" s="193"/>
      <c r="E64" s="193"/>
      <c r="F64" s="173"/>
      <c r="G64" s="173"/>
      <c r="H64" s="173"/>
      <c r="I64" s="173"/>
    </row>
    <row r="65" spans="3:9" x14ac:dyDescent="0.3">
      <c r="C65" s="149" t="s">
        <v>528</v>
      </c>
      <c r="D65" s="193">
        <f>D58</f>
        <v>142.80000000000001</v>
      </c>
      <c r="E65" s="193"/>
      <c r="F65" s="187">
        <f>G65/D65</f>
        <v>1386.5056022408962</v>
      </c>
      <c r="G65" s="188">
        <f>G58</f>
        <v>197993</v>
      </c>
      <c r="H65" s="187">
        <f>I65/D65</f>
        <v>217.36694677871148</v>
      </c>
      <c r="I65" s="173">
        <f>I58</f>
        <v>31040</v>
      </c>
    </row>
    <row r="66" spans="3:9" x14ac:dyDescent="0.3">
      <c r="C66" s="150"/>
      <c r="D66" s="193"/>
      <c r="E66" s="193"/>
      <c r="F66" s="173"/>
      <c r="G66" s="173"/>
      <c r="H66" s="173"/>
      <c r="I66" s="173"/>
    </row>
    <row r="67" spans="3:9" x14ac:dyDescent="0.3">
      <c r="C67" s="150" t="s">
        <v>529</v>
      </c>
      <c r="D67" s="183">
        <f>G65/F50</f>
        <v>76.151153846153846</v>
      </c>
      <c r="E67" s="193"/>
      <c r="F67" s="173"/>
      <c r="G67" s="173"/>
      <c r="H67" s="173"/>
      <c r="I67" s="173"/>
    </row>
    <row r="68" spans="3:9" x14ac:dyDescent="0.3">
      <c r="C68" s="150" t="s">
        <v>530</v>
      </c>
      <c r="D68" s="193"/>
      <c r="E68" s="193"/>
      <c r="F68" s="173"/>
      <c r="G68" s="188">
        <f>D65-D67</f>
        <v>66.648846153846165</v>
      </c>
      <c r="H68" s="173"/>
      <c r="I68" s="173"/>
    </row>
    <row r="69" spans="3:9" x14ac:dyDescent="0.3">
      <c r="C69" s="149" t="s">
        <v>531</v>
      </c>
      <c r="D69" s="179"/>
      <c r="E69" s="179"/>
      <c r="F69" s="189">
        <f>G68/D65</f>
        <v>0.46672861452273223</v>
      </c>
      <c r="G69" s="189">
        <f>D67/D65</f>
        <v>0.53327138547726782</v>
      </c>
      <c r="H69" s="189"/>
      <c r="I69" s="190"/>
    </row>
    <row r="70" spans="3:9" x14ac:dyDescent="0.3">
      <c r="D70" s="193"/>
      <c r="E70" s="193"/>
      <c r="F70" s="192"/>
      <c r="G70" s="192"/>
      <c r="H70" s="192"/>
      <c r="I70" s="192"/>
    </row>
  </sheetData>
  <mergeCells count="6">
    <mergeCell ref="C63:D63"/>
    <mergeCell ref="C1:I4"/>
    <mergeCell ref="C5:I5"/>
    <mergeCell ref="C6:I6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70" zoomScaleNormal="100" workbookViewId="0">
      <selection activeCell="I91" sqref="I91"/>
    </sheetView>
  </sheetViews>
  <sheetFormatPr defaultRowHeight="14.4" x14ac:dyDescent="0.3"/>
  <cols>
    <col min="1" max="1" width="19.77734375" customWidth="1"/>
    <col min="2" max="2" width="23" customWidth="1"/>
    <col min="3" max="3" width="32.33203125" customWidth="1"/>
    <col min="5" max="5" width="20.21875" customWidth="1"/>
    <col min="6" max="6" width="20.44140625" customWidth="1"/>
    <col min="7" max="7" width="21.21875" customWidth="1"/>
    <col min="8" max="8" width="19" customWidth="1"/>
    <col min="9" max="9" width="19.77734375" customWidth="1"/>
  </cols>
  <sheetData>
    <row r="1" spans="1:9" x14ac:dyDescent="0.3">
      <c r="C1" s="490"/>
      <c r="D1" s="490"/>
      <c r="E1" s="490"/>
      <c r="F1" s="490"/>
      <c r="G1" s="490"/>
      <c r="H1" s="490"/>
      <c r="I1" s="490"/>
    </row>
    <row r="2" spans="1:9" x14ac:dyDescent="0.3">
      <c r="C2" s="490"/>
      <c r="D2" s="490"/>
      <c r="E2" s="490"/>
      <c r="F2" s="490"/>
      <c r="G2" s="490"/>
      <c r="H2" s="490"/>
      <c r="I2" s="490"/>
    </row>
    <row r="3" spans="1:9" x14ac:dyDescent="0.3">
      <c r="C3" s="490"/>
      <c r="D3" s="490"/>
      <c r="E3" s="490"/>
      <c r="F3" s="490"/>
      <c r="G3" s="490"/>
      <c r="H3" s="490"/>
      <c r="I3" s="490"/>
    </row>
    <row r="4" spans="1:9" x14ac:dyDescent="0.3">
      <c r="C4" s="490"/>
      <c r="D4" s="490"/>
      <c r="E4" s="490"/>
      <c r="F4" s="490"/>
      <c r="G4" s="490"/>
      <c r="H4" s="490"/>
      <c r="I4" s="490"/>
    </row>
    <row r="5" spans="1:9" ht="15.6" customHeight="1" x14ac:dyDescent="0.3">
      <c r="C5" s="489" t="s">
        <v>659</v>
      </c>
      <c r="D5" s="489"/>
      <c r="E5" s="489"/>
      <c r="F5" s="489"/>
      <c r="G5" s="489"/>
      <c r="H5" s="489"/>
      <c r="I5" s="489"/>
    </row>
    <row r="6" spans="1:9" ht="15.6" customHeight="1" x14ac:dyDescent="0.3">
      <c r="C6" s="489"/>
      <c r="D6" s="489"/>
      <c r="E6" s="489"/>
      <c r="F6" s="489"/>
      <c r="G6" s="489"/>
      <c r="H6" s="489"/>
      <c r="I6" s="489"/>
    </row>
    <row r="7" spans="1:9" ht="15.6" customHeight="1" x14ac:dyDescent="0.3">
      <c r="C7" s="491" t="s">
        <v>658</v>
      </c>
      <c r="D7" s="492"/>
      <c r="E7" s="492"/>
      <c r="F7" s="492"/>
      <c r="G7" s="492"/>
      <c r="H7" s="492"/>
      <c r="I7" s="492"/>
    </row>
    <row r="8" spans="1:9" ht="15.6" customHeight="1" x14ac:dyDescent="0.3">
      <c r="C8" s="492"/>
      <c r="D8" s="492"/>
      <c r="E8" s="492"/>
      <c r="F8" s="492"/>
      <c r="G8" s="492"/>
      <c r="H8" s="492"/>
      <c r="I8" s="492"/>
    </row>
    <row r="9" spans="1:9" ht="15.6" customHeight="1" x14ac:dyDescent="0.3">
      <c r="C9" s="492"/>
      <c r="D9" s="492"/>
      <c r="E9" s="492"/>
      <c r="F9" s="492"/>
      <c r="G9" s="492"/>
      <c r="H9" s="492"/>
      <c r="I9" s="492"/>
    </row>
    <row r="10" spans="1:9" x14ac:dyDescent="0.3">
      <c r="B10" t="s">
        <v>512</v>
      </c>
      <c r="C10" s="159" t="s">
        <v>512</v>
      </c>
      <c r="D10" s="160" t="s">
        <v>513</v>
      </c>
      <c r="E10" s="160"/>
      <c r="F10" s="160" t="s">
        <v>514</v>
      </c>
      <c r="G10" s="160" t="s">
        <v>515</v>
      </c>
      <c r="H10" s="160" t="s">
        <v>516</v>
      </c>
      <c r="I10" s="160" t="s">
        <v>517</v>
      </c>
    </row>
    <row r="11" spans="1:9" x14ac:dyDescent="0.3">
      <c r="C11" s="160"/>
      <c r="D11" s="161" t="s">
        <v>518</v>
      </c>
      <c r="E11" s="161"/>
      <c r="F11" s="161" t="s">
        <v>519</v>
      </c>
      <c r="G11" s="161" t="s">
        <v>520</v>
      </c>
      <c r="H11" s="161" t="s">
        <v>519</v>
      </c>
      <c r="I11" s="161" t="s">
        <v>520</v>
      </c>
    </row>
    <row r="12" spans="1:9" ht="15" thickBot="1" x14ac:dyDescent="0.35">
      <c r="B12" s="158" t="s">
        <v>562</v>
      </c>
      <c r="C12" s="149" t="s">
        <v>521</v>
      </c>
    </row>
    <row r="13" spans="1:9" ht="13.8" customHeight="1" thickBot="1" x14ac:dyDescent="0.35">
      <c r="A13" s="157" t="s">
        <v>558</v>
      </c>
      <c r="B13" s="162" t="s">
        <v>544</v>
      </c>
      <c r="C13" s="155" t="s">
        <v>547</v>
      </c>
      <c r="D13" s="175">
        <v>0</v>
      </c>
      <c r="E13" s="176"/>
      <c r="F13" s="175">
        <v>1300</v>
      </c>
      <c r="G13" s="176">
        <f>D13*F13</f>
        <v>0</v>
      </c>
      <c r="H13" s="175">
        <v>500</v>
      </c>
      <c r="I13" s="176">
        <f t="shared" ref="I13:I33" si="0">D13*H13</f>
        <v>0</v>
      </c>
    </row>
    <row r="14" spans="1:9" ht="13.8" customHeight="1" x14ac:dyDescent="0.3">
      <c r="B14" t="s">
        <v>559</v>
      </c>
      <c r="C14" s="150" t="s">
        <v>560</v>
      </c>
      <c r="D14" s="177"/>
      <c r="E14" s="193"/>
      <c r="F14" s="177">
        <v>1300</v>
      </c>
      <c r="G14" s="41">
        <f t="shared" ref="G14:G34" si="1">D14*F14</f>
        <v>0</v>
      </c>
      <c r="H14" s="177">
        <v>500</v>
      </c>
      <c r="I14" s="41">
        <f t="shared" si="0"/>
        <v>0</v>
      </c>
    </row>
    <row r="15" spans="1:9" ht="13.8" customHeight="1" x14ac:dyDescent="0.3">
      <c r="B15" t="s">
        <v>625</v>
      </c>
      <c r="C15" s="150" t="s">
        <v>642</v>
      </c>
      <c r="D15" s="177">
        <v>10</v>
      </c>
      <c r="E15" s="193"/>
      <c r="F15" s="177">
        <v>800</v>
      </c>
      <c r="G15" s="41">
        <f t="shared" si="1"/>
        <v>8000</v>
      </c>
      <c r="H15" s="177">
        <v>500</v>
      </c>
      <c r="I15" s="41">
        <f t="shared" si="0"/>
        <v>5000</v>
      </c>
    </row>
    <row r="16" spans="1:9" ht="13.8" customHeight="1" x14ac:dyDescent="0.3">
      <c r="B16" t="s">
        <v>624</v>
      </c>
      <c r="C16" s="150" t="s">
        <v>643</v>
      </c>
      <c r="D16" s="177">
        <v>10</v>
      </c>
      <c r="E16" s="193"/>
      <c r="F16" s="177">
        <v>800</v>
      </c>
      <c r="G16" s="41">
        <f t="shared" si="1"/>
        <v>8000</v>
      </c>
      <c r="H16" s="177">
        <v>500</v>
      </c>
      <c r="I16" s="41">
        <f t="shared" si="0"/>
        <v>5000</v>
      </c>
    </row>
    <row r="17" spans="1:9" ht="13.8" customHeight="1" x14ac:dyDescent="0.3">
      <c r="B17" t="s">
        <v>627</v>
      </c>
      <c r="C17" s="150" t="s">
        <v>644</v>
      </c>
      <c r="D17" s="177">
        <v>10</v>
      </c>
      <c r="E17" s="193"/>
      <c r="F17" s="177">
        <v>1900</v>
      </c>
      <c r="G17" s="41">
        <f t="shared" si="1"/>
        <v>19000</v>
      </c>
      <c r="H17" s="177">
        <v>500</v>
      </c>
      <c r="I17" s="41">
        <f t="shared" si="0"/>
        <v>5000</v>
      </c>
    </row>
    <row r="18" spans="1:9" ht="13.8" customHeight="1" x14ac:dyDescent="0.3">
      <c r="B18" t="s">
        <v>626</v>
      </c>
      <c r="C18" s="150" t="s">
        <v>645</v>
      </c>
      <c r="D18" s="177">
        <v>10</v>
      </c>
      <c r="E18" s="193"/>
      <c r="F18" s="177">
        <v>1900</v>
      </c>
      <c r="G18" s="41">
        <f t="shared" si="1"/>
        <v>19000</v>
      </c>
      <c r="H18" s="177">
        <v>500</v>
      </c>
      <c r="I18" s="41">
        <f t="shared" si="0"/>
        <v>5000</v>
      </c>
    </row>
    <row r="19" spans="1:9" ht="13.8" customHeight="1" thickBot="1" x14ac:dyDescent="0.35">
      <c r="B19" t="s">
        <v>573</v>
      </c>
      <c r="C19" s="150" t="s">
        <v>646</v>
      </c>
      <c r="D19" s="177">
        <v>5</v>
      </c>
      <c r="E19" s="193"/>
      <c r="F19" s="177">
        <v>-50</v>
      </c>
      <c r="G19" s="41">
        <f t="shared" si="1"/>
        <v>-250</v>
      </c>
      <c r="H19" s="177">
        <v>1000</v>
      </c>
      <c r="I19" s="41">
        <f t="shared" si="0"/>
        <v>5000</v>
      </c>
    </row>
    <row r="20" spans="1:9" ht="15" thickBot="1" x14ac:dyDescent="0.35">
      <c r="A20" s="157" t="s">
        <v>637</v>
      </c>
      <c r="B20" s="154" t="s">
        <v>543</v>
      </c>
      <c r="C20" s="155" t="s">
        <v>545</v>
      </c>
      <c r="D20" s="175">
        <v>2</v>
      </c>
      <c r="E20" s="176"/>
      <c r="F20" s="175">
        <v>500</v>
      </c>
      <c r="G20" s="176">
        <f t="shared" si="1"/>
        <v>1000</v>
      </c>
      <c r="H20" s="175">
        <v>800</v>
      </c>
      <c r="I20" s="176">
        <f t="shared" si="0"/>
        <v>1600</v>
      </c>
    </row>
    <row r="21" spans="1:9" x14ac:dyDescent="0.3">
      <c r="B21" t="s">
        <v>548</v>
      </c>
      <c r="C21" s="150" t="s">
        <v>549</v>
      </c>
      <c r="D21" s="177">
        <v>5</v>
      </c>
      <c r="E21" s="193"/>
      <c r="F21" s="177">
        <v>400</v>
      </c>
      <c r="G21" s="41">
        <f t="shared" si="1"/>
        <v>2000</v>
      </c>
      <c r="H21" s="177">
        <v>700</v>
      </c>
      <c r="I21" s="41">
        <f t="shared" si="0"/>
        <v>3500</v>
      </c>
    </row>
    <row r="22" spans="1:9" ht="14.4" customHeight="1" x14ac:dyDescent="0.3">
      <c r="B22" t="s">
        <v>541</v>
      </c>
      <c r="C22" s="150" t="s">
        <v>522</v>
      </c>
      <c r="D22" s="177">
        <v>5</v>
      </c>
      <c r="E22" s="193"/>
      <c r="F22" s="177">
        <v>50</v>
      </c>
      <c r="G22" s="41">
        <f t="shared" si="1"/>
        <v>250</v>
      </c>
      <c r="H22" s="177">
        <v>600</v>
      </c>
      <c r="I22" s="41">
        <f t="shared" si="0"/>
        <v>3000</v>
      </c>
    </row>
    <row r="23" spans="1:9" ht="14.4" customHeight="1" x14ac:dyDescent="0.3">
      <c r="B23" t="s">
        <v>641</v>
      </c>
      <c r="C23" s="150" t="s">
        <v>640</v>
      </c>
      <c r="D23" s="177">
        <v>1.5</v>
      </c>
      <c r="E23" s="193"/>
      <c r="F23" s="177">
        <v>50</v>
      </c>
      <c r="G23" s="41">
        <f t="shared" si="1"/>
        <v>75</v>
      </c>
      <c r="H23" s="177">
        <v>550</v>
      </c>
      <c r="I23" s="41">
        <f t="shared" si="0"/>
        <v>825</v>
      </c>
    </row>
    <row r="24" spans="1:9" ht="14.4" customHeight="1" thickBot="1" x14ac:dyDescent="0.35">
      <c r="B24" t="s">
        <v>638</v>
      </c>
      <c r="C24" s="150" t="s">
        <v>639</v>
      </c>
      <c r="D24" s="177">
        <v>1.5</v>
      </c>
      <c r="E24" s="193"/>
      <c r="F24" s="177">
        <v>50</v>
      </c>
      <c r="G24" s="41">
        <f t="shared" si="1"/>
        <v>75</v>
      </c>
      <c r="H24" s="177">
        <v>550</v>
      </c>
      <c r="I24" s="41">
        <f t="shared" si="0"/>
        <v>825</v>
      </c>
    </row>
    <row r="25" spans="1:9" ht="15" thickBot="1" x14ac:dyDescent="0.35">
      <c r="A25" s="157" t="s">
        <v>557</v>
      </c>
      <c r="B25" s="154" t="s">
        <v>550</v>
      </c>
      <c r="C25" s="156" t="s">
        <v>551</v>
      </c>
      <c r="D25" s="175">
        <v>50</v>
      </c>
      <c r="E25" s="176"/>
      <c r="F25" s="175">
        <v>2500</v>
      </c>
      <c r="G25" s="176">
        <f t="shared" si="1"/>
        <v>125000</v>
      </c>
      <c r="H25" s="175">
        <v>500</v>
      </c>
      <c r="I25" s="176">
        <f t="shared" si="0"/>
        <v>25000</v>
      </c>
    </row>
    <row r="26" spans="1:9" x14ac:dyDescent="0.3">
      <c r="B26" s="7" t="s">
        <v>553</v>
      </c>
      <c r="C26" s="151" t="s">
        <v>561</v>
      </c>
      <c r="D26" s="177">
        <v>20</v>
      </c>
      <c r="E26" s="193"/>
      <c r="F26" s="177">
        <v>1900</v>
      </c>
      <c r="G26" s="41">
        <f t="shared" si="1"/>
        <v>38000</v>
      </c>
      <c r="H26" s="177">
        <v>400</v>
      </c>
      <c r="I26" s="41">
        <f t="shared" si="0"/>
        <v>8000</v>
      </c>
    </row>
    <row r="27" spans="1:9" ht="15" thickBot="1" x14ac:dyDescent="0.35">
      <c r="B27" s="7" t="s">
        <v>552</v>
      </c>
      <c r="C27" s="151" t="s">
        <v>554</v>
      </c>
      <c r="D27" s="177">
        <v>25</v>
      </c>
      <c r="E27" s="193"/>
      <c r="F27" s="177">
        <v>1700</v>
      </c>
      <c r="G27" s="41">
        <f t="shared" si="1"/>
        <v>42500</v>
      </c>
      <c r="H27" s="177">
        <v>400</v>
      </c>
      <c r="I27" s="41">
        <f t="shared" si="0"/>
        <v>10000</v>
      </c>
    </row>
    <row r="28" spans="1:9" ht="15" thickBot="1" x14ac:dyDescent="0.35">
      <c r="A28" s="157" t="s">
        <v>565</v>
      </c>
      <c r="B28" s="154" t="s">
        <v>571</v>
      </c>
      <c r="C28" s="156" t="s">
        <v>572</v>
      </c>
      <c r="D28" s="175">
        <v>6</v>
      </c>
      <c r="E28" s="176"/>
      <c r="F28" s="175">
        <v>2400</v>
      </c>
      <c r="G28" s="176">
        <f t="shared" si="1"/>
        <v>14400</v>
      </c>
      <c r="H28" s="175">
        <v>400</v>
      </c>
      <c r="I28" s="176">
        <f t="shared" si="0"/>
        <v>2400</v>
      </c>
    </row>
    <row r="29" spans="1:9" x14ac:dyDescent="0.3">
      <c r="B29" s="7" t="s">
        <v>576</v>
      </c>
      <c r="C29" s="151" t="s">
        <v>577</v>
      </c>
      <c r="D29" s="177">
        <v>5</v>
      </c>
      <c r="E29" s="193"/>
      <c r="F29" s="177">
        <v>1500</v>
      </c>
      <c r="G29" s="41">
        <f t="shared" si="1"/>
        <v>7500</v>
      </c>
      <c r="H29" s="177">
        <v>400</v>
      </c>
      <c r="I29" s="41">
        <f t="shared" si="0"/>
        <v>2000</v>
      </c>
    </row>
    <row r="30" spans="1:9" x14ac:dyDescent="0.3">
      <c r="B30" s="7" t="s">
        <v>650</v>
      </c>
      <c r="C30" s="151" t="s">
        <v>651</v>
      </c>
      <c r="D30" s="177">
        <v>10</v>
      </c>
      <c r="E30" s="193"/>
      <c r="F30" s="177">
        <v>1500</v>
      </c>
      <c r="G30" s="41">
        <f t="shared" si="1"/>
        <v>15000</v>
      </c>
      <c r="H30" s="177">
        <v>1500</v>
      </c>
      <c r="I30" s="41">
        <f t="shared" si="0"/>
        <v>15000</v>
      </c>
    </row>
    <row r="31" spans="1:9" x14ac:dyDescent="0.3">
      <c r="B31" s="7" t="s">
        <v>652</v>
      </c>
      <c r="C31" s="151" t="s">
        <v>653</v>
      </c>
      <c r="D31" s="177">
        <v>20</v>
      </c>
      <c r="E31" s="193"/>
      <c r="F31" s="177">
        <v>2400</v>
      </c>
      <c r="G31" s="41">
        <f t="shared" si="1"/>
        <v>48000</v>
      </c>
      <c r="H31" s="177">
        <v>600</v>
      </c>
      <c r="I31" s="41"/>
    </row>
    <row r="32" spans="1:9" ht="15" thickBot="1" x14ac:dyDescent="0.35">
      <c r="C32" s="151"/>
      <c r="D32" s="177"/>
      <c r="E32" s="193"/>
      <c r="F32" s="177"/>
      <c r="G32" s="41">
        <f t="shared" si="1"/>
        <v>0</v>
      </c>
      <c r="H32" s="177"/>
      <c r="I32" s="41">
        <f t="shared" si="0"/>
        <v>0</v>
      </c>
    </row>
    <row r="33" spans="1:9" ht="15" thickBot="1" x14ac:dyDescent="0.35">
      <c r="A33" s="157" t="s">
        <v>566</v>
      </c>
      <c r="B33" s="154" t="s">
        <v>629</v>
      </c>
      <c r="C33" s="156" t="s">
        <v>630</v>
      </c>
      <c r="D33" s="175">
        <v>15</v>
      </c>
      <c r="E33" s="176"/>
      <c r="F33" s="175">
        <v>1000</v>
      </c>
      <c r="G33" s="176">
        <f t="shared" si="1"/>
        <v>15000</v>
      </c>
      <c r="H33" s="175">
        <v>600</v>
      </c>
      <c r="I33" s="176">
        <f t="shared" si="0"/>
        <v>9000</v>
      </c>
    </row>
    <row r="34" spans="1:9" x14ac:dyDescent="0.3">
      <c r="A34" s="5"/>
      <c r="B34" s="7" t="s">
        <v>628</v>
      </c>
      <c r="C34" s="167" t="s">
        <v>631</v>
      </c>
      <c r="D34" s="178">
        <v>15</v>
      </c>
      <c r="E34" s="41"/>
      <c r="F34" s="178">
        <v>1000</v>
      </c>
      <c r="G34" s="41">
        <f t="shared" si="1"/>
        <v>15000</v>
      </c>
      <c r="H34" s="178">
        <v>600</v>
      </c>
      <c r="I34" s="41">
        <f t="shared" ref="I34:I36" si="2">D34*H34</f>
        <v>9000</v>
      </c>
    </row>
    <row r="35" spans="1:9" x14ac:dyDescent="0.3">
      <c r="B35" t="s">
        <v>569</v>
      </c>
      <c r="C35" s="151" t="s">
        <v>570</v>
      </c>
      <c r="D35" s="177">
        <v>30</v>
      </c>
      <c r="E35" s="193"/>
      <c r="F35" s="177">
        <v>2300</v>
      </c>
      <c r="G35" s="41">
        <f t="shared" ref="G35:G36" si="3">D35*F35</f>
        <v>69000</v>
      </c>
      <c r="H35" s="177">
        <v>600</v>
      </c>
      <c r="I35" s="41">
        <f t="shared" si="2"/>
        <v>18000</v>
      </c>
    </row>
    <row r="36" spans="1:9" x14ac:dyDescent="0.3">
      <c r="B36" t="s">
        <v>567</v>
      </c>
      <c r="C36" s="151" t="s">
        <v>568</v>
      </c>
      <c r="D36" s="177">
        <v>5</v>
      </c>
      <c r="E36" s="193"/>
      <c r="F36" s="177">
        <v>1000</v>
      </c>
      <c r="G36" s="41">
        <f t="shared" si="3"/>
        <v>5000</v>
      </c>
      <c r="H36" s="177">
        <v>300</v>
      </c>
      <c r="I36" s="41">
        <f t="shared" si="2"/>
        <v>1500</v>
      </c>
    </row>
    <row r="37" spans="1:9" x14ac:dyDescent="0.3">
      <c r="C37" s="151"/>
      <c r="D37" s="177"/>
      <c r="E37" s="193"/>
      <c r="F37" s="177"/>
      <c r="G37" s="41"/>
      <c r="H37" s="177"/>
      <c r="I37" s="41"/>
    </row>
    <row r="38" spans="1:9" x14ac:dyDescent="0.3">
      <c r="C38" s="149" t="s">
        <v>523</v>
      </c>
      <c r="D38" s="179">
        <f>SUM(D13:D36)</f>
        <v>261</v>
      </c>
      <c r="E38" s="179"/>
      <c r="F38" s="180">
        <f>G38/D38</f>
        <v>1730.0766283524904</v>
      </c>
      <c r="G38" s="179">
        <f>SUM(G13:G36)</f>
        <v>451550</v>
      </c>
      <c r="H38" s="180">
        <f>I38/D38</f>
        <v>515.9003831417624</v>
      </c>
      <c r="I38" s="179">
        <f>SUM(I13:I36)</f>
        <v>134650</v>
      </c>
    </row>
    <row r="39" spans="1:9" ht="15" thickBot="1" x14ac:dyDescent="0.35">
      <c r="D39" s="193"/>
      <c r="E39" s="193"/>
      <c r="F39" s="193"/>
      <c r="G39" s="193"/>
      <c r="H39" s="193"/>
      <c r="I39" s="193"/>
    </row>
    <row r="40" spans="1:9" ht="15" thickBot="1" x14ac:dyDescent="0.35">
      <c r="B40" s="197" t="s">
        <v>660</v>
      </c>
      <c r="C40" s="198" t="s">
        <v>661</v>
      </c>
      <c r="D40" s="193"/>
      <c r="E40" s="193"/>
      <c r="F40" s="196">
        <v>2600</v>
      </c>
      <c r="G40" s="193"/>
      <c r="H40" s="193"/>
      <c r="I40" s="193"/>
    </row>
    <row r="41" spans="1:9" x14ac:dyDescent="0.3">
      <c r="D41" s="193"/>
      <c r="E41" s="193"/>
      <c r="F41" s="193"/>
      <c r="G41" s="193"/>
      <c r="H41" s="193"/>
      <c r="I41" s="193"/>
    </row>
    <row r="42" spans="1:9" x14ac:dyDescent="0.3">
      <c r="B42" s="154"/>
      <c r="C42" s="154"/>
      <c r="D42" s="176"/>
      <c r="E42" s="176"/>
      <c r="F42" s="176"/>
      <c r="G42" s="176"/>
      <c r="H42" s="176"/>
      <c r="I42" s="176"/>
    </row>
    <row r="43" spans="1:9" x14ac:dyDescent="0.3">
      <c r="D43" s="160" t="s">
        <v>513</v>
      </c>
      <c r="E43" s="160"/>
      <c r="F43" s="160" t="s">
        <v>514</v>
      </c>
      <c r="G43" s="160" t="s">
        <v>515</v>
      </c>
      <c r="H43" s="160" t="s">
        <v>516</v>
      </c>
      <c r="I43" s="160" t="s">
        <v>517</v>
      </c>
    </row>
    <row r="44" spans="1:9" x14ac:dyDescent="0.3">
      <c r="D44" s="161" t="s">
        <v>518</v>
      </c>
      <c r="E44" s="161"/>
      <c r="F44" s="161" t="s">
        <v>519</v>
      </c>
      <c r="G44" s="161" t="s">
        <v>520</v>
      </c>
      <c r="H44" s="161" t="s">
        <v>519</v>
      </c>
      <c r="I44" s="161" t="s">
        <v>520</v>
      </c>
    </row>
    <row r="45" spans="1:9" x14ac:dyDescent="0.3">
      <c r="B45" s="288" t="s">
        <v>574</v>
      </c>
      <c r="C45" s="289" t="s">
        <v>524</v>
      </c>
      <c r="D45" s="41"/>
      <c r="E45" s="41"/>
      <c r="F45" s="298"/>
      <c r="G45" s="298"/>
      <c r="H45" s="298"/>
      <c r="I45" s="298"/>
    </row>
    <row r="46" spans="1:9" ht="13.8" customHeight="1" x14ac:dyDescent="0.3">
      <c r="B46" t="s">
        <v>575</v>
      </c>
      <c r="C46" s="151" t="s">
        <v>525</v>
      </c>
      <c r="D46" s="177">
        <v>75</v>
      </c>
      <c r="E46" s="296"/>
      <c r="F46" s="177">
        <v>800</v>
      </c>
      <c r="G46" s="193">
        <f>D46*F46</f>
        <v>60000</v>
      </c>
      <c r="H46" s="177">
        <v>800</v>
      </c>
      <c r="I46" s="193">
        <f>D46*H46</f>
        <v>60000</v>
      </c>
    </row>
    <row r="47" spans="1:9" x14ac:dyDescent="0.3">
      <c r="C47" s="150"/>
      <c r="D47" s="193"/>
      <c r="E47" s="193"/>
      <c r="F47" s="193"/>
      <c r="G47" s="193"/>
      <c r="H47" s="193"/>
      <c r="I47" s="193"/>
    </row>
    <row r="48" spans="1:9" x14ac:dyDescent="0.3">
      <c r="B48" s="164" t="s">
        <v>578</v>
      </c>
      <c r="C48" s="165" t="s">
        <v>579</v>
      </c>
      <c r="D48" s="176"/>
      <c r="E48" s="176"/>
      <c r="F48" s="176"/>
      <c r="G48" s="176"/>
      <c r="H48" s="176"/>
      <c r="I48" s="176"/>
    </row>
    <row r="49" spans="2:9" ht="15" customHeight="1" x14ac:dyDescent="0.3">
      <c r="B49" t="s">
        <v>575</v>
      </c>
      <c r="C49" s="151" t="s">
        <v>649</v>
      </c>
      <c r="D49" s="177">
        <v>75</v>
      </c>
      <c r="E49" s="296"/>
      <c r="F49" s="177">
        <v>800</v>
      </c>
      <c r="G49" s="193">
        <f>D49*F49</f>
        <v>60000</v>
      </c>
      <c r="H49" s="177">
        <v>800</v>
      </c>
      <c r="I49" s="193">
        <f>D49*H49</f>
        <v>60000</v>
      </c>
    </row>
    <row r="50" spans="2:9" x14ac:dyDescent="0.3">
      <c r="C50" s="150"/>
      <c r="D50" s="193"/>
      <c r="E50" s="193"/>
      <c r="F50" s="193"/>
      <c r="G50" s="193"/>
      <c r="H50" s="193"/>
      <c r="I50" s="193"/>
    </row>
    <row r="51" spans="2:9" x14ac:dyDescent="0.3">
      <c r="B51" s="164" t="s">
        <v>580</v>
      </c>
      <c r="C51" s="165" t="s">
        <v>582</v>
      </c>
      <c r="D51" s="176"/>
      <c r="E51" s="176"/>
      <c r="F51" s="176"/>
      <c r="G51" s="176"/>
      <c r="H51" s="176"/>
      <c r="I51" s="176"/>
    </row>
    <row r="52" spans="2:9" x14ac:dyDescent="0.3">
      <c r="B52" t="s">
        <v>575</v>
      </c>
      <c r="C52" s="151" t="s">
        <v>648</v>
      </c>
      <c r="D52" s="177">
        <v>75</v>
      </c>
      <c r="E52" s="296"/>
      <c r="F52" s="177">
        <v>2100</v>
      </c>
      <c r="G52" s="297">
        <f>D52*F52</f>
        <v>157500</v>
      </c>
      <c r="H52" s="177">
        <v>800</v>
      </c>
      <c r="I52" s="193">
        <f>D52*H52</f>
        <v>60000</v>
      </c>
    </row>
    <row r="53" spans="2:9" x14ac:dyDescent="0.3">
      <c r="C53" s="150"/>
      <c r="D53" s="193"/>
      <c r="E53" s="193"/>
      <c r="F53" s="193"/>
      <c r="G53" s="193"/>
      <c r="H53" s="193"/>
      <c r="I53" s="193"/>
    </row>
    <row r="54" spans="2:9" x14ac:dyDescent="0.3">
      <c r="B54" s="164" t="s">
        <v>581</v>
      </c>
      <c r="C54" s="165" t="s">
        <v>583</v>
      </c>
      <c r="D54" s="176"/>
      <c r="E54" s="176"/>
      <c r="F54" s="176"/>
      <c r="G54" s="176"/>
      <c r="H54" s="176"/>
      <c r="I54" s="176"/>
    </row>
    <row r="55" spans="2:9" x14ac:dyDescent="0.3">
      <c r="B55" t="s">
        <v>575</v>
      </c>
      <c r="C55" s="151" t="s">
        <v>647</v>
      </c>
      <c r="D55" s="177">
        <v>75</v>
      </c>
      <c r="E55" s="296"/>
      <c r="F55" s="177">
        <v>2100</v>
      </c>
      <c r="G55" s="297">
        <f>D55*F55</f>
        <v>157500</v>
      </c>
      <c r="H55" s="177">
        <v>800</v>
      </c>
      <c r="I55" s="193">
        <f>D55*H55</f>
        <v>60000</v>
      </c>
    </row>
    <row r="56" spans="2:9" x14ac:dyDescent="0.3">
      <c r="C56" s="150"/>
      <c r="D56" s="193"/>
      <c r="E56" s="193"/>
      <c r="F56" s="193"/>
      <c r="G56" s="193"/>
      <c r="H56" s="193"/>
      <c r="I56" s="193"/>
    </row>
    <row r="57" spans="2:9" x14ac:dyDescent="0.3">
      <c r="C57" s="150"/>
      <c r="D57" s="193"/>
      <c r="E57" s="193"/>
      <c r="F57" s="193"/>
      <c r="G57" s="193"/>
      <c r="H57" s="193"/>
      <c r="I57" s="193"/>
    </row>
    <row r="58" spans="2:9" x14ac:dyDescent="0.3">
      <c r="C58" s="150"/>
      <c r="D58" s="193"/>
      <c r="E58" s="193"/>
      <c r="F58" s="193"/>
      <c r="G58" s="193"/>
      <c r="H58" s="193"/>
      <c r="I58" s="193"/>
    </row>
    <row r="59" spans="2:9" x14ac:dyDescent="0.3">
      <c r="C59" s="150"/>
      <c r="D59" s="193"/>
      <c r="E59" s="193"/>
      <c r="F59" s="193"/>
      <c r="G59" s="193"/>
      <c r="H59" s="193"/>
      <c r="I59" s="193"/>
    </row>
    <row r="60" spans="2:9" x14ac:dyDescent="0.3">
      <c r="C60" s="150"/>
      <c r="D60" s="193"/>
      <c r="E60" s="193"/>
      <c r="F60" s="193"/>
      <c r="G60" s="193"/>
      <c r="H60" s="193"/>
      <c r="I60" s="193"/>
    </row>
    <row r="61" spans="2:9" x14ac:dyDescent="0.3">
      <c r="C61" s="150"/>
      <c r="D61" s="193"/>
      <c r="E61" s="193"/>
      <c r="F61" s="193"/>
      <c r="G61" s="193"/>
      <c r="H61" s="193"/>
      <c r="I61" s="193"/>
    </row>
    <row r="62" spans="2:9" x14ac:dyDescent="0.3">
      <c r="C62" s="150"/>
      <c r="D62" s="193"/>
      <c r="E62" s="193"/>
      <c r="F62" s="193"/>
      <c r="G62" s="193"/>
      <c r="H62" s="193"/>
      <c r="I62" s="193"/>
    </row>
    <row r="63" spans="2:9" x14ac:dyDescent="0.3">
      <c r="C63" s="150"/>
      <c r="D63" s="193"/>
      <c r="E63" s="193"/>
      <c r="F63" s="193"/>
      <c r="G63" s="193"/>
      <c r="H63" s="193"/>
      <c r="I63" s="193"/>
    </row>
    <row r="64" spans="2:9" x14ac:dyDescent="0.3">
      <c r="C64" s="150"/>
      <c r="D64" s="193"/>
      <c r="E64" s="193"/>
      <c r="F64" s="193"/>
      <c r="G64" s="193"/>
      <c r="H64" s="193"/>
      <c r="I64" s="193"/>
    </row>
    <row r="65" spans="3:9" x14ac:dyDescent="0.3">
      <c r="C65" s="150"/>
      <c r="D65" s="193"/>
      <c r="E65" s="193"/>
      <c r="F65" s="193"/>
      <c r="G65" s="193"/>
      <c r="H65" s="193"/>
      <c r="I65" s="193"/>
    </row>
    <row r="66" spans="3:9" x14ac:dyDescent="0.3">
      <c r="C66" s="150"/>
      <c r="D66" s="193"/>
      <c r="E66" s="193"/>
      <c r="F66" s="193"/>
      <c r="G66" s="193"/>
      <c r="H66" s="193"/>
      <c r="I66" s="193"/>
    </row>
    <row r="67" spans="3:9" x14ac:dyDescent="0.3">
      <c r="C67" s="150"/>
      <c r="D67" s="193"/>
      <c r="E67" s="193"/>
      <c r="F67" s="193"/>
      <c r="G67" s="193"/>
      <c r="H67" s="193"/>
      <c r="I67" s="193"/>
    </row>
    <row r="68" spans="3:9" x14ac:dyDescent="0.3">
      <c r="C68" s="150"/>
      <c r="D68" s="193"/>
      <c r="E68" s="193"/>
      <c r="F68" s="193"/>
      <c r="G68" s="193"/>
      <c r="H68" s="193"/>
      <c r="I68" s="193"/>
    </row>
    <row r="69" spans="3:9" x14ac:dyDescent="0.3">
      <c r="C69" s="150"/>
      <c r="D69" s="193"/>
      <c r="E69" s="193"/>
      <c r="F69" s="193"/>
      <c r="G69" s="193"/>
      <c r="H69" s="193"/>
      <c r="I69" s="193"/>
    </row>
    <row r="70" spans="3:9" x14ac:dyDescent="0.3">
      <c r="C70" s="150"/>
      <c r="D70" s="193"/>
      <c r="E70" s="193"/>
      <c r="F70" s="193"/>
      <c r="G70" s="193"/>
      <c r="H70" s="193"/>
      <c r="I70" s="193"/>
    </row>
    <row r="71" spans="3:9" x14ac:dyDescent="0.3">
      <c r="C71" s="150"/>
      <c r="D71" s="193"/>
      <c r="E71" s="193"/>
      <c r="F71" s="171" t="s">
        <v>514</v>
      </c>
      <c r="G71" s="171" t="s">
        <v>526</v>
      </c>
      <c r="H71" s="171" t="s">
        <v>516</v>
      </c>
      <c r="I71" s="171" t="s">
        <v>517</v>
      </c>
    </row>
    <row r="72" spans="3:9" ht="15" thickBot="1" x14ac:dyDescent="0.35">
      <c r="C72" s="150"/>
      <c r="D72" s="193"/>
      <c r="E72" s="193"/>
      <c r="F72" s="172" t="s">
        <v>519</v>
      </c>
      <c r="G72" s="173" t="s">
        <v>520</v>
      </c>
      <c r="H72" s="172" t="s">
        <v>527</v>
      </c>
      <c r="I72" s="173" t="s">
        <v>520</v>
      </c>
    </row>
    <row r="73" spans="3:9" ht="15" thickBot="1" x14ac:dyDescent="0.35">
      <c r="C73" s="170" t="s">
        <v>636</v>
      </c>
      <c r="D73" s="168">
        <v>1</v>
      </c>
      <c r="E73" s="185"/>
      <c r="F73" s="186"/>
      <c r="G73" s="186"/>
      <c r="H73" s="186"/>
      <c r="I73" s="186"/>
    </row>
    <row r="74" spans="3:9" x14ac:dyDescent="0.3">
      <c r="C74" s="150"/>
      <c r="D74" s="193"/>
      <c r="E74" s="193"/>
      <c r="F74" s="173"/>
      <c r="G74" s="173"/>
      <c r="H74" s="173"/>
      <c r="I74" s="173"/>
    </row>
    <row r="75" spans="3:9" x14ac:dyDescent="0.3">
      <c r="C75" s="149" t="s">
        <v>528</v>
      </c>
      <c r="D75" s="193">
        <f>D38+D46</f>
        <v>336</v>
      </c>
      <c r="E75" s="193"/>
      <c r="F75" s="187">
        <f>G75/D75</f>
        <v>1522.4702380952381</v>
      </c>
      <c r="G75" s="188">
        <f>G38+G46</f>
        <v>511550</v>
      </c>
      <c r="H75" s="187">
        <f>I75/D75</f>
        <v>579.31547619047615</v>
      </c>
      <c r="I75" s="173">
        <f>I38+I46</f>
        <v>194650</v>
      </c>
    </row>
    <row r="76" spans="3:9" x14ac:dyDescent="0.3">
      <c r="C76" s="150"/>
      <c r="D76" s="193"/>
      <c r="E76" s="193"/>
      <c r="F76" s="173"/>
      <c r="G76" s="173"/>
      <c r="H76" s="173"/>
      <c r="I76" s="173"/>
    </row>
    <row r="77" spans="3:9" x14ac:dyDescent="0.3">
      <c r="C77" s="150" t="s">
        <v>529</v>
      </c>
      <c r="D77" s="183">
        <f>G75/F40</f>
        <v>196.75</v>
      </c>
      <c r="E77" s="193"/>
      <c r="F77" s="173"/>
      <c r="G77" s="173"/>
      <c r="H77" s="173"/>
      <c r="I77" s="173"/>
    </row>
    <row r="78" spans="3:9" x14ac:dyDescent="0.3">
      <c r="C78" s="150" t="s">
        <v>530</v>
      </c>
      <c r="D78" s="193"/>
      <c r="E78" s="193"/>
      <c r="F78" s="173"/>
      <c r="G78" s="188">
        <f>D75-D77</f>
        <v>139.25</v>
      </c>
      <c r="H78" s="173"/>
      <c r="I78" s="173"/>
    </row>
    <row r="79" spans="3:9" x14ac:dyDescent="0.3">
      <c r="C79" s="149" t="s">
        <v>531</v>
      </c>
      <c r="D79" s="179"/>
      <c r="E79" s="179"/>
      <c r="F79" s="189">
        <f>G78/D75</f>
        <v>0.41443452380952384</v>
      </c>
      <c r="G79" s="189">
        <f>D77/D75</f>
        <v>0.58556547619047616</v>
      </c>
      <c r="H79" s="189"/>
      <c r="I79" s="190"/>
    </row>
    <row r="80" spans="3:9" ht="15" thickBot="1" x14ac:dyDescent="0.35">
      <c r="D80" s="193"/>
      <c r="E80" s="193"/>
      <c r="F80" s="173"/>
      <c r="G80" s="173"/>
      <c r="H80" s="173"/>
      <c r="I80" s="173"/>
    </row>
    <row r="81" spans="3:9" ht="15" thickBot="1" x14ac:dyDescent="0.35">
      <c r="C81" s="170" t="s">
        <v>636</v>
      </c>
      <c r="D81" s="169" t="s">
        <v>340</v>
      </c>
      <c r="E81" s="185"/>
      <c r="F81" s="186"/>
      <c r="G81" s="186"/>
      <c r="H81" s="186"/>
      <c r="I81" s="186"/>
    </row>
    <row r="82" spans="3:9" x14ac:dyDescent="0.3">
      <c r="D82" s="193"/>
      <c r="E82" s="193"/>
      <c r="F82" s="173"/>
      <c r="G82" s="173"/>
      <c r="H82" s="173"/>
      <c r="I82" s="173"/>
    </row>
    <row r="83" spans="3:9" x14ac:dyDescent="0.3">
      <c r="C83" s="149" t="s">
        <v>528</v>
      </c>
      <c r="D83" s="193">
        <f>D38+D46+D49</f>
        <v>411</v>
      </c>
      <c r="E83" s="193"/>
      <c r="F83" s="187">
        <f>G83/D83</f>
        <v>1390.6326034063261</v>
      </c>
      <c r="G83" s="188">
        <f>G38+G46+G49</f>
        <v>571550</v>
      </c>
      <c r="H83" s="187">
        <f>I83/D83</f>
        <v>619.5863746958637</v>
      </c>
      <c r="I83" s="173">
        <f>I38+I46+I49</f>
        <v>254650</v>
      </c>
    </row>
    <row r="84" spans="3:9" x14ac:dyDescent="0.3">
      <c r="C84" s="150"/>
      <c r="D84" s="193"/>
      <c r="E84" s="193"/>
      <c r="F84" s="221">
        <f>F83/1000</f>
        <v>1.3906326034063261</v>
      </c>
      <c r="G84" s="221" t="s">
        <v>747</v>
      </c>
      <c r="H84" s="221">
        <f>H83/1000</f>
        <v>0.61958637469586375</v>
      </c>
      <c r="I84" s="221" t="s">
        <v>747</v>
      </c>
    </row>
    <row r="85" spans="3:9" x14ac:dyDescent="0.3">
      <c r="C85" s="150" t="s">
        <v>529</v>
      </c>
      <c r="D85" s="183">
        <f>G83/F40</f>
        <v>219.82692307692307</v>
      </c>
      <c r="E85" s="193"/>
      <c r="F85" s="173"/>
      <c r="G85" s="173"/>
      <c r="H85" s="173"/>
      <c r="I85" s="173"/>
    </row>
    <row r="86" spans="3:9" x14ac:dyDescent="0.3">
      <c r="C86" s="150" t="s">
        <v>530</v>
      </c>
      <c r="D86" s="193"/>
      <c r="E86" s="193"/>
      <c r="F86" s="173"/>
      <c r="G86" s="188">
        <f>D83-D85</f>
        <v>191.17307692307693</v>
      </c>
      <c r="H86" s="173"/>
      <c r="I86" s="173"/>
    </row>
    <row r="87" spans="3:9" x14ac:dyDescent="0.3">
      <c r="C87" s="149" t="s">
        <v>531</v>
      </c>
      <c r="D87" s="179"/>
      <c r="E87" s="179"/>
      <c r="F87" s="189">
        <f>G86/D83</f>
        <v>0.46514130638218232</v>
      </c>
      <c r="G87" s="189">
        <f>D85/D83</f>
        <v>0.53485869361781768</v>
      </c>
      <c r="H87" s="189"/>
      <c r="I87" s="190"/>
    </row>
    <row r="88" spans="3:9" ht="15" thickBot="1" x14ac:dyDescent="0.35">
      <c r="D88" s="193"/>
      <c r="E88" s="193"/>
      <c r="F88" s="173"/>
      <c r="G88" s="173"/>
      <c r="H88" s="173"/>
      <c r="I88" s="173"/>
    </row>
    <row r="89" spans="3:9" ht="15" thickBot="1" x14ac:dyDescent="0.35">
      <c r="C89" s="170" t="s">
        <v>636</v>
      </c>
      <c r="D89" s="169" t="s">
        <v>341</v>
      </c>
      <c r="E89" s="185"/>
      <c r="F89" s="186"/>
      <c r="G89" s="186"/>
      <c r="H89" s="186"/>
      <c r="I89" s="186"/>
    </row>
    <row r="90" spans="3:9" x14ac:dyDescent="0.3">
      <c r="D90" s="193"/>
      <c r="E90" s="193"/>
      <c r="F90" s="173"/>
      <c r="G90" s="173"/>
      <c r="H90" s="173"/>
      <c r="I90" s="173"/>
    </row>
    <row r="91" spans="3:9" x14ac:dyDescent="0.3">
      <c r="C91" s="149" t="s">
        <v>528</v>
      </c>
      <c r="D91" s="193">
        <f>D38+D46+D52</f>
        <v>411</v>
      </c>
      <c r="E91" s="193"/>
      <c r="F91" s="187">
        <f>G91/D91</f>
        <v>1627.8588807785889</v>
      </c>
      <c r="G91" s="188">
        <f>G38+G46+G52</f>
        <v>669050</v>
      </c>
      <c r="H91" s="187">
        <f>I91/D91</f>
        <v>619.5863746958637</v>
      </c>
      <c r="I91" s="173">
        <f>I38+I46+I52</f>
        <v>254650</v>
      </c>
    </row>
    <row r="92" spans="3:9" x14ac:dyDescent="0.3">
      <c r="C92" s="150"/>
      <c r="D92" s="193"/>
      <c r="E92" s="193"/>
      <c r="F92" s="173"/>
      <c r="G92" s="173"/>
      <c r="H92" s="173"/>
      <c r="I92" s="173"/>
    </row>
    <row r="93" spans="3:9" x14ac:dyDescent="0.3">
      <c r="C93" s="150" t="s">
        <v>529</v>
      </c>
      <c r="D93" s="183">
        <f>G91/F40</f>
        <v>257.32692307692309</v>
      </c>
      <c r="E93" s="193"/>
      <c r="F93" s="173"/>
      <c r="G93" s="173"/>
      <c r="H93" s="173"/>
      <c r="I93" s="173"/>
    </row>
    <row r="94" spans="3:9" x14ac:dyDescent="0.3">
      <c r="C94" s="150" t="s">
        <v>530</v>
      </c>
      <c r="D94" s="193"/>
      <c r="E94" s="193"/>
      <c r="F94" s="173"/>
      <c r="G94" s="188">
        <f>D91-D93</f>
        <v>153.67307692307691</v>
      </c>
      <c r="H94" s="173"/>
      <c r="I94" s="173"/>
    </row>
    <row r="95" spans="3:9" x14ac:dyDescent="0.3">
      <c r="C95" s="149" t="s">
        <v>531</v>
      </c>
      <c r="D95" s="179"/>
      <c r="E95" s="179"/>
      <c r="F95" s="189">
        <f>G94/D91</f>
        <v>0.3739004304697735</v>
      </c>
      <c r="G95" s="189">
        <f>D93/D91</f>
        <v>0.6260995695302265</v>
      </c>
      <c r="H95" s="189"/>
      <c r="I95" s="190"/>
    </row>
    <row r="96" spans="3:9" ht="15" thickBot="1" x14ac:dyDescent="0.35">
      <c r="D96" s="193"/>
      <c r="E96" s="193"/>
      <c r="F96" s="173"/>
      <c r="G96" s="173"/>
      <c r="H96" s="173"/>
      <c r="I96" s="173"/>
    </row>
    <row r="97" spans="3:9" ht="15" thickBot="1" x14ac:dyDescent="0.35">
      <c r="C97" s="170" t="s">
        <v>636</v>
      </c>
      <c r="D97" s="169" t="s">
        <v>342</v>
      </c>
      <c r="E97" s="185"/>
      <c r="F97" s="186"/>
      <c r="G97" s="186"/>
      <c r="H97" s="186"/>
      <c r="I97" s="186"/>
    </row>
    <row r="98" spans="3:9" x14ac:dyDescent="0.3">
      <c r="D98" s="193"/>
      <c r="E98" s="193"/>
      <c r="F98" s="173"/>
      <c r="G98" s="173"/>
      <c r="H98" s="173"/>
      <c r="I98" s="173"/>
    </row>
    <row r="99" spans="3:9" x14ac:dyDescent="0.3">
      <c r="C99" s="149" t="s">
        <v>528</v>
      </c>
      <c r="D99" s="193">
        <f>D38+D46+D55</f>
        <v>411</v>
      </c>
      <c r="E99" s="193"/>
      <c r="F99" s="187">
        <f>G99/D99</f>
        <v>1627.8588807785889</v>
      </c>
      <c r="G99" s="188">
        <f>G38+G46+G55</f>
        <v>669050</v>
      </c>
      <c r="H99" s="187">
        <f>I99/D99</f>
        <v>619.5863746958637</v>
      </c>
      <c r="I99" s="173">
        <f>I38+I46+I55</f>
        <v>254650</v>
      </c>
    </row>
    <row r="100" spans="3:9" x14ac:dyDescent="0.3">
      <c r="C100" s="150"/>
      <c r="D100" s="193"/>
      <c r="E100" s="193"/>
      <c r="F100" s="173"/>
      <c r="G100" s="173"/>
      <c r="H100" s="173"/>
      <c r="I100" s="173"/>
    </row>
    <row r="101" spans="3:9" x14ac:dyDescent="0.3">
      <c r="C101" s="150" t="s">
        <v>529</v>
      </c>
      <c r="D101" s="183">
        <f>G99/F40</f>
        <v>257.32692307692309</v>
      </c>
      <c r="E101" s="193"/>
      <c r="F101" s="173"/>
      <c r="G101" s="173"/>
      <c r="H101" s="173"/>
      <c r="I101" s="173"/>
    </row>
    <row r="102" spans="3:9" x14ac:dyDescent="0.3">
      <c r="C102" s="150" t="s">
        <v>530</v>
      </c>
      <c r="D102" s="193"/>
      <c r="E102" s="193"/>
      <c r="F102" s="173"/>
      <c r="G102" s="188">
        <f>D99-D101</f>
        <v>153.67307692307691</v>
      </c>
      <c r="H102" s="173"/>
      <c r="I102" s="173"/>
    </row>
    <row r="103" spans="3:9" x14ac:dyDescent="0.3">
      <c r="C103" s="149" t="s">
        <v>531</v>
      </c>
      <c r="D103" s="179"/>
      <c r="E103" s="179"/>
      <c r="F103" s="189">
        <f>G102/D99</f>
        <v>0.3739004304697735</v>
      </c>
      <c r="G103" s="189">
        <f>D101/D99</f>
        <v>0.6260995695302265</v>
      </c>
      <c r="H103" s="189"/>
      <c r="I103" s="190"/>
    </row>
    <row r="104" spans="3:9" ht="15" thickBot="1" x14ac:dyDescent="0.35">
      <c r="D104" s="193"/>
      <c r="E104" s="193"/>
      <c r="F104" s="173"/>
      <c r="G104" s="173"/>
      <c r="H104" s="173"/>
      <c r="I104" s="173"/>
    </row>
    <row r="105" spans="3:9" ht="15" thickBot="1" x14ac:dyDescent="0.35">
      <c r="C105" s="170" t="s">
        <v>636</v>
      </c>
      <c r="D105" s="169" t="s">
        <v>343</v>
      </c>
      <c r="E105" s="185"/>
      <c r="F105" s="186"/>
      <c r="G105" s="186"/>
      <c r="H105" s="186"/>
      <c r="I105" s="186"/>
    </row>
    <row r="106" spans="3:9" x14ac:dyDescent="0.3">
      <c r="D106" s="193"/>
      <c r="E106" s="193"/>
      <c r="F106" s="173"/>
      <c r="G106" s="173"/>
      <c r="H106" s="173"/>
      <c r="I106" s="173"/>
    </row>
    <row r="107" spans="3:9" x14ac:dyDescent="0.3">
      <c r="C107" s="149" t="s">
        <v>528</v>
      </c>
      <c r="D107" s="193">
        <f>D38+D46+D49+D52</f>
        <v>486</v>
      </c>
      <c r="E107" s="193"/>
      <c r="F107" s="187">
        <f>G107/D107</f>
        <v>1500.1028806584361</v>
      </c>
      <c r="G107" s="188">
        <f>G38+G46+G49+G52</f>
        <v>729050</v>
      </c>
      <c r="H107" s="187">
        <f>I107/D107</f>
        <v>647.42798353909461</v>
      </c>
      <c r="I107" s="173">
        <f>I38+I46+I49+I52</f>
        <v>314650</v>
      </c>
    </row>
    <row r="108" spans="3:9" x14ac:dyDescent="0.3">
      <c r="C108" s="150"/>
      <c r="D108" s="193"/>
      <c r="E108" s="193"/>
      <c r="F108" s="173"/>
      <c r="G108" s="173"/>
      <c r="H108" s="173"/>
      <c r="I108" s="173"/>
    </row>
    <row r="109" spans="3:9" x14ac:dyDescent="0.3">
      <c r="C109" s="150" t="s">
        <v>529</v>
      </c>
      <c r="D109" s="183">
        <f>G107/F40</f>
        <v>280.40384615384613</v>
      </c>
      <c r="E109" s="193"/>
      <c r="F109" s="173"/>
      <c r="G109" s="173"/>
      <c r="H109" s="173"/>
      <c r="I109" s="173"/>
    </row>
    <row r="110" spans="3:9" x14ac:dyDescent="0.3">
      <c r="C110" s="150" t="s">
        <v>530</v>
      </c>
      <c r="D110" s="193"/>
      <c r="E110" s="193"/>
      <c r="F110" s="173"/>
      <c r="G110" s="188">
        <f>D107-D109</f>
        <v>205.59615384615387</v>
      </c>
      <c r="H110" s="173"/>
      <c r="I110" s="173"/>
    </row>
    <row r="111" spans="3:9" x14ac:dyDescent="0.3">
      <c r="C111" s="149" t="s">
        <v>531</v>
      </c>
      <c r="D111" s="179"/>
      <c r="E111" s="179"/>
      <c r="F111" s="189">
        <f>G110/D107</f>
        <v>0.42303735359290917</v>
      </c>
      <c r="G111" s="189">
        <f>D109/D107</f>
        <v>0.57696264640709083</v>
      </c>
      <c r="H111" s="189"/>
      <c r="I111" s="190"/>
    </row>
    <row r="112" spans="3:9" ht="15" thickBot="1" x14ac:dyDescent="0.35">
      <c r="D112" s="193"/>
      <c r="E112" s="193"/>
      <c r="F112" s="173"/>
      <c r="G112" s="173"/>
      <c r="H112" s="173"/>
      <c r="I112" s="173"/>
    </row>
    <row r="113" spans="3:9" ht="15" thickBot="1" x14ac:dyDescent="0.35">
      <c r="C113" s="170" t="s">
        <v>636</v>
      </c>
      <c r="D113" s="169" t="s">
        <v>344</v>
      </c>
      <c r="E113" s="185"/>
      <c r="F113" s="186"/>
      <c r="G113" s="186"/>
      <c r="H113" s="186"/>
      <c r="I113" s="186"/>
    </row>
    <row r="114" spans="3:9" x14ac:dyDescent="0.3">
      <c r="D114" s="193"/>
      <c r="E114" s="193"/>
      <c r="F114" s="173"/>
      <c r="G114" s="173"/>
      <c r="H114" s="173"/>
      <c r="I114" s="173"/>
    </row>
    <row r="115" spans="3:9" x14ac:dyDescent="0.3">
      <c r="C115" s="149" t="s">
        <v>528</v>
      </c>
      <c r="D115" s="193">
        <f>D38+D46+D49+D55</f>
        <v>486</v>
      </c>
      <c r="E115" s="193"/>
      <c r="F115" s="187">
        <f>G115/D115</f>
        <v>1500.1028806584361</v>
      </c>
      <c r="G115" s="188">
        <f>G38+G46+G49+G55</f>
        <v>729050</v>
      </c>
      <c r="H115" s="187">
        <f>I115/D115</f>
        <v>647.42798353909461</v>
      </c>
      <c r="I115" s="173">
        <f>I38+I46+I49+I55</f>
        <v>314650</v>
      </c>
    </row>
    <row r="116" spans="3:9" x14ac:dyDescent="0.3">
      <c r="C116" s="150"/>
      <c r="D116" s="193"/>
      <c r="E116" s="193"/>
      <c r="F116" s="173"/>
      <c r="G116" s="173"/>
      <c r="H116" s="173"/>
      <c r="I116" s="173"/>
    </row>
    <row r="117" spans="3:9" x14ac:dyDescent="0.3">
      <c r="C117" s="150" t="s">
        <v>529</v>
      </c>
      <c r="D117" s="183">
        <f>G115/F40</f>
        <v>280.40384615384613</v>
      </c>
      <c r="E117" s="193"/>
      <c r="F117" s="173"/>
      <c r="G117" s="173"/>
      <c r="H117" s="173"/>
      <c r="I117" s="173"/>
    </row>
    <row r="118" spans="3:9" x14ac:dyDescent="0.3">
      <c r="C118" s="150" t="s">
        <v>530</v>
      </c>
      <c r="D118" s="193"/>
      <c r="E118" s="193"/>
      <c r="F118" s="173"/>
      <c r="G118" s="188">
        <f>D115-D117</f>
        <v>205.59615384615387</v>
      </c>
      <c r="H118" s="173"/>
      <c r="I118" s="173"/>
    </row>
    <row r="119" spans="3:9" x14ac:dyDescent="0.3">
      <c r="C119" s="149" t="s">
        <v>531</v>
      </c>
      <c r="D119" s="179"/>
      <c r="E119" s="179"/>
      <c r="F119" s="189">
        <f>G118/D115</f>
        <v>0.42303735359290917</v>
      </c>
      <c r="G119" s="189">
        <f>D117/D115</f>
        <v>0.57696264640709083</v>
      </c>
      <c r="H119" s="189"/>
      <c r="I119" s="190"/>
    </row>
    <row r="120" spans="3:9" ht="15" thickBot="1" x14ac:dyDescent="0.35">
      <c r="D120" s="193"/>
      <c r="E120" s="193"/>
      <c r="F120" s="173"/>
      <c r="G120" s="173"/>
      <c r="H120" s="173"/>
      <c r="I120" s="173"/>
    </row>
    <row r="121" spans="3:9" ht="15" thickBot="1" x14ac:dyDescent="0.35">
      <c r="C121" s="170" t="s">
        <v>636</v>
      </c>
      <c r="D121" s="169" t="s">
        <v>345</v>
      </c>
      <c r="E121" s="185"/>
      <c r="F121" s="186"/>
      <c r="G121" s="186"/>
      <c r="H121" s="186"/>
      <c r="I121" s="186"/>
    </row>
    <row r="122" spans="3:9" x14ac:dyDescent="0.3">
      <c r="D122" s="193"/>
      <c r="E122" s="193"/>
      <c r="F122" s="173"/>
      <c r="G122" s="173"/>
      <c r="H122" s="173"/>
      <c r="I122" s="173"/>
    </row>
    <row r="123" spans="3:9" x14ac:dyDescent="0.3">
      <c r="C123" s="149" t="s">
        <v>528</v>
      </c>
      <c r="D123" s="193">
        <f>D38+D46+D52+D55</f>
        <v>486</v>
      </c>
      <c r="E123" s="193"/>
      <c r="F123" s="187">
        <f>G123/D123</f>
        <v>1700.7201646090534</v>
      </c>
      <c r="G123" s="188">
        <f>G38+G46+G52+G55</f>
        <v>826550</v>
      </c>
      <c r="H123" s="187">
        <f>I123/D123</f>
        <v>647.42798353909461</v>
      </c>
      <c r="I123" s="173">
        <f>I38+I46+I52+I55</f>
        <v>314650</v>
      </c>
    </row>
    <row r="124" spans="3:9" x14ac:dyDescent="0.3">
      <c r="C124" s="150"/>
      <c r="D124" s="193"/>
      <c r="E124" s="193"/>
      <c r="F124" s="173"/>
      <c r="G124" s="173"/>
      <c r="H124" s="173"/>
      <c r="I124" s="173"/>
    </row>
    <row r="125" spans="3:9" x14ac:dyDescent="0.3">
      <c r="C125" s="150" t="s">
        <v>529</v>
      </c>
      <c r="D125" s="183">
        <f>G123/F40</f>
        <v>317.90384615384613</v>
      </c>
      <c r="E125" s="193"/>
      <c r="F125" s="173"/>
      <c r="G125" s="173"/>
      <c r="H125" s="173"/>
      <c r="I125" s="173"/>
    </row>
    <row r="126" spans="3:9" x14ac:dyDescent="0.3">
      <c r="C126" s="150" t="s">
        <v>530</v>
      </c>
      <c r="D126" s="193"/>
      <c r="E126" s="193"/>
      <c r="F126" s="173"/>
      <c r="G126" s="188">
        <f>D123-D125</f>
        <v>168.09615384615387</v>
      </c>
      <c r="H126" s="173"/>
      <c r="I126" s="173"/>
    </row>
    <row r="127" spans="3:9" x14ac:dyDescent="0.3">
      <c r="C127" s="149" t="s">
        <v>531</v>
      </c>
      <c r="D127" s="179"/>
      <c r="E127" s="179"/>
      <c r="F127" s="189">
        <f>G126/D123</f>
        <v>0.34587685976574872</v>
      </c>
      <c r="G127" s="189">
        <f>D125/D123</f>
        <v>0.65412314023425133</v>
      </c>
      <c r="H127" s="189"/>
      <c r="I127" s="190"/>
    </row>
    <row r="128" spans="3:9" ht="15" thickBot="1" x14ac:dyDescent="0.35">
      <c r="D128" s="193"/>
      <c r="E128" s="193"/>
      <c r="F128" s="173"/>
      <c r="G128" s="173"/>
      <c r="H128" s="173"/>
      <c r="I128" s="173"/>
    </row>
    <row r="129" spans="3:9" ht="15" thickBot="1" x14ac:dyDescent="0.35">
      <c r="C129" s="170" t="s">
        <v>636</v>
      </c>
      <c r="D129" s="169" t="s">
        <v>346</v>
      </c>
      <c r="E129" s="185"/>
      <c r="F129" s="186"/>
      <c r="G129" s="186"/>
      <c r="H129" s="186"/>
      <c r="I129" s="186"/>
    </row>
    <row r="130" spans="3:9" x14ac:dyDescent="0.3">
      <c r="D130" s="193"/>
      <c r="E130" s="193"/>
      <c r="F130" s="173"/>
      <c r="G130" s="173"/>
      <c r="H130" s="173"/>
      <c r="I130" s="173"/>
    </row>
    <row r="131" spans="3:9" x14ac:dyDescent="0.3">
      <c r="C131" s="149" t="s">
        <v>528</v>
      </c>
      <c r="D131" s="193">
        <f>D38+D46+D49+D52+D55</f>
        <v>561</v>
      </c>
      <c r="E131" s="193"/>
      <c r="F131" s="187">
        <f>G131/D131</f>
        <v>1580.3030303030303</v>
      </c>
      <c r="G131" s="188">
        <f>G38+G46+G49+G52+G55</f>
        <v>886550</v>
      </c>
      <c r="H131" s="187">
        <f>I131/D131</f>
        <v>667.82531194295905</v>
      </c>
      <c r="I131" s="173">
        <f>I38+I46+I49+I52+I55</f>
        <v>374650</v>
      </c>
    </row>
    <row r="132" spans="3:9" x14ac:dyDescent="0.3">
      <c r="C132" s="150"/>
      <c r="D132" s="193"/>
      <c r="E132" s="193"/>
      <c r="F132" s="173"/>
      <c r="G132" s="173"/>
      <c r="H132" s="173"/>
      <c r="I132" s="173"/>
    </row>
    <row r="133" spans="3:9" x14ac:dyDescent="0.3">
      <c r="C133" s="150" t="s">
        <v>529</v>
      </c>
      <c r="D133" s="183">
        <f>G131/F40</f>
        <v>340.98076923076923</v>
      </c>
      <c r="E133" s="193"/>
      <c r="F133" s="173"/>
      <c r="G133" s="173"/>
      <c r="H133" s="173"/>
      <c r="I133" s="173"/>
    </row>
    <row r="134" spans="3:9" x14ac:dyDescent="0.3">
      <c r="C134" s="150" t="s">
        <v>530</v>
      </c>
      <c r="D134" s="193"/>
      <c r="E134" s="193"/>
      <c r="F134" s="173"/>
      <c r="G134" s="188">
        <f>D131-D133</f>
        <v>220.01923076923077</v>
      </c>
      <c r="H134" s="173"/>
      <c r="I134" s="173"/>
    </row>
    <row r="135" spans="3:9" x14ac:dyDescent="0.3">
      <c r="C135" s="149" t="s">
        <v>531</v>
      </c>
      <c r="D135" s="179"/>
      <c r="E135" s="179"/>
      <c r="F135" s="189">
        <f>G134/D131</f>
        <v>0.39219114219114221</v>
      </c>
      <c r="G135" s="189">
        <f>D133/D131</f>
        <v>0.60780885780885785</v>
      </c>
      <c r="H135" s="189"/>
      <c r="I135" s="190"/>
    </row>
    <row r="136" spans="3:9" x14ac:dyDescent="0.3">
      <c r="C136" s="174"/>
      <c r="D136" s="191"/>
      <c r="E136" s="191"/>
      <c r="F136" s="192"/>
      <c r="G136" s="192"/>
      <c r="H136" s="192"/>
      <c r="I136" s="192"/>
    </row>
  </sheetData>
  <mergeCells count="5">
    <mergeCell ref="C1:I4"/>
    <mergeCell ref="C5:I5"/>
    <mergeCell ref="C6:I6"/>
    <mergeCell ref="C7:I7"/>
    <mergeCell ref="C8:I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5"/>
  <sheetViews>
    <sheetView workbookViewId="0">
      <selection activeCell="J12" sqref="J12"/>
    </sheetView>
  </sheetViews>
  <sheetFormatPr defaultRowHeight="14.4" x14ac:dyDescent="0.3"/>
  <cols>
    <col min="6" max="6" width="10.88671875" customWidth="1"/>
    <col min="9" max="9" width="15.33203125" customWidth="1"/>
    <col min="10" max="10" width="21.21875" customWidth="1"/>
    <col min="11" max="11" width="13.88671875" customWidth="1"/>
    <col min="12" max="12" width="14.5546875" customWidth="1"/>
    <col min="16" max="16" width="15.77734375" customWidth="1"/>
    <col min="18" max="18" width="12.44140625" customWidth="1"/>
    <col min="19" max="19" width="12.21875" customWidth="1"/>
    <col min="20" max="20" width="23.44140625" customWidth="1"/>
    <col min="21" max="21" width="16.5546875" customWidth="1"/>
    <col min="22" max="22" width="13.77734375" customWidth="1"/>
    <col min="23" max="23" width="29.21875" customWidth="1"/>
    <col min="24" max="24" width="10.21875" customWidth="1"/>
    <col min="25" max="25" width="11.88671875" customWidth="1"/>
  </cols>
  <sheetData>
    <row r="1" spans="1:25" x14ac:dyDescent="0.3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495" t="s">
        <v>284</v>
      </c>
      <c r="R1" s="123"/>
      <c r="S1" s="48"/>
      <c r="T1" s="48"/>
      <c r="U1" s="48"/>
      <c r="V1" s="48"/>
      <c r="W1" s="7"/>
      <c r="X1" s="7"/>
      <c r="Y1" s="7"/>
    </row>
    <row r="2" spans="1:25" x14ac:dyDescent="0.3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4" t="s">
        <v>285</v>
      </c>
      <c r="Q2" s="495"/>
      <c r="R2" s="123"/>
      <c r="S2" s="48"/>
      <c r="T2" s="48"/>
      <c r="U2" s="48"/>
      <c r="V2" s="48"/>
      <c r="W2" s="7"/>
      <c r="X2" s="7"/>
      <c r="Y2" s="7"/>
    </row>
    <row r="3" spans="1:25" x14ac:dyDescent="0.3">
      <c r="A3" s="496" t="s">
        <v>286</v>
      </c>
      <c r="B3" s="496"/>
      <c r="C3" s="496"/>
      <c r="D3" s="496"/>
      <c r="E3" s="496"/>
      <c r="F3" s="496"/>
      <c r="G3" s="496"/>
      <c r="H3" s="496"/>
      <c r="I3" s="496"/>
      <c r="J3" s="496"/>
      <c r="K3" s="496"/>
      <c r="L3" s="496" t="s">
        <v>287</v>
      </c>
      <c r="M3" s="496"/>
      <c r="N3" s="496"/>
      <c r="O3" s="123" t="s">
        <v>288</v>
      </c>
      <c r="P3" s="124" t="s">
        <v>289</v>
      </c>
      <c r="Q3" s="495"/>
      <c r="R3" s="125" t="s">
        <v>290</v>
      </c>
      <c r="S3" s="126" t="s">
        <v>291</v>
      </c>
      <c r="T3" s="126" t="s">
        <v>292</v>
      </c>
      <c r="U3" s="126" t="s">
        <v>293</v>
      </c>
      <c r="V3" s="126" t="s">
        <v>294</v>
      </c>
      <c r="W3" s="127" t="s">
        <v>295</v>
      </c>
      <c r="X3" s="127" t="s">
        <v>296</v>
      </c>
      <c r="Y3" s="127" t="s">
        <v>297</v>
      </c>
    </row>
    <row r="4" spans="1:25" x14ac:dyDescent="0.3">
      <c r="A4" s="123" t="s">
        <v>298</v>
      </c>
      <c r="B4" s="123" t="s">
        <v>299</v>
      </c>
      <c r="C4" s="123" t="s">
        <v>300</v>
      </c>
      <c r="D4" s="123" t="s">
        <v>301</v>
      </c>
      <c r="E4" s="48" t="s">
        <v>302</v>
      </c>
      <c r="F4" s="48" t="s">
        <v>303</v>
      </c>
      <c r="G4" s="123" t="s">
        <v>304</v>
      </c>
      <c r="H4" s="123" t="s">
        <v>305</v>
      </c>
      <c r="I4" s="48" t="s">
        <v>306</v>
      </c>
      <c r="J4" s="48" t="s">
        <v>307</v>
      </c>
      <c r="K4" s="123" t="s">
        <v>308</v>
      </c>
      <c r="L4" s="123" t="s">
        <v>309</v>
      </c>
      <c r="M4" s="3" t="s">
        <v>310</v>
      </c>
      <c r="N4" s="3" t="s">
        <v>311</v>
      </c>
      <c r="O4" s="48" t="s">
        <v>312</v>
      </c>
      <c r="P4" s="48" t="s">
        <v>311</v>
      </c>
      <c r="Q4" s="118" t="s">
        <v>313</v>
      </c>
      <c r="R4" s="125" t="s">
        <v>314</v>
      </c>
      <c r="S4" s="125" t="s">
        <v>314</v>
      </c>
      <c r="T4" s="125" t="s">
        <v>314</v>
      </c>
      <c r="U4" s="125" t="s">
        <v>314</v>
      </c>
      <c r="V4" s="125" t="s">
        <v>314</v>
      </c>
      <c r="W4" s="128" t="s">
        <v>311</v>
      </c>
      <c r="X4" s="128" t="s">
        <v>311</v>
      </c>
      <c r="Y4" s="128" t="s">
        <v>315</v>
      </c>
    </row>
    <row r="5" spans="1:25" x14ac:dyDescent="0.3">
      <c r="A5" s="123">
        <v>260</v>
      </c>
      <c r="B5" s="123">
        <v>300</v>
      </c>
      <c r="C5" s="123">
        <v>30</v>
      </c>
      <c r="D5" s="123">
        <f t="shared" ref="D5:D42" si="0">RADIANS(C5)</f>
        <v>0.52359877559829882</v>
      </c>
      <c r="E5" s="48">
        <v>0.1</v>
      </c>
      <c r="F5" s="48">
        <v>1</v>
      </c>
      <c r="G5" s="123">
        <f>B5/A5*E5/F5/COS(D5)</f>
        <v>0.13323467750529824</v>
      </c>
      <c r="H5" s="123">
        <v>1.5</v>
      </c>
      <c r="I5" s="48">
        <v>125</v>
      </c>
      <c r="J5" s="123">
        <v>15</v>
      </c>
      <c r="K5" s="123">
        <f>I5-J5</f>
        <v>110</v>
      </c>
      <c r="L5" s="129">
        <f t="shared" ref="L5:L42" si="1">4*PI()^2*K5*H5^2*G5^2</f>
        <v>173.44807734458809</v>
      </c>
      <c r="M5" s="130">
        <f>L5/1000</f>
        <v>0.17344807734458809</v>
      </c>
      <c r="N5" s="130">
        <f>M5/9.81</f>
        <v>1.7680741829213871E-2</v>
      </c>
      <c r="O5" s="131">
        <f>56*N5</f>
        <v>0.99012154243597683</v>
      </c>
      <c r="P5" s="132">
        <f t="shared" ref="P5:P42" si="2">N5/G5^2</f>
        <v>0.99601512304571493</v>
      </c>
      <c r="Q5" s="132">
        <f t="shared" ref="Q5:Q42" si="3">2*SQRT(P5*K5)</f>
        <v>20.934341502424061</v>
      </c>
      <c r="R5" s="133">
        <f t="shared" ref="R5:R42" si="4">K5/N5*B5/A5*COS(D5)*F5/E5</f>
        <v>62168.550394335078</v>
      </c>
      <c r="S5" s="133">
        <f t="shared" ref="S5:S42" si="5">U5-R5</f>
        <v>-60967.661834420658</v>
      </c>
      <c r="T5" s="125">
        <v>160</v>
      </c>
      <c r="U5" s="125">
        <f t="shared" ref="U5:U42" si="6">T5/G5</f>
        <v>1200.8885599144216</v>
      </c>
      <c r="V5" s="133">
        <f t="shared" ref="V5:V42" si="7">R5-S5</f>
        <v>123136.21222875573</v>
      </c>
      <c r="W5" s="134">
        <f>X5*G5^2</f>
        <v>2.3964497041420115E-2</v>
      </c>
      <c r="X5" s="128">
        <v>1.35</v>
      </c>
      <c r="Y5" s="134">
        <f>SQRT(W5*1000*9.81/K5)*1/(2*PI()*G5)</f>
        <v>1.7463254249783122</v>
      </c>
    </row>
    <row r="6" spans="1:25" x14ac:dyDescent="0.3">
      <c r="A6" s="123">
        <v>260</v>
      </c>
      <c r="B6" s="123">
        <v>300</v>
      </c>
      <c r="C6" s="123">
        <v>30</v>
      </c>
      <c r="D6" s="123">
        <f t="shared" si="0"/>
        <v>0.52359877559829882</v>
      </c>
      <c r="E6" s="48">
        <v>0.2</v>
      </c>
      <c r="F6" s="48">
        <v>1</v>
      </c>
      <c r="G6" s="123">
        <f t="shared" ref="G6:G42" si="8">B6/A6*E6/F6/COS(D6)</f>
        <v>0.26646935501059649</v>
      </c>
      <c r="H6" s="123">
        <v>1.5</v>
      </c>
      <c r="I6" s="48">
        <v>125</v>
      </c>
      <c r="J6" s="123">
        <v>15</v>
      </c>
      <c r="K6" s="123">
        <f t="shared" ref="K6:K42" si="9">I6-J6</f>
        <v>110</v>
      </c>
      <c r="L6" s="129">
        <f t="shared" si="1"/>
        <v>693.79230937835234</v>
      </c>
      <c r="M6" s="130">
        <f t="shared" ref="M6:M42" si="10">L6/1000</f>
        <v>0.69379230937835235</v>
      </c>
      <c r="N6" s="130">
        <f t="shared" ref="N6:N42" si="11">M6/9.81</f>
        <v>7.0722967316855484E-2</v>
      </c>
      <c r="O6" s="131">
        <f t="shared" ref="O6:O42" si="12">56*N6</f>
        <v>3.9604861697439073</v>
      </c>
      <c r="P6" s="132">
        <f t="shared" si="2"/>
        <v>0.99601512304571493</v>
      </c>
      <c r="Q6" s="132">
        <f t="shared" si="3"/>
        <v>20.934341502424061</v>
      </c>
      <c r="R6" s="133">
        <f t="shared" si="4"/>
        <v>7771.0687992918847</v>
      </c>
      <c r="S6" s="133">
        <f t="shared" si="5"/>
        <v>-7170.624519334674</v>
      </c>
      <c r="T6" s="125">
        <v>160</v>
      </c>
      <c r="U6" s="125">
        <f t="shared" si="6"/>
        <v>600.44427995721082</v>
      </c>
      <c r="V6" s="133">
        <f t="shared" si="7"/>
        <v>14941.69331862656</v>
      </c>
      <c r="W6" s="134">
        <f t="shared" ref="W6:W69" si="13">X6*G6^2</f>
        <v>9.5857988165680461E-2</v>
      </c>
      <c r="X6" s="128">
        <v>1.35</v>
      </c>
      <c r="Y6" s="134">
        <f t="shared" ref="Y6:Y69" si="14">SQRT(W6*1000*9.81/K6)*1/(2*PI()*G6)</f>
        <v>1.7463254249783122</v>
      </c>
    </row>
    <row r="7" spans="1:25" x14ac:dyDescent="0.3">
      <c r="A7" s="123">
        <v>260</v>
      </c>
      <c r="B7" s="123">
        <v>300</v>
      </c>
      <c r="C7" s="123">
        <v>30</v>
      </c>
      <c r="D7" s="123">
        <f t="shared" si="0"/>
        <v>0.52359877559829882</v>
      </c>
      <c r="E7" s="48">
        <v>0.3</v>
      </c>
      <c r="F7" s="48">
        <v>1</v>
      </c>
      <c r="G7" s="123">
        <f t="shared" si="8"/>
        <v>0.39970403251589465</v>
      </c>
      <c r="H7" s="123">
        <v>1.5</v>
      </c>
      <c r="I7" s="48">
        <v>125</v>
      </c>
      <c r="J7" s="123">
        <v>15</v>
      </c>
      <c r="K7" s="123">
        <f t="shared" si="9"/>
        <v>110</v>
      </c>
      <c r="L7" s="129">
        <f t="shared" si="1"/>
        <v>1561.032696101292</v>
      </c>
      <c r="M7" s="130">
        <f t="shared" si="10"/>
        <v>1.5610326961012919</v>
      </c>
      <c r="N7" s="130">
        <f t="shared" si="11"/>
        <v>0.15912667646292475</v>
      </c>
      <c r="O7" s="131">
        <f t="shared" si="12"/>
        <v>8.9110938819237866</v>
      </c>
      <c r="P7" s="132">
        <f t="shared" si="2"/>
        <v>0.99601512304571482</v>
      </c>
      <c r="Q7" s="132">
        <f t="shared" si="3"/>
        <v>20.934341502424061</v>
      </c>
      <c r="R7" s="133">
        <f t="shared" si="4"/>
        <v>2302.538903493893</v>
      </c>
      <c r="S7" s="133">
        <f t="shared" si="5"/>
        <v>-1902.2427168557524</v>
      </c>
      <c r="T7" s="125">
        <v>160</v>
      </c>
      <c r="U7" s="125">
        <f t="shared" si="6"/>
        <v>400.29618663814063</v>
      </c>
      <c r="V7" s="133">
        <f t="shared" si="7"/>
        <v>4204.7816203496459</v>
      </c>
      <c r="W7" s="134">
        <f t="shared" si="13"/>
        <v>0.21568047337278096</v>
      </c>
      <c r="X7" s="128">
        <v>1.35</v>
      </c>
      <c r="Y7" s="134">
        <f t="shared" si="14"/>
        <v>1.7463254249783124</v>
      </c>
    </row>
    <row r="8" spans="1:25" x14ac:dyDescent="0.3">
      <c r="A8" s="123">
        <v>260</v>
      </c>
      <c r="B8" s="123">
        <v>300</v>
      </c>
      <c r="C8" s="123">
        <v>30</v>
      </c>
      <c r="D8" s="123">
        <f t="shared" si="0"/>
        <v>0.52359877559829882</v>
      </c>
      <c r="E8" s="48">
        <v>0.4</v>
      </c>
      <c r="F8" s="48">
        <v>1</v>
      </c>
      <c r="G8" s="123">
        <f t="shared" si="8"/>
        <v>0.53293871002119297</v>
      </c>
      <c r="H8" s="123">
        <v>1.5</v>
      </c>
      <c r="I8" s="48">
        <v>125</v>
      </c>
      <c r="J8" s="123">
        <v>15</v>
      </c>
      <c r="K8" s="123">
        <f t="shared" si="9"/>
        <v>110</v>
      </c>
      <c r="L8" s="129">
        <f t="shared" si="1"/>
        <v>2775.1692375134094</v>
      </c>
      <c r="M8" s="130">
        <f t="shared" si="10"/>
        <v>2.7751692375134094</v>
      </c>
      <c r="N8" s="130">
        <f t="shared" si="11"/>
        <v>0.28289186926742194</v>
      </c>
      <c r="O8" s="131">
        <f t="shared" si="12"/>
        <v>15.841944678975629</v>
      </c>
      <c r="P8" s="132">
        <f t="shared" si="2"/>
        <v>0.99601512304571493</v>
      </c>
      <c r="Q8" s="132">
        <f t="shared" si="3"/>
        <v>20.934341502424061</v>
      </c>
      <c r="R8" s="133">
        <f t="shared" si="4"/>
        <v>971.38359991148559</v>
      </c>
      <c r="S8" s="133">
        <f t="shared" si="5"/>
        <v>-671.16145993288023</v>
      </c>
      <c r="T8" s="125">
        <v>160</v>
      </c>
      <c r="U8" s="125">
        <f t="shared" si="6"/>
        <v>300.22213997860541</v>
      </c>
      <c r="V8" s="133">
        <f t="shared" si="7"/>
        <v>1642.5450598443658</v>
      </c>
      <c r="W8" s="134">
        <f t="shared" si="13"/>
        <v>0.38343195266272184</v>
      </c>
      <c r="X8" s="128">
        <v>1.35</v>
      </c>
      <c r="Y8" s="134">
        <f t="shared" si="14"/>
        <v>1.7463254249783122</v>
      </c>
    </row>
    <row r="9" spans="1:25" x14ac:dyDescent="0.3">
      <c r="A9" s="123">
        <v>260</v>
      </c>
      <c r="B9" s="123">
        <v>300</v>
      </c>
      <c r="C9" s="135">
        <v>30</v>
      </c>
      <c r="D9" s="135">
        <f t="shared" si="0"/>
        <v>0.52359877559829882</v>
      </c>
      <c r="E9" s="135">
        <v>0.5</v>
      </c>
      <c r="F9" s="135">
        <v>1</v>
      </c>
      <c r="G9" s="123">
        <f t="shared" si="8"/>
        <v>0.66617338752649113</v>
      </c>
      <c r="H9" s="123">
        <v>1.5</v>
      </c>
      <c r="I9" s="48">
        <v>125</v>
      </c>
      <c r="J9" s="123">
        <v>15</v>
      </c>
      <c r="K9" s="123">
        <f t="shared" si="9"/>
        <v>110</v>
      </c>
      <c r="L9" s="136">
        <f t="shared" si="1"/>
        <v>4336.2019336147014</v>
      </c>
      <c r="M9" s="130">
        <f t="shared" si="10"/>
        <v>4.3362019336147011</v>
      </c>
      <c r="N9" s="130">
        <f t="shared" si="11"/>
        <v>0.44201854573034666</v>
      </c>
      <c r="O9" s="131">
        <f t="shared" si="12"/>
        <v>24.753038560899412</v>
      </c>
      <c r="P9" s="132">
        <f t="shared" si="2"/>
        <v>0.99601512304571482</v>
      </c>
      <c r="Q9" s="132">
        <f t="shared" si="3"/>
        <v>20.934341502424061</v>
      </c>
      <c r="R9" s="133">
        <f t="shared" si="4"/>
        <v>497.34840315468074</v>
      </c>
      <c r="S9" s="133">
        <f t="shared" si="5"/>
        <v>-257.17069117179636</v>
      </c>
      <c r="T9" s="125">
        <v>160</v>
      </c>
      <c r="U9" s="125">
        <f t="shared" si="6"/>
        <v>240.17771198288438</v>
      </c>
      <c r="V9" s="133">
        <f t="shared" si="7"/>
        <v>754.5190943264771</v>
      </c>
      <c r="W9" s="134">
        <f t="shared" si="13"/>
        <v>0.59911242603550274</v>
      </c>
      <c r="X9" s="128">
        <v>1.35</v>
      </c>
      <c r="Y9" s="134">
        <f t="shared" si="14"/>
        <v>1.7463254249783124</v>
      </c>
    </row>
    <row r="10" spans="1:25" x14ac:dyDescent="0.3">
      <c r="A10" s="123">
        <v>260</v>
      </c>
      <c r="B10" s="123">
        <v>300</v>
      </c>
      <c r="C10" s="135">
        <v>30</v>
      </c>
      <c r="D10" s="135">
        <f t="shared" si="0"/>
        <v>0.52359877559829882</v>
      </c>
      <c r="E10" s="135">
        <v>0.6</v>
      </c>
      <c r="F10" s="135">
        <v>1</v>
      </c>
      <c r="G10" s="123">
        <f t="shared" si="8"/>
        <v>0.79940806503178929</v>
      </c>
      <c r="H10" s="123">
        <v>1.5</v>
      </c>
      <c r="I10" s="48">
        <v>125</v>
      </c>
      <c r="J10" s="123">
        <v>15</v>
      </c>
      <c r="K10" s="123">
        <f t="shared" si="9"/>
        <v>110</v>
      </c>
      <c r="L10" s="136">
        <f t="shared" si="1"/>
        <v>6244.130784405168</v>
      </c>
      <c r="M10" s="130">
        <f t="shared" si="10"/>
        <v>6.2441307844051677</v>
      </c>
      <c r="N10" s="130">
        <f t="shared" si="11"/>
        <v>0.636506705851699</v>
      </c>
      <c r="O10" s="131">
        <f t="shared" si="12"/>
        <v>35.644375527695146</v>
      </c>
      <c r="P10" s="132">
        <f t="shared" si="2"/>
        <v>0.99601512304571482</v>
      </c>
      <c r="Q10" s="132">
        <f t="shared" si="3"/>
        <v>20.934341502424061</v>
      </c>
      <c r="R10" s="133">
        <f t="shared" si="4"/>
        <v>287.81736293673663</v>
      </c>
      <c r="S10" s="133">
        <f t="shared" si="5"/>
        <v>-87.669269617666316</v>
      </c>
      <c r="T10" s="125">
        <v>160</v>
      </c>
      <c r="U10" s="125">
        <f t="shared" si="6"/>
        <v>200.14809331907031</v>
      </c>
      <c r="V10" s="133">
        <f t="shared" si="7"/>
        <v>375.48663255440295</v>
      </c>
      <c r="W10" s="134">
        <f t="shared" si="13"/>
        <v>0.86272189349112383</v>
      </c>
      <c r="X10" s="128">
        <v>1.35</v>
      </c>
      <c r="Y10" s="134">
        <f t="shared" si="14"/>
        <v>1.7463254249783124</v>
      </c>
    </row>
    <row r="11" spans="1:25" x14ac:dyDescent="0.3">
      <c r="A11" s="123">
        <v>260</v>
      </c>
      <c r="B11" s="123">
        <v>300</v>
      </c>
      <c r="C11" s="135">
        <v>30</v>
      </c>
      <c r="D11" s="135">
        <f t="shared" si="0"/>
        <v>0.52359877559829882</v>
      </c>
      <c r="E11" s="135">
        <v>0.7</v>
      </c>
      <c r="F11" s="135">
        <v>1</v>
      </c>
      <c r="G11" s="123">
        <f t="shared" si="8"/>
        <v>0.93264274253708757</v>
      </c>
      <c r="H11" s="123">
        <v>1.5</v>
      </c>
      <c r="I11" s="48">
        <v>125</v>
      </c>
      <c r="J11" s="123">
        <v>15</v>
      </c>
      <c r="K11" s="123">
        <f t="shared" si="9"/>
        <v>110</v>
      </c>
      <c r="L11" s="136">
        <f t="shared" si="1"/>
        <v>8498.9557898848143</v>
      </c>
      <c r="M11" s="130">
        <f t="shared" si="10"/>
        <v>8.498955789884814</v>
      </c>
      <c r="N11" s="130">
        <f t="shared" si="11"/>
        <v>0.86635634963147945</v>
      </c>
      <c r="O11" s="131">
        <f t="shared" si="12"/>
        <v>48.515955579362853</v>
      </c>
      <c r="P11" s="132">
        <f t="shared" si="2"/>
        <v>0.99601512304571493</v>
      </c>
      <c r="Q11" s="132">
        <f t="shared" si="3"/>
        <v>20.934341502424061</v>
      </c>
      <c r="R11" s="133">
        <f t="shared" si="4"/>
        <v>181.24941805928597</v>
      </c>
      <c r="S11" s="133">
        <f t="shared" si="5"/>
        <v>-9.6939095000828388</v>
      </c>
      <c r="T11" s="125">
        <v>160</v>
      </c>
      <c r="U11" s="125">
        <f t="shared" si="6"/>
        <v>171.55550855920313</v>
      </c>
      <c r="V11" s="133">
        <f t="shared" si="7"/>
        <v>190.94332755936881</v>
      </c>
      <c r="W11" s="134">
        <f t="shared" si="13"/>
        <v>1.1742603550295854</v>
      </c>
      <c r="X11" s="128">
        <v>1.35</v>
      </c>
      <c r="Y11" s="134">
        <f t="shared" si="14"/>
        <v>1.7463254249783124</v>
      </c>
    </row>
    <row r="12" spans="1:25" x14ac:dyDescent="0.3">
      <c r="A12" s="123">
        <v>260</v>
      </c>
      <c r="B12" s="123">
        <v>300</v>
      </c>
      <c r="C12" s="135">
        <v>30</v>
      </c>
      <c r="D12" s="135">
        <f t="shared" si="0"/>
        <v>0.52359877559829882</v>
      </c>
      <c r="E12" s="135">
        <v>0.8</v>
      </c>
      <c r="F12" s="135">
        <v>1</v>
      </c>
      <c r="G12" s="123">
        <f t="shared" si="8"/>
        <v>1.0658774200423859</v>
      </c>
      <c r="H12" s="123">
        <v>1.5</v>
      </c>
      <c r="I12" s="48">
        <v>125</v>
      </c>
      <c r="J12" s="123">
        <v>15</v>
      </c>
      <c r="K12" s="123">
        <f t="shared" si="9"/>
        <v>110</v>
      </c>
      <c r="L12" s="136">
        <f t="shared" si="1"/>
        <v>11100.676950053637</v>
      </c>
      <c r="M12" s="130">
        <f t="shared" si="10"/>
        <v>11.100676950053638</v>
      </c>
      <c r="N12" s="130">
        <f t="shared" si="11"/>
        <v>1.1315674770696877</v>
      </c>
      <c r="O12" s="131">
        <f t="shared" si="12"/>
        <v>63.367778715902517</v>
      </c>
      <c r="P12" s="132">
        <f t="shared" si="2"/>
        <v>0.99601512304571493</v>
      </c>
      <c r="Q12" s="132">
        <f t="shared" si="3"/>
        <v>20.934341502424061</v>
      </c>
      <c r="R12" s="133">
        <f t="shared" si="4"/>
        <v>121.4229499889357</v>
      </c>
      <c r="S12" s="133">
        <f t="shared" si="5"/>
        <v>28.688120000367007</v>
      </c>
      <c r="T12" s="125">
        <v>160</v>
      </c>
      <c r="U12" s="125">
        <f t="shared" si="6"/>
        <v>150.11106998930271</v>
      </c>
      <c r="V12" s="133">
        <f t="shared" si="7"/>
        <v>92.734829988568691</v>
      </c>
      <c r="W12" s="134">
        <f t="shared" si="13"/>
        <v>1.5337278106508874</v>
      </c>
      <c r="X12" s="128">
        <v>1.35</v>
      </c>
      <c r="Y12" s="134">
        <f t="shared" si="14"/>
        <v>1.7463254249783122</v>
      </c>
    </row>
    <row r="13" spans="1:25" x14ac:dyDescent="0.3">
      <c r="A13" s="123">
        <v>260</v>
      </c>
      <c r="B13" s="123">
        <v>300</v>
      </c>
      <c r="C13" s="135">
        <v>30</v>
      </c>
      <c r="D13" s="135">
        <f t="shared" si="0"/>
        <v>0.52359877559829882</v>
      </c>
      <c r="E13" s="135">
        <v>0.9</v>
      </c>
      <c r="F13" s="135">
        <v>1</v>
      </c>
      <c r="G13" s="123">
        <f t="shared" si="8"/>
        <v>1.1991120975476841</v>
      </c>
      <c r="H13" s="123">
        <v>1.5</v>
      </c>
      <c r="I13" s="48">
        <v>125</v>
      </c>
      <c r="J13" s="123">
        <v>15</v>
      </c>
      <c r="K13" s="123">
        <f t="shared" si="9"/>
        <v>110</v>
      </c>
      <c r="L13" s="136">
        <f>4*PI()^2*K13*H13^2*G13^2</f>
        <v>14049.294264911634</v>
      </c>
      <c r="M13" s="130">
        <f t="shared" si="10"/>
        <v>14.049294264911634</v>
      </c>
      <c r="N13" s="130">
        <f t="shared" si="11"/>
        <v>1.4321400881663235</v>
      </c>
      <c r="O13" s="131">
        <f t="shared" si="12"/>
        <v>80.199844937314111</v>
      </c>
      <c r="P13" s="137">
        <f t="shared" si="2"/>
        <v>0.99601512304571505</v>
      </c>
      <c r="Q13" s="137">
        <f t="shared" si="3"/>
        <v>20.934341502424065</v>
      </c>
      <c r="R13" s="133">
        <f t="shared" si="4"/>
        <v>85.279218647921923</v>
      </c>
      <c r="S13" s="133">
        <f t="shared" si="5"/>
        <v>48.15284356479161</v>
      </c>
      <c r="T13" s="125">
        <v>160</v>
      </c>
      <c r="U13" s="125">
        <f t="shared" si="6"/>
        <v>133.43206221271353</v>
      </c>
      <c r="V13" s="133">
        <f t="shared" si="7"/>
        <v>37.126375083130313</v>
      </c>
      <c r="W13" s="134">
        <f t="shared" si="13"/>
        <v>1.9411242603550292</v>
      </c>
      <c r="X13" s="128">
        <v>1.35</v>
      </c>
      <c r="Y13" s="134">
        <f t="shared" si="14"/>
        <v>1.7463254249783124</v>
      </c>
    </row>
    <row r="14" spans="1:25" x14ac:dyDescent="0.3">
      <c r="A14" s="123">
        <v>260</v>
      </c>
      <c r="B14" s="123">
        <v>300</v>
      </c>
      <c r="C14" s="135">
        <v>30</v>
      </c>
      <c r="D14" s="135">
        <f t="shared" si="0"/>
        <v>0.52359877559829882</v>
      </c>
      <c r="E14" s="135">
        <v>1</v>
      </c>
      <c r="F14" s="135">
        <v>1</v>
      </c>
      <c r="G14" s="123">
        <f t="shared" si="8"/>
        <v>1.3323467750529823</v>
      </c>
      <c r="H14" s="123">
        <v>1.5</v>
      </c>
      <c r="I14" s="48">
        <v>125</v>
      </c>
      <c r="J14" s="123">
        <v>15</v>
      </c>
      <c r="K14" s="123">
        <f t="shared" si="9"/>
        <v>110</v>
      </c>
      <c r="L14" s="136">
        <f t="shared" si="1"/>
        <v>17344.807734458805</v>
      </c>
      <c r="M14" s="130">
        <f t="shared" si="10"/>
        <v>17.344807734458804</v>
      </c>
      <c r="N14" s="130">
        <f t="shared" si="11"/>
        <v>1.7680741829213866</v>
      </c>
      <c r="O14" s="131">
        <f t="shared" si="12"/>
        <v>99.012154243597649</v>
      </c>
      <c r="P14" s="137">
        <f t="shared" si="2"/>
        <v>0.99601512304571482</v>
      </c>
      <c r="Q14" s="137">
        <f t="shared" si="3"/>
        <v>20.934341502424061</v>
      </c>
      <c r="R14" s="133">
        <f t="shared" si="4"/>
        <v>62.168550394335092</v>
      </c>
      <c r="S14" s="133">
        <f t="shared" si="5"/>
        <v>57.920305597107095</v>
      </c>
      <c r="T14" s="125">
        <v>160</v>
      </c>
      <c r="U14" s="125">
        <f t="shared" si="6"/>
        <v>120.08885599144219</v>
      </c>
      <c r="V14" s="133">
        <f t="shared" si="7"/>
        <v>4.2482447972279971</v>
      </c>
      <c r="W14" s="134">
        <f t="shared" si="13"/>
        <v>2.396449704142011</v>
      </c>
      <c r="X14" s="128">
        <v>1.35</v>
      </c>
      <c r="Y14" s="134">
        <f t="shared" si="14"/>
        <v>1.7463254249783124</v>
      </c>
    </row>
    <row r="15" spans="1:25" x14ac:dyDescent="0.3">
      <c r="A15" s="123">
        <v>260</v>
      </c>
      <c r="B15" s="123">
        <v>300</v>
      </c>
      <c r="C15" s="135">
        <v>30</v>
      </c>
      <c r="D15" s="135">
        <f t="shared" si="0"/>
        <v>0.52359877559829882</v>
      </c>
      <c r="E15" s="135">
        <v>1.1000000000000001</v>
      </c>
      <c r="F15" s="135">
        <v>1</v>
      </c>
      <c r="G15" s="123">
        <f t="shared" si="8"/>
        <v>1.4655814525582807</v>
      </c>
      <c r="H15" s="123">
        <v>1.5</v>
      </c>
      <c r="I15" s="48">
        <v>125</v>
      </c>
      <c r="J15" s="123">
        <v>15</v>
      </c>
      <c r="K15" s="123">
        <f t="shared" si="9"/>
        <v>110</v>
      </c>
      <c r="L15" s="136">
        <f t="shared" si="1"/>
        <v>20987.217358695158</v>
      </c>
      <c r="M15" s="130">
        <f t="shared" si="10"/>
        <v>20.987217358695158</v>
      </c>
      <c r="N15" s="130">
        <f t="shared" si="11"/>
        <v>2.1393697613348786</v>
      </c>
      <c r="O15" s="131">
        <f t="shared" si="12"/>
        <v>119.8047066347532</v>
      </c>
      <c r="P15" s="137">
        <f t="shared" si="2"/>
        <v>0.99601512304571493</v>
      </c>
      <c r="Q15" s="137">
        <f t="shared" si="3"/>
        <v>20.934341502424061</v>
      </c>
      <c r="R15" s="133">
        <f t="shared" si="4"/>
        <v>46.708152061859558</v>
      </c>
      <c r="S15" s="133">
        <f t="shared" si="5"/>
        <v>62.463535203087865</v>
      </c>
      <c r="T15" s="125">
        <v>160</v>
      </c>
      <c r="U15" s="125">
        <f t="shared" si="6"/>
        <v>109.17168726494742</v>
      </c>
      <c r="V15" s="133">
        <f t="shared" si="7"/>
        <v>-15.755383141228307</v>
      </c>
      <c r="W15" s="134">
        <f t="shared" si="13"/>
        <v>2.8997041420118341</v>
      </c>
      <c r="X15" s="128">
        <v>1.35</v>
      </c>
      <c r="Y15" s="134">
        <f t="shared" si="14"/>
        <v>1.746325424978312</v>
      </c>
    </row>
    <row r="16" spans="1:25" x14ac:dyDescent="0.3">
      <c r="A16" s="123">
        <v>260</v>
      </c>
      <c r="B16" s="123">
        <v>300</v>
      </c>
      <c r="C16" s="123">
        <v>30</v>
      </c>
      <c r="D16" s="123">
        <f t="shared" si="0"/>
        <v>0.52359877559829882</v>
      </c>
      <c r="E16" s="48">
        <v>1.2</v>
      </c>
      <c r="F16" s="48">
        <v>1</v>
      </c>
      <c r="G16" s="123">
        <f t="shared" si="8"/>
        <v>1.5988161300635786</v>
      </c>
      <c r="H16" s="123">
        <v>1.5</v>
      </c>
      <c r="I16" s="48">
        <v>125</v>
      </c>
      <c r="J16" s="123">
        <v>15</v>
      </c>
      <c r="K16" s="123">
        <f t="shared" si="9"/>
        <v>110</v>
      </c>
      <c r="L16" s="129">
        <f t="shared" si="1"/>
        <v>24976.523137620672</v>
      </c>
      <c r="M16" s="130">
        <f t="shared" si="10"/>
        <v>24.976523137620671</v>
      </c>
      <c r="N16" s="130">
        <f t="shared" si="11"/>
        <v>2.546026823406796</v>
      </c>
      <c r="O16" s="131">
        <f t="shared" si="12"/>
        <v>142.57750211078059</v>
      </c>
      <c r="P16" s="137">
        <f t="shared" si="2"/>
        <v>0.99601512304571482</v>
      </c>
      <c r="Q16" s="137">
        <f t="shared" si="3"/>
        <v>20.934341502424061</v>
      </c>
      <c r="R16" s="133">
        <f t="shared" si="4"/>
        <v>35.977170367092079</v>
      </c>
      <c r="S16" s="133">
        <f t="shared" si="5"/>
        <v>64.096876292443085</v>
      </c>
      <c r="T16" s="125">
        <v>160</v>
      </c>
      <c r="U16" s="125">
        <f t="shared" si="6"/>
        <v>100.07404665953516</v>
      </c>
      <c r="V16" s="133">
        <f t="shared" si="7"/>
        <v>-28.119705925351006</v>
      </c>
      <c r="W16" s="134">
        <f t="shared" si="13"/>
        <v>3.4508875739644953</v>
      </c>
      <c r="X16" s="128">
        <v>1.35</v>
      </c>
      <c r="Y16" s="134">
        <f t="shared" si="14"/>
        <v>1.7463254249783124</v>
      </c>
    </row>
    <row r="17" spans="1:25" x14ac:dyDescent="0.3">
      <c r="A17" s="123">
        <v>260</v>
      </c>
      <c r="B17" s="123">
        <v>300</v>
      </c>
      <c r="C17" s="123">
        <v>30</v>
      </c>
      <c r="D17" s="123">
        <f t="shared" si="0"/>
        <v>0.52359877559829882</v>
      </c>
      <c r="E17" s="48">
        <v>1.3</v>
      </c>
      <c r="F17" s="48">
        <v>1</v>
      </c>
      <c r="G17" s="123">
        <f t="shared" si="8"/>
        <v>1.7320508075688772</v>
      </c>
      <c r="H17" s="123">
        <v>1.5</v>
      </c>
      <c r="I17" s="48">
        <v>125</v>
      </c>
      <c r="J17" s="123">
        <v>15</v>
      </c>
      <c r="K17" s="123">
        <f t="shared" si="9"/>
        <v>110</v>
      </c>
      <c r="L17" s="129">
        <f t="shared" si="1"/>
        <v>29312.725071235389</v>
      </c>
      <c r="M17" s="130">
        <f t="shared" si="10"/>
        <v>29.312725071235388</v>
      </c>
      <c r="N17" s="130">
        <f t="shared" si="11"/>
        <v>2.9880453691371445</v>
      </c>
      <c r="O17" s="131">
        <f t="shared" si="12"/>
        <v>167.3305406716801</v>
      </c>
      <c r="P17" s="137">
        <f t="shared" si="2"/>
        <v>0.99601512304571493</v>
      </c>
      <c r="Q17" s="137">
        <f t="shared" si="3"/>
        <v>20.934341502424061</v>
      </c>
      <c r="R17" s="133">
        <f t="shared" si="4"/>
        <v>28.297018841299533</v>
      </c>
      <c r="S17" s="133">
        <f t="shared" si="5"/>
        <v>64.079024229040598</v>
      </c>
      <c r="T17" s="125">
        <v>160</v>
      </c>
      <c r="U17" s="125">
        <f t="shared" si="6"/>
        <v>92.376043070340131</v>
      </c>
      <c r="V17" s="133">
        <f t="shared" si="7"/>
        <v>-35.782005387741066</v>
      </c>
      <c r="W17" s="134">
        <f t="shared" si="13"/>
        <v>4.05</v>
      </c>
      <c r="X17" s="128">
        <v>1.35</v>
      </c>
      <c r="Y17" s="134">
        <f t="shared" si="14"/>
        <v>1.7463254249783122</v>
      </c>
    </row>
    <row r="18" spans="1:25" x14ac:dyDescent="0.3">
      <c r="A18" s="123">
        <v>260</v>
      </c>
      <c r="B18" s="123">
        <v>300</v>
      </c>
      <c r="C18" s="123">
        <v>30</v>
      </c>
      <c r="D18" s="123">
        <f t="shared" si="0"/>
        <v>0.52359877559829882</v>
      </c>
      <c r="E18" s="48">
        <v>1.4</v>
      </c>
      <c r="F18" s="48">
        <v>1</v>
      </c>
      <c r="G18" s="123">
        <f t="shared" si="8"/>
        <v>1.8652854850741751</v>
      </c>
      <c r="H18" s="123">
        <v>1.5</v>
      </c>
      <c r="I18" s="48">
        <v>125</v>
      </c>
      <c r="J18" s="123">
        <v>15</v>
      </c>
      <c r="K18" s="123">
        <f t="shared" si="9"/>
        <v>110</v>
      </c>
      <c r="L18" s="129">
        <f t="shared" si="1"/>
        <v>33995.823159539257</v>
      </c>
      <c r="M18" s="130">
        <f t="shared" si="10"/>
        <v>33.995823159539256</v>
      </c>
      <c r="N18" s="130">
        <f t="shared" si="11"/>
        <v>3.4654253985259178</v>
      </c>
      <c r="O18" s="131">
        <f t="shared" si="12"/>
        <v>194.06382231745141</v>
      </c>
      <c r="P18" s="137">
        <f t="shared" si="2"/>
        <v>0.99601512304571493</v>
      </c>
      <c r="Q18" s="137">
        <f t="shared" si="3"/>
        <v>20.934341502424061</v>
      </c>
      <c r="R18" s="133">
        <f t="shared" si="4"/>
        <v>22.656177257410747</v>
      </c>
      <c r="S18" s="133">
        <f t="shared" si="5"/>
        <v>63.12157702219082</v>
      </c>
      <c r="T18" s="125">
        <v>160</v>
      </c>
      <c r="U18" s="125">
        <f t="shared" si="6"/>
        <v>85.777754279601567</v>
      </c>
      <c r="V18" s="133">
        <f t="shared" si="7"/>
        <v>-40.465399764780074</v>
      </c>
      <c r="W18" s="134">
        <f t="shared" si="13"/>
        <v>4.6970414201183415</v>
      </c>
      <c r="X18" s="128">
        <v>1.35</v>
      </c>
      <c r="Y18" s="134">
        <f t="shared" si="14"/>
        <v>1.7463254249783124</v>
      </c>
    </row>
    <row r="19" spans="1:25" x14ac:dyDescent="0.3">
      <c r="A19" s="123">
        <v>260</v>
      </c>
      <c r="B19" s="123">
        <v>300</v>
      </c>
      <c r="C19" s="123">
        <v>30</v>
      </c>
      <c r="D19" s="123">
        <f t="shared" si="0"/>
        <v>0.52359877559829882</v>
      </c>
      <c r="E19" s="48">
        <v>1.5</v>
      </c>
      <c r="F19" s="48">
        <v>1</v>
      </c>
      <c r="G19" s="123">
        <f t="shared" si="8"/>
        <v>1.9985201625794735</v>
      </c>
      <c r="H19" s="123">
        <v>1.5</v>
      </c>
      <c r="I19" s="48">
        <v>125</v>
      </c>
      <c r="J19" s="123">
        <v>15</v>
      </c>
      <c r="K19" s="123">
        <f t="shared" si="9"/>
        <v>110</v>
      </c>
      <c r="L19" s="129">
        <f t="shared" si="1"/>
        <v>39025.817402532317</v>
      </c>
      <c r="M19" s="130">
        <f t="shared" si="10"/>
        <v>39.025817402532319</v>
      </c>
      <c r="N19" s="130">
        <f t="shared" si="11"/>
        <v>3.9781669115731209</v>
      </c>
      <c r="O19" s="131">
        <f t="shared" si="12"/>
        <v>222.77734704809478</v>
      </c>
      <c r="P19" s="137">
        <f t="shared" si="2"/>
        <v>0.99601512304571493</v>
      </c>
      <c r="Q19" s="137">
        <f t="shared" si="3"/>
        <v>20.934341502424061</v>
      </c>
      <c r="R19" s="133">
        <f t="shared" si="4"/>
        <v>18.420311227951135</v>
      </c>
      <c r="S19" s="133">
        <f t="shared" si="5"/>
        <v>61.638926099676979</v>
      </c>
      <c r="T19" s="125">
        <v>160</v>
      </c>
      <c r="U19" s="125">
        <f t="shared" si="6"/>
        <v>80.059237327628111</v>
      </c>
      <c r="V19" s="133">
        <f t="shared" si="7"/>
        <v>-43.218614871725848</v>
      </c>
      <c r="W19" s="134">
        <f t="shared" si="13"/>
        <v>5.3920118343195256</v>
      </c>
      <c r="X19" s="128">
        <v>1.35</v>
      </c>
      <c r="Y19" s="134">
        <f t="shared" si="14"/>
        <v>1.7463254249783122</v>
      </c>
    </row>
    <row r="20" spans="1:25" x14ac:dyDescent="0.3">
      <c r="A20" s="123">
        <v>260</v>
      </c>
      <c r="B20" s="123">
        <v>300</v>
      </c>
      <c r="C20" s="135">
        <v>30</v>
      </c>
      <c r="D20" s="135">
        <f t="shared" si="0"/>
        <v>0.52359877559829882</v>
      </c>
      <c r="E20" s="135">
        <v>1.6</v>
      </c>
      <c r="F20" s="135">
        <v>1</v>
      </c>
      <c r="G20" s="123">
        <f t="shared" si="8"/>
        <v>2.1317548400847719</v>
      </c>
      <c r="H20" s="123">
        <v>1.5</v>
      </c>
      <c r="I20" s="48">
        <v>125</v>
      </c>
      <c r="J20" s="123">
        <v>15</v>
      </c>
      <c r="K20" s="123">
        <f t="shared" si="9"/>
        <v>110</v>
      </c>
      <c r="L20" s="136">
        <f t="shared" si="1"/>
        <v>44402.70780021455</v>
      </c>
      <c r="M20" s="130">
        <f t="shared" si="10"/>
        <v>44.40270780021455</v>
      </c>
      <c r="N20" s="130">
        <f t="shared" si="11"/>
        <v>4.526269908278751</v>
      </c>
      <c r="O20" s="131">
        <f t="shared" si="12"/>
        <v>253.47111486361007</v>
      </c>
      <c r="P20" s="137">
        <f t="shared" si="2"/>
        <v>0.99601512304571493</v>
      </c>
      <c r="Q20" s="137">
        <f t="shared" si="3"/>
        <v>20.934341502424061</v>
      </c>
      <c r="R20" s="133">
        <f t="shared" si="4"/>
        <v>15.177868748616962</v>
      </c>
      <c r="S20" s="133">
        <f t="shared" si="5"/>
        <v>59.877666246034394</v>
      </c>
      <c r="T20" s="125">
        <v>160</v>
      </c>
      <c r="U20" s="125">
        <f t="shared" si="6"/>
        <v>75.055534994651353</v>
      </c>
      <c r="V20" s="133">
        <f t="shared" si="7"/>
        <v>-44.699797497417435</v>
      </c>
      <c r="W20" s="134">
        <f t="shared" si="13"/>
        <v>6.1349112426035495</v>
      </c>
      <c r="X20" s="128">
        <v>1.35</v>
      </c>
      <c r="Y20" s="134">
        <f t="shared" si="14"/>
        <v>1.7463254249783122</v>
      </c>
    </row>
    <row r="21" spans="1:25" x14ac:dyDescent="0.3">
      <c r="A21" s="123">
        <v>260</v>
      </c>
      <c r="B21" s="123">
        <v>300</v>
      </c>
      <c r="C21" s="135">
        <v>30</v>
      </c>
      <c r="D21" s="135">
        <f t="shared" si="0"/>
        <v>0.52359877559829882</v>
      </c>
      <c r="E21" s="135">
        <v>1.7</v>
      </c>
      <c r="F21" s="135">
        <v>1</v>
      </c>
      <c r="G21" s="123">
        <f t="shared" si="8"/>
        <v>2.2649895175900698</v>
      </c>
      <c r="H21" s="123">
        <v>1.5</v>
      </c>
      <c r="I21" s="48">
        <v>125</v>
      </c>
      <c r="J21" s="123">
        <v>15</v>
      </c>
      <c r="K21" s="123">
        <f t="shared" si="9"/>
        <v>110</v>
      </c>
      <c r="L21" s="136">
        <f t="shared" si="1"/>
        <v>50126.494352585942</v>
      </c>
      <c r="M21" s="130">
        <f t="shared" si="10"/>
        <v>50.126494352585944</v>
      </c>
      <c r="N21" s="130">
        <f t="shared" si="11"/>
        <v>5.1097343886428073</v>
      </c>
      <c r="O21" s="131">
        <f t="shared" si="12"/>
        <v>286.14512576399721</v>
      </c>
      <c r="P21" s="137">
        <f t="shared" si="2"/>
        <v>0.99601512304571493</v>
      </c>
      <c r="Q21" s="137">
        <f t="shared" si="3"/>
        <v>20.934341502424061</v>
      </c>
      <c r="R21" s="133">
        <f t="shared" si="4"/>
        <v>12.653887725287012</v>
      </c>
      <c r="S21" s="133">
        <f t="shared" si="5"/>
        <v>57.986615799090735</v>
      </c>
      <c r="T21" s="125">
        <v>160</v>
      </c>
      <c r="U21" s="125">
        <f t="shared" si="6"/>
        <v>70.640503524377749</v>
      </c>
      <c r="V21" s="133">
        <f t="shared" si="7"/>
        <v>-45.332728073803722</v>
      </c>
      <c r="W21" s="134">
        <f t="shared" si="13"/>
        <v>6.9257396449704114</v>
      </c>
      <c r="X21" s="128">
        <v>1.35</v>
      </c>
      <c r="Y21" s="134">
        <f t="shared" si="14"/>
        <v>1.7463254249783122</v>
      </c>
    </row>
    <row r="22" spans="1:25" x14ac:dyDescent="0.3">
      <c r="A22" s="123">
        <v>260</v>
      </c>
      <c r="B22" s="123">
        <v>300</v>
      </c>
      <c r="C22" s="135">
        <v>30</v>
      </c>
      <c r="D22" s="135">
        <f t="shared" si="0"/>
        <v>0.52359877559829882</v>
      </c>
      <c r="E22" s="135">
        <v>1.8</v>
      </c>
      <c r="F22" s="135">
        <v>1</v>
      </c>
      <c r="G22" s="123">
        <f t="shared" si="8"/>
        <v>2.3982241950953682</v>
      </c>
      <c r="H22" s="123">
        <v>1.5</v>
      </c>
      <c r="I22" s="48">
        <v>125</v>
      </c>
      <c r="J22" s="123">
        <v>15</v>
      </c>
      <c r="K22" s="123">
        <f t="shared" si="9"/>
        <v>110</v>
      </c>
      <c r="L22" s="136">
        <f t="shared" si="1"/>
        <v>56197.177059646536</v>
      </c>
      <c r="M22" s="130">
        <f t="shared" si="10"/>
        <v>56.197177059646535</v>
      </c>
      <c r="N22" s="130">
        <f t="shared" si="11"/>
        <v>5.7285603526652942</v>
      </c>
      <c r="O22" s="131">
        <f t="shared" si="12"/>
        <v>320.79937974925645</v>
      </c>
      <c r="P22" s="137">
        <f t="shared" si="2"/>
        <v>0.99601512304571505</v>
      </c>
      <c r="Q22" s="137">
        <f t="shared" si="3"/>
        <v>20.934341502424065</v>
      </c>
      <c r="R22" s="133">
        <f t="shared" si="4"/>
        <v>10.65990233099024</v>
      </c>
      <c r="S22" s="133">
        <f t="shared" si="5"/>
        <v>56.056128775366524</v>
      </c>
      <c r="T22" s="125">
        <v>160</v>
      </c>
      <c r="U22" s="125">
        <f t="shared" si="6"/>
        <v>66.716031106356766</v>
      </c>
      <c r="V22" s="133">
        <f t="shared" si="7"/>
        <v>-45.396226444376282</v>
      </c>
      <c r="W22" s="134">
        <f t="shared" si="13"/>
        <v>7.7644970414201167</v>
      </c>
      <c r="X22" s="128">
        <v>1.35</v>
      </c>
      <c r="Y22" s="134">
        <f t="shared" si="14"/>
        <v>1.7463254249783124</v>
      </c>
    </row>
    <row r="23" spans="1:25" x14ac:dyDescent="0.3">
      <c r="A23" s="123">
        <v>260</v>
      </c>
      <c r="B23" s="123">
        <v>300</v>
      </c>
      <c r="C23" s="135">
        <v>30</v>
      </c>
      <c r="D23" s="135">
        <f t="shared" si="0"/>
        <v>0.52359877559829882</v>
      </c>
      <c r="E23" s="135">
        <v>1.9</v>
      </c>
      <c r="F23" s="135">
        <v>1</v>
      </c>
      <c r="G23" s="123">
        <f t="shared" si="8"/>
        <v>2.5314588726006662</v>
      </c>
      <c r="H23" s="123">
        <v>1.5</v>
      </c>
      <c r="I23" s="48">
        <v>125</v>
      </c>
      <c r="J23" s="123">
        <v>15</v>
      </c>
      <c r="K23" s="123">
        <f t="shared" si="9"/>
        <v>110</v>
      </c>
      <c r="L23" s="136">
        <f t="shared" si="1"/>
        <v>62614.755921396281</v>
      </c>
      <c r="M23" s="130">
        <f t="shared" si="10"/>
        <v>62.614755921396281</v>
      </c>
      <c r="N23" s="130">
        <f t="shared" si="11"/>
        <v>6.3827478003462055</v>
      </c>
      <c r="O23" s="131">
        <f t="shared" si="12"/>
        <v>357.43387681938748</v>
      </c>
      <c r="P23" s="137">
        <f t="shared" si="2"/>
        <v>0.99601512304571493</v>
      </c>
      <c r="Q23" s="137">
        <f t="shared" si="3"/>
        <v>20.934341502424061</v>
      </c>
      <c r="R23" s="133">
        <f t="shared" si="4"/>
        <v>9.063792155465098</v>
      </c>
      <c r="S23" s="133">
        <f t="shared" si="5"/>
        <v>54.140868892662368</v>
      </c>
      <c r="T23" s="125">
        <v>160</v>
      </c>
      <c r="U23" s="125">
        <f t="shared" si="6"/>
        <v>63.20466104812747</v>
      </c>
      <c r="V23" s="133">
        <f t="shared" si="7"/>
        <v>-45.077076737197274</v>
      </c>
      <c r="W23" s="134">
        <f t="shared" si="13"/>
        <v>8.6511834319526599</v>
      </c>
      <c r="X23" s="128">
        <v>1.35</v>
      </c>
      <c r="Y23" s="134">
        <f t="shared" si="14"/>
        <v>1.7463254249783124</v>
      </c>
    </row>
    <row r="24" spans="1:25" x14ac:dyDescent="0.3">
      <c r="A24" s="123">
        <v>260</v>
      </c>
      <c r="B24" s="123">
        <v>300</v>
      </c>
      <c r="C24" s="135">
        <v>30</v>
      </c>
      <c r="D24" s="135">
        <f t="shared" si="0"/>
        <v>0.52359877559829882</v>
      </c>
      <c r="E24" s="135">
        <v>2</v>
      </c>
      <c r="F24" s="135">
        <v>1</v>
      </c>
      <c r="G24" s="123">
        <f t="shared" si="8"/>
        <v>2.6646935501059645</v>
      </c>
      <c r="H24" s="123">
        <v>1.5</v>
      </c>
      <c r="I24" s="48">
        <v>125</v>
      </c>
      <c r="J24" s="123">
        <v>15</v>
      </c>
      <c r="K24" s="123">
        <f t="shared" si="9"/>
        <v>110</v>
      </c>
      <c r="L24" s="136">
        <f t="shared" si="1"/>
        <v>69379.230937835222</v>
      </c>
      <c r="M24" s="130">
        <f t="shared" si="10"/>
        <v>69.379230937835217</v>
      </c>
      <c r="N24" s="130">
        <f t="shared" si="11"/>
        <v>7.0722967316855465</v>
      </c>
      <c r="O24" s="131">
        <f t="shared" si="12"/>
        <v>396.0486169743906</v>
      </c>
      <c r="P24" s="137">
        <f t="shared" si="2"/>
        <v>0.99601512304571482</v>
      </c>
      <c r="Q24" s="137">
        <f t="shared" si="3"/>
        <v>20.934341502424061</v>
      </c>
      <c r="R24" s="133">
        <f t="shared" si="4"/>
        <v>7.7710687992918865</v>
      </c>
      <c r="S24" s="133">
        <f t="shared" si="5"/>
        <v>52.273359196429205</v>
      </c>
      <c r="T24" s="125">
        <v>160</v>
      </c>
      <c r="U24" s="125">
        <f t="shared" si="6"/>
        <v>60.044427995721094</v>
      </c>
      <c r="V24" s="133">
        <f t="shared" si="7"/>
        <v>-44.502290397137315</v>
      </c>
      <c r="W24" s="134">
        <f t="shared" si="13"/>
        <v>9.5857988165680439</v>
      </c>
      <c r="X24" s="128">
        <v>1.35</v>
      </c>
      <c r="Y24" s="134">
        <f t="shared" si="14"/>
        <v>1.7463254249783124</v>
      </c>
    </row>
    <row r="25" spans="1:25" x14ac:dyDescent="0.3">
      <c r="A25" s="123">
        <v>260</v>
      </c>
      <c r="B25" s="123">
        <v>300</v>
      </c>
      <c r="C25" s="135">
        <v>30</v>
      </c>
      <c r="D25" s="135">
        <f t="shared" si="0"/>
        <v>0.52359877559829882</v>
      </c>
      <c r="E25" s="135">
        <v>2.1</v>
      </c>
      <c r="F25" s="135">
        <v>1</v>
      </c>
      <c r="G25" s="123">
        <f t="shared" si="8"/>
        <v>2.7979282276112629</v>
      </c>
      <c r="H25" s="123">
        <v>1.5</v>
      </c>
      <c r="I25" s="48">
        <v>125</v>
      </c>
      <c r="J25" s="123">
        <v>15</v>
      </c>
      <c r="K25" s="123">
        <f t="shared" si="9"/>
        <v>110</v>
      </c>
      <c r="L25" s="136">
        <f t="shared" si="1"/>
        <v>76490.602108963343</v>
      </c>
      <c r="M25" s="130">
        <f t="shared" si="10"/>
        <v>76.490602108963344</v>
      </c>
      <c r="N25" s="130">
        <f t="shared" si="11"/>
        <v>7.7972071466833173</v>
      </c>
      <c r="O25" s="131">
        <f t="shared" si="12"/>
        <v>436.64360021426575</v>
      </c>
      <c r="P25" s="137">
        <f t="shared" si="2"/>
        <v>0.99601512304571505</v>
      </c>
      <c r="Q25" s="137">
        <f t="shared" si="3"/>
        <v>20.934341502424065</v>
      </c>
      <c r="R25" s="133">
        <f t="shared" si="4"/>
        <v>6.7129414096031832</v>
      </c>
      <c r="S25" s="133">
        <f t="shared" si="5"/>
        <v>50.472228110131191</v>
      </c>
      <c r="T25" s="125">
        <v>160</v>
      </c>
      <c r="U25" s="125">
        <f t="shared" si="6"/>
        <v>57.185169519734373</v>
      </c>
      <c r="V25" s="133">
        <f t="shared" si="7"/>
        <v>-43.759286700528008</v>
      </c>
      <c r="W25" s="134">
        <f t="shared" si="13"/>
        <v>10.568343195266269</v>
      </c>
      <c r="X25" s="128">
        <v>1.35</v>
      </c>
      <c r="Y25" s="134">
        <f t="shared" si="14"/>
        <v>1.746325424978312</v>
      </c>
    </row>
    <row r="26" spans="1:25" x14ac:dyDescent="0.3">
      <c r="A26" s="123">
        <v>260</v>
      </c>
      <c r="B26" s="123">
        <v>300</v>
      </c>
      <c r="C26" s="135">
        <v>30</v>
      </c>
      <c r="D26" s="135">
        <f t="shared" si="0"/>
        <v>0.52359877559829882</v>
      </c>
      <c r="E26" s="135">
        <v>2.2000000000000002</v>
      </c>
      <c r="F26" s="135">
        <v>1</v>
      </c>
      <c r="G26" s="123">
        <f t="shared" si="8"/>
        <v>2.9311629051165613</v>
      </c>
      <c r="H26" s="123">
        <v>1.5</v>
      </c>
      <c r="I26" s="48">
        <v>125</v>
      </c>
      <c r="J26" s="123">
        <v>15</v>
      </c>
      <c r="K26" s="123">
        <f t="shared" si="9"/>
        <v>110</v>
      </c>
      <c r="L26" s="136">
        <f t="shared" si="1"/>
        <v>83948.86943478063</v>
      </c>
      <c r="M26" s="130">
        <f t="shared" si="10"/>
        <v>83.948869434780633</v>
      </c>
      <c r="N26" s="130">
        <f t="shared" si="11"/>
        <v>8.5574790453395142</v>
      </c>
      <c r="O26" s="131">
        <f t="shared" si="12"/>
        <v>479.21882653901281</v>
      </c>
      <c r="P26" s="137">
        <f t="shared" si="2"/>
        <v>0.99601512304571493</v>
      </c>
      <c r="Q26" s="137">
        <f t="shared" si="3"/>
        <v>20.934341502424061</v>
      </c>
      <c r="R26" s="133">
        <f t="shared" si="4"/>
        <v>5.8385190077324447</v>
      </c>
      <c r="S26" s="133">
        <f t="shared" si="5"/>
        <v>48.747324624741267</v>
      </c>
      <c r="T26" s="125">
        <v>160</v>
      </c>
      <c r="U26" s="125">
        <f t="shared" si="6"/>
        <v>54.585843632473711</v>
      </c>
      <c r="V26" s="133">
        <f t="shared" si="7"/>
        <v>-42.908805617008824</v>
      </c>
      <c r="W26" s="134">
        <f t="shared" si="13"/>
        <v>11.598816568047337</v>
      </c>
      <c r="X26" s="128">
        <v>1.35</v>
      </c>
      <c r="Y26" s="134">
        <f t="shared" si="14"/>
        <v>1.746325424978312</v>
      </c>
    </row>
    <row r="27" spans="1:25" x14ac:dyDescent="0.3">
      <c r="A27" s="123">
        <v>260</v>
      </c>
      <c r="B27" s="123">
        <v>300</v>
      </c>
      <c r="C27" s="123">
        <v>30</v>
      </c>
      <c r="D27" s="123">
        <f t="shared" si="0"/>
        <v>0.52359877559829882</v>
      </c>
      <c r="E27" s="48">
        <v>2.2999999999999998</v>
      </c>
      <c r="F27" s="48">
        <v>1</v>
      </c>
      <c r="G27" s="123">
        <f t="shared" si="8"/>
        <v>3.0643975826218588</v>
      </c>
      <c r="H27" s="123">
        <v>1.5</v>
      </c>
      <c r="I27" s="48">
        <v>125</v>
      </c>
      <c r="J27" s="123">
        <v>15</v>
      </c>
      <c r="K27" s="123">
        <f t="shared" si="9"/>
        <v>110</v>
      </c>
      <c r="L27" s="129">
        <f t="shared" si="1"/>
        <v>91754.032915287054</v>
      </c>
      <c r="M27" s="130">
        <f t="shared" si="10"/>
        <v>91.754032915287056</v>
      </c>
      <c r="N27" s="130">
        <f t="shared" si="11"/>
        <v>9.3531124276541338</v>
      </c>
      <c r="O27" s="131">
        <f t="shared" si="12"/>
        <v>523.77429594863145</v>
      </c>
      <c r="P27" s="137">
        <f t="shared" si="2"/>
        <v>0.99601512304571505</v>
      </c>
      <c r="Q27" s="137">
        <f t="shared" si="3"/>
        <v>20.934341502424065</v>
      </c>
      <c r="R27" s="133">
        <f t="shared" si="4"/>
        <v>5.1096038788801774</v>
      </c>
      <c r="S27" s="133">
        <f t="shared" si="5"/>
        <v>47.102942204355557</v>
      </c>
      <c r="T27" s="125">
        <v>160</v>
      </c>
      <c r="U27" s="125">
        <f t="shared" si="6"/>
        <v>52.212546083235736</v>
      </c>
      <c r="V27" s="133">
        <f t="shared" si="7"/>
        <v>-41.993338325475378</v>
      </c>
      <c r="W27" s="134">
        <f t="shared" si="13"/>
        <v>12.677218934911235</v>
      </c>
      <c r="X27" s="128">
        <v>1.35</v>
      </c>
      <c r="Y27" s="134">
        <f t="shared" si="14"/>
        <v>1.7463254249783122</v>
      </c>
    </row>
    <row r="28" spans="1:25" x14ac:dyDescent="0.3">
      <c r="A28" s="123">
        <v>260</v>
      </c>
      <c r="B28" s="123">
        <v>300</v>
      </c>
      <c r="C28" s="123">
        <v>30</v>
      </c>
      <c r="D28" s="123">
        <f t="shared" si="0"/>
        <v>0.52359877559829882</v>
      </c>
      <c r="E28" s="48">
        <v>2.4</v>
      </c>
      <c r="F28" s="48">
        <v>1</v>
      </c>
      <c r="G28" s="123">
        <f t="shared" si="8"/>
        <v>3.1976322601271572</v>
      </c>
      <c r="H28" s="123">
        <v>1.5</v>
      </c>
      <c r="I28" s="48">
        <v>125</v>
      </c>
      <c r="J28" s="123">
        <v>15</v>
      </c>
      <c r="K28" s="123">
        <f t="shared" si="9"/>
        <v>110</v>
      </c>
      <c r="L28" s="129">
        <f t="shared" si="1"/>
        <v>99906.092550482688</v>
      </c>
      <c r="M28" s="130">
        <f t="shared" si="10"/>
        <v>99.906092550482683</v>
      </c>
      <c r="N28" s="130">
        <f t="shared" si="11"/>
        <v>10.184107293627184</v>
      </c>
      <c r="O28" s="131">
        <f t="shared" si="12"/>
        <v>570.31000844312234</v>
      </c>
      <c r="P28" s="137">
        <f t="shared" si="2"/>
        <v>0.99601512304571482</v>
      </c>
      <c r="Q28" s="137">
        <f t="shared" si="3"/>
        <v>20.934341502424061</v>
      </c>
      <c r="R28" s="133">
        <f t="shared" si="4"/>
        <v>4.4971462958865098</v>
      </c>
      <c r="S28" s="133">
        <f t="shared" si="5"/>
        <v>45.539877033881069</v>
      </c>
      <c r="T28" s="125">
        <v>160</v>
      </c>
      <c r="U28" s="125">
        <f t="shared" si="6"/>
        <v>50.037023329767578</v>
      </c>
      <c r="V28" s="133">
        <f t="shared" si="7"/>
        <v>-41.04273073799456</v>
      </c>
      <c r="W28" s="134">
        <f t="shared" si="13"/>
        <v>13.803550295857981</v>
      </c>
      <c r="X28" s="128">
        <v>1.35</v>
      </c>
      <c r="Y28" s="134">
        <f t="shared" si="14"/>
        <v>1.7463254249783124</v>
      </c>
    </row>
    <row r="29" spans="1:25" x14ac:dyDescent="0.3">
      <c r="A29" s="123">
        <v>260</v>
      </c>
      <c r="B29" s="123">
        <v>300</v>
      </c>
      <c r="C29" s="123">
        <v>30</v>
      </c>
      <c r="D29" s="123">
        <f t="shared" si="0"/>
        <v>0.52359877559829882</v>
      </c>
      <c r="E29" s="48">
        <v>2.5</v>
      </c>
      <c r="F29" s="48">
        <v>1</v>
      </c>
      <c r="G29" s="123">
        <f t="shared" si="8"/>
        <v>3.3308669376324556</v>
      </c>
      <c r="H29" s="123">
        <v>1.5</v>
      </c>
      <c r="I29" s="48">
        <v>125</v>
      </c>
      <c r="J29" s="123">
        <v>15</v>
      </c>
      <c r="K29" s="123">
        <f t="shared" si="9"/>
        <v>110</v>
      </c>
      <c r="L29" s="129">
        <f t="shared" si="1"/>
        <v>108405.04834036753</v>
      </c>
      <c r="M29" s="130">
        <f t="shared" si="10"/>
        <v>108.40504834036753</v>
      </c>
      <c r="N29" s="130">
        <f t="shared" si="11"/>
        <v>11.050463643258666</v>
      </c>
      <c r="O29" s="131">
        <f t="shared" si="12"/>
        <v>618.82596402248532</v>
      </c>
      <c r="P29" s="137">
        <f t="shared" si="2"/>
        <v>0.99601512304571493</v>
      </c>
      <c r="Q29" s="137">
        <f t="shared" si="3"/>
        <v>20.934341502424061</v>
      </c>
      <c r="R29" s="133">
        <f t="shared" si="4"/>
        <v>3.9787872252374457</v>
      </c>
      <c r="S29" s="133">
        <f t="shared" si="5"/>
        <v>44.056755171339425</v>
      </c>
      <c r="T29" s="125">
        <v>160</v>
      </c>
      <c r="U29" s="125">
        <f t="shared" si="6"/>
        <v>48.035542396576872</v>
      </c>
      <c r="V29" s="133">
        <f t="shared" si="7"/>
        <v>-40.077967946101978</v>
      </c>
      <c r="W29" s="134">
        <f t="shared" si="13"/>
        <v>14.977810650887568</v>
      </c>
      <c r="X29" s="128">
        <v>1.35</v>
      </c>
      <c r="Y29" s="134">
        <f t="shared" si="14"/>
        <v>1.7463254249783124</v>
      </c>
    </row>
    <row r="30" spans="1:25" x14ac:dyDescent="0.3">
      <c r="A30" s="123">
        <v>260</v>
      </c>
      <c r="B30" s="123">
        <v>300</v>
      </c>
      <c r="C30" s="135">
        <v>30</v>
      </c>
      <c r="D30" s="135">
        <f t="shared" si="0"/>
        <v>0.52359877559829882</v>
      </c>
      <c r="E30" s="135">
        <v>1</v>
      </c>
      <c r="F30" s="135">
        <v>0.1</v>
      </c>
      <c r="G30" s="123">
        <f t="shared" si="8"/>
        <v>13.323467750529822</v>
      </c>
      <c r="H30" s="123">
        <v>1.5</v>
      </c>
      <c r="I30" s="48">
        <v>125</v>
      </c>
      <c r="J30" s="123">
        <v>15</v>
      </c>
      <c r="K30" s="123">
        <f t="shared" si="9"/>
        <v>110</v>
      </c>
      <c r="L30" s="136">
        <f t="shared" si="1"/>
        <v>1734480.7734458805</v>
      </c>
      <c r="M30" s="130">
        <f t="shared" si="10"/>
        <v>1734.4807734458805</v>
      </c>
      <c r="N30" s="130">
        <f t="shared" si="11"/>
        <v>176.80741829213866</v>
      </c>
      <c r="O30" s="131">
        <f t="shared" si="12"/>
        <v>9901.2154243597652</v>
      </c>
      <c r="P30" s="137">
        <f t="shared" si="2"/>
        <v>0.99601512304571493</v>
      </c>
      <c r="Q30" s="137">
        <f t="shared" si="3"/>
        <v>20.934341502424061</v>
      </c>
      <c r="R30" s="133">
        <f t="shared" si="4"/>
        <v>6.2168550394335088E-2</v>
      </c>
      <c r="S30" s="133">
        <f t="shared" si="5"/>
        <v>11.946717048749884</v>
      </c>
      <c r="T30" s="125">
        <v>160</v>
      </c>
      <c r="U30" s="125">
        <f t="shared" si="6"/>
        <v>12.008885599144218</v>
      </c>
      <c r="V30" s="133">
        <f t="shared" si="7"/>
        <v>-11.884548498355549</v>
      </c>
      <c r="W30" s="134">
        <f t="shared" si="13"/>
        <v>239.64497041420108</v>
      </c>
      <c r="X30" s="128">
        <v>1.35</v>
      </c>
      <c r="Y30" s="134">
        <f t="shared" si="14"/>
        <v>1.7463254249783124</v>
      </c>
    </row>
    <row r="31" spans="1:25" x14ac:dyDescent="0.3">
      <c r="A31" s="123">
        <v>260</v>
      </c>
      <c r="B31" s="123">
        <v>300</v>
      </c>
      <c r="C31" s="123">
        <v>30</v>
      </c>
      <c r="D31" s="123">
        <f t="shared" si="0"/>
        <v>0.52359877559829882</v>
      </c>
      <c r="E31" s="48">
        <v>1</v>
      </c>
      <c r="F31" s="48">
        <v>0.2</v>
      </c>
      <c r="G31" s="123">
        <f t="shared" si="8"/>
        <v>6.6617338752649111</v>
      </c>
      <c r="H31" s="123">
        <v>1.5</v>
      </c>
      <c r="I31" s="48">
        <v>125</v>
      </c>
      <c r="J31" s="123">
        <v>15</v>
      </c>
      <c r="K31" s="123">
        <f t="shared" si="9"/>
        <v>110</v>
      </c>
      <c r="L31" s="129">
        <f t="shared" si="1"/>
        <v>433620.19336147013</v>
      </c>
      <c r="M31" s="130">
        <f t="shared" si="10"/>
        <v>433.62019336147011</v>
      </c>
      <c r="N31" s="130">
        <f t="shared" si="11"/>
        <v>44.201854573034666</v>
      </c>
      <c r="O31" s="131">
        <f t="shared" si="12"/>
        <v>2475.3038560899413</v>
      </c>
      <c r="P31" s="137">
        <f t="shared" si="2"/>
        <v>0.99601512304571493</v>
      </c>
      <c r="Q31" s="137">
        <f t="shared" si="3"/>
        <v>20.934341502424061</v>
      </c>
      <c r="R31" s="133">
        <f t="shared" si="4"/>
        <v>0.49734840315468071</v>
      </c>
      <c r="S31" s="133">
        <f t="shared" si="5"/>
        <v>23.520422795133754</v>
      </c>
      <c r="T31" s="125">
        <v>160</v>
      </c>
      <c r="U31" s="125">
        <f t="shared" si="6"/>
        <v>24.017771198288436</v>
      </c>
      <c r="V31" s="133">
        <f t="shared" si="7"/>
        <v>-23.023074391979073</v>
      </c>
      <c r="W31" s="134">
        <f t="shared" si="13"/>
        <v>59.911242603550271</v>
      </c>
      <c r="X31" s="128">
        <v>1.35</v>
      </c>
      <c r="Y31" s="134">
        <f t="shared" si="14"/>
        <v>1.7463254249783124</v>
      </c>
    </row>
    <row r="32" spans="1:25" x14ac:dyDescent="0.3">
      <c r="A32" s="123">
        <v>260</v>
      </c>
      <c r="B32" s="123">
        <v>300</v>
      </c>
      <c r="C32" s="123">
        <v>30</v>
      </c>
      <c r="D32" s="123">
        <f t="shared" si="0"/>
        <v>0.52359877559829882</v>
      </c>
      <c r="E32" s="48">
        <v>1</v>
      </c>
      <c r="F32" s="48">
        <v>0.3</v>
      </c>
      <c r="G32" s="123">
        <f t="shared" si="8"/>
        <v>4.4411559168432744</v>
      </c>
      <c r="H32" s="123">
        <v>1.5</v>
      </c>
      <c r="I32" s="48">
        <v>125</v>
      </c>
      <c r="J32" s="123">
        <v>15</v>
      </c>
      <c r="K32" s="123">
        <f t="shared" si="9"/>
        <v>110</v>
      </c>
      <c r="L32" s="129">
        <f t="shared" si="1"/>
        <v>192720.08593843118</v>
      </c>
      <c r="M32" s="130">
        <f t="shared" si="10"/>
        <v>192.72008593843117</v>
      </c>
      <c r="N32" s="130">
        <f t="shared" si="11"/>
        <v>19.645268699126518</v>
      </c>
      <c r="O32" s="131">
        <f t="shared" si="12"/>
        <v>1100.135047151085</v>
      </c>
      <c r="P32" s="137">
        <f t="shared" si="2"/>
        <v>0.99601512304571471</v>
      </c>
      <c r="Q32" s="137">
        <f t="shared" si="3"/>
        <v>20.934341502424061</v>
      </c>
      <c r="R32" s="133">
        <f t="shared" si="4"/>
        <v>1.6785508606470474</v>
      </c>
      <c r="S32" s="133">
        <f t="shared" si="5"/>
        <v>34.348105936785601</v>
      </c>
      <c r="T32" s="125">
        <v>160</v>
      </c>
      <c r="U32" s="125">
        <f t="shared" si="6"/>
        <v>36.026656797432651</v>
      </c>
      <c r="V32" s="133">
        <f t="shared" si="7"/>
        <v>-32.66955507613855</v>
      </c>
      <c r="W32" s="134">
        <f t="shared" si="13"/>
        <v>26.627218934911237</v>
      </c>
      <c r="X32" s="128">
        <v>1.35</v>
      </c>
      <c r="Y32" s="134">
        <f t="shared" si="14"/>
        <v>1.7463254249783122</v>
      </c>
    </row>
    <row r="33" spans="1:25" x14ac:dyDescent="0.3">
      <c r="A33" s="123">
        <v>260</v>
      </c>
      <c r="B33" s="123">
        <v>300</v>
      </c>
      <c r="C33" s="123">
        <v>30</v>
      </c>
      <c r="D33" s="123">
        <f t="shared" si="0"/>
        <v>0.52359877559829882</v>
      </c>
      <c r="E33" s="48">
        <v>1</v>
      </c>
      <c r="F33" s="48">
        <v>0.4</v>
      </c>
      <c r="G33" s="123">
        <f t="shared" si="8"/>
        <v>3.3308669376324556</v>
      </c>
      <c r="H33" s="123">
        <v>1.5</v>
      </c>
      <c r="I33" s="48">
        <v>125</v>
      </c>
      <c r="J33" s="123">
        <v>15</v>
      </c>
      <c r="K33" s="123">
        <f t="shared" si="9"/>
        <v>110</v>
      </c>
      <c r="L33" s="129">
        <f t="shared" si="1"/>
        <v>108405.04834036753</v>
      </c>
      <c r="M33" s="130">
        <f t="shared" si="10"/>
        <v>108.40504834036753</v>
      </c>
      <c r="N33" s="130">
        <f t="shared" si="11"/>
        <v>11.050463643258666</v>
      </c>
      <c r="O33" s="131">
        <f t="shared" si="12"/>
        <v>618.82596402248532</v>
      </c>
      <c r="P33" s="137">
        <f t="shared" si="2"/>
        <v>0.99601512304571493</v>
      </c>
      <c r="Q33" s="137">
        <f t="shared" si="3"/>
        <v>20.934341502424061</v>
      </c>
      <c r="R33" s="133">
        <f t="shared" si="4"/>
        <v>3.9787872252374457</v>
      </c>
      <c r="S33" s="133">
        <f t="shared" si="5"/>
        <v>44.056755171339425</v>
      </c>
      <c r="T33" s="125">
        <v>160</v>
      </c>
      <c r="U33" s="125">
        <f t="shared" si="6"/>
        <v>48.035542396576872</v>
      </c>
      <c r="V33" s="133">
        <f t="shared" si="7"/>
        <v>-40.077967946101978</v>
      </c>
      <c r="W33" s="134">
        <f t="shared" si="13"/>
        <v>14.977810650887568</v>
      </c>
      <c r="X33" s="128">
        <v>1.35</v>
      </c>
      <c r="Y33" s="134">
        <f t="shared" si="14"/>
        <v>1.7463254249783124</v>
      </c>
    </row>
    <row r="34" spans="1:25" x14ac:dyDescent="0.3">
      <c r="A34" s="123">
        <v>260</v>
      </c>
      <c r="B34" s="123">
        <v>300</v>
      </c>
      <c r="C34" s="123">
        <v>30</v>
      </c>
      <c r="D34" s="123">
        <f t="shared" si="0"/>
        <v>0.52359877559829882</v>
      </c>
      <c r="E34" s="48">
        <v>1</v>
      </c>
      <c r="F34" s="48">
        <v>0.5</v>
      </c>
      <c r="G34" s="123">
        <f t="shared" si="8"/>
        <v>2.6646935501059645</v>
      </c>
      <c r="H34" s="123">
        <v>1.5</v>
      </c>
      <c r="I34" s="48">
        <v>125</v>
      </c>
      <c r="J34" s="123">
        <v>15</v>
      </c>
      <c r="K34" s="123">
        <f t="shared" si="9"/>
        <v>110</v>
      </c>
      <c r="L34" s="129">
        <f t="shared" si="1"/>
        <v>69379.230937835222</v>
      </c>
      <c r="M34" s="130">
        <f t="shared" si="10"/>
        <v>69.379230937835217</v>
      </c>
      <c r="N34" s="130">
        <f t="shared" si="11"/>
        <v>7.0722967316855465</v>
      </c>
      <c r="O34" s="131">
        <f t="shared" si="12"/>
        <v>396.0486169743906</v>
      </c>
      <c r="P34" s="137">
        <f t="shared" si="2"/>
        <v>0.99601512304571482</v>
      </c>
      <c r="Q34" s="137">
        <f t="shared" si="3"/>
        <v>20.934341502424061</v>
      </c>
      <c r="R34" s="133">
        <f t="shared" si="4"/>
        <v>7.7710687992918865</v>
      </c>
      <c r="S34" s="133">
        <f t="shared" si="5"/>
        <v>52.273359196429205</v>
      </c>
      <c r="T34" s="125">
        <v>160</v>
      </c>
      <c r="U34" s="125">
        <f t="shared" si="6"/>
        <v>60.044427995721094</v>
      </c>
      <c r="V34" s="133">
        <f t="shared" si="7"/>
        <v>-44.502290397137315</v>
      </c>
      <c r="W34" s="134">
        <f t="shared" si="13"/>
        <v>9.5857988165680439</v>
      </c>
      <c r="X34" s="128">
        <v>1.35</v>
      </c>
      <c r="Y34" s="134">
        <f t="shared" si="14"/>
        <v>1.7463254249783124</v>
      </c>
    </row>
    <row r="35" spans="1:25" x14ac:dyDescent="0.3">
      <c r="A35" s="123">
        <v>260</v>
      </c>
      <c r="B35" s="123">
        <v>300</v>
      </c>
      <c r="C35" s="123">
        <v>30</v>
      </c>
      <c r="D35" s="123">
        <f t="shared" si="0"/>
        <v>0.52359877559829882</v>
      </c>
      <c r="E35" s="48">
        <v>1</v>
      </c>
      <c r="F35" s="48">
        <v>0.6</v>
      </c>
      <c r="G35" s="123">
        <f t="shared" si="8"/>
        <v>2.2205779584216372</v>
      </c>
      <c r="H35" s="123">
        <v>1.5</v>
      </c>
      <c r="I35" s="48">
        <v>125</v>
      </c>
      <c r="J35" s="123">
        <v>15</v>
      </c>
      <c r="K35" s="123">
        <f t="shared" si="9"/>
        <v>110</v>
      </c>
      <c r="L35" s="129">
        <f t="shared" si="1"/>
        <v>48180.021484607794</v>
      </c>
      <c r="M35" s="130">
        <f t="shared" si="10"/>
        <v>48.180021484607792</v>
      </c>
      <c r="N35" s="130">
        <f t="shared" si="11"/>
        <v>4.9113171747816295</v>
      </c>
      <c r="O35" s="131">
        <f t="shared" si="12"/>
        <v>275.03376178777125</v>
      </c>
      <c r="P35" s="137">
        <f t="shared" si="2"/>
        <v>0.99601512304571471</v>
      </c>
      <c r="Q35" s="137">
        <f t="shared" si="3"/>
        <v>20.934341502424061</v>
      </c>
      <c r="R35" s="133">
        <f t="shared" si="4"/>
        <v>13.428406885176379</v>
      </c>
      <c r="S35" s="133">
        <f t="shared" si="5"/>
        <v>58.624906709688922</v>
      </c>
      <c r="T35" s="125">
        <v>160</v>
      </c>
      <c r="U35" s="125">
        <f t="shared" si="6"/>
        <v>72.053313594865301</v>
      </c>
      <c r="V35" s="133">
        <f t="shared" si="7"/>
        <v>-45.196499824512543</v>
      </c>
      <c r="W35" s="134">
        <f t="shared" si="13"/>
        <v>6.6568047337278093</v>
      </c>
      <c r="X35" s="128">
        <v>1.35</v>
      </c>
      <c r="Y35" s="134">
        <f t="shared" si="14"/>
        <v>1.7463254249783122</v>
      </c>
    </row>
    <row r="36" spans="1:25" x14ac:dyDescent="0.3">
      <c r="A36" s="123">
        <v>260</v>
      </c>
      <c r="B36" s="123">
        <v>300</v>
      </c>
      <c r="C36" s="123">
        <v>30</v>
      </c>
      <c r="D36" s="123">
        <f t="shared" si="0"/>
        <v>0.52359877559829882</v>
      </c>
      <c r="E36" s="48">
        <v>1</v>
      </c>
      <c r="F36" s="48">
        <v>0.7</v>
      </c>
      <c r="G36" s="123">
        <f t="shared" si="8"/>
        <v>1.9033525357899748</v>
      </c>
      <c r="H36" s="123">
        <v>1.5</v>
      </c>
      <c r="I36" s="48">
        <v>125</v>
      </c>
      <c r="J36" s="123">
        <v>15</v>
      </c>
      <c r="K36" s="123">
        <f t="shared" si="9"/>
        <v>110</v>
      </c>
      <c r="L36" s="129">
        <f t="shared" si="1"/>
        <v>35397.566805017974</v>
      </c>
      <c r="M36" s="130">
        <f t="shared" si="10"/>
        <v>35.397566805017973</v>
      </c>
      <c r="N36" s="130">
        <f t="shared" si="11"/>
        <v>3.6083146590232387</v>
      </c>
      <c r="O36" s="131">
        <f t="shared" si="12"/>
        <v>202.06562090530136</v>
      </c>
      <c r="P36" s="137">
        <f t="shared" si="2"/>
        <v>0.99601512304571493</v>
      </c>
      <c r="Q36" s="137">
        <f t="shared" si="3"/>
        <v>20.934341502424061</v>
      </c>
      <c r="R36" s="133">
        <f t="shared" si="4"/>
        <v>21.32381278525693</v>
      </c>
      <c r="S36" s="133">
        <f t="shared" si="5"/>
        <v>62.738386408752589</v>
      </c>
      <c r="T36" s="125">
        <v>160</v>
      </c>
      <c r="U36" s="125">
        <f t="shared" si="6"/>
        <v>84.062199194009523</v>
      </c>
      <c r="V36" s="133">
        <f t="shared" si="7"/>
        <v>-41.414573623495656</v>
      </c>
      <c r="W36" s="134">
        <f t="shared" si="13"/>
        <v>4.8907136819224721</v>
      </c>
      <c r="X36" s="128">
        <v>1.35</v>
      </c>
      <c r="Y36" s="134">
        <f t="shared" si="14"/>
        <v>1.7463254249783124</v>
      </c>
    </row>
    <row r="37" spans="1:25" x14ac:dyDescent="0.3">
      <c r="A37" s="123">
        <v>260</v>
      </c>
      <c r="B37" s="123">
        <v>300</v>
      </c>
      <c r="C37" s="123">
        <v>30</v>
      </c>
      <c r="D37" s="123">
        <f t="shared" si="0"/>
        <v>0.52359877559829882</v>
      </c>
      <c r="E37" s="48">
        <v>1</v>
      </c>
      <c r="F37" s="48">
        <v>0.8</v>
      </c>
      <c r="G37" s="123">
        <f t="shared" si="8"/>
        <v>1.6654334688162278</v>
      </c>
      <c r="H37" s="123">
        <v>1.5</v>
      </c>
      <c r="I37" s="48">
        <v>125</v>
      </c>
      <c r="J37" s="123">
        <v>15</v>
      </c>
      <c r="K37" s="123">
        <f t="shared" si="9"/>
        <v>110</v>
      </c>
      <c r="L37" s="129">
        <f t="shared" si="1"/>
        <v>27101.262085091883</v>
      </c>
      <c r="M37" s="130">
        <f t="shared" si="10"/>
        <v>27.101262085091882</v>
      </c>
      <c r="N37" s="130">
        <f t="shared" si="11"/>
        <v>2.7626159108146666</v>
      </c>
      <c r="O37" s="131">
        <f t="shared" si="12"/>
        <v>154.70649100562133</v>
      </c>
      <c r="P37" s="137">
        <f t="shared" si="2"/>
        <v>0.99601512304571493</v>
      </c>
      <c r="Q37" s="137">
        <f t="shared" si="3"/>
        <v>20.934341502424061</v>
      </c>
      <c r="R37" s="133">
        <f t="shared" si="4"/>
        <v>31.830297801899565</v>
      </c>
      <c r="S37" s="133">
        <f t="shared" si="5"/>
        <v>64.240786991254183</v>
      </c>
      <c r="T37" s="125">
        <v>160</v>
      </c>
      <c r="U37" s="125">
        <f t="shared" si="6"/>
        <v>96.071084793153744</v>
      </c>
      <c r="V37" s="133">
        <f t="shared" si="7"/>
        <v>-32.410489189354621</v>
      </c>
      <c r="W37" s="134">
        <f t="shared" si="13"/>
        <v>3.7444526627218919</v>
      </c>
      <c r="X37" s="128">
        <v>1.35</v>
      </c>
      <c r="Y37" s="134">
        <f t="shared" si="14"/>
        <v>1.7463254249783124</v>
      </c>
    </row>
    <row r="38" spans="1:25" x14ac:dyDescent="0.3">
      <c r="A38" s="123">
        <v>260</v>
      </c>
      <c r="B38" s="123">
        <v>300</v>
      </c>
      <c r="C38" s="123">
        <v>30</v>
      </c>
      <c r="D38" s="123">
        <f t="shared" si="0"/>
        <v>0.52359877559829882</v>
      </c>
      <c r="E38" s="48">
        <v>1</v>
      </c>
      <c r="F38" s="48">
        <v>0.9</v>
      </c>
      <c r="G38" s="123">
        <f t="shared" si="8"/>
        <v>1.4803853056144247</v>
      </c>
      <c r="H38" s="123">
        <v>1.5</v>
      </c>
      <c r="I38" s="48">
        <v>125</v>
      </c>
      <c r="J38" s="123">
        <v>15</v>
      </c>
      <c r="K38" s="123">
        <f t="shared" si="9"/>
        <v>110</v>
      </c>
      <c r="L38" s="129">
        <f t="shared" si="1"/>
        <v>21413.342882047906</v>
      </c>
      <c r="M38" s="130">
        <f t="shared" si="10"/>
        <v>21.413342882047907</v>
      </c>
      <c r="N38" s="130">
        <f t="shared" si="11"/>
        <v>2.1828076332362798</v>
      </c>
      <c r="O38" s="131">
        <f t="shared" si="12"/>
        <v>122.23722746123167</v>
      </c>
      <c r="P38" s="137">
        <f t="shared" si="2"/>
        <v>0.99601512304571493</v>
      </c>
      <c r="Q38" s="137">
        <f t="shared" si="3"/>
        <v>20.934341502424061</v>
      </c>
      <c r="R38" s="133">
        <f t="shared" si="4"/>
        <v>45.320873237470288</v>
      </c>
      <c r="S38" s="133">
        <f t="shared" si="5"/>
        <v>62.759097154827678</v>
      </c>
      <c r="T38" s="125">
        <v>160</v>
      </c>
      <c r="U38" s="125">
        <f t="shared" si="6"/>
        <v>108.07997039229797</v>
      </c>
      <c r="V38" s="133">
        <f t="shared" si="7"/>
        <v>-17.438223917357391</v>
      </c>
      <c r="W38" s="134">
        <f t="shared" si="13"/>
        <v>2.9585798816568039</v>
      </c>
      <c r="X38" s="128">
        <v>1.35</v>
      </c>
      <c r="Y38" s="134">
        <f t="shared" si="14"/>
        <v>1.7463254249783122</v>
      </c>
    </row>
    <row r="39" spans="1:25" x14ac:dyDescent="0.3">
      <c r="A39" s="123">
        <v>260</v>
      </c>
      <c r="B39" s="123">
        <v>300</v>
      </c>
      <c r="C39" s="123">
        <v>30</v>
      </c>
      <c r="D39" s="123">
        <f t="shared" si="0"/>
        <v>0.52359877559829882</v>
      </c>
      <c r="E39" s="48">
        <v>1</v>
      </c>
      <c r="F39" s="48">
        <v>1</v>
      </c>
      <c r="G39" s="123">
        <f t="shared" si="8"/>
        <v>1.3323467750529823</v>
      </c>
      <c r="H39" s="123">
        <v>1.5</v>
      </c>
      <c r="I39" s="48">
        <v>125</v>
      </c>
      <c r="J39" s="123">
        <v>15</v>
      </c>
      <c r="K39" s="123">
        <f t="shared" si="9"/>
        <v>110</v>
      </c>
      <c r="L39" s="129">
        <f t="shared" si="1"/>
        <v>17344.807734458805</v>
      </c>
      <c r="M39" s="130">
        <f t="shared" si="10"/>
        <v>17.344807734458804</v>
      </c>
      <c r="N39" s="130">
        <f t="shared" si="11"/>
        <v>1.7680741829213866</v>
      </c>
      <c r="O39" s="131">
        <f t="shared" si="12"/>
        <v>99.012154243597649</v>
      </c>
      <c r="P39" s="137">
        <f t="shared" si="2"/>
        <v>0.99601512304571482</v>
      </c>
      <c r="Q39" s="137">
        <f t="shared" si="3"/>
        <v>20.934341502424061</v>
      </c>
      <c r="R39" s="133">
        <f t="shared" si="4"/>
        <v>62.168550394335092</v>
      </c>
      <c r="S39" s="133">
        <f t="shared" si="5"/>
        <v>57.920305597107095</v>
      </c>
      <c r="T39" s="125">
        <v>160</v>
      </c>
      <c r="U39" s="125">
        <f t="shared" si="6"/>
        <v>120.08885599144219</v>
      </c>
      <c r="V39" s="133">
        <f t="shared" si="7"/>
        <v>4.2482447972279971</v>
      </c>
      <c r="W39" s="134">
        <f t="shared" si="13"/>
        <v>2.396449704142011</v>
      </c>
      <c r="X39" s="128">
        <v>1.35</v>
      </c>
      <c r="Y39" s="134">
        <f t="shared" si="14"/>
        <v>1.7463254249783124</v>
      </c>
    </row>
    <row r="40" spans="1:25" x14ac:dyDescent="0.3">
      <c r="A40" s="123">
        <v>260</v>
      </c>
      <c r="B40" s="123">
        <v>300</v>
      </c>
      <c r="C40" s="123">
        <v>30</v>
      </c>
      <c r="D40" s="123">
        <f t="shared" si="0"/>
        <v>0.52359877559829882</v>
      </c>
      <c r="E40" s="48">
        <v>1</v>
      </c>
      <c r="F40" s="48">
        <v>1.1000000000000001</v>
      </c>
      <c r="G40" s="123">
        <f t="shared" si="8"/>
        <v>1.2112243409572565</v>
      </c>
      <c r="H40" s="123">
        <v>1.5</v>
      </c>
      <c r="I40" s="48">
        <v>125</v>
      </c>
      <c r="J40" s="123">
        <v>15</v>
      </c>
      <c r="K40" s="123">
        <f t="shared" si="9"/>
        <v>110</v>
      </c>
      <c r="L40" s="129">
        <f t="shared" si="1"/>
        <v>14334.551846660168</v>
      </c>
      <c r="M40" s="130">
        <f t="shared" si="10"/>
        <v>14.334551846660167</v>
      </c>
      <c r="N40" s="130">
        <f t="shared" si="11"/>
        <v>1.4612183329928814</v>
      </c>
      <c r="O40" s="131">
        <f t="shared" si="12"/>
        <v>81.828226647601355</v>
      </c>
      <c r="P40" s="137">
        <f t="shared" si="2"/>
        <v>0.99601512304571493</v>
      </c>
      <c r="Q40" s="137">
        <f t="shared" si="3"/>
        <v>20.934341502424061</v>
      </c>
      <c r="R40" s="133">
        <f t="shared" si="4"/>
        <v>82.746340574860014</v>
      </c>
      <c r="S40" s="133">
        <f t="shared" si="5"/>
        <v>49.35140101572641</v>
      </c>
      <c r="T40" s="125">
        <v>160</v>
      </c>
      <c r="U40" s="125">
        <f t="shared" si="6"/>
        <v>132.09774159058642</v>
      </c>
      <c r="V40" s="133">
        <f t="shared" si="7"/>
        <v>33.394939559133604</v>
      </c>
      <c r="W40" s="134">
        <f t="shared" si="13"/>
        <v>1.9805369455719097</v>
      </c>
      <c r="X40" s="128">
        <v>1.35</v>
      </c>
      <c r="Y40" s="134">
        <f t="shared" si="14"/>
        <v>1.7463254249783122</v>
      </c>
    </row>
    <row r="41" spans="1:25" x14ac:dyDescent="0.3">
      <c r="A41" s="123">
        <v>260</v>
      </c>
      <c r="B41" s="123">
        <v>300</v>
      </c>
      <c r="C41" s="123">
        <v>30</v>
      </c>
      <c r="D41" s="123">
        <f t="shared" si="0"/>
        <v>0.52359877559829882</v>
      </c>
      <c r="E41" s="48">
        <v>1</v>
      </c>
      <c r="F41" s="48">
        <v>1.2</v>
      </c>
      <c r="G41" s="123">
        <f t="shared" si="8"/>
        <v>1.1102889792108186</v>
      </c>
      <c r="H41" s="123">
        <v>1.5</v>
      </c>
      <c r="I41" s="48">
        <v>125</v>
      </c>
      <c r="J41" s="123">
        <v>15</v>
      </c>
      <c r="K41" s="123">
        <f t="shared" si="9"/>
        <v>110</v>
      </c>
      <c r="L41" s="129">
        <f t="shared" si="1"/>
        <v>12045.005371151949</v>
      </c>
      <c r="M41" s="130">
        <f t="shared" si="10"/>
        <v>12.045005371151948</v>
      </c>
      <c r="N41" s="130">
        <f t="shared" si="11"/>
        <v>1.2278292936954074</v>
      </c>
      <c r="O41" s="131">
        <f t="shared" si="12"/>
        <v>68.758440446942814</v>
      </c>
      <c r="P41" s="132">
        <f t="shared" si="2"/>
        <v>0.99601512304571471</v>
      </c>
      <c r="Q41" s="132">
        <f t="shared" si="3"/>
        <v>20.934341502424061</v>
      </c>
      <c r="R41" s="133">
        <f t="shared" si="4"/>
        <v>107.42725508141103</v>
      </c>
      <c r="S41" s="133">
        <f t="shared" si="5"/>
        <v>36.679372108319569</v>
      </c>
      <c r="T41" s="125">
        <v>160</v>
      </c>
      <c r="U41" s="125">
        <f t="shared" si="6"/>
        <v>144.1066271897306</v>
      </c>
      <c r="V41" s="133">
        <f t="shared" si="7"/>
        <v>70.747882973091464</v>
      </c>
      <c r="W41" s="134">
        <f t="shared" si="13"/>
        <v>1.6642011834319523</v>
      </c>
      <c r="X41" s="128">
        <v>1.35</v>
      </c>
      <c r="Y41" s="134">
        <f t="shared" si="14"/>
        <v>1.7463254249783122</v>
      </c>
    </row>
    <row r="42" spans="1:25" x14ac:dyDescent="0.3">
      <c r="A42" s="123">
        <v>260</v>
      </c>
      <c r="B42" s="123">
        <v>300</v>
      </c>
      <c r="C42" s="123">
        <v>30</v>
      </c>
      <c r="D42" s="123">
        <f t="shared" si="0"/>
        <v>0.52359877559829882</v>
      </c>
      <c r="E42" s="48">
        <v>1</v>
      </c>
      <c r="F42" s="48">
        <v>1.3</v>
      </c>
      <c r="G42" s="123">
        <f t="shared" si="8"/>
        <v>1.0248821346561401</v>
      </c>
      <c r="H42" s="123">
        <v>1.5</v>
      </c>
      <c r="I42" s="48">
        <v>125</v>
      </c>
      <c r="J42" s="123">
        <v>15</v>
      </c>
      <c r="K42" s="123">
        <f t="shared" si="9"/>
        <v>110</v>
      </c>
      <c r="L42" s="129">
        <f t="shared" si="1"/>
        <v>10263.19984287503</v>
      </c>
      <c r="M42" s="130">
        <f t="shared" si="10"/>
        <v>10.26319984287503</v>
      </c>
      <c r="N42" s="130">
        <f t="shared" si="11"/>
        <v>1.0461977413736014</v>
      </c>
      <c r="O42" s="131">
        <f t="shared" si="12"/>
        <v>58.587073516921677</v>
      </c>
      <c r="P42" s="132">
        <f t="shared" si="2"/>
        <v>0.99601512304571493</v>
      </c>
      <c r="Q42" s="132">
        <f t="shared" si="3"/>
        <v>20.934341502424061</v>
      </c>
      <c r="R42" s="133">
        <f t="shared" si="4"/>
        <v>136.58430521635424</v>
      </c>
      <c r="S42" s="133">
        <f t="shared" si="5"/>
        <v>19.531207572520628</v>
      </c>
      <c r="T42" s="125">
        <v>160</v>
      </c>
      <c r="U42" s="125">
        <f t="shared" si="6"/>
        <v>156.11551278887487</v>
      </c>
      <c r="V42" s="133">
        <f t="shared" si="7"/>
        <v>117.05309764383361</v>
      </c>
      <c r="W42" s="134">
        <f t="shared" si="13"/>
        <v>1.4180175764153908</v>
      </c>
      <c r="X42" s="128">
        <v>1.35</v>
      </c>
      <c r="Y42" s="134">
        <f t="shared" si="14"/>
        <v>1.7463254249783124</v>
      </c>
    </row>
    <row r="43" spans="1:25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48"/>
      <c r="P43" s="123"/>
      <c r="Q43" s="123"/>
      <c r="R43" s="123"/>
      <c r="S43" s="123"/>
      <c r="T43" s="123"/>
      <c r="U43" s="123"/>
      <c r="V43" s="123"/>
      <c r="W43" s="48"/>
      <c r="X43" s="48"/>
      <c r="Y43" s="137"/>
    </row>
    <row r="44" spans="1:25" x14ac:dyDescent="0.3">
      <c r="A44" s="123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48"/>
      <c r="P44" s="123"/>
      <c r="Q44" s="123"/>
      <c r="R44" s="123"/>
      <c r="S44" s="123"/>
      <c r="T44" s="123"/>
      <c r="U44" s="123"/>
      <c r="V44" s="123"/>
      <c r="W44" s="48"/>
      <c r="X44" s="48"/>
      <c r="Y44" s="137"/>
    </row>
    <row r="45" spans="1:25" x14ac:dyDescent="0.3">
      <c r="A45" s="123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48"/>
      <c r="P45" s="124" t="s">
        <v>285</v>
      </c>
      <c r="Q45" s="495" t="s">
        <v>284</v>
      </c>
      <c r="R45" s="123"/>
      <c r="S45" s="123"/>
      <c r="T45" s="123"/>
      <c r="U45" s="123"/>
      <c r="V45" s="123"/>
      <c r="W45" s="48"/>
      <c r="X45" s="48"/>
      <c r="Y45" s="137"/>
    </row>
    <row r="46" spans="1:25" x14ac:dyDescent="0.3">
      <c r="A46" s="496" t="s">
        <v>316</v>
      </c>
      <c r="B46" s="496"/>
      <c r="C46" s="496"/>
      <c r="D46" s="496"/>
      <c r="E46" s="496"/>
      <c r="F46" s="496"/>
      <c r="G46" s="496"/>
      <c r="H46" s="496"/>
      <c r="I46" s="496"/>
      <c r="J46" s="496"/>
      <c r="K46" s="496"/>
      <c r="L46" s="496" t="s">
        <v>287</v>
      </c>
      <c r="M46" s="496"/>
      <c r="N46" s="496"/>
      <c r="O46" s="48" t="s">
        <v>288</v>
      </c>
      <c r="P46" s="124" t="s">
        <v>289</v>
      </c>
      <c r="Q46" s="495"/>
      <c r="R46" s="125" t="s">
        <v>290</v>
      </c>
      <c r="S46" s="126" t="s">
        <v>291</v>
      </c>
      <c r="T46" s="125" t="s">
        <v>292</v>
      </c>
      <c r="U46" s="126" t="s">
        <v>293</v>
      </c>
      <c r="V46" s="126" t="s">
        <v>294</v>
      </c>
      <c r="W46" s="127" t="s">
        <v>295</v>
      </c>
      <c r="X46" s="127" t="s">
        <v>296</v>
      </c>
      <c r="Y46" s="127" t="s">
        <v>297</v>
      </c>
    </row>
    <row r="47" spans="1:25" x14ac:dyDescent="0.3">
      <c r="A47" s="123" t="s">
        <v>298</v>
      </c>
      <c r="B47" s="123" t="s">
        <v>299</v>
      </c>
      <c r="C47" s="123" t="s">
        <v>300</v>
      </c>
      <c r="D47" s="123" t="s">
        <v>301</v>
      </c>
      <c r="E47" s="48" t="s">
        <v>302</v>
      </c>
      <c r="F47" s="48" t="s">
        <v>303</v>
      </c>
      <c r="G47" s="123" t="s">
        <v>304</v>
      </c>
      <c r="H47" s="123" t="s">
        <v>305</v>
      </c>
      <c r="I47" s="48" t="s">
        <v>306</v>
      </c>
      <c r="J47" s="48" t="s">
        <v>307</v>
      </c>
      <c r="K47" s="123" t="s">
        <v>308</v>
      </c>
      <c r="L47" s="123" t="s">
        <v>309</v>
      </c>
      <c r="M47" s="3" t="s">
        <v>310</v>
      </c>
      <c r="N47" s="3" t="s">
        <v>311</v>
      </c>
      <c r="O47" s="48" t="s">
        <v>312</v>
      </c>
      <c r="P47" s="48" t="s">
        <v>311</v>
      </c>
      <c r="Q47" s="118" t="s">
        <v>313</v>
      </c>
      <c r="R47" s="125" t="s">
        <v>314</v>
      </c>
      <c r="S47" s="125" t="s">
        <v>314</v>
      </c>
      <c r="T47" s="125" t="s">
        <v>314</v>
      </c>
      <c r="U47" s="125" t="s">
        <v>314</v>
      </c>
      <c r="V47" s="125" t="s">
        <v>314</v>
      </c>
      <c r="W47" s="128" t="s">
        <v>311</v>
      </c>
      <c r="X47" s="128" t="s">
        <v>311</v>
      </c>
      <c r="Y47" s="128" t="s">
        <v>315</v>
      </c>
    </row>
    <row r="48" spans="1:25" x14ac:dyDescent="0.3">
      <c r="A48" s="123">
        <v>260</v>
      </c>
      <c r="B48" s="123">
        <v>300</v>
      </c>
      <c r="C48" s="123">
        <v>30</v>
      </c>
      <c r="D48" s="123">
        <f t="shared" ref="D48:D85" si="15">RADIANS(C48)</f>
        <v>0.52359877559829882</v>
      </c>
      <c r="E48" s="48">
        <v>0.1</v>
      </c>
      <c r="F48" s="48">
        <v>1</v>
      </c>
      <c r="G48" s="123">
        <f>B48/A48*E48/F48/COS(D48)</f>
        <v>0.13323467750529824</v>
      </c>
      <c r="H48" s="123">
        <f>H5*1.15</f>
        <v>1.7249999999999999</v>
      </c>
      <c r="I48" s="123">
        <v>200</v>
      </c>
      <c r="J48" s="123">
        <v>15</v>
      </c>
      <c r="K48" s="123">
        <f>I48-J48</f>
        <v>185</v>
      </c>
      <c r="L48" s="129">
        <f t="shared" ref="L48:L85" si="16">4*PI()^2*K48*H48^2*G48^2</f>
        <v>385.78400203018435</v>
      </c>
      <c r="M48" s="130">
        <f>L48/1000</f>
        <v>0.38578400203018437</v>
      </c>
      <c r="N48" s="130">
        <f>M48/9.81</f>
        <v>3.9325586343545806E-2</v>
      </c>
      <c r="O48" s="131">
        <f>56*N48</f>
        <v>2.2022328352385649</v>
      </c>
      <c r="P48" s="132">
        <f t="shared" ref="P48:P85" si="17">N48/G48^2</f>
        <v>2.2153413640197472</v>
      </c>
      <c r="Q48" s="132">
        <f t="shared" ref="Q48:Q85" si="18">2*SQRT(P48*K48)</f>
        <v>40.488919587642897</v>
      </c>
      <c r="R48" s="133">
        <f t="shared" ref="R48:R85" si="19">K48/N48*B48/A48*COS(D48)*F48/E48</f>
        <v>47008.355685697592</v>
      </c>
      <c r="S48" s="133">
        <f t="shared" ref="S48:S85" si="20">U48-R48</f>
        <v>-45807.467125783172</v>
      </c>
      <c r="T48" s="125">
        <v>160</v>
      </c>
      <c r="U48" s="125">
        <f t="shared" ref="U48:U85" si="21">T48/G48</f>
        <v>1200.8885599144216</v>
      </c>
      <c r="V48" s="133">
        <f t="shared" ref="V48:V85" si="22">R48-S48</f>
        <v>92815.822811480757</v>
      </c>
      <c r="W48" s="134">
        <f t="shared" si="13"/>
        <v>4.105029585798816E-2</v>
      </c>
      <c r="X48" s="128">
        <v>2.3125</v>
      </c>
      <c r="Y48" s="134">
        <f t="shared" si="14"/>
        <v>1.7624209304350131</v>
      </c>
    </row>
    <row r="49" spans="1:25" x14ac:dyDescent="0.3">
      <c r="A49" s="123">
        <v>260</v>
      </c>
      <c r="B49" s="123">
        <v>300</v>
      </c>
      <c r="C49" s="123">
        <v>30</v>
      </c>
      <c r="D49" s="123">
        <f t="shared" si="15"/>
        <v>0.52359877559829882</v>
      </c>
      <c r="E49" s="48">
        <v>0.2</v>
      </c>
      <c r="F49" s="48">
        <v>1</v>
      </c>
      <c r="G49" s="123">
        <f t="shared" ref="G49:G85" si="23">B49/A49*E49/F49/COS(D49)</f>
        <v>0.26646935501059649</v>
      </c>
      <c r="H49" s="123">
        <f t="shared" ref="H49:H85" si="24">H6*1.15</f>
        <v>1.7249999999999999</v>
      </c>
      <c r="I49" s="123">
        <v>200</v>
      </c>
      <c r="J49" s="123">
        <v>15</v>
      </c>
      <c r="K49" s="123">
        <f t="shared" ref="K49:K85" si="25">I49-J49</f>
        <v>185</v>
      </c>
      <c r="L49" s="129">
        <f t="shared" si="16"/>
        <v>1543.1360081207374</v>
      </c>
      <c r="M49" s="130">
        <f t="shared" ref="M49:M85" si="26">L49/1000</f>
        <v>1.5431360081207375</v>
      </c>
      <c r="N49" s="130">
        <f t="shared" ref="N49:N85" si="27">M49/9.81</f>
        <v>0.15730234537418322</v>
      </c>
      <c r="O49" s="131">
        <f t="shared" ref="O49:O85" si="28">56*N49</f>
        <v>8.8089313409542598</v>
      </c>
      <c r="P49" s="132">
        <f t="shared" si="17"/>
        <v>2.2153413640197472</v>
      </c>
      <c r="Q49" s="132">
        <f t="shared" si="18"/>
        <v>40.488919587642897</v>
      </c>
      <c r="R49" s="133">
        <f t="shared" si="19"/>
        <v>5876.044460712199</v>
      </c>
      <c r="S49" s="133">
        <f t="shared" si="20"/>
        <v>-5275.6001807549883</v>
      </c>
      <c r="T49" s="125">
        <v>160</v>
      </c>
      <c r="U49" s="125">
        <f t="shared" si="21"/>
        <v>600.44427995721082</v>
      </c>
      <c r="V49" s="133">
        <f t="shared" si="22"/>
        <v>11151.644641467188</v>
      </c>
      <c r="W49" s="134">
        <f t="shared" si="13"/>
        <v>0.16420118343195264</v>
      </c>
      <c r="X49" s="128">
        <v>2.3125</v>
      </c>
      <c r="Y49" s="134">
        <f t="shared" si="14"/>
        <v>1.7624209304350131</v>
      </c>
    </row>
    <row r="50" spans="1:25" x14ac:dyDescent="0.3">
      <c r="A50" s="123">
        <v>260</v>
      </c>
      <c r="B50" s="123">
        <v>300</v>
      </c>
      <c r="C50" s="123">
        <v>30</v>
      </c>
      <c r="D50" s="123">
        <f t="shared" si="15"/>
        <v>0.52359877559829882</v>
      </c>
      <c r="E50" s="48">
        <v>0.3</v>
      </c>
      <c r="F50" s="48">
        <v>1</v>
      </c>
      <c r="G50" s="123">
        <f t="shared" si="23"/>
        <v>0.39970403251589465</v>
      </c>
      <c r="H50" s="123">
        <f t="shared" si="24"/>
        <v>1.7249999999999999</v>
      </c>
      <c r="I50" s="123">
        <v>200</v>
      </c>
      <c r="J50" s="123">
        <v>15</v>
      </c>
      <c r="K50" s="123">
        <f t="shared" si="25"/>
        <v>185</v>
      </c>
      <c r="L50" s="129">
        <f t="shared" si="16"/>
        <v>3472.0560182716576</v>
      </c>
      <c r="M50" s="130">
        <f t="shared" si="26"/>
        <v>3.4720560182716578</v>
      </c>
      <c r="N50" s="130">
        <f t="shared" si="27"/>
        <v>0.3539302770919121</v>
      </c>
      <c r="O50" s="131">
        <f t="shared" si="28"/>
        <v>19.820095517147077</v>
      </c>
      <c r="P50" s="132">
        <f t="shared" si="17"/>
        <v>2.2153413640197477</v>
      </c>
      <c r="Q50" s="132">
        <f t="shared" si="18"/>
        <v>40.488919587642904</v>
      </c>
      <c r="R50" s="133">
        <f t="shared" si="19"/>
        <v>1741.0502105813935</v>
      </c>
      <c r="S50" s="133">
        <f t="shared" si="20"/>
        <v>-1340.7540239432528</v>
      </c>
      <c r="T50" s="125">
        <v>160</v>
      </c>
      <c r="U50" s="125">
        <f t="shared" si="21"/>
        <v>400.29618663814063</v>
      </c>
      <c r="V50" s="133">
        <f t="shared" si="22"/>
        <v>3081.8042345246463</v>
      </c>
      <c r="W50" s="134">
        <f t="shared" si="13"/>
        <v>0.36945266272189325</v>
      </c>
      <c r="X50" s="128">
        <v>2.3125</v>
      </c>
      <c r="Y50" s="134">
        <f t="shared" si="14"/>
        <v>1.7624209304350129</v>
      </c>
    </row>
    <row r="51" spans="1:25" x14ac:dyDescent="0.3">
      <c r="A51" s="123">
        <v>260</v>
      </c>
      <c r="B51" s="123">
        <v>300</v>
      </c>
      <c r="C51" s="123">
        <v>30</v>
      </c>
      <c r="D51" s="123">
        <f t="shared" si="15"/>
        <v>0.52359877559829882</v>
      </c>
      <c r="E51" s="48">
        <v>0.4</v>
      </c>
      <c r="F51" s="48">
        <v>1</v>
      </c>
      <c r="G51" s="123">
        <f t="shared" si="23"/>
        <v>0.53293871002119297</v>
      </c>
      <c r="H51" s="123">
        <f t="shared" si="24"/>
        <v>1.7249999999999999</v>
      </c>
      <c r="I51" s="123">
        <v>200</v>
      </c>
      <c r="J51" s="123">
        <v>15</v>
      </c>
      <c r="K51" s="123">
        <f t="shared" si="25"/>
        <v>185</v>
      </c>
      <c r="L51" s="129">
        <f t="shared" si="16"/>
        <v>6172.5440324829497</v>
      </c>
      <c r="M51" s="130">
        <f t="shared" si="26"/>
        <v>6.1725440324829499</v>
      </c>
      <c r="N51" s="130">
        <f t="shared" si="27"/>
        <v>0.62920938149673289</v>
      </c>
      <c r="O51" s="131">
        <f t="shared" si="28"/>
        <v>35.235725363817039</v>
      </c>
      <c r="P51" s="132">
        <f t="shared" si="17"/>
        <v>2.2153413640197472</v>
      </c>
      <c r="Q51" s="132">
        <f t="shared" si="18"/>
        <v>40.488919587642897</v>
      </c>
      <c r="R51" s="133">
        <f t="shared" si="19"/>
        <v>734.50555758902487</v>
      </c>
      <c r="S51" s="133">
        <f t="shared" si="20"/>
        <v>-434.28341761041946</v>
      </c>
      <c r="T51" s="125">
        <v>160</v>
      </c>
      <c r="U51" s="125">
        <f t="shared" si="21"/>
        <v>300.22213997860541</v>
      </c>
      <c r="V51" s="133">
        <f t="shared" si="22"/>
        <v>1168.7889751994444</v>
      </c>
      <c r="W51" s="134">
        <f t="shared" si="13"/>
        <v>0.65680473372781056</v>
      </c>
      <c r="X51" s="128">
        <v>2.3125</v>
      </c>
      <c r="Y51" s="134">
        <f t="shared" si="14"/>
        <v>1.7624209304350131</v>
      </c>
    </row>
    <row r="52" spans="1:25" x14ac:dyDescent="0.3">
      <c r="A52" s="123">
        <v>260</v>
      </c>
      <c r="B52" s="123">
        <v>300</v>
      </c>
      <c r="C52" s="135">
        <v>30</v>
      </c>
      <c r="D52" s="135">
        <f t="shared" si="15"/>
        <v>0.52359877559829882</v>
      </c>
      <c r="E52" s="135">
        <v>0.5</v>
      </c>
      <c r="F52" s="135">
        <v>1</v>
      </c>
      <c r="G52" s="123">
        <f t="shared" si="23"/>
        <v>0.66617338752649113</v>
      </c>
      <c r="H52" s="123">
        <f t="shared" si="24"/>
        <v>1.7249999999999999</v>
      </c>
      <c r="I52" s="123">
        <v>200</v>
      </c>
      <c r="J52" s="123">
        <v>15</v>
      </c>
      <c r="K52" s="123">
        <f t="shared" si="25"/>
        <v>185</v>
      </c>
      <c r="L52" s="136">
        <f t="shared" si="16"/>
        <v>9644.6000507546069</v>
      </c>
      <c r="M52" s="130">
        <f t="shared" si="26"/>
        <v>9.6446000507546064</v>
      </c>
      <c r="N52" s="130">
        <f t="shared" si="27"/>
        <v>0.98313965858864483</v>
      </c>
      <c r="O52" s="131">
        <f t="shared" si="28"/>
        <v>55.055820880964113</v>
      </c>
      <c r="P52" s="132">
        <f t="shared" si="17"/>
        <v>2.2153413640197472</v>
      </c>
      <c r="Q52" s="132">
        <f t="shared" si="18"/>
        <v>40.488919587642897</v>
      </c>
      <c r="R52" s="133">
        <f t="shared" si="19"/>
        <v>376.06684548558093</v>
      </c>
      <c r="S52" s="133">
        <f t="shared" si="20"/>
        <v>-135.88913350269655</v>
      </c>
      <c r="T52" s="125">
        <v>160</v>
      </c>
      <c r="U52" s="125">
        <f t="shared" si="21"/>
        <v>240.17771198288438</v>
      </c>
      <c r="V52" s="133">
        <f t="shared" si="22"/>
        <v>511.95597898827748</v>
      </c>
      <c r="W52" s="134">
        <f t="shared" si="13"/>
        <v>1.0262573964497037</v>
      </c>
      <c r="X52" s="128">
        <v>2.3125</v>
      </c>
      <c r="Y52" s="134">
        <f t="shared" si="14"/>
        <v>1.7624209304350134</v>
      </c>
    </row>
    <row r="53" spans="1:25" x14ac:dyDescent="0.3">
      <c r="A53" s="123">
        <v>260</v>
      </c>
      <c r="B53" s="123">
        <v>300</v>
      </c>
      <c r="C53" s="135">
        <v>30</v>
      </c>
      <c r="D53" s="135">
        <f t="shared" si="15"/>
        <v>0.52359877559829882</v>
      </c>
      <c r="E53" s="135">
        <v>0.6</v>
      </c>
      <c r="F53" s="135">
        <v>1</v>
      </c>
      <c r="G53" s="123">
        <f t="shared" si="23"/>
        <v>0.79940806503178929</v>
      </c>
      <c r="H53" s="123">
        <f t="shared" si="24"/>
        <v>1.7249999999999999</v>
      </c>
      <c r="I53" s="123">
        <v>200</v>
      </c>
      <c r="J53" s="123">
        <v>15</v>
      </c>
      <c r="K53" s="123">
        <f t="shared" si="25"/>
        <v>185</v>
      </c>
      <c r="L53" s="136">
        <f t="shared" si="16"/>
        <v>13888.224073086631</v>
      </c>
      <c r="M53" s="130">
        <f t="shared" si="26"/>
        <v>13.888224073086631</v>
      </c>
      <c r="N53" s="130">
        <f t="shared" si="27"/>
        <v>1.4157211083676484</v>
      </c>
      <c r="O53" s="131">
        <f t="shared" si="28"/>
        <v>79.28038206858831</v>
      </c>
      <c r="P53" s="132">
        <f t="shared" si="17"/>
        <v>2.2153413640197477</v>
      </c>
      <c r="Q53" s="132">
        <f t="shared" si="18"/>
        <v>40.488919587642904</v>
      </c>
      <c r="R53" s="133">
        <f t="shared" si="19"/>
        <v>217.63127632267418</v>
      </c>
      <c r="S53" s="133">
        <f t="shared" si="20"/>
        <v>-17.48318300360387</v>
      </c>
      <c r="T53" s="125">
        <v>160</v>
      </c>
      <c r="U53" s="125">
        <f t="shared" si="21"/>
        <v>200.14809331907031</v>
      </c>
      <c r="V53" s="133">
        <f t="shared" si="22"/>
        <v>235.11445932627805</v>
      </c>
      <c r="W53" s="134">
        <f t="shared" si="13"/>
        <v>1.477810650887573</v>
      </c>
      <c r="X53" s="128">
        <v>2.3125</v>
      </c>
      <c r="Y53" s="134">
        <f t="shared" si="14"/>
        <v>1.7624209304350129</v>
      </c>
    </row>
    <row r="54" spans="1:25" x14ac:dyDescent="0.3">
      <c r="A54" s="123">
        <v>260</v>
      </c>
      <c r="B54" s="123">
        <v>300</v>
      </c>
      <c r="C54" s="135">
        <v>30</v>
      </c>
      <c r="D54" s="135">
        <f t="shared" si="15"/>
        <v>0.52359877559829882</v>
      </c>
      <c r="E54" s="135">
        <v>0.7</v>
      </c>
      <c r="F54" s="135">
        <v>1</v>
      </c>
      <c r="G54" s="123">
        <f t="shared" si="23"/>
        <v>0.93264274253708757</v>
      </c>
      <c r="H54" s="123">
        <f t="shared" si="24"/>
        <v>1.7249999999999999</v>
      </c>
      <c r="I54" s="123">
        <v>200</v>
      </c>
      <c r="J54" s="123">
        <v>15</v>
      </c>
      <c r="K54" s="123">
        <f t="shared" si="25"/>
        <v>185</v>
      </c>
      <c r="L54" s="136">
        <f t="shared" si="16"/>
        <v>18903.416099479025</v>
      </c>
      <c r="M54" s="130">
        <f t="shared" si="26"/>
        <v>18.903416099479024</v>
      </c>
      <c r="N54" s="130">
        <f t="shared" si="27"/>
        <v>1.9269537308337434</v>
      </c>
      <c r="O54" s="131">
        <f t="shared" si="28"/>
        <v>107.90940892668964</v>
      </c>
      <c r="P54" s="132">
        <f t="shared" si="17"/>
        <v>2.2153413640197468</v>
      </c>
      <c r="Q54" s="132">
        <f t="shared" si="18"/>
        <v>40.488919587642897</v>
      </c>
      <c r="R54" s="133">
        <f t="shared" si="19"/>
        <v>137.05059966675694</v>
      </c>
      <c r="S54" s="133">
        <f t="shared" si="20"/>
        <v>34.504908892446196</v>
      </c>
      <c r="T54" s="125">
        <v>160</v>
      </c>
      <c r="U54" s="125">
        <f t="shared" si="21"/>
        <v>171.55550855920313</v>
      </c>
      <c r="V54" s="133">
        <f t="shared" si="22"/>
        <v>102.54569077431074</v>
      </c>
      <c r="W54" s="134">
        <f t="shared" si="13"/>
        <v>2.0114644970414193</v>
      </c>
      <c r="X54" s="128">
        <v>2.3125</v>
      </c>
      <c r="Y54" s="134">
        <f t="shared" si="14"/>
        <v>1.7624209304350131</v>
      </c>
    </row>
    <row r="55" spans="1:25" x14ac:dyDescent="0.3">
      <c r="A55" s="123">
        <v>260</v>
      </c>
      <c r="B55" s="123">
        <v>300</v>
      </c>
      <c r="C55" s="135">
        <v>30</v>
      </c>
      <c r="D55" s="135">
        <f t="shared" si="15"/>
        <v>0.52359877559829882</v>
      </c>
      <c r="E55" s="135">
        <v>0.8</v>
      </c>
      <c r="F55" s="135">
        <v>1</v>
      </c>
      <c r="G55" s="123">
        <f t="shared" si="23"/>
        <v>1.0658774200423859</v>
      </c>
      <c r="H55" s="123">
        <f t="shared" si="24"/>
        <v>1.7249999999999999</v>
      </c>
      <c r="I55" s="123">
        <v>200</v>
      </c>
      <c r="J55" s="123">
        <v>15</v>
      </c>
      <c r="K55" s="123">
        <f t="shared" si="25"/>
        <v>185</v>
      </c>
      <c r="L55" s="136">
        <f t="shared" si="16"/>
        <v>24690.176129931799</v>
      </c>
      <c r="M55" s="130">
        <f t="shared" si="26"/>
        <v>24.6901761299318</v>
      </c>
      <c r="N55" s="130">
        <f t="shared" si="27"/>
        <v>2.5168375259869316</v>
      </c>
      <c r="O55" s="131">
        <f t="shared" si="28"/>
        <v>140.94290145526816</v>
      </c>
      <c r="P55" s="132">
        <f t="shared" si="17"/>
        <v>2.2153413640197472</v>
      </c>
      <c r="Q55" s="132">
        <f t="shared" si="18"/>
        <v>40.488919587642897</v>
      </c>
      <c r="R55" s="133">
        <f t="shared" si="19"/>
        <v>91.813194698628109</v>
      </c>
      <c r="S55" s="133">
        <f t="shared" si="20"/>
        <v>58.297875290674597</v>
      </c>
      <c r="T55" s="125">
        <v>160</v>
      </c>
      <c r="U55" s="125">
        <f t="shared" si="21"/>
        <v>150.11106998930271</v>
      </c>
      <c r="V55" s="133">
        <f t="shared" si="22"/>
        <v>33.515319407953513</v>
      </c>
      <c r="W55" s="134">
        <f t="shared" si="13"/>
        <v>2.6272189349112423</v>
      </c>
      <c r="X55" s="128">
        <v>2.3125</v>
      </c>
      <c r="Y55" s="134">
        <f t="shared" si="14"/>
        <v>1.7624209304350131</v>
      </c>
    </row>
    <row r="56" spans="1:25" x14ac:dyDescent="0.3">
      <c r="A56" s="123">
        <v>260</v>
      </c>
      <c r="B56" s="123">
        <v>300</v>
      </c>
      <c r="C56" s="135">
        <v>30</v>
      </c>
      <c r="D56" s="135">
        <f t="shared" si="15"/>
        <v>0.52359877559829882</v>
      </c>
      <c r="E56" s="135">
        <v>0.9</v>
      </c>
      <c r="F56" s="135">
        <v>1</v>
      </c>
      <c r="G56" s="123">
        <f t="shared" si="23"/>
        <v>1.1991120975476841</v>
      </c>
      <c r="H56" s="123">
        <f t="shared" si="24"/>
        <v>1.7249999999999999</v>
      </c>
      <c r="I56" s="123">
        <v>200</v>
      </c>
      <c r="J56" s="123">
        <v>15</v>
      </c>
      <c r="K56" s="123">
        <f t="shared" si="25"/>
        <v>185</v>
      </c>
      <c r="L56" s="136">
        <f t="shared" si="16"/>
        <v>31248.50416444493</v>
      </c>
      <c r="M56" s="130">
        <f t="shared" si="26"/>
        <v>31.248504164444931</v>
      </c>
      <c r="N56" s="130">
        <f t="shared" si="27"/>
        <v>3.1853724938272099</v>
      </c>
      <c r="O56" s="131">
        <f t="shared" si="28"/>
        <v>178.38085965432376</v>
      </c>
      <c r="P56" s="132">
        <f t="shared" si="17"/>
        <v>2.2153413640197472</v>
      </c>
      <c r="Q56" s="132">
        <f t="shared" si="18"/>
        <v>40.488919587642897</v>
      </c>
      <c r="R56" s="133">
        <f t="shared" si="19"/>
        <v>64.483341132644185</v>
      </c>
      <c r="S56" s="133">
        <f t="shared" si="20"/>
        <v>68.948721080069348</v>
      </c>
      <c r="T56" s="125">
        <v>160</v>
      </c>
      <c r="U56" s="125">
        <f t="shared" si="21"/>
        <v>133.43206221271353</v>
      </c>
      <c r="V56" s="133">
        <f t="shared" si="22"/>
        <v>-4.4653799474251628</v>
      </c>
      <c r="W56" s="134">
        <f t="shared" si="13"/>
        <v>3.3250739644970406</v>
      </c>
      <c r="X56" s="128">
        <v>2.3125</v>
      </c>
      <c r="Y56" s="134">
        <f t="shared" si="14"/>
        <v>1.7624209304350134</v>
      </c>
    </row>
    <row r="57" spans="1:25" x14ac:dyDescent="0.3">
      <c r="A57" s="123">
        <v>260</v>
      </c>
      <c r="B57" s="123">
        <v>300</v>
      </c>
      <c r="C57" s="135">
        <v>30</v>
      </c>
      <c r="D57" s="135">
        <f t="shared" si="15"/>
        <v>0.52359877559829882</v>
      </c>
      <c r="E57" s="135">
        <v>1</v>
      </c>
      <c r="F57" s="135">
        <v>1</v>
      </c>
      <c r="G57" s="123">
        <f t="shared" si="23"/>
        <v>1.3323467750529823</v>
      </c>
      <c r="H57" s="123">
        <f t="shared" si="24"/>
        <v>1.7249999999999999</v>
      </c>
      <c r="I57" s="123">
        <v>200</v>
      </c>
      <c r="J57" s="123">
        <v>15</v>
      </c>
      <c r="K57" s="123">
        <f t="shared" si="25"/>
        <v>185</v>
      </c>
      <c r="L57" s="136">
        <f t="shared" si="16"/>
        <v>38578.400203018427</v>
      </c>
      <c r="M57" s="130">
        <f t="shared" si="26"/>
        <v>38.578400203018425</v>
      </c>
      <c r="N57" s="130">
        <f t="shared" si="27"/>
        <v>3.9325586343545793</v>
      </c>
      <c r="O57" s="131">
        <f t="shared" si="28"/>
        <v>220.22328352385645</v>
      </c>
      <c r="P57" s="132">
        <f t="shared" si="17"/>
        <v>2.2153413640197472</v>
      </c>
      <c r="Q57" s="132">
        <f t="shared" si="18"/>
        <v>40.488919587642897</v>
      </c>
      <c r="R57" s="133">
        <f t="shared" si="19"/>
        <v>47.008355685697616</v>
      </c>
      <c r="S57" s="133">
        <f t="shared" si="20"/>
        <v>73.080500305744579</v>
      </c>
      <c r="T57" s="125">
        <v>160</v>
      </c>
      <c r="U57" s="125">
        <f t="shared" si="21"/>
        <v>120.08885599144219</v>
      </c>
      <c r="V57" s="133">
        <f t="shared" si="22"/>
        <v>-26.072144620046963</v>
      </c>
      <c r="W57" s="134">
        <f t="shared" si="13"/>
        <v>4.1050295857988148</v>
      </c>
      <c r="X57" s="128">
        <v>2.3125</v>
      </c>
      <c r="Y57" s="134">
        <f t="shared" si="14"/>
        <v>1.7624209304350134</v>
      </c>
    </row>
    <row r="58" spans="1:25" x14ac:dyDescent="0.3">
      <c r="A58" s="123">
        <v>260</v>
      </c>
      <c r="B58" s="123">
        <v>300</v>
      </c>
      <c r="C58" s="135">
        <v>30</v>
      </c>
      <c r="D58" s="135">
        <f t="shared" si="15"/>
        <v>0.52359877559829882</v>
      </c>
      <c r="E58" s="135">
        <v>1.1000000000000001</v>
      </c>
      <c r="F58" s="135">
        <v>1</v>
      </c>
      <c r="G58" s="123">
        <f t="shared" si="23"/>
        <v>1.4655814525582807</v>
      </c>
      <c r="H58" s="123">
        <f t="shared" si="24"/>
        <v>1.7249999999999999</v>
      </c>
      <c r="I58" s="123">
        <v>200</v>
      </c>
      <c r="J58" s="123">
        <v>15</v>
      </c>
      <c r="K58" s="123">
        <f t="shared" si="25"/>
        <v>185</v>
      </c>
      <c r="L58" s="136">
        <f t="shared" si="16"/>
        <v>46679.864245652308</v>
      </c>
      <c r="M58" s="130">
        <f t="shared" si="26"/>
        <v>46.679864245652311</v>
      </c>
      <c r="N58" s="130">
        <f t="shared" si="27"/>
        <v>4.7583959475690429</v>
      </c>
      <c r="O58" s="131">
        <f t="shared" si="28"/>
        <v>266.47017306386641</v>
      </c>
      <c r="P58" s="132">
        <f t="shared" si="17"/>
        <v>2.2153413640197477</v>
      </c>
      <c r="Q58" s="132">
        <f t="shared" si="18"/>
        <v>40.488919587642904</v>
      </c>
      <c r="R58" s="133">
        <f t="shared" si="19"/>
        <v>35.318073392710431</v>
      </c>
      <c r="S58" s="133">
        <f t="shared" si="20"/>
        <v>73.853613872236991</v>
      </c>
      <c r="T58" s="125">
        <v>160</v>
      </c>
      <c r="U58" s="125">
        <f t="shared" si="21"/>
        <v>109.17168726494742</v>
      </c>
      <c r="V58" s="133">
        <f t="shared" si="22"/>
        <v>-38.53554047952656</v>
      </c>
      <c r="W58" s="134">
        <f t="shared" si="13"/>
        <v>4.9670857988165675</v>
      </c>
      <c r="X58" s="128">
        <v>2.3125</v>
      </c>
      <c r="Y58" s="134">
        <f t="shared" si="14"/>
        <v>1.7624209304350129</v>
      </c>
    </row>
    <row r="59" spans="1:25" x14ac:dyDescent="0.3">
      <c r="A59" s="123">
        <v>260</v>
      </c>
      <c r="B59" s="123">
        <v>300</v>
      </c>
      <c r="C59" s="123">
        <v>30</v>
      </c>
      <c r="D59" s="123">
        <f t="shared" si="15"/>
        <v>0.52359877559829882</v>
      </c>
      <c r="E59" s="48">
        <v>1.2</v>
      </c>
      <c r="F59" s="48">
        <v>1</v>
      </c>
      <c r="G59" s="123">
        <f t="shared" si="23"/>
        <v>1.5988161300635786</v>
      </c>
      <c r="H59" s="123">
        <f t="shared" si="24"/>
        <v>1.7249999999999999</v>
      </c>
      <c r="I59" s="123">
        <v>200</v>
      </c>
      <c r="J59" s="123">
        <v>15</v>
      </c>
      <c r="K59" s="123">
        <f t="shared" si="25"/>
        <v>185</v>
      </c>
      <c r="L59" s="129">
        <f t="shared" si="16"/>
        <v>55552.896292346522</v>
      </c>
      <c r="M59" s="130">
        <f t="shared" si="26"/>
        <v>55.552896292346524</v>
      </c>
      <c r="N59" s="130">
        <f t="shared" si="27"/>
        <v>5.6628844334705937</v>
      </c>
      <c r="O59" s="131">
        <f t="shared" si="28"/>
        <v>317.12152827435324</v>
      </c>
      <c r="P59" s="132">
        <f t="shared" si="17"/>
        <v>2.2153413640197477</v>
      </c>
      <c r="Q59" s="132">
        <f t="shared" si="18"/>
        <v>40.488919587642904</v>
      </c>
      <c r="R59" s="133">
        <f t="shared" si="19"/>
        <v>27.203909540334273</v>
      </c>
      <c r="S59" s="133">
        <f t="shared" si="20"/>
        <v>72.870137119200876</v>
      </c>
      <c r="T59" s="125">
        <v>160</v>
      </c>
      <c r="U59" s="125">
        <f t="shared" si="21"/>
        <v>100.07404665953516</v>
      </c>
      <c r="V59" s="133">
        <f t="shared" si="22"/>
        <v>-45.666227578866604</v>
      </c>
      <c r="W59" s="134">
        <f t="shared" si="13"/>
        <v>5.9112426035502921</v>
      </c>
      <c r="X59" s="128">
        <v>2.3125</v>
      </c>
      <c r="Y59" s="134">
        <f t="shared" si="14"/>
        <v>1.7624209304350129</v>
      </c>
    </row>
    <row r="60" spans="1:25" x14ac:dyDescent="0.3">
      <c r="A60" s="123">
        <v>260</v>
      </c>
      <c r="B60" s="123">
        <v>300</v>
      </c>
      <c r="C60" s="123">
        <v>30</v>
      </c>
      <c r="D60" s="123">
        <f t="shared" si="15"/>
        <v>0.52359877559829882</v>
      </c>
      <c r="E60" s="48">
        <v>1.3</v>
      </c>
      <c r="F60" s="48">
        <v>1</v>
      </c>
      <c r="G60" s="123">
        <f t="shared" si="23"/>
        <v>1.7320508075688772</v>
      </c>
      <c r="H60" s="123">
        <f t="shared" si="24"/>
        <v>1.7249999999999999</v>
      </c>
      <c r="I60" s="123">
        <v>200</v>
      </c>
      <c r="J60" s="123">
        <v>15</v>
      </c>
      <c r="K60" s="123">
        <f t="shared" si="25"/>
        <v>185</v>
      </c>
      <c r="L60" s="129">
        <f t="shared" si="16"/>
        <v>65197.496343101157</v>
      </c>
      <c r="M60" s="130">
        <f t="shared" si="26"/>
        <v>65.19749634310115</v>
      </c>
      <c r="N60" s="130">
        <f t="shared" si="27"/>
        <v>6.6460240920592399</v>
      </c>
      <c r="O60" s="131">
        <f t="shared" si="28"/>
        <v>372.17734915531742</v>
      </c>
      <c r="P60" s="132">
        <f t="shared" si="17"/>
        <v>2.2153413640197468</v>
      </c>
      <c r="Q60" s="132">
        <f t="shared" si="18"/>
        <v>40.488919587642897</v>
      </c>
      <c r="R60" s="133">
        <f t="shared" si="19"/>
        <v>21.396611600226493</v>
      </c>
      <c r="S60" s="133">
        <f t="shared" si="20"/>
        <v>70.979431470113639</v>
      </c>
      <c r="T60" s="125">
        <v>160</v>
      </c>
      <c r="U60" s="125">
        <f t="shared" si="21"/>
        <v>92.376043070340131</v>
      </c>
      <c r="V60" s="133">
        <f t="shared" si="22"/>
        <v>-49.582819869887146</v>
      </c>
      <c r="W60" s="134">
        <f t="shared" si="13"/>
        <v>6.9374999999999991</v>
      </c>
      <c r="X60" s="128">
        <v>2.3125</v>
      </c>
      <c r="Y60" s="134">
        <f t="shared" si="14"/>
        <v>1.7624209304350131</v>
      </c>
    </row>
    <row r="61" spans="1:25" x14ac:dyDescent="0.3">
      <c r="A61" s="123">
        <v>260</v>
      </c>
      <c r="B61" s="123">
        <v>300</v>
      </c>
      <c r="C61" s="123">
        <v>30</v>
      </c>
      <c r="D61" s="123">
        <f t="shared" si="15"/>
        <v>0.52359877559829882</v>
      </c>
      <c r="E61" s="48">
        <v>1.4</v>
      </c>
      <c r="F61" s="48">
        <v>1</v>
      </c>
      <c r="G61" s="123">
        <f t="shared" si="23"/>
        <v>1.8652854850741751</v>
      </c>
      <c r="H61" s="123">
        <f t="shared" si="24"/>
        <v>1.7249999999999999</v>
      </c>
      <c r="I61" s="123">
        <v>200</v>
      </c>
      <c r="J61" s="123">
        <v>15</v>
      </c>
      <c r="K61" s="123">
        <f t="shared" si="25"/>
        <v>185</v>
      </c>
      <c r="L61" s="129">
        <f t="shared" si="16"/>
        <v>75613.664397916102</v>
      </c>
      <c r="M61" s="130">
        <f t="shared" si="26"/>
        <v>75.613664397916097</v>
      </c>
      <c r="N61" s="130">
        <f t="shared" si="27"/>
        <v>7.7078149233349738</v>
      </c>
      <c r="O61" s="131">
        <f t="shared" si="28"/>
        <v>431.63763570675854</v>
      </c>
      <c r="P61" s="132">
        <f t="shared" si="17"/>
        <v>2.2153413640197468</v>
      </c>
      <c r="Q61" s="132">
        <f t="shared" si="18"/>
        <v>40.488919587642897</v>
      </c>
      <c r="R61" s="133">
        <f t="shared" si="19"/>
        <v>17.131324958344617</v>
      </c>
      <c r="S61" s="133">
        <f t="shared" si="20"/>
        <v>68.646429321256946</v>
      </c>
      <c r="T61" s="125">
        <v>160</v>
      </c>
      <c r="U61" s="125">
        <f t="shared" si="21"/>
        <v>85.777754279601567</v>
      </c>
      <c r="V61" s="133">
        <f t="shared" si="22"/>
        <v>-51.515104362912325</v>
      </c>
      <c r="W61" s="134">
        <f t="shared" si="13"/>
        <v>8.0458579881656771</v>
      </c>
      <c r="X61" s="128">
        <v>2.3125</v>
      </c>
      <c r="Y61" s="134">
        <f t="shared" si="14"/>
        <v>1.7624209304350131</v>
      </c>
    </row>
    <row r="62" spans="1:25" x14ac:dyDescent="0.3">
      <c r="A62" s="123">
        <v>260</v>
      </c>
      <c r="B62" s="123">
        <v>300</v>
      </c>
      <c r="C62" s="123">
        <v>30</v>
      </c>
      <c r="D62" s="123">
        <f t="shared" si="15"/>
        <v>0.52359877559829882</v>
      </c>
      <c r="E62" s="48">
        <v>1.5</v>
      </c>
      <c r="F62" s="48">
        <v>1</v>
      </c>
      <c r="G62" s="123">
        <f t="shared" si="23"/>
        <v>1.9985201625794735</v>
      </c>
      <c r="H62" s="123">
        <f t="shared" si="24"/>
        <v>1.7249999999999999</v>
      </c>
      <c r="I62" s="123">
        <v>200</v>
      </c>
      <c r="J62" s="123">
        <v>15</v>
      </c>
      <c r="K62" s="123">
        <f t="shared" si="25"/>
        <v>185</v>
      </c>
      <c r="L62" s="129">
        <f t="shared" si="16"/>
        <v>86801.400456791467</v>
      </c>
      <c r="M62" s="130">
        <f t="shared" si="26"/>
        <v>86.80140045679147</v>
      </c>
      <c r="N62" s="130">
        <f t="shared" si="27"/>
        <v>8.848256927297804</v>
      </c>
      <c r="O62" s="131">
        <f t="shared" si="28"/>
        <v>495.50238792867702</v>
      </c>
      <c r="P62" s="132">
        <f t="shared" si="17"/>
        <v>2.2153413640197472</v>
      </c>
      <c r="Q62" s="132">
        <f t="shared" si="18"/>
        <v>40.488919587642897</v>
      </c>
      <c r="R62" s="133">
        <f t="shared" si="19"/>
        <v>13.928401684651144</v>
      </c>
      <c r="S62" s="133">
        <f t="shared" si="20"/>
        <v>66.130835642976962</v>
      </c>
      <c r="T62" s="125">
        <v>160</v>
      </c>
      <c r="U62" s="125">
        <f t="shared" si="21"/>
        <v>80.059237327628111</v>
      </c>
      <c r="V62" s="133">
        <f t="shared" si="22"/>
        <v>-52.20243395832582</v>
      </c>
      <c r="W62" s="134">
        <f t="shared" si="13"/>
        <v>9.236316568047334</v>
      </c>
      <c r="X62" s="128">
        <v>2.3125</v>
      </c>
      <c r="Y62" s="134">
        <f t="shared" si="14"/>
        <v>1.7624209304350131</v>
      </c>
    </row>
    <row r="63" spans="1:25" x14ac:dyDescent="0.3">
      <c r="A63" s="123">
        <v>260</v>
      </c>
      <c r="B63" s="123">
        <v>300</v>
      </c>
      <c r="C63" s="135">
        <v>30</v>
      </c>
      <c r="D63" s="135">
        <f t="shared" si="15"/>
        <v>0.52359877559829882</v>
      </c>
      <c r="E63" s="135">
        <v>1.6</v>
      </c>
      <c r="F63" s="135">
        <v>1</v>
      </c>
      <c r="G63" s="123">
        <f t="shared" si="23"/>
        <v>2.1317548400847719</v>
      </c>
      <c r="H63" s="123">
        <f t="shared" si="24"/>
        <v>1.7249999999999999</v>
      </c>
      <c r="I63" s="123">
        <v>200</v>
      </c>
      <c r="J63" s="123">
        <v>15</v>
      </c>
      <c r="K63" s="123">
        <f t="shared" si="25"/>
        <v>185</v>
      </c>
      <c r="L63" s="136">
        <f t="shared" si="16"/>
        <v>98760.704519727195</v>
      </c>
      <c r="M63" s="130">
        <f t="shared" si="26"/>
        <v>98.760704519727199</v>
      </c>
      <c r="N63" s="130">
        <f t="shared" si="27"/>
        <v>10.067350103947726</v>
      </c>
      <c r="O63" s="131">
        <f t="shared" si="28"/>
        <v>563.77160582107263</v>
      </c>
      <c r="P63" s="132">
        <f t="shared" si="17"/>
        <v>2.2153413640197472</v>
      </c>
      <c r="Q63" s="132">
        <f t="shared" si="18"/>
        <v>40.488919587642897</v>
      </c>
      <c r="R63" s="133">
        <f t="shared" si="19"/>
        <v>11.476649337328514</v>
      </c>
      <c r="S63" s="133">
        <f t="shared" si="20"/>
        <v>63.578885657322843</v>
      </c>
      <c r="T63" s="125">
        <v>160</v>
      </c>
      <c r="U63" s="125">
        <f t="shared" si="21"/>
        <v>75.055534994651353</v>
      </c>
      <c r="V63" s="133">
        <f t="shared" si="22"/>
        <v>-52.102236319994333</v>
      </c>
      <c r="W63" s="134">
        <f t="shared" si="13"/>
        <v>10.508875739644969</v>
      </c>
      <c r="X63" s="128">
        <v>2.3125</v>
      </c>
      <c r="Y63" s="134">
        <f t="shared" si="14"/>
        <v>1.7624209304350131</v>
      </c>
    </row>
    <row r="64" spans="1:25" x14ac:dyDescent="0.3">
      <c r="A64" s="123">
        <v>260</v>
      </c>
      <c r="B64" s="123">
        <v>300</v>
      </c>
      <c r="C64" s="135">
        <v>30</v>
      </c>
      <c r="D64" s="135">
        <f t="shared" si="15"/>
        <v>0.52359877559829882</v>
      </c>
      <c r="E64" s="135">
        <v>1.7</v>
      </c>
      <c r="F64" s="135">
        <v>1</v>
      </c>
      <c r="G64" s="123">
        <f t="shared" si="23"/>
        <v>2.2649895175900698</v>
      </c>
      <c r="H64" s="123">
        <f t="shared" si="24"/>
        <v>1.7249999999999999</v>
      </c>
      <c r="I64" s="123">
        <v>200</v>
      </c>
      <c r="J64" s="123">
        <v>15</v>
      </c>
      <c r="K64" s="123">
        <f t="shared" si="25"/>
        <v>185</v>
      </c>
      <c r="L64" s="136">
        <f t="shared" si="16"/>
        <v>111491.57658672324</v>
      </c>
      <c r="M64" s="130">
        <f t="shared" si="26"/>
        <v>111.49157658672324</v>
      </c>
      <c r="N64" s="130">
        <f t="shared" si="27"/>
        <v>11.365094453284733</v>
      </c>
      <c r="O64" s="131">
        <f t="shared" si="28"/>
        <v>636.44528938394501</v>
      </c>
      <c r="P64" s="132">
        <f t="shared" si="17"/>
        <v>2.2153413640197472</v>
      </c>
      <c r="Q64" s="132">
        <f t="shared" si="18"/>
        <v>40.488919587642897</v>
      </c>
      <c r="R64" s="133">
        <f t="shared" si="19"/>
        <v>9.5681570701603125</v>
      </c>
      <c r="S64" s="133">
        <f t="shared" si="20"/>
        <v>61.072346454217438</v>
      </c>
      <c r="T64" s="125">
        <v>160</v>
      </c>
      <c r="U64" s="125">
        <f t="shared" si="21"/>
        <v>70.640503524377749</v>
      </c>
      <c r="V64" s="133">
        <f t="shared" si="22"/>
        <v>-51.504189384057128</v>
      </c>
      <c r="W64" s="134">
        <f t="shared" si="13"/>
        <v>11.863535502958575</v>
      </c>
      <c r="X64" s="128">
        <v>2.3125</v>
      </c>
      <c r="Y64" s="134">
        <f t="shared" si="14"/>
        <v>1.7624209304350131</v>
      </c>
    </row>
    <row r="65" spans="1:25" x14ac:dyDescent="0.3">
      <c r="A65" s="123">
        <v>260</v>
      </c>
      <c r="B65" s="123">
        <v>300</v>
      </c>
      <c r="C65" s="135">
        <v>30</v>
      </c>
      <c r="D65" s="135">
        <f t="shared" si="15"/>
        <v>0.52359877559829882</v>
      </c>
      <c r="E65" s="135">
        <v>1.8</v>
      </c>
      <c r="F65" s="135">
        <v>1</v>
      </c>
      <c r="G65" s="123">
        <f t="shared" si="23"/>
        <v>2.3982241950953682</v>
      </c>
      <c r="H65" s="123">
        <f t="shared" si="24"/>
        <v>1.7249999999999999</v>
      </c>
      <c r="I65" s="123">
        <v>200</v>
      </c>
      <c r="J65" s="123">
        <v>15</v>
      </c>
      <c r="K65" s="123">
        <f t="shared" si="25"/>
        <v>185</v>
      </c>
      <c r="L65" s="136">
        <f t="shared" si="16"/>
        <v>124994.01665777972</v>
      </c>
      <c r="M65" s="130">
        <f t="shared" si="26"/>
        <v>124.99401665777972</v>
      </c>
      <c r="N65" s="130">
        <f t="shared" si="27"/>
        <v>12.74148997530884</v>
      </c>
      <c r="O65" s="131">
        <f t="shared" si="28"/>
        <v>713.52343861729503</v>
      </c>
      <c r="P65" s="132">
        <f t="shared" si="17"/>
        <v>2.2153413640197472</v>
      </c>
      <c r="Q65" s="132">
        <f t="shared" si="18"/>
        <v>40.488919587642897</v>
      </c>
      <c r="R65" s="133">
        <f t="shared" si="19"/>
        <v>8.0604176415805231</v>
      </c>
      <c r="S65" s="133">
        <f t="shared" si="20"/>
        <v>58.655613464776245</v>
      </c>
      <c r="T65" s="125">
        <v>160</v>
      </c>
      <c r="U65" s="125">
        <f t="shared" si="21"/>
        <v>66.716031106356766</v>
      </c>
      <c r="V65" s="133">
        <f t="shared" si="22"/>
        <v>-50.595195823195724</v>
      </c>
      <c r="W65" s="134">
        <f t="shared" si="13"/>
        <v>13.300295857988162</v>
      </c>
      <c r="X65" s="128">
        <v>2.3125</v>
      </c>
      <c r="Y65" s="134">
        <f t="shared" si="14"/>
        <v>1.7624209304350134</v>
      </c>
    </row>
    <row r="66" spans="1:25" x14ac:dyDescent="0.3">
      <c r="A66" s="123">
        <v>260</v>
      </c>
      <c r="B66" s="123">
        <v>300</v>
      </c>
      <c r="C66" s="135">
        <v>30</v>
      </c>
      <c r="D66" s="135">
        <f t="shared" si="15"/>
        <v>0.52359877559829882</v>
      </c>
      <c r="E66" s="135">
        <v>1.9</v>
      </c>
      <c r="F66" s="135">
        <v>1</v>
      </c>
      <c r="G66" s="123">
        <f t="shared" si="23"/>
        <v>2.5314588726006662</v>
      </c>
      <c r="H66" s="123">
        <f t="shared" si="24"/>
        <v>1.7249999999999999</v>
      </c>
      <c r="I66" s="123">
        <v>200</v>
      </c>
      <c r="J66" s="123">
        <v>15</v>
      </c>
      <c r="K66" s="123">
        <f t="shared" si="25"/>
        <v>185</v>
      </c>
      <c r="L66" s="136">
        <f t="shared" si="16"/>
        <v>139268.02473289651</v>
      </c>
      <c r="M66" s="130">
        <f t="shared" si="26"/>
        <v>139.26802473289649</v>
      </c>
      <c r="N66" s="130">
        <f t="shared" si="27"/>
        <v>14.196536670020029</v>
      </c>
      <c r="O66" s="131">
        <f t="shared" si="28"/>
        <v>795.00605352112166</v>
      </c>
      <c r="P66" s="132">
        <f t="shared" si="17"/>
        <v>2.2153413640197468</v>
      </c>
      <c r="Q66" s="132">
        <f t="shared" si="18"/>
        <v>40.488919587642897</v>
      </c>
      <c r="R66" s="133">
        <f t="shared" si="19"/>
        <v>6.8535290400492235</v>
      </c>
      <c r="S66" s="133">
        <f t="shared" si="20"/>
        <v>56.351132008078245</v>
      </c>
      <c r="T66" s="125">
        <v>160</v>
      </c>
      <c r="U66" s="125">
        <f t="shared" si="21"/>
        <v>63.20466104812747</v>
      </c>
      <c r="V66" s="133">
        <f t="shared" si="22"/>
        <v>-49.497602968029021</v>
      </c>
      <c r="W66" s="134">
        <f t="shared" si="13"/>
        <v>14.819156804733721</v>
      </c>
      <c r="X66" s="128">
        <v>2.3125</v>
      </c>
      <c r="Y66" s="134">
        <f t="shared" si="14"/>
        <v>1.7624209304350131</v>
      </c>
    </row>
    <row r="67" spans="1:25" x14ac:dyDescent="0.3">
      <c r="A67" s="123">
        <v>260</v>
      </c>
      <c r="B67" s="123">
        <v>300</v>
      </c>
      <c r="C67" s="135">
        <v>30</v>
      </c>
      <c r="D67" s="135">
        <f t="shared" si="15"/>
        <v>0.52359877559829882</v>
      </c>
      <c r="E67" s="135">
        <v>2</v>
      </c>
      <c r="F67" s="135">
        <v>1</v>
      </c>
      <c r="G67" s="123">
        <f t="shared" si="23"/>
        <v>2.6646935501059645</v>
      </c>
      <c r="H67" s="123">
        <f t="shared" si="24"/>
        <v>1.7249999999999999</v>
      </c>
      <c r="I67" s="123">
        <v>200</v>
      </c>
      <c r="J67" s="123">
        <v>15</v>
      </c>
      <c r="K67" s="123">
        <f t="shared" si="25"/>
        <v>185</v>
      </c>
      <c r="L67" s="136">
        <f t="shared" si="16"/>
        <v>154313.60081207371</v>
      </c>
      <c r="M67" s="130">
        <f t="shared" si="26"/>
        <v>154.3136008120737</v>
      </c>
      <c r="N67" s="130">
        <f t="shared" si="27"/>
        <v>15.730234537418317</v>
      </c>
      <c r="O67" s="131">
        <f t="shared" si="28"/>
        <v>880.89313409542581</v>
      </c>
      <c r="P67" s="132">
        <f t="shared" si="17"/>
        <v>2.2153413640197472</v>
      </c>
      <c r="Q67" s="132">
        <f t="shared" si="18"/>
        <v>40.488919587642897</v>
      </c>
      <c r="R67" s="133">
        <f t="shared" si="19"/>
        <v>5.876044460712202</v>
      </c>
      <c r="S67" s="133">
        <f t="shared" si="20"/>
        <v>54.168383535008893</v>
      </c>
      <c r="T67" s="125">
        <v>160</v>
      </c>
      <c r="U67" s="125">
        <f t="shared" si="21"/>
        <v>60.044427995721094</v>
      </c>
      <c r="V67" s="133">
        <f t="shared" si="22"/>
        <v>-48.292339074296692</v>
      </c>
      <c r="W67" s="134">
        <f t="shared" si="13"/>
        <v>16.420118343195259</v>
      </c>
      <c r="X67" s="128">
        <v>2.3125</v>
      </c>
      <c r="Y67" s="134">
        <f t="shared" si="14"/>
        <v>1.7624209304350134</v>
      </c>
    </row>
    <row r="68" spans="1:25" x14ac:dyDescent="0.3">
      <c r="A68" s="123">
        <v>260</v>
      </c>
      <c r="B68" s="123">
        <v>300</v>
      </c>
      <c r="C68" s="135">
        <v>30</v>
      </c>
      <c r="D68" s="135">
        <f t="shared" si="15"/>
        <v>0.52359877559829882</v>
      </c>
      <c r="E68" s="135">
        <v>2.1</v>
      </c>
      <c r="F68" s="135">
        <v>1</v>
      </c>
      <c r="G68" s="123">
        <f t="shared" si="23"/>
        <v>2.7979282276112629</v>
      </c>
      <c r="H68" s="123">
        <f t="shared" si="24"/>
        <v>1.7249999999999999</v>
      </c>
      <c r="I68" s="123">
        <v>200</v>
      </c>
      <c r="J68" s="123">
        <v>15</v>
      </c>
      <c r="K68" s="123">
        <f t="shared" si="25"/>
        <v>185</v>
      </c>
      <c r="L68" s="136">
        <f t="shared" si="16"/>
        <v>170130.74489531128</v>
      </c>
      <c r="M68" s="130">
        <f t="shared" si="26"/>
        <v>170.13074489531127</v>
      </c>
      <c r="N68" s="130">
        <f t="shared" si="27"/>
        <v>17.342583577503696</v>
      </c>
      <c r="O68" s="131">
        <f t="shared" si="28"/>
        <v>971.18468034020702</v>
      </c>
      <c r="P68" s="132">
        <f t="shared" si="17"/>
        <v>2.2153413640197472</v>
      </c>
      <c r="Q68" s="132">
        <f t="shared" si="18"/>
        <v>40.488919587642897</v>
      </c>
      <c r="R68" s="133">
        <f t="shared" si="19"/>
        <v>5.0759481358058105</v>
      </c>
      <c r="S68" s="133">
        <f t="shared" si="20"/>
        <v>52.109221383928563</v>
      </c>
      <c r="T68" s="125">
        <v>160</v>
      </c>
      <c r="U68" s="125">
        <f t="shared" si="21"/>
        <v>57.185169519734373</v>
      </c>
      <c r="V68" s="133">
        <f t="shared" si="22"/>
        <v>-47.033273248122754</v>
      </c>
      <c r="W68" s="134">
        <f t="shared" si="13"/>
        <v>18.103180473372777</v>
      </c>
      <c r="X68" s="128">
        <v>2.3125</v>
      </c>
      <c r="Y68" s="134">
        <f t="shared" si="14"/>
        <v>1.7624209304350131</v>
      </c>
    </row>
    <row r="69" spans="1:25" x14ac:dyDescent="0.3">
      <c r="A69" s="123">
        <v>260</v>
      </c>
      <c r="B69" s="123">
        <v>300</v>
      </c>
      <c r="C69" s="135">
        <v>30</v>
      </c>
      <c r="D69" s="135">
        <f t="shared" si="15"/>
        <v>0.52359877559829882</v>
      </c>
      <c r="E69" s="135">
        <v>2.2000000000000002</v>
      </c>
      <c r="F69" s="135">
        <v>1</v>
      </c>
      <c r="G69" s="123">
        <f t="shared" si="23"/>
        <v>2.9311629051165613</v>
      </c>
      <c r="H69" s="123">
        <f t="shared" si="24"/>
        <v>1.7249999999999999</v>
      </c>
      <c r="I69" s="123">
        <v>200</v>
      </c>
      <c r="J69" s="123">
        <v>15</v>
      </c>
      <c r="K69" s="123">
        <f t="shared" si="25"/>
        <v>185</v>
      </c>
      <c r="L69" s="136">
        <f t="shared" si="16"/>
        <v>186719.45698260923</v>
      </c>
      <c r="M69" s="130">
        <f t="shared" si="26"/>
        <v>186.71945698260924</v>
      </c>
      <c r="N69" s="130">
        <f t="shared" si="27"/>
        <v>19.033583790276172</v>
      </c>
      <c r="O69" s="131">
        <f t="shared" si="28"/>
        <v>1065.8806922554656</v>
      </c>
      <c r="P69" s="132">
        <f t="shared" si="17"/>
        <v>2.2153413640197477</v>
      </c>
      <c r="Q69" s="132">
        <f t="shared" si="18"/>
        <v>40.488919587642904</v>
      </c>
      <c r="R69" s="133">
        <f t="shared" si="19"/>
        <v>4.4147591740888039</v>
      </c>
      <c r="S69" s="133">
        <f t="shared" si="20"/>
        <v>50.171084458384911</v>
      </c>
      <c r="T69" s="125">
        <v>160</v>
      </c>
      <c r="U69" s="125">
        <f t="shared" si="21"/>
        <v>54.585843632473711</v>
      </c>
      <c r="V69" s="133">
        <f t="shared" si="22"/>
        <v>-45.756325284296111</v>
      </c>
      <c r="W69" s="134">
        <f t="shared" si="13"/>
        <v>19.86834319526627</v>
      </c>
      <c r="X69" s="128">
        <v>2.3125</v>
      </c>
      <c r="Y69" s="134">
        <f t="shared" si="14"/>
        <v>1.7624209304350129</v>
      </c>
    </row>
    <row r="70" spans="1:25" x14ac:dyDescent="0.3">
      <c r="A70" s="123">
        <v>260</v>
      </c>
      <c r="B70" s="123">
        <v>300</v>
      </c>
      <c r="C70" s="123">
        <v>30</v>
      </c>
      <c r="D70" s="123">
        <f t="shared" si="15"/>
        <v>0.52359877559829882</v>
      </c>
      <c r="E70" s="48">
        <v>2.2999999999999998</v>
      </c>
      <c r="F70" s="48">
        <v>1</v>
      </c>
      <c r="G70" s="123">
        <f t="shared" si="23"/>
        <v>3.0643975826218588</v>
      </c>
      <c r="H70" s="123">
        <f t="shared" si="24"/>
        <v>1.7249999999999999</v>
      </c>
      <c r="I70" s="123">
        <v>200</v>
      </c>
      <c r="J70" s="123">
        <v>15</v>
      </c>
      <c r="K70" s="123">
        <f t="shared" si="25"/>
        <v>185</v>
      </c>
      <c r="L70" s="129">
        <f t="shared" si="16"/>
        <v>204079.73707396741</v>
      </c>
      <c r="M70" s="130">
        <f t="shared" si="26"/>
        <v>204.07973707396741</v>
      </c>
      <c r="N70" s="130">
        <f t="shared" si="27"/>
        <v>20.803235175735718</v>
      </c>
      <c r="O70" s="131">
        <f t="shared" si="28"/>
        <v>1164.9811698412002</v>
      </c>
      <c r="P70" s="132">
        <f t="shared" si="17"/>
        <v>2.2153413640197472</v>
      </c>
      <c r="Q70" s="132">
        <f t="shared" si="18"/>
        <v>40.488919587642897</v>
      </c>
      <c r="R70" s="133">
        <f t="shared" si="19"/>
        <v>3.8635946154103422</v>
      </c>
      <c r="S70" s="133">
        <f t="shared" si="20"/>
        <v>48.348951467825394</v>
      </c>
      <c r="T70" s="125">
        <v>160</v>
      </c>
      <c r="U70" s="125">
        <f t="shared" si="21"/>
        <v>52.212546083235736</v>
      </c>
      <c r="V70" s="133">
        <f t="shared" si="22"/>
        <v>-44.485356852415052</v>
      </c>
      <c r="W70" s="134">
        <f t="shared" ref="W70:W85" si="29">X70*G70^2</f>
        <v>21.715606508875723</v>
      </c>
      <c r="X70" s="128">
        <v>2.3125</v>
      </c>
      <c r="Y70" s="134">
        <f t="shared" ref="Y70:Y85" si="30">SQRT(W70*1000*9.81/K70)*1/(2*PI()*G70)</f>
        <v>1.7624209304350129</v>
      </c>
    </row>
    <row r="71" spans="1:25" x14ac:dyDescent="0.3">
      <c r="A71" s="123">
        <v>260</v>
      </c>
      <c r="B71" s="123">
        <v>300</v>
      </c>
      <c r="C71" s="123">
        <v>30</v>
      </c>
      <c r="D71" s="123">
        <f t="shared" si="15"/>
        <v>0.52359877559829882</v>
      </c>
      <c r="E71" s="48">
        <v>2.4</v>
      </c>
      <c r="F71" s="48">
        <v>1</v>
      </c>
      <c r="G71" s="123">
        <f t="shared" si="23"/>
        <v>3.1976322601271572</v>
      </c>
      <c r="H71" s="123">
        <f t="shared" si="24"/>
        <v>1.7249999999999999</v>
      </c>
      <c r="I71" s="123">
        <v>200</v>
      </c>
      <c r="J71" s="123">
        <v>15</v>
      </c>
      <c r="K71" s="123">
        <f t="shared" si="25"/>
        <v>185</v>
      </c>
      <c r="L71" s="129">
        <f t="shared" si="16"/>
        <v>222211.58516938609</v>
      </c>
      <c r="M71" s="130">
        <f t="shared" si="26"/>
        <v>222.2115851693861</v>
      </c>
      <c r="N71" s="130">
        <f t="shared" si="27"/>
        <v>22.651537733882375</v>
      </c>
      <c r="O71" s="131">
        <f t="shared" si="28"/>
        <v>1268.486113097413</v>
      </c>
      <c r="P71" s="132">
        <f t="shared" si="17"/>
        <v>2.2153413640197477</v>
      </c>
      <c r="Q71" s="132">
        <f t="shared" si="18"/>
        <v>40.488919587642904</v>
      </c>
      <c r="R71" s="133">
        <f t="shared" si="19"/>
        <v>3.4004886925417841</v>
      </c>
      <c r="S71" s="133">
        <f t="shared" si="20"/>
        <v>46.636534637225793</v>
      </c>
      <c r="T71" s="125">
        <v>160</v>
      </c>
      <c r="U71" s="125">
        <f t="shared" si="21"/>
        <v>50.037023329767578</v>
      </c>
      <c r="V71" s="133">
        <f t="shared" si="22"/>
        <v>-43.236045944684008</v>
      </c>
      <c r="W71" s="134">
        <f t="shared" si="29"/>
        <v>23.644970414201168</v>
      </c>
      <c r="X71" s="128">
        <v>2.3125</v>
      </c>
      <c r="Y71" s="134">
        <f t="shared" si="30"/>
        <v>1.7624209304350129</v>
      </c>
    </row>
    <row r="72" spans="1:25" x14ac:dyDescent="0.3">
      <c r="A72" s="123">
        <v>260</v>
      </c>
      <c r="B72" s="123">
        <v>300</v>
      </c>
      <c r="C72" s="123">
        <v>30</v>
      </c>
      <c r="D72" s="123">
        <f t="shared" si="15"/>
        <v>0.52359877559829882</v>
      </c>
      <c r="E72" s="48">
        <v>2.5</v>
      </c>
      <c r="F72" s="48">
        <v>1</v>
      </c>
      <c r="G72" s="123">
        <f t="shared" si="23"/>
        <v>3.3308669376324556</v>
      </c>
      <c r="H72" s="123">
        <f t="shared" si="24"/>
        <v>1.7249999999999999</v>
      </c>
      <c r="I72" s="123">
        <v>200</v>
      </c>
      <c r="J72" s="123">
        <v>15</v>
      </c>
      <c r="K72" s="123">
        <f t="shared" si="25"/>
        <v>185</v>
      </c>
      <c r="L72" s="129">
        <f t="shared" si="16"/>
        <v>241115.00126886516</v>
      </c>
      <c r="M72" s="130">
        <f t="shared" si="26"/>
        <v>241.11500126886517</v>
      </c>
      <c r="N72" s="130">
        <f t="shared" si="27"/>
        <v>24.578491464716123</v>
      </c>
      <c r="O72" s="131">
        <f t="shared" si="28"/>
        <v>1376.3955220241028</v>
      </c>
      <c r="P72" s="132">
        <f t="shared" si="17"/>
        <v>2.2153413640197477</v>
      </c>
      <c r="Q72" s="132">
        <f t="shared" si="18"/>
        <v>40.488919587642904</v>
      </c>
      <c r="R72" s="133">
        <f t="shared" si="19"/>
        <v>3.0085347638846476</v>
      </c>
      <c r="S72" s="133">
        <f t="shared" si="20"/>
        <v>45.027007632692225</v>
      </c>
      <c r="T72" s="125">
        <v>160</v>
      </c>
      <c r="U72" s="125">
        <f t="shared" si="21"/>
        <v>48.035542396576872</v>
      </c>
      <c r="V72" s="133">
        <f t="shared" si="22"/>
        <v>-42.018472868807578</v>
      </c>
      <c r="W72" s="134">
        <f t="shared" si="29"/>
        <v>25.656434911242592</v>
      </c>
      <c r="X72" s="128">
        <v>2.3125</v>
      </c>
      <c r="Y72" s="134">
        <f t="shared" si="30"/>
        <v>1.7624209304350131</v>
      </c>
    </row>
    <row r="73" spans="1:25" x14ac:dyDescent="0.3">
      <c r="A73" s="123">
        <v>260</v>
      </c>
      <c r="B73" s="123">
        <v>300</v>
      </c>
      <c r="C73" s="135">
        <v>30</v>
      </c>
      <c r="D73" s="135">
        <f t="shared" si="15"/>
        <v>0.52359877559829882</v>
      </c>
      <c r="E73" s="135">
        <v>1</v>
      </c>
      <c r="F73" s="135">
        <v>0.1</v>
      </c>
      <c r="G73" s="123">
        <f t="shared" si="23"/>
        <v>13.323467750529822</v>
      </c>
      <c r="H73" s="123">
        <f t="shared" si="24"/>
        <v>1.7249999999999999</v>
      </c>
      <c r="I73" s="123">
        <v>200</v>
      </c>
      <c r="J73" s="123">
        <v>15</v>
      </c>
      <c r="K73" s="123">
        <f t="shared" si="25"/>
        <v>185</v>
      </c>
      <c r="L73" s="136">
        <f t="shared" si="16"/>
        <v>3857840.0203018426</v>
      </c>
      <c r="M73" s="130">
        <f t="shared" si="26"/>
        <v>3857.8400203018427</v>
      </c>
      <c r="N73" s="130">
        <f t="shared" si="27"/>
        <v>393.25586343545797</v>
      </c>
      <c r="O73" s="131">
        <f t="shared" si="28"/>
        <v>22022.328352385644</v>
      </c>
      <c r="P73" s="132">
        <f t="shared" si="17"/>
        <v>2.2153413640197477</v>
      </c>
      <c r="Q73" s="132">
        <f t="shared" si="18"/>
        <v>40.488919587642904</v>
      </c>
      <c r="R73" s="133">
        <f t="shared" si="19"/>
        <v>4.7008355685697618E-2</v>
      </c>
      <c r="S73" s="133">
        <f t="shared" si="20"/>
        <v>11.96187724345852</v>
      </c>
      <c r="T73" s="125">
        <v>160</v>
      </c>
      <c r="U73" s="125">
        <f t="shared" si="21"/>
        <v>12.008885599144218</v>
      </c>
      <c r="V73" s="133">
        <f t="shared" si="22"/>
        <v>-11.914868887772823</v>
      </c>
      <c r="W73" s="134">
        <f t="shared" si="29"/>
        <v>410.50295857988147</v>
      </c>
      <c r="X73" s="128">
        <v>2.3125</v>
      </c>
      <c r="Y73" s="134">
        <f t="shared" si="30"/>
        <v>1.7624209304350131</v>
      </c>
    </row>
    <row r="74" spans="1:25" x14ac:dyDescent="0.3">
      <c r="A74" s="123">
        <v>260</v>
      </c>
      <c r="B74" s="123">
        <v>300</v>
      </c>
      <c r="C74" s="123">
        <v>30</v>
      </c>
      <c r="D74" s="123">
        <f t="shared" si="15"/>
        <v>0.52359877559829882</v>
      </c>
      <c r="E74" s="48">
        <v>1</v>
      </c>
      <c r="F74" s="48">
        <v>0.2</v>
      </c>
      <c r="G74" s="123">
        <f t="shared" si="23"/>
        <v>6.6617338752649111</v>
      </c>
      <c r="H74" s="123">
        <f t="shared" si="24"/>
        <v>1.7249999999999999</v>
      </c>
      <c r="I74" s="123">
        <v>200</v>
      </c>
      <c r="J74" s="123">
        <v>15</v>
      </c>
      <c r="K74" s="123">
        <f t="shared" si="25"/>
        <v>185</v>
      </c>
      <c r="L74" s="129">
        <f t="shared" si="16"/>
        <v>964460.00507546065</v>
      </c>
      <c r="M74" s="130">
        <f t="shared" si="26"/>
        <v>964.46000507546069</v>
      </c>
      <c r="N74" s="130">
        <f t="shared" si="27"/>
        <v>98.313965858864492</v>
      </c>
      <c r="O74" s="131">
        <f t="shared" si="28"/>
        <v>5505.5820880964111</v>
      </c>
      <c r="P74" s="132">
        <f t="shared" si="17"/>
        <v>2.2153413640197477</v>
      </c>
      <c r="Q74" s="132">
        <f t="shared" si="18"/>
        <v>40.488919587642904</v>
      </c>
      <c r="R74" s="133">
        <f t="shared" si="19"/>
        <v>0.37606684548558095</v>
      </c>
      <c r="S74" s="133">
        <f t="shared" si="20"/>
        <v>23.641704352802854</v>
      </c>
      <c r="T74" s="125">
        <v>160</v>
      </c>
      <c r="U74" s="125">
        <f t="shared" si="21"/>
        <v>24.017771198288436</v>
      </c>
      <c r="V74" s="133">
        <f t="shared" si="22"/>
        <v>-23.265637507317273</v>
      </c>
      <c r="W74" s="134">
        <f t="shared" si="29"/>
        <v>102.62573964497037</v>
      </c>
      <c r="X74" s="128">
        <v>2.3125</v>
      </c>
      <c r="Y74" s="134">
        <f t="shared" si="30"/>
        <v>1.7624209304350131</v>
      </c>
    </row>
    <row r="75" spans="1:25" x14ac:dyDescent="0.3">
      <c r="A75" s="123">
        <v>260</v>
      </c>
      <c r="B75" s="123">
        <v>300</v>
      </c>
      <c r="C75" s="123">
        <v>30</v>
      </c>
      <c r="D75" s="123">
        <f t="shared" si="15"/>
        <v>0.52359877559829882</v>
      </c>
      <c r="E75" s="48">
        <v>1</v>
      </c>
      <c r="F75" s="48">
        <v>0.3</v>
      </c>
      <c r="G75" s="123">
        <f t="shared" si="23"/>
        <v>4.4411559168432744</v>
      </c>
      <c r="H75" s="123">
        <f t="shared" si="24"/>
        <v>1.7249999999999999</v>
      </c>
      <c r="I75" s="123">
        <v>200</v>
      </c>
      <c r="J75" s="123">
        <v>15</v>
      </c>
      <c r="K75" s="123">
        <f t="shared" si="25"/>
        <v>185</v>
      </c>
      <c r="L75" s="129">
        <f t="shared" si="16"/>
        <v>428648.89114464924</v>
      </c>
      <c r="M75" s="130">
        <f t="shared" si="26"/>
        <v>428.64889114464927</v>
      </c>
      <c r="N75" s="130">
        <f t="shared" si="27"/>
        <v>43.695095937273116</v>
      </c>
      <c r="O75" s="131">
        <f t="shared" si="28"/>
        <v>2446.9253724872947</v>
      </c>
      <c r="P75" s="132">
        <f t="shared" si="17"/>
        <v>2.2153413640197477</v>
      </c>
      <c r="Q75" s="132">
        <f t="shared" si="18"/>
        <v>40.488919587642904</v>
      </c>
      <c r="R75" s="133">
        <f t="shared" si="19"/>
        <v>1.269225603513835</v>
      </c>
      <c r="S75" s="133">
        <f t="shared" si="20"/>
        <v>34.757431193918819</v>
      </c>
      <c r="T75" s="125">
        <v>160</v>
      </c>
      <c r="U75" s="125">
        <f t="shared" si="21"/>
        <v>36.026656797432651</v>
      </c>
      <c r="V75" s="133">
        <f t="shared" si="22"/>
        <v>-33.488205590404988</v>
      </c>
      <c r="W75" s="134">
        <f t="shared" si="29"/>
        <v>45.611439842209059</v>
      </c>
      <c r="X75" s="128">
        <v>2.3125</v>
      </c>
      <c r="Y75" s="134">
        <f t="shared" si="30"/>
        <v>1.7624209304350131</v>
      </c>
    </row>
    <row r="76" spans="1:25" x14ac:dyDescent="0.3">
      <c r="A76" s="123">
        <v>260</v>
      </c>
      <c r="B76" s="123">
        <v>300</v>
      </c>
      <c r="C76" s="123">
        <v>30</v>
      </c>
      <c r="D76" s="123">
        <f t="shared" si="15"/>
        <v>0.52359877559829882</v>
      </c>
      <c r="E76" s="48">
        <v>1</v>
      </c>
      <c r="F76" s="48">
        <v>0.4</v>
      </c>
      <c r="G76" s="123">
        <f t="shared" si="23"/>
        <v>3.3308669376324556</v>
      </c>
      <c r="H76" s="123">
        <f t="shared" si="24"/>
        <v>1.7249999999999999</v>
      </c>
      <c r="I76" s="123">
        <v>200</v>
      </c>
      <c r="J76" s="123">
        <v>15</v>
      </c>
      <c r="K76" s="123">
        <f t="shared" si="25"/>
        <v>185</v>
      </c>
      <c r="L76" s="129">
        <f t="shared" si="16"/>
        <v>241115.00126886516</v>
      </c>
      <c r="M76" s="130">
        <f t="shared" si="26"/>
        <v>241.11500126886517</v>
      </c>
      <c r="N76" s="130">
        <f t="shared" si="27"/>
        <v>24.578491464716123</v>
      </c>
      <c r="O76" s="131">
        <f t="shared" si="28"/>
        <v>1376.3955220241028</v>
      </c>
      <c r="P76" s="132">
        <f t="shared" si="17"/>
        <v>2.2153413640197477</v>
      </c>
      <c r="Q76" s="132">
        <f t="shared" si="18"/>
        <v>40.488919587642904</v>
      </c>
      <c r="R76" s="133">
        <f t="shared" si="19"/>
        <v>3.0085347638846476</v>
      </c>
      <c r="S76" s="133">
        <f t="shared" si="20"/>
        <v>45.027007632692225</v>
      </c>
      <c r="T76" s="125">
        <v>160</v>
      </c>
      <c r="U76" s="125">
        <f t="shared" si="21"/>
        <v>48.035542396576872</v>
      </c>
      <c r="V76" s="133">
        <f t="shared" si="22"/>
        <v>-42.018472868807578</v>
      </c>
      <c r="W76" s="134">
        <f t="shared" si="29"/>
        <v>25.656434911242592</v>
      </c>
      <c r="X76" s="128">
        <v>2.3125</v>
      </c>
      <c r="Y76" s="134">
        <f t="shared" si="30"/>
        <v>1.7624209304350131</v>
      </c>
    </row>
    <row r="77" spans="1:25" x14ac:dyDescent="0.3">
      <c r="A77" s="123">
        <v>260</v>
      </c>
      <c r="B77" s="123">
        <v>300</v>
      </c>
      <c r="C77" s="123">
        <v>30</v>
      </c>
      <c r="D77" s="123">
        <f t="shared" si="15"/>
        <v>0.52359877559829882</v>
      </c>
      <c r="E77" s="48">
        <v>1</v>
      </c>
      <c r="F77" s="48">
        <v>0.5</v>
      </c>
      <c r="G77" s="123">
        <f t="shared" si="23"/>
        <v>2.6646935501059645</v>
      </c>
      <c r="H77" s="123">
        <f t="shared" si="24"/>
        <v>1.7249999999999999</v>
      </c>
      <c r="I77" s="123">
        <v>200</v>
      </c>
      <c r="J77" s="123">
        <v>15</v>
      </c>
      <c r="K77" s="123">
        <f t="shared" si="25"/>
        <v>185</v>
      </c>
      <c r="L77" s="129">
        <f t="shared" si="16"/>
        <v>154313.60081207371</v>
      </c>
      <c r="M77" s="130">
        <f t="shared" si="26"/>
        <v>154.3136008120737</v>
      </c>
      <c r="N77" s="130">
        <f t="shared" si="27"/>
        <v>15.730234537418317</v>
      </c>
      <c r="O77" s="131">
        <f t="shared" si="28"/>
        <v>880.89313409542581</v>
      </c>
      <c r="P77" s="132">
        <f t="shared" si="17"/>
        <v>2.2153413640197472</v>
      </c>
      <c r="Q77" s="132">
        <f t="shared" si="18"/>
        <v>40.488919587642897</v>
      </c>
      <c r="R77" s="133">
        <f t="shared" si="19"/>
        <v>5.876044460712202</v>
      </c>
      <c r="S77" s="133">
        <f t="shared" si="20"/>
        <v>54.168383535008893</v>
      </c>
      <c r="T77" s="125">
        <v>160</v>
      </c>
      <c r="U77" s="125">
        <f t="shared" si="21"/>
        <v>60.044427995721094</v>
      </c>
      <c r="V77" s="133">
        <f t="shared" si="22"/>
        <v>-48.292339074296692</v>
      </c>
      <c r="W77" s="134">
        <f t="shared" si="29"/>
        <v>16.420118343195259</v>
      </c>
      <c r="X77" s="128">
        <v>2.3125</v>
      </c>
      <c r="Y77" s="134">
        <f t="shared" si="30"/>
        <v>1.7624209304350134</v>
      </c>
    </row>
    <row r="78" spans="1:25" x14ac:dyDescent="0.3">
      <c r="A78" s="123">
        <v>260</v>
      </c>
      <c r="B78" s="123">
        <v>300</v>
      </c>
      <c r="C78" s="123">
        <v>30</v>
      </c>
      <c r="D78" s="123">
        <f t="shared" si="15"/>
        <v>0.52359877559829882</v>
      </c>
      <c r="E78" s="48">
        <v>1</v>
      </c>
      <c r="F78" s="48">
        <v>0.6</v>
      </c>
      <c r="G78" s="123">
        <f t="shared" si="23"/>
        <v>2.2205779584216372</v>
      </c>
      <c r="H78" s="123">
        <f t="shared" si="24"/>
        <v>1.7249999999999999</v>
      </c>
      <c r="I78" s="123">
        <v>200</v>
      </c>
      <c r="J78" s="123">
        <v>15</v>
      </c>
      <c r="K78" s="123">
        <f t="shared" si="25"/>
        <v>185</v>
      </c>
      <c r="L78" s="129">
        <f t="shared" si="16"/>
        <v>107162.22278616231</v>
      </c>
      <c r="M78" s="130">
        <f t="shared" si="26"/>
        <v>107.16222278616232</v>
      </c>
      <c r="N78" s="130">
        <f t="shared" si="27"/>
        <v>10.923773984318279</v>
      </c>
      <c r="O78" s="131">
        <f t="shared" si="28"/>
        <v>611.73134312182367</v>
      </c>
      <c r="P78" s="132">
        <f t="shared" si="17"/>
        <v>2.2153413640197477</v>
      </c>
      <c r="Q78" s="132">
        <f t="shared" si="18"/>
        <v>40.488919587642904</v>
      </c>
      <c r="R78" s="133">
        <f t="shared" si="19"/>
        <v>10.15380482811068</v>
      </c>
      <c r="S78" s="133">
        <f t="shared" si="20"/>
        <v>61.899508766754622</v>
      </c>
      <c r="T78" s="125">
        <v>160</v>
      </c>
      <c r="U78" s="125">
        <f t="shared" si="21"/>
        <v>72.053313594865301</v>
      </c>
      <c r="V78" s="133">
        <f t="shared" si="22"/>
        <v>-51.745703938643942</v>
      </c>
      <c r="W78" s="134">
        <f t="shared" si="29"/>
        <v>11.402859960552265</v>
      </c>
      <c r="X78" s="128">
        <v>2.3125</v>
      </c>
      <c r="Y78" s="134">
        <f t="shared" si="30"/>
        <v>1.7624209304350131</v>
      </c>
    </row>
    <row r="79" spans="1:25" x14ac:dyDescent="0.3">
      <c r="A79" s="123">
        <v>260</v>
      </c>
      <c r="B79" s="123">
        <v>300</v>
      </c>
      <c r="C79" s="123">
        <v>30</v>
      </c>
      <c r="D79" s="123">
        <f t="shared" si="15"/>
        <v>0.52359877559829882</v>
      </c>
      <c r="E79" s="48">
        <v>1</v>
      </c>
      <c r="F79" s="48">
        <v>0.7</v>
      </c>
      <c r="G79" s="123">
        <f t="shared" si="23"/>
        <v>1.9033525357899748</v>
      </c>
      <c r="H79" s="123">
        <f t="shared" si="24"/>
        <v>1.7249999999999999</v>
      </c>
      <c r="I79" s="123">
        <v>200</v>
      </c>
      <c r="J79" s="123">
        <v>15</v>
      </c>
      <c r="K79" s="123">
        <f t="shared" si="25"/>
        <v>185</v>
      </c>
      <c r="L79" s="129">
        <f t="shared" si="16"/>
        <v>78731.428985751903</v>
      </c>
      <c r="M79" s="130">
        <f t="shared" si="26"/>
        <v>78.731428985751904</v>
      </c>
      <c r="N79" s="130">
        <f t="shared" si="27"/>
        <v>8.0256298660297549</v>
      </c>
      <c r="O79" s="131">
        <f t="shared" si="28"/>
        <v>449.43527249766629</v>
      </c>
      <c r="P79" s="132">
        <f t="shared" si="17"/>
        <v>2.2153413640197472</v>
      </c>
      <c r="Q79" s="132">
        <f t="shared" si="18"/>
        <v>40.488919587642897</v>
      </c>
      <c r="R79" s="133">
        <f t="shared" si="19"/>
        <v>16.12386600019428</v>
      </c>
      <c r="S79" s="133">
        <f t="shared" si="20"/>
        <v>67.938333193815239</v>
      </c>
      <c r="T79" s="125">
        <v>160</v>
      </c>
      <c r="U79" s="125">
        <f t="shared" si="21"/>
        <v>84.062199194009523</v>
      </c>
      <c r="V79" s="133">
        <f t="shared" si="22"/>
        <v>-51.814467193620956</v>
      </c>
      <c r="W79" s="134">
        <f t="shared" si="29"/>
        <v>8.3776113995894192</v>
      </c>
      <c r="X79" s="128">
        <v>2.3125</v>
      </c>
      <c r="Y79" s="134">
        <f t="shared" si="30"/>
        <v>1.7624209304350134</v>
      </c>
    </row>
    <row r="80" spans="1:25" x14ac:dyDescent="0.3">
      <c r="A80" s="123">
        <v>260</v>
      </c>
      <c r="B80" s="123">
        <v>300</v>
      </c>
      <c r="C80" s="123">
        <v>30</v>
      </c>
      <c r="D80" s="123">
        <f t="shared" si="15"/>
        <v>0.52359877559829882</v>
      </c>
      <c r="E80" s="48">
        <v>1</v>
      </c>
      <c r="F80" s="48">
        <v>0.8</v>
      </c>
      <c r="G80" s="123">
        <f t="shared" si="23"/>
        <v>1.6654334688162278</v>
      </c>
      <c r="H80" s="123">
        <f t="shared" si="24"/>
        <v>1.7249999999999999</v>
      </c>
      <c r="I80" s="123">
        <v>200</v>
      </c>
      <c r="J80" s="123">
        <v>15</v>
      </c>
      <c r="K80" s="123">
        <f t="shared" si="25"/>
        <v>185</v>
      </c>
      <c r="L80" s="129">
        <f t="shared" si="16"/>
        <v>60278.750317216291</v>
      </c>
      <c r="M80" s="130">
        <f t="shared" si="26"/>
        <v>60.278750317216293</v>
      </c>
      <c r="N80" s="130">
        <f t="shared" si="27"/>
        <v>6.1446228661790308</v>
      </c>
      <c r="O80" s="131">
        <f t="shared" si="28"/>
        <v>344.09888050602569</v>
      </c>
      <c r="P80" s="132">
        <f t="shared" si="17"/>
        <v>2.2153413640197477</v>
      </c>
      <c r="Q80" s="132">
        <f t="shared" si="18"/>
        <v>40.488919587642904</v>
      </c>
      <c r="R80" s="133">
        <f t="shared" si="19"/>
        <v>24.068278111077181</v>
      </c>
      <c r="S80" s="133">
        <f t="shared" si="20"/>
        <v>72.002806682076567</v>
      </c>
      <c r="T80" s="125">
        <v>160</v>
      </c>
      <c r="U80" s="125">
        <f t="shared" si="21"/>
        <v>96.071084793153744</v>
      </c>
      <c r="V80" s="133">
        <f t="shared" si="22"/>
        <v>-47.93452857099939</v>
      </c>
      <c r="W80" s="134">
        <f t="shared" si="29"/>
        <v>6.4141087278106479</v>
      </c>
      <c r="X80" s="128">
        <v>2.3125</v>
      </c>
      <c r="Y80" s="134">
        <f t="shared" si="30"/>
        <v>1.7624209304350131</v>
      </c>
    </row>
    <row r="81" spans="1:25" x14ac:dyDescent="0.3">
      <c r="A81" s="123">
        <v>260</v>
      </c>
      <c r="B81" s="123">
        <v>300</v>
      </c>
      <c r="C81" s="123">
        <v>30</v>
      </c>
      <c r="D81" s="123">
        <f t="shared" si="15"/>
        <v>0.52359877559829882</v>
      </c>
      <c r="E81" s="48">
        <v>1</v>
      </c>
      <c r="F81" s="48">
        <v>0.9</v>
      </c>
      <c r="G81" s="123">
        <f t="shared" si="23"/>
        <v>1.4803853056144247</v>
      </c>
      <c r="H81" s="123">
        <f t="shared" si="24"/>
        <v>1.7249999999999999</v>
      </c>
      <c r="I81" s="123">
        <v>200</v>
      </c>
      <c r="J81" s="123">
        <v>15</v>
      </c>
      <c r="K81" s="123">
        <f t="shared" si="25"/>
        <v>185</v>
      </c>
      <c r="L81" s="129">
        <f t="shared" si="16"/>
        <v>47627.654571627689</v>
      </c>
      <c r="M81" s="130">
        <f t="shared" si="26"/>
        <v>47.627654571627687</v>
      </c>
      <c r="N81" s="130">
        <f t="shared" si="27"/>
        <v>4.8550106596970117</v>
      </c>
      <c r="O81" s="131">
        <f t="shared" si="28"/>
        <v>271.88059694303263</v>
      </c>
      <c r="P81" s="132">
        <f t="shared" si="17"/>
        <v>2.2153413640197472</v>
      </c>
      <c r="Q81" s="132">
        <f t="shared" si="18"/>
        <v>40.488919587642897</v>
      </c>
      <c r="R81" s="133">
        <f t="shared" si="19"/>
        <v>34.269091294873562</v>
      </c>
      <c r="S81" s="133">
        <f t="shared" si="20"/>
        <v>73.810879097424404</v>
      </c>
      <c r="T81" s="125">
        <v>160</v>
      </c>
      <c r="U81" s="125">
        <f t="shared" si="21"/>
        <v>108.07997039229797</v>
      </c>
      <c r="V81" s="133">
        <f t="shared" si="22"/>
        <v>-39.541787802550843</v>
      </c>
      <c r="W81" s="134">
        <f t="shared" si="29"/>
        <v>5.0679377602454503</v>
      </c>
      <c r="X81" s="128">
        <v>2.3125</v>
      </c>
      <c r="Y81" s="134">
        <f t="shared" si="30"/>
        <v>1.7624209304350131</v>
      </c>
    </row>
    <row r="82" spans="1:25" x14ac:dyDescent="0.3">
      <c r="A82" s="123">
        <v>260</v>
      </c>
      <c r="B82" s="123">
        <v>300</v>
      </c>
      <c r="C82" s="123">
        <v>30</v>
      </c>
      <c r="D82" s="123">
        <f t="shared" si="15"/>
        <v>0.52359877559829882</v>
      </c>
      <c r="E82" s="48">
        <v>1</v>
      </c>
      <c r="F82" s="48">
        <v>1</v>
      </c>
      <c r="G82" s="123">
        <f t="shared" si="23"/>
        <v>1.3323467750529823</v>
      </c>
      <c r="H82" s="123">
        <f t="shared" si="24"/>
        <v>1.7249999999999999</v>
      </c>
      <c r="I82" s="123">
        <v>200</v>
      </c>
      <c r="J82" s="123">
        <v>15</v>
      </c>
      <c r="K82" s="123">
        <f t="shared" si="25"/>
        <v>185</v>
      </c>
      <c r="L82" s="129">
        <f t="shared" si="16"/>
        <v>38578.400203018427</v>
      </c>
      <c r="M82" s="130">
        <f t="shared" si="26"/>
        <v>38.578400203018425</v>
      </c>
      <c r="N82" s="130">
        <f t="shared" si="27"/>
        <v>3.9325586343545793</v>
      </c>
      <c r="O82" s="131">
        <f t="shared" si="28"/>
        <v>220.22328352385645</v>
      </c>
      <c r="P82" s="132">
        <f t="shared" si="17"/>
        <v>2.2153413640197472</v>
      </c>
      <c r="Q82" s="132">
        <f t="shared" si="18"/>
        <v>40.488919587642897</v>
      </c>
      <c r="R82" s="133">
        <f t="shared" si="19"/>
        <v>47.008355685697616</v>
      </c>
      <c r="S82" s="133">
        <f t="shared" si="20"/>
        <v>73.080500305744579</v>
      </c>
      <c r="T82" s="125">
        <v>160</v>
      </c>
      <c r="U82" s="125">
        <f t="shared" si="21"/>
        <v>120.08885599144219</v>
      </c>
      <c r="V82" s="133">
        <f t="shared" si="22"/>
        <v>-26.072144620046963</v>
      </c>
      <c r="W82" s="134">
        <f t="shared" si="29"/>
        <v>4.1050295857988148</v>
      </c>
      <c r="X82" s="128">
        <v>2.3125</v>
      </c>
      <c r="Y82" s="134">
        <f t="shared" si="30"/>
        <v>1.7624209304350134</v>
      </c>
    </row>
    <row r="83" spans="1:25" x14ac:dyDescent="0.3">
      <c r="A83" s="123">
        <v>260</v>
      </c>
      <c r="B83" s="123">
        <v>300</v>
      </c>
      <c r="C83" s="123">
        <v>30</v>
      </c>
      <c r="D83" s="123">
        <f t="shared" si="15"/>
        <v>0.52359877559829882</v>
      </c>
      <c r="E83" s="48">
        <v>1</v>
      </c>
      <c r="F83" s="48">
        <v>1.1000000000000001</v>
      </c>
      <c r="G83" s="123">
        <f t="shared" si="23"/>
        <v>1.2112243409572565</v>
      </c>
      <c r="H83" s="123">
        <f t="shared" si="24"/>
        <v>1.7249999999999999</v>
      </c>
      <c r="I83" s="123">
        <v>200</v>
      </c>
      <c r="J83" s="123">
        <v>15</v>
      </c>
      <c r="K83" s="123">
        <f t="shared" si="25"/>
        <v>185</v>
      </c>
      <c r="L83" s="129">
        <f t="shared" si="16"/>
        <v>31882.975374395392</v>
      </c>
      <c r="M83" s="130">
        <f t="shared" si="26"/>
        <v>31.882975374395393</v>
      </c>
      <c r="N83" s="130">
        <f t="shared" si="27"/>
        <v>3.2500484581442803</v>
      </c>
      <c r="O83" s="131">
        <f t="shared" si="28"/>
        <v>182.00271365607969</v>
      </c>
      <c r="P83" s="132">
        <f t="shared" si="17"/>
        <v>2.2153413640197477</v>
      </c>
      <c r="Q83" s="132">
        <f t="shared" si="18"/>
        <v>40.488919587642904</v>
      </c>
      <c r="R83" s="133">
        <f t="shared" si="19"/>
        <v>62.568121417663541</v>
      </c>
      <c r="S83" s="133">
        <f t="shared" si="20"/>
        <v>69.529620172922876</v>
      </c>
      <c r="T83" s="125">
        <v>160</v>
      </c>
      <c r="U83" s="125">
        <f t="shared" si="21"/>
        <v>132.09774159058642</v>
      </c>
      <c r="V83" s="133">
        <f t="shared" si="22"/>
        <v>-6.9614987552593348</v>
      </c>
      <c r="W83" s="134">
        <f t="shared" si="29"/>
        <v>3.3925864345444747</v>
      </c>
      <c r="X83" s="128">
        <v>2.3125</v>
      </c>
      <c r="Y83" s="134">
        <f t="shared" si="30"/>
        <v>1.7624209304350131</v>
      </c>
    </row>
    <row r="84" spans="1:25" x14ac:dyDescent="0.3">
      <c r="A84" s="123">
        <v>260</v>
      </c>
      <c r="B84" s="123">
        <v>300</v>
      </c>
      <c r="C84" s="123">
        <v>30</v>
      </c>
      <c r="D84" s="123">
        <f t="shared" si="15"/>
        <v>0.52359877559829882</v>
      </c>
      <c r="E84" s="48">
        <v>1</v>
      </c>
      <c r="F84" s="48">
        <v>1.2</v>
      </c>
      <c r="G84" s="123">
        <f t="shared" si="23"/>
        <v>1.1102889792108186</v>
      </c>
      <c r="H84" s="123">
        <f t="shared" si="24"/>
        <v>1.7249999999999999</v>
      </c>
      <c r="I84" s="123">
        <v>200</v>
      </c>
      <c r="J84" s="123">
        <v>15</v>
      </c>
      <c r="K84" s="123">
        <f t="shared" si="25"/>
        <v>185</v>
      </c>
      <c r="L84" s="129">
        <f t="shared" si="16"/>
        <v>26790.555696540578</v>
      </c>
      <c r="M84" s="130">
        <f t="shared" si="26"/>
        <v>26.790555696540579</v>
      </c>
      <c r="N84" s="130">
        <f t="shared" si="27"/>
        <v>2.7309434960795698</v>
      </c>
      <c r="O84" s="131">
        <f t="shared" si="28"/>
        <v>152.93283578045592</v>
      </c>
      <c r="P84" s="132">
        <f t="shared" si="17"/>
        <v>2.2153413640197477</v>
      </c>
      <c r="Q84" s="132">
        <f t="shared" si="18"/>
        <v>40.488919587642904</v>
      </c>
      <c r="R84" s="133">
        <f t="shared" si="19"/>
        <v>81.230438624885437</v>
      </c>
      <c r="S84" s="133">
        <f t="shared" si="20"/>
        <v>62.876188564845165</v>
      </c>
      <c r="T84" s="125">
        <v>160</v>
      </c>
      <c r="U84" s="125">
        <f t="shared" si="21"/>
        <v>144.1066271897306</v>
      </c>
      <c r="V84" s="133">
        <f t="shared" si="22"/>
        <v>18.354250060040272</v>
      </c>
      <c r="W84" s="134">
        <f t="shared" si="29"/>
        <v>2.8507149901380662</v>
      </c>
      <c r="X84" s="128">
        <v>2.3125</v>
      </c>
      <c r="Y84" s="134">
        <f t="shared" si="30"/>
        <v>1.7624209304350131</v>
      </c>
    </row>
    <row r="85" spans="1:25" x14ac:dyDescent="0.3">
      <c r="A85" s="123">
        <v>260</v>
      </c>
      <c r="B85" s="123">
        <v>300</v>
      </c>
      <c r="C85" s="123">
        <v>30</v>
      </c>
      <c r="D85" s="123">
        <f t="shared" si="15"/>
        <v>0.52359877559829882</v>
      </c>
      <c r="E85" s="48">
        <v>1</v>
      </c>
      <c r="F85" s="48">
        <v>1.3</v>
      </c>
      <c r="G85" s="123">
        <f t="shared" si="23"/>
        <v>1.0248821346561401</v>
      </c>
      <c r="H85" s="123">
        <f t="shared" si="24"/>
        <v>1.7249999999999999</v>
      </c>
      <c r="I85" s="123">
        <v>200</v>
      </c>
      <c r="J85" s="123">
        <v>15</v>
      </c>
      <c r="K85" s="123">
        <f t="shared" si="25"/>
        <v>185</v>
      </c>
      <c r="L85" s="129">
        <f t="shared" si="16"/>
        <v>22827.455741431018</v>
      </c>
      <c r="M85" s="130">
        <f t="shared" si="26"/>
        <v>22.827455741431017</v>
      </c>
      <c r="N85" s="130">
        <f t="shared" si="27"/>
        <v>2.326957771807443</v>
      </c>
      <c r="O85" s="131">
        <f t="shared" si="28"/>
        <v>130.30963522121681</v>
      </c>
      <c r="P85" s="132">
        <f t="shared" si="17"/>
        <v>2.2153413640197472</v>
      </c>
      <c r="Q85" s="132">
        <f t="shared" si="18"/>
        <v>40.488919587642897</v>
      </c>
      <c r="R85" s="133">
        <f t="shared" si="19"/>
        <v>103.27735744147769</v>
      </c>
      <c r="S85" s="133">
        <f t="shared" si="20"/>
        <v>52.838155347397176</v>
      </c>
      <c r="T85" s="125">
        <v>160</v>
      </c>
      <c r="U85" s="125">
        <f t="shared" si="21"/>
        <v>156.11551278887487</v>
      </c>
      <c r="V85" s="133">
        <f t="shared" si="22"/>
        <v>50.439202094080514</v>
      </c>
      <c r="W85" s="134">
        <f t="shared" si="29"/>
        <v>2.4290115892300674</v>
      </c>
      <c r="X85" s="128">
        <v>2.3125</v>
      </c>
      <c r="Y85" s="134">
        <f t="shared" si="30"/>
        <v>1.7624209304350131</v>
      </c>
    </row>
  </sheetData>
  <mergeCells count="6">
    <mergeCell ref="Q1:Q3"/>
    <mergeCell ref="A3:K3"/>
    <mergeCell ref="L3:N3"/>
    <mergeCell ref="Q45:Q46"/>
    <mergeCell ref="A46:K46"/>
    <mergeCell ref="L46:N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40%-60%</vt:lpstr>
      <vt:lpstr>Dynamika od Tomka</vt:lpstr>
      <vt:lpstr>45%-55%</vt:lpstr>
      <vt:lpstr>Środek masy</vt:lpstr>
      <vt:lpstr>Środek masy nieresorowanej</vt:lpstr>
      <vt:lpstr>Środek masy resorowanej</vt:lpstr>
      <vt:lpstr>Amortyzatory od Jacka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Piotrek</dc:creator>
  <cp:lastModifiedBy>Piotrek</cp:lastModifiedBy>
  <cp:lastPrinted>2021-04-02T09:36:13Z</cp:lastPrinted>
  <dcterms:created xsi:type="dcterms:W3CDTF">2021-01-02T09:50:03Z</dcterms:created>
  <dcterms:modified xsi:type="dcterms:W3CDTF">2021-08-01T17:44:22Z</dcterms:modified>
</cp:coreProperties>
</file>