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DEFF7027-015F-4735-A83D-285E218F2F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  <sheet name="Arkusz2" sheetId="2" r:id="rId2"/>
    <sheet name="Arkusz3" sheetId="3" r:id="rId3"/>
  </sheets>
  <calcPr calcId="181029"/>
</workbook>
</file>

<file path=xl/calcChain.xml><?xml version="1.0" encoding="utf-8"?>
<calcChain xmlns="http://schemas.openxmlformats.org/spreadsheetml/2006/main">
  <c r="J141" i="1" l="1"/>
  <c r="J139" i="1"/>
  <c r="J138" i="1"/>
  <c r="J135" i="1"/>
  <c r="J136" i="1" s="1"/>
  <c r="J133" i="1"/>
  <c r="J132" i="1"/>
  <c r="J109" i="1"/>
  <c r="J106" i="1"/>
  <c r="J105" i="1"/>
  <c r="J104" i="1"/>
  <c r="J103" i="1"/>
  <c r="J102" i="1"/>
  <c r="J101" i="1"/>
  <c r="J100" i="1"/>
  <c r="J99" i="1"/>
  <c r="J98" i="1"/>
  <c r="J97" i="1"/>
  <c r="J94" i="1"/>
  <c r="J96" i="1" s="1"/>
  <c r="J93" i="1"/>
  <c r="J92" i="1"/>
  <c r="J91" i="1"/>
  <c r="J90" i="1"/>
  <c r="J84" i="1"/>
  <c r="J82" i="1"/>
  <c r="V213" i="1"/>
  <c r="V161" i="1"/>
  <c r="V160" i="1"/>
  <c r="AA173" i="1"/>
  <c r="Z173" i="1"/>
  <c r="V220" i="1"/>
  <c r="V221" i="1"/>
  <c r="S11" i="1"/>
  <c r="R11" i="1"/>
  <c r="V11" i="1"/>
  <c r="U11" i="1" s="1"/>
  <c r="V35" i="1"/>
  <c r="V36" i="1"/>
  <c r="P11" i="1"/>
  <c r="R13" i="1"/>
  <c r="T13" i="1" s="1"/>
  <c r="U13" i="1"/>
  <c r="Q13" i="1"/>
  <c r="S13" i="1" s="1"/>
  <c r="O13" i="1"/>
  <c r="V13" i="1"/>
  <c r="V9" i="1"/>
  <c r="AJ42" i="1"/>
  <c r="AJ43" i="1" s="1"/>
  <c r="J107" i="1" l="1"/>
  <c r="J95" i="1"/>
  <c r="Q11" i="1"/>
  <c r="AJ47" i="1"/>
  <c r="AJ45" i="1"/>
  <c r="V207" i="1" l="1"/>
  <c r="V206" i="1"/>
  <c r="V214" i="1" s="1"/>
  <c r="V212" i="1" l="1"/>
  <c r="V215" i="1"/>
  <c r="V165" i="1"/>
  <c r="Y43" i="1"/>
  <c r="Y45" i="1" s="1"/>
  <c r="AA43" i="1"/>
  <c r="AA45" i="1" s="1"/>
  <c r="AB43" i="1"/>
  <c r="AB47" i="1" s="1"/>
  <c r="AC43" i="1"/>
  <c r="AC47" i="1" s="1"/>
  <c r="AD43" i="1"/>
  <c r="AD45" i="1" s="1"/>
  <c r="AE43" i="1"/>
  <c r="AE45" i="1" s="1"/>
  <c r="AF43" i="1"/>
  <c r="AF47" i="1" s="1"/>
  <c r="AG43" i="1"/>
  <c r="AG47" i="1" s="1"/>
  <c r="AH43" i="1"/>
  <c r="AH45" i="1" s="1"/>
  <c r="AI43" i="1"/>
  <c r="AI45" i="1" s="1"/>
  <c r="Z43" i="1"/>
  <c r="Z47" i="1" s="1"/>
  <c r="AC45" i="1" l="1"/>
  <c r="Z45" i="1"/>
  <c r="AB45" i="1"/>
  <c r="Y47" i="1"/>
  <c r="AF45" i="1"/>
  <c r="AG45" i="1"/>
  <c r="AH47" i="1"/>
  <c r="AD47" i="1"/>
  <c r="AI47" i="1"/>
  <c r="AE47" i="1"/>
  <c r="AA47" i="1"/>
  <c r="U117" i="1"/>
  <c r="P61" i="1"/>
  <c r="Q61" i="1"/>
  <c r="R61" i="1"/>
  <c r="S61" i="1"/>
  <c r="T61" i="1"/>
  <c r="U61" i="1"/>
  <c r="V61" i="1"/>
  <c r="W61" i="1"/>
  <c r="P60" i="1"/>
  <c r="Q60" i="1"/>
  <c r="R60" i="1"/>
  <c r="S60" i="1"/>
  <c r="T60" i="1"/>
  <c r="U60" i="1"/>
  <c r="V60" i="1"/>
  <c r="W60" i="1"/>
  <c r="P59" i="1"/>
  <c r="Q59" i="1"/>
  <c r="R59" i="1"/>
  <c r="S59" i="1"/>
  <c r="T59" i="1"/>
  <c r="U59" i="1"/>
  <c r="V59" i="1"/>
  <c r="W59" i="1"/>
  <c r="P58" i="1"/>
  <c r="Q58" i="1"/>
  <c r="R58" i="1"/>
  <c r="S58" i="1"/>
  <c r="T58" i="1"/>
  <c r="U58" i="1"/>
  <c r="V58" i="1"/>
  <c r="W58" i="1"/>
  <c r="P57" i="1"/>
  <c r="Q57" i="1"/>
  <c r="R57" i="1"/>
  <c r="S57" i="1"/>
  <c r="T57" i="1"/>
  <c r="U57" i="1"/>
  <c r="V57" i="1"/>
  <c r="W57" i="1"/>
  <c r="P56" i="1"/>
  <c r="Q56" i="1"/>
  <c r="R56" i="1"/>
  <c r="S56" i="1"/>
  <c r="S102" i="1" s="1"/>
  <c r="T56" i="1"/>
  <c r="U56" i="1"/>
  <c r="V56" i="1"/>
  <c r="W56" i="1"/>
  <c r="W102" i="1" s="1"/>
  <c r="P55" i="1"/>
  <c r="Q55" i="1"/>
  <c r="R55" i="1"/>
  <c r="S55" i="1"/>
  <c r="T55" i="1"/>
  <c r="U55" i="1"/>
  <c r="V55" i="1"/>
  <c r="W55" i="1"/>
  <c r="P54" i="1"/>
  <c r="Q54" i="1"/>
  <c r="R54" i="1"/>
  <c r="S54" i="1"/>
  <c r="S100" i="1" s="1"/>
  <c r="T54" i="1"/>
  <c r="U54" i="1"/>
  <c r="V54" i="1"/>
  <c r="W54" i="1"/>
  <c r="P53" i="1"/>
  <c r="Q53" i="1"/>
  <c r="R53" i="1"/>
  <c r="S53" i="1"/>
  <c r="S76" i="1" s="1"/>
  <c r="T53" i="1"/>
  <c r="U53" i="1"/>
  <c r="V53" i="1"/>
  <c r="W53" i="1"/>
  <c r="P52" i="1"/>
  <c r="Q52" i="1"/>
  <c r="R52" i="1"/>
  <c r="S52" i="1"/>
  <c r="T52" i="1"/>
  <c r="U52" i="1"/>
  <c r="V52" i="1"/>
  <c r="W52" i="1"/>
  <c r="W98" i="1" s="1"/>
  <c r="P51" i="1"/>
  <c r="Q51" i="1"/>
  <c r="R51" i="1"/>
  <c r="S51" i="1"/>
  <c r="T51" i="1"/>
  <c r="U51" i="1"/>
  <c r="V51" i="1"/>
  <c r="W51" i="1"/>
  <c r="P50" i="1"/>
  <c r="Q50" i="1"/>
  <c r="R50" i="1"/>
  <c r="S50" i="1"/>
  <c r="S96" i="1" s="1"/>
  <c r="T50" i="1"/>
  <c r="U50" i="1"/>
  <c r="V50" i="1"/>
  <c r="W50" i="1"/>
  <c r="W96" i="1" s="1"/>
  <c r="P49" i="1"/>
  <c r="Q49" i="1"/>
  <c r="R49" i="1"/>
  <c r="S49" i="1"/>
  <c r="T49" i="1"/>
  <c r="U49" i="1"/>
  <c r="V49" i="1"/>
  <c r="W49" i="1"/>
  <c r="W72" i="1" s="1"/>
  <c r="P48" i="1"/>
  <c r="Q48" i="1"/>
  <c r="R48" i="1"/>
  <c r="S48" i="1"/>
  <c r="T48" i="1"/>
  <c r="U48" i="1"/>
  <c r="V48" i="1"/>
  <c r="W48" i="1"/>
  <c r="P47" i="1"/>
  <c r="Q47" i="1"/>
  <c r="R47" i="1"/>
  <c r="S47" i="1"/>
  <c r="T47" i="1"/>
  <c r="U47" i="1"/>
  <c r="V47" i="1"/>
  <c r="W47" i="1"/>
  <c r="W46" i="1"/>
  <c r="P46" i="1"/>
  <c r="Q46" i="1"/>
  <c r="R46" i="1"/>
  <c r="R92" i="1" s="1"/>
  <c r="S46" i="1"/>
  <c r="T46" i="1"/>
  <c r="U46" i="1"/>
  <c r="V46" i="1"/>
  <c r="P45" i="1"/>
  <c r="Q45" i="1"/>
  <c r="R45" i="1"/>
  <c r="S45" i="1"/>
  <c r="T45" i="1"/>
  <c r="U45" i="1"/>
  <c r="V45" i="1"/>
  <c r="W45" i="1"/>
  <c r="P44" i="1"/>
  <c r="Q44" i="1"/>
  <c r="R44" i="1"/>
  <c r="S44" i="1"/>
  <c r="T44" i="1"/>
  <c r="U44" i="1"/>
  <c r="V44" i="1"/>
  <c r="W44" i="1"/>
  <c r="P43" i="1"/>
  <c r="Q43" i="1"/>
  <c r="R43" i="1"/>
  <c r="S43" i="1"/>
  <c r="T43" i="1"/>
  <c r="U43" i="1"/>
  <c r="V43" i="1"/>
  <c r="W43" i="1"/>
  <c r="O60" i="1"/>
  <c r="O59" i="1"/>
  <c r="O58" i="1"/>
  <c r="O57" i="1"/>
  <c r="O80" i="1" s="1"/>
  <c r="O56" i="1"/>
  <c r="O55" i="1"/>
  <c r="O54" i="1"/>
  <c r="O53" i="1"/>
  <c r="O52" i="1"/>
  <c r="O51" i="1"/>
  <c r="O50" i="1"/>
  <c r="O49" i="1"/>
  <c r="O61" i="1"/>
  <c r="O48" i="1"/>
  <c r="O47" i="1"/>
  <c r="O46" i="1"/>
  <c r="O45" i="1"/>
  <c r="O44" i="1"/>
  <c r="O43" i="1"/>
  <c r="P42" i="1"/>
  <c r="P65" i="1" s="1"/>
  <c r="Q42" i="1"/>
  <c r="R42" i="1"/>
  <c r="S42" i="1"/>
  <c r="T42" i="1"/>
  <c r="U42" i="1"/>
  <c r="V42" i="1"/>
  <c r="W42" i="1"/>
  <c r="O42" i="1"/>
  <c r="R7" i="1"/>
  <c r="R9" i="1" s="1"/>
  <c r="Q7" i="1"/>
  <c r="Q9" i="1" s="1"/>
  <c r="P7" i="1"/>
  <c r="P9" i="1" s="1"/>
  <c r="O7" i="1"/>
  <c r="O9" i="1" s="1"/>
  <c r="S7" i="1"/>
  <c r="S9" i="1" s="1"/>
  <c r="T7" i="1"/>
  <c r="T9" i="1" s="1"/>
  <c r="U7" i="1"/>
  <c r="U9" i="1" s="1"/>
  <c r="N7" i="1"/>
  <c r="N9" i="1" s="1"/>
  <c r="S106" i="1" l="1"/>
  <c r="Q65" i="1"/>
  <c r="O106" i="1"/>
  <c r="T90" i="1"/>
  <c r="P68" i="1"/>
  <c r="W92" i="1"/>
  <c r="T70" i="1"/>
  <c r="P94" i="1"/>
  <c r="P97" i="1"/>
  <c r="P98" i="1"/>
  <c r="T103" i="1"/>
  <c r="T107" i="1"/>
  <c r="V88" i="1"/>
  <c r="O71" i="1"/>
  <c r="U66" i="1"/>
  <c r="Q66" i="1"/>
  <c r="U90" i="1"/>
  <c r="Q67" i="1"/>
  <c r="U93" i="1"/>
  <c r="Q70" i="1"/>
  <c r="Q94" i="1"/>
  <c r="U96" i="1"/>
  <c r="Q73" i="1"/>
  <c r="Q97" i="1"/>
  <c r="U75" i="1"/>
  <c r="Q100" i="1"/>
  <c r="U78" i="1"/>
  <c r="U79" i="1"/>
  <c r="Q79" i="1"/>
  <c r="U81" i="1"/>
  <c r="V89" i="1"/>
  <c r="Q92" i="1"/>
  <c r="R93" i="1"/>
  <c r="R96" i="1"/>
  <c r="Q89" i="1"/>
  <c r="O94" i="1"/>
  <c r="V95" i="1"/>
  <c r="Q84" i="1"/>
  <c r="R83" i="1"/>
  <c r="R82" i="1"/>
  <c r="Q81" i="1"/>
  <c r="V78" i="1"/>
  <c r="U77" i="1"/>
  <c r="Q75" i="1"/>
  <c r="P74" i="1"/>
  <c r="U71" i="1"/>
  <c r="R69" i="1"/>
  <c r="O67" i="1"/>
  <c r="W88" i="1"/>
  <c r="Q105" i="1"/>
  <c r="O104" i="1"/>
  <c r="U101" i="1"/>
  <c r="R99" i="1"/>
  <c r="U94" i="1"/>
  <c r="O90" i="1"/>
  <c r="U82" i="1"/>
  <c r="Q82" i="1"/>
  <c r="U106" i="1"/>
  <c r="Q106" i="1"/>
  <c r="U65" i="1"/>
  <c r="U84" i="1"/>
  <c r="V83" i="1"/>
  <c r="W82" i="1"/>
  <c r="V81" i="1"/>
  <c r="T80" i="1"/>
  <c r="S79" i="1"/>
  <c r="Q78" i="1"/>
  <c r="O77" i="1"/>
  <c r="W75" i="1"/>
  <c r="U74" i="1"/>
  <c r="S73" i="1"/>
  <c r="R72" i="1"/>
  <c r="P71" i="1"/>
  <c r="W69" i="1"/>
  <c r="V68" i="1"/>
  <c r="T67" i="1"/>
  <c r="R66" i="1"/>
  <c r="R88" i="1"/>
  <c r="O107" i="1"/>
  <c r="V105" i="1"/>
  <c r="U104" i="1"/>
  <c r="S103" i="1"/>
  <c r="Q102" i="1"/>
  <c r="P101" i="1"/>
  <c r="W99" i="1"/>
  <c r="U98" i="1"/>
  <c r="T97" i="1"/>
  <c r="W95" i="1"/>
  <c r="T93" i="1"/>
  <c r="P91" i="1"/>
  <c r="U88" i="1"/>
  <c r="Q88" i="1"/>
  <c r="O68" i="1"/>
  <c r="O91" i="1"/>
  <c r="O84" i="1"/>
  <c r="O75" i="1"/>
  <c r="O98" i="1"/>
  <c r="O102" i="1"/>
  <c r="T89" i="1"/>
  <c r="P66" i="1"/>
  <c r="P89" i="1"/>
  <c r="P90" i="1"/>
  <c r="T91" i="1"/>
  <c r="T68" i="1"/>
  <c r="S92" i="1"/>
  <c r="P93" i="1"/>
  <c r="T94" i="1"/>
  <c r="T71" i="1"/>
  <c r="T72" i="1"/>
  <c r="T95" i="1"/>
  <c r="P95" i="1"/>
  <c r="P72" i="1"/>
  <c r="T96" i="1"/>
  <c r="T73" i="1"/>
  <c r="P96" i="1"/>
  <c r="P73" i="1"/>
  <c r="T74" i="1"/>
  <c r="T75" i="1"/>
  <c r="T98" i="1"/>
  <c r="P75" i="1"/>
  <c r="T99" i="1"/>
  <c r="P76" i="1"/>
  <c r="P99" i="1"/>
  <c r="T100" i="1"/>
  <c r="T77" i="1"/>
  <c r="P100" i="1"/>
  <c r="P77" i="1"/>
  <c r="T78" i="1"/>
  <c r="T101" i="1"/>
  <c r="P78" i="1"/>
  <c r="T102" i="1"/>
  <c r="P79" i="1"/>
  <c r="P102" i="1"/>
  <c r="P103" i="1"/>
  <c r="T104" i="1"/>
  <c r="T81" i="1"/>
  <c r="P104" i="1"/>
  <c r="P81" i="1"/>
  <c r="T105" i="1"/>
  <c r="P82" i="1"/>
  <c r="P105" i="1"/>
  <c r="T83" i="1"/>
  <c r="P106" i="1"/>
  <c r="P83" i="1"/>
  <c r="T84" i="1"/>
  <c r="P84" i="1"/>
  <c r="R65" i="1"/>
  <c r="R84" i="1"/>
  <c r="S83" i="1"/>
  <c r="T82" i="1"/>
  <c r="R81" i="1"/>
  <c r="P80" i="1"/>
  <c r="O79" i="1"/>
  <c r="V77" i="1"/>
  <c r="T76" i="1"/>
  <c r="S75" i="1"/>
  <c r="Q74" i="1"/>
  <c r="O73" i="1"/>
  <c r="W71" i="1"/>
  <c r="U70" i="1"/>
  <c r="S69" i="1"/>
  <c r="R68" i="1"/>
  <c r="P67" i="1"/>
  <c r="O88" i="1"/>
  <c r="V107" i="1"/>
  <c r="T106" i="1"/>
  <c r="R105" i="1"/>
  <c r="Q104" i="1"/>
  <c r="O103" i="1"/>
  <c r="V101" i="1"/>
  <c r="U100" i="1"/>
  <c r="S99" i="1"/>
  <c r="Q98" i="1"/>
  <c r="R95" i="1"/>
  <c r="O65" i="1"/>
  <c r="T88" i="1"/>
  <c r="T65" i="1"/>
  <c r="P88" i="1"/>
  <c r="O69" i="1"/>
  <c r="O92" i="1"/>
  <c r="O72" i="1"/>
  <c r="O95" i="1"/>
  <c r="O99" i="1"/>
  <c r="W89" i="1"/>
  <c r="W66" i="1"/>
  <c r="S89" i="1"/>
  <c r="S66" i="1"/>
  <c r="W67" i="1"/>
  <c r="W90" i="1"/>
  <c r="S90" i="1"/>
  <c r="S67" i="1"/>
  <c r="W91" i="1"/>
  <c r="S68" i="1"/>
  <c r="S91" i="1"/>
  <c r="V69" i="1"/>
  <c r="V92" i="1"/>
  <c r="W93" i="1"/>
  <c r="W70" i="1"/>
  <c r="S93" i="1"/>
  <c r="S70" i="1"/>
  <c r="W94" i="1"/>
  <c r="S71" i="1"/>
  <c r="S94" i="1"/>
  <c r="S95" i="1"/>
  <c r="W73" i="1"/>
  <c r="W97" i="1"/>
  <c r="W74" i="1"/>
  <c r="S97" i="1"/>
  <c r="S74" i="1"/>
  <c r="S98" i="1"/>
  <c r="W76" i="1"/>
  <c r="W77" i="1"/>
  <c r="W100" i="1"/>
  <c r="S77" i="1"/>
  <c r="W101" i="1"/>
  <c r="W78" i="1"/>
  <c r="S101" i="1"/>
  <c r="S78" i="1"/>
  <c r="W79" i="1"/>
  <c r="W80" i="1"/>
  <c r="W103" i="1"/>
  <c r="S80" i="1"/>
  <c r="W104" i="1"/>
  <c r="S81" i="1"/>
  <c r="S104" i="1"/>
  <c r="W105" i="1"/>
  <c r="S105" i="1"/>
  <c r="S82" i="1"/>
  <c r="W106" i="1"/>
  <c r="W107" i="1"/>
  <c r="W84" i="1"/>
  <c r="S84" i="1"/>
  <c r="S107" i="1"/>
  <c r="W65" i="1"/>
  <c r="S65" i="1"/>
  <c r="O96" i="1"/>
  <c r="O81" i="1"/>
  <c r="V66" i="1"/>
  <c r="R91" i="1"/>
  <c r="U69" i="1"/>
  <c r="Q69" i="1"/>
  <c r="V70" i="1"/>
  <c r="R70" i="1"/>
  <c r="V72" i="1"/>
  <c r="V73" i="1"/>
  <c r="R73" i="1"/>
  <c r="V97" i="1"/>
  <c r="R74" i="1"/>
  <c r="V76" i="1"/>
  <c r="R76" i="1"/>
  <c r="V100" i="1"/>
  <c r="R77" i="1"/>
  <c r="R101" i="1"/>
  <c r="V103" i="1"/>
  <c r="R80" i="1"/>
  <c r="R104" i="1"/>
  <c r="V82" i="1"/>
  <c r="R107" i="1"/>
  <c r="V65" i="1"/>
  <c r="V84" i="1"/>
  <c r="W83" i="1"/>
  <c r="O83" i="1"/>
  <c r="W81" i="1"/>
  <c r="V80" i="1"/>
  <c r="T79" i="1"/>
  <c r="R78" i="1"/>
  <c r="Q77" i="1"/>
  <c r="O76" i="1"/>
  <c r="V74" i="1"/>
  <c r="U73" i="1"/>
  <c r="S72" i="1"/>
  <c r="Q71" i="1"/>
  <c r="P70" i="1"/>
  <c r="W68" i="1"/>
  <c r="U67" i="1"/>
  <c r="T66" i="1"/>
  <c r="S88" i="1"/>
  <c r="P107" i="1"/>
  <c r="V104" i="1"/>
  <c r="Q101" i="1"/>
  <c r="O100" i="1"/>
  <c r="U97" i="1"/>
  <c r="V91" i="1"/>
  <c r="R89" i="1"/>
  <c r="O93" i="1"/>
  <c r="O70" i="1"/>
  <c r="R90" i="1"/>
  <c r="R67" i="1"/>
  <c r="V94" i="1"/>
  <c r="V71" i="1"/>
  <c r="R94" i="1"/>
  <c r="R71" i="1"/>
  <c r="V98" i="1"/>
  <c r="V75" i="1"/>
  <c r="R98" i="1"/>
  <c r="R75" i="1"/>
  <c r="V102" i="1"/>
  <c r="V79" i="1"/>
  <c r="R102" i="1"/>
  <c r="R79" i="1"/>
  <c r="V106" i="1"/>
  <c r="R106" i="1"/>
  <c r="U83" i="1"/>
  <c r="Q83" i="1"/>
  <c r="U105" i="1"/>
  <c r="R103" i="1"/>
  <c r="U102" i="1"/>
  <c r="R100" i="1"/>
  <c r="V99" i="1"/>
  <c r="R97" i="1"/>
  <c r="V96" i="1"/>
  <c r="Q96" i="1"/>
  <c r="V93" i="1"/>
  <c r="Q93" i="1"/>
  <c r="U92" i="1"/>
  <c r="Q90" i="1"/>
  <c r="U89" i="1"/>
  <c r="V117" i="1"/>
  <c r="U118" i="1"/>
  <c r="V118" i="1" s="1"/>
  <c r="O89" i="1"/>
  <c r="O66" i="1"/>
  <c r="V90" i="1"/>
  <c r="V67" i="1"/>
  <c r="O97" i="1"/>
  <c r="O74" i="1"/>
  <c r="O101" i="1"/>
  <c r="O78" i="1"/>
  <c r="O105" i="1"/>
  <c r="O82" i="1"/>
  <c r="U91" i="1"/>
  <c r="U68" i="1"/>
  <c r="Q91" i="1"/>
  <c r="Q68" i="1"/>
  <c r="T92" i="1"/>
  <c r="T69" i="1"/>
  <c r="P92" i="1"/>
  <c r="P69" i="1"/>
  <c r="U95" i="1"/>
  <c r="U72" i="1"/>
  <c r="Q95" i="1"/>
  <c r="Q72" i="1"/>
  <c r="U99" i="1"/>
  <c r="U76" i="1"/>
  <c r="Q99" i="1"/>
  <c r="Q76" i="1"/>
  <c r="U103" i="1"/>
  <c r="U80" i="1"/>
  <c r="Q103" i="1"/>
  <c r="Q80" i="1"/>
  <c r="U107" i="1"/>
  <c r="Q107" i="1"/>
  <c r="C27" i="1"/>
  <c r="C28" i="1" s="1"/>
  <c r="G79" i="1"/>
  <c r="H79" i="1"/>
  <c r="I79" i="1"/>
  <c r="J59" i="1"/>
  <c r="J79" i="1"/>
  <c r="C21" i="1"/>
  <c r="C4" i="1"/>
  <c r="J3" i="1"/>
  <c r="J11" i="1" s="1"/>
  <c r="I3" i="1"/>
  <c r="I11" i="1" s="1"/>
  <c r="I12" i="1" s="1"/>
  <c r="H3" i="1"/>
  <c r="H11" i="1" s="1"/>
  <c r="G3" i="1"/>
  <c r="G11" i="1" s="1"/>
  <c r="C38" i="1"/>
  <c r="C39" i="1" s="1"/>
  <c r="C40" i="1" s="1"/>
  <c r="J73" i="1"/>
  <c r="J74" i="1" s="1"/>
  <c r="J66" i="1"/>
  <c r="C45" i="1"/>
  <c r="J51" i="1"/>
  <c r="C46" i="1"/>
  <c r="V111" i="1" l="1"/>
  <c r="V110" i="1"/>
  <c r="H62" i="1"/>
  <c r="G62" i="1"/>
  <c r="G41" i="1"/>
  <c r="J62" i="1"/>
  <c r="H41" i="1"/>
  <c r="I41" i="1"/>
  <c r="J78" i="1"/>
  <c r="I62" i="1"/>
  <c r="J41" i="1"/>
  <c r="I78" i="1"/>
  <c r="G78" i="1"/>
  <c r="H78" i="1"/>
  <c r="H34" i="1"/>
  <c r="H35" i="1" s="1"/>
  <c r="H37" i="1" s="1"/>
  <c r="H54" i="1"/>
  <c r="I13" i="1"/>
  <c r="I14" i="1" s="1"/>
  <c r="I54" i="1"/>
  <c r="H13" i="1"/>
  <c r="H14" i="1" s="1"/>
  <c r="G54" i="1"/>
  <c r="J54" i="1"/>
  <c r="I34" i="1"/>
  <c r="I35" i="1" s="1"/>
  <c r="J34" i="1"/>
  <c r="J35" i="1" s="1"/>
  <c r="J9" i="1"/>
  <c r="J10" i="1" s="1"/>
  <c r="G34" i="1"/>
  <c r="G35" i="1" s="1"/>
  <c r="G12" i="1"/>
  <c r="G9" i="1"/>
  <c r="G10" i="1" s="1"/>
  <c r="G7" i="1"/>
  <c r="G8" i="1" s="1"/>
  <c r="G13" i="1"/>
  <c r="G14" i="1" s="1"/>
  <c r="I7" i="1"/>
  <c r="I8" i="1" s="1"/>
  <c r="I9" i="1"/>
  <c r="I10" i="1" s="1"/>
  <c r="H12" i="1"/>
  <c r="H7" i="1"/>
  <c r="H8" i="1" s="1"/>
  <c r="H9" i="1"/>
  <c r="H10" i="1" s="1"/>
  <c r="J12" i="1"/>
  <c r="J13" i="1"/>
  <c r="J14" i="1" s="1"/>
  <c r="J7" i="1"/>
  <c r="J8" i="1" s="1"/>
  <c r="C47" i="1"/>
  <c r="C48" i="1" s="1"/>
  <c r="C49" i="1" s="1"/>
  <c r="C12" i="1" s="1"/>
  <c r="C29" i="1"/>
  <c r="I45" i="1" l="1"/>
  <c r="I46" i="1" s="1"/>
  <c r="I42" i="1"/>
  <c r="G45" i="1"/>
  <c r="G46" i="1" s="1"/>
  <c r="G42" i="1"/>
  <c r="H36" i="1"/>
  <c r="J45" i="1"/>
  <c r="J46" i="1" s="1"/>
  <c r="J42" i="1"/>
  <c r="H45" i="1"/>
  <c r="H46" i="1" s="1"/>
  <c r="H42" i="1"/>
  <c r="I17" i="1"/>
  <c r="I18" i="1" s="1"/>
  <c r="H15" i="1"/>
  <c r="H16" i="1" s="1"/>
  <c r="H17" i="1"/>
  <c r="H18" i="1" s="1"/>
  <c r="G37" i="1"/>
  <c r="G36" i="1"/>
  <c r="I37" i="1"/>
  <c r="I36" i="1"/>
  <c r="J37" i="1"/>
  <c r="J36" i="1"/>
  <c r="G15" i="1"/>
  <c r="G16" i="1" s="1"/>
  <c r="G17" i="1"/>
  <c r="G18" i="1" s="1"/>
  <c r="I15" i="1"/>
  <c r="I16" i="1" s="1"/>
  <c r="J15" i="1"/>
  <c r="J16" i="1" s="1"/>
  <c r="J17" i="1"/>
  <c r="J18" i="1" s="1"/>
  <c r="G43" i="1" l="1"/>
  <c r="J43" i="1"/>
  <c r="H43" i="1"/>
  <c r="I22" i="1"/>
  <c r="I44" i="1"/>
  <c r="J22" i="1"/>
  <c r="J23" i="1" s="1"/>
  <c r="J25" i="1" s="1"/>
  <c r="J26" i="1" s="1"/>
  <c r="J44" i="1"/>
  <c r="G22" i="1"/>
  <c r="G23" i="1" s="1"/>
  <c r="G44" i="1"/>
  <c r="H22" i="1"/>
  <c r="H44" i="1"/>
  <c r="I43" i="1"/>
  <c r="C9" i="1"/>
  <c r="C10" i="1" l="1"/>
  <c r="V15" i="1" s="1"/>
  <c r="N19" i="1" s="1"/>
  <c r="V17" i="1"/>
  <c r="N21" i="1" s="1"/>
  <c r="G27" i="1"/>
  <c r="G28" i="1" s="1"/>
  <c r="J24" i="1"/>
  <c r="I23" i="1"/>
  <c r="I27" i="1"/>
  <c r="I28" i="1" s="1"/>
  <c r="J27" i="1"/>
  <c r="J28" i="1" s="1"/>
  <c r="H27" i="1"/>
  <c r="H28" i="1" s="1"/>
  <c r="H23" i="1"/>
  <c r="G25" i="1"/>
  <c r="G26" i="1" s="1"/>
  <c r="G24" i="1"/>
  <c r="U17" i="1" l="1"/>
  <c r="O17" i="1"/>
  <c r="P17" i="1"/>
  <c r="Q17" i="1"/>
  <c r="R17" i="1"/>
  <c r="S17" i="1"/>
  <c r="T17" i="1"/>
  <c r="N17" i="1"/>
  <c r="Q15" i="1"/>
  <c r="S15" i="1"/>
  <c r="T15" i="1"/>
  <c r="R15" i="1"/>
  <c r="N15" i="1"/>
  <c r="U15" i="1"/>
  <c r="O15" i="1"/>
  <c r="P15" i="1"/>
  <c r="H24" i="1"/>
  <c r="H25" i="1"/>
  <c r="H26" i="1" s="1"/>
  <c r="I25" i="1"/>
  <c r="I26" i="1" s="1"/>
  <c r="I24" i="1"/>
  <c r="V114" i="1"/>
  <c r="V112" i="1"/>
  <c r="V113" i="1" l="1"/>
  <c r="V151" i="1" l="1"/>
  <c r="V115" i="1"/>
  <c r="V116" i="1"/>
  <c r="V150" i="1"/>
  <c r="U125" i="1" l="1"/>
  <c r="U126" i="1"/>
  <c r="V126" i="1" s="1"/>
  <c r="U122" i="1"/>
  <c r="V122" i="1" s="1"/>
  <c r="U121" i="1"/>
  <c r="V121" i="1" s="1"/>
  <c r="U154" i="1"/>
  <c r="U155" i="1"/>
  <c r="U152" i="1"/>
  <c r="U153" i="1"/>
  <c r="U124" i="1"/>
  <c r="V124" i="1" s="1"/>
  <c r="U120" i="1"/>
  <c r="V120" i="1" s="1"/>
  <c r="U119" i="1"/>
  <c r="V119" i="1" s="1"/>
  <c r="U123" i="1"/>
  <c r="U159" i="1" l="1"/>
  <c r="V159" i="1" s="1"/>
  <c r="V155" i="1"/>
  <c r="V152" i="1"/>
  <c r="U156" i="1"/>
  <c r="V156" i="1" s="1"/>
  <c r="V130" i="1"/>
  <c r="V123" i="1"/>
  <c r="U157" i="1"/>
  <c r="V157" i="1" s="1"/>
  <c r="V153" i="1"/>
  <c r="U158" i="1"/>
  <c r="V158" i="1" s="1"/>
  <c r="V154" i="1"/>
  <c r="V125" i="1"/>
  <c r="V131" i="1"/>
  <c r="V167" i="1" s="1"/>
  <c r="V133" i="1" l="1"/>
  <c r="V135" i="1" s="1"/>
  <c r="V141" i="1" s="1"/>
  <c r="V142" i="1" s="1"/>
  <c r="V143" i="1" s="1"/>
  <c r="V145" i="1"/>
  <c r="V147" i="1" s="1"/>
  <c r="V173" i="1"/>
  <c r="V166" i="1"/>
  <c r="V168" i="1" s="1"/>
  <c r="V132" i="1"/>
  <c r="V134" i="1" s="1"/>
  <c r="V174" i="1" l="1"/>
  <c r="V146" i="1"/>
  <c r="V148" i="1" s="1"/>
  <c r="V144" i="1"/>
  <c r="V218" i="1"/>
  <c r="T149" i="1"/>
  <c r="U149" i="1" s="1"/>
  <c r="V176" i="1" l="1"/>
  <c r="V178" i="1"/>
  <c r="V179" i="1" s="1"/>
  <c r="V219" i="1"/>
  <c r="V169" i="1"/>
  <c r="V191" i="1" l="1"/>
  <c r="V217" i="1" s="1"/>
  <c r="V180" i="1"/>
  <c r="V182" i="1"/>
  <c r="V181" i="1"/>
  <c r="U184" i="1" l="1"/>
  <c r="V184" i="1" s="1"/>
  <c r="U183" i="1"/>
  <c r="V183" i="1" s="1"/>
  <c r="U186" i="1"/>
  <c r="V186" i="1" s="1"/>
  <c r="U185" i="1"/>
  <c r="V185" i="1" s="1"/>
  <c r="V190" i="1"/>
  <c r="V216" i="1" s="1"/>
</calcChain>
</file>

<file path=xl/sharedStrings.xml><?xml version="1.0" encoding="utf-8"?>
<sst xmlns="http://schemas.openxmlformats.org/spreadsheetml/2006/main" count="630" uniqueCount="292">
  <si>
    <t>Długość całkowita pojazdu</t>
  </si>
  <si>
    <t>Masa pojazdu</t>
  </si>
  <si>
    <t>kg</t>
  </si>
  <si>
    <t>m</t>
  </si>
  <si>
    <t>Rozstaw osi</t>
  </si>
  <si>
    <t>Rozstaw kół</t>
  </si>
  <si>
    <t>Szerokość całkowita pojazdu</t>
  </si>
  <si>
    <t>Promień skrętu minimalny</t>
  </si>
  <si>
    <t>Środek ciężkości pojazdu</t>
  </si>
  <si>
    <t>%</t>
  </si>
  <si>
    <t>Prześwit między brzuchem a ziemią</t>
  </si>
  <si>
    <t>N</t>
  </si>
  <si>
    <t>X</t>
  </si>
  <si>
    <t>Przenoszenie obciążenia wzdłużnego</t>
  </si>
  <si>
    <t>Odległość środka masy od osi przedniej</t>
  </si>
  <si>
    <t>Odległość środka masy od osi tylnej</t>
  </si>
  <si>
    <t>Współczynnika tarcia opon</t>
  </si>
  <si>
    <t>Maksymalny moment obrotowy na tylnych kołach</t>
  </si>
  <si>
    <t>Nm</t>
  </si>
  <si>
    <t xml:space="preserve">Przyspieszenie </t>
  </si>
  <si>
    <t>m/s^2</t>
  </si>
  <si>
    <t>g</t>
  </si>
  <si>
    <t>Moc jednego silnika</t>
  </si>
  <si>
    <t>Moc całkowita</t>
  </si>
  <si>
    <t>W</t>
  </si>
  <si>
    <t>kg/m^3</t>
  </si>
  <si>
    <t>Wysokość auta</t>
  </si>
  <si>
    <t>Współczynnik oporu powietrza (0,35-0,7)</t>
  </si>
  <si>
    <t>Powierzchnia auta z przodu</t>
  </si>
  <si>
    <t>m^2</t>
  </si>
  <si>
    <t>Prędkość maksymalna</t>
  </si>
  <si>
    <t>m/s</t>
  </si>
  <si>
    <t>km/h</t>
  </si>
  <si>
    <t>Szerokość auta</t>
  </si>
  <si>
    <t>Szerokość przekroju opony</t>
  </si>
  <si>
    <t>Gętość powietrza (standardowa)</t>
  </si>
  <si>
    <t>Siła napędowa</t>
  </si>
  <si>
    <t>Obciążenie na przednie koło (kinetyczne)</t>
  </si>
  <si>
    <t>Obciążenie na tylne koło (kinetyczne)</t>
  </si>
  <si>
    <t>Dynamiczny promień koła</t>
  </si>
  <si>
    <t>Średnica felgi</t>
  </si>
  <si>
    <t>Średnica koła</t>
  </si>
  <si>
    <t xml:space="preserve">Promień koła </t>
  </si>
  <si>
    <t>Profil opony</t>
  </si>
  <si>
    <t>cal</t>
  </si>
  <si>
    <t>°</t>
  </si>
  <si>
    <t>rad</t>
  </si>
  <si>
    <t>Opór aerodynamiczny</t>
  </si>
  <si>
    <t>Promień toczenia (promień dynamiczny koła)</t>
  </si>
  <si>
    <t>Prędkość</t>
  </si>
  <si>
    <t>Opór toczenia</t>
  </si>
  <si>
    <t>Masa całkowita pojazdu</t>
  </si>
  <si>
    <t>Współczynnik oporu toczenia</t>
  </si>
  <si>
    <t>Nachylenie powierzchni</t>
  </si>
  <si>
    <t>Profil opony x 2</t>
  </si>
  <si>
    <t xml:space="preserve"> </t>
  </si>
  <si>
    <t>Obszar czołowy pojazdu</t>
  </si>
  <si>
    <t>Prędkość pojazdu</t>
  </si>
  <si>
    <t>Opór aerodynamiczny (zależny od prędkości)</t>
  </si>
  <si>
    <t>Opór wzniesienia</t>
  </si>
  <si>
    <t>Wymagana moc pojazdu</t>
  </si>
  <si>
    <t xml:space="preserve">Prędkość pojazdu </t>
  </si>
  <si>
    <t>Moc pojazdu zależna od parametrów pojazdu</t>
  </si>
  <si>
    <t>Masa człowieka + bagaż na osobę</t>
  </si>
  <si>
    <t>Obciążenie koła przedniego (LEWEGO)</t>
  </si>
  <si>
    <t>Obciążenie koła przedniego (PRAWEGO)</t>
  </si>
  <si>
    <t>Obciążenie koła tylnego (LEWEGO)</t>
  </si>
  <si>
    <t>Obciążenie koła tylnego (PRAWEGO)</t>
  </si>
  <si>
    <t>Obciążenie osi z przodu</t>
  </si>
  <si>
    <t>Obciążenie osi z tyłu</t>
  </si>
  <si>
    <t>Rozstaw kół z przodu</t>
  </si>
  <si>
    <t>Rozstaw kół z tyłu</t>
  </si>
  <si>
    <t>Wysokość środka ciężkości</t>
  </si>
  <si>
    <t>Obciążenie auta na zakrętach</t>
  </si>
  <si>
    <t>Obciążenie auta przy ruszaniu</t>
  </si>
  <si>
    <t>1 osoba</t>
  </si>
  <si>
    <t>2 osoby</t>
  </si>
  <si>
    <t>3 osoby</t>
  </si>
  <si>
    <t>4 osoby</t>
  </si>
  <si>
    <t>Obciążenia statyczne</t>
  </si>
  <si>
    <t>Promień zakrętu do pokonania</t>
  </si>
  <si>
    <t>Maksymalna siła na zakręcie</t>
  </si>
  <si>
    <t>Boczne przeniesienie ciężaru</t>
  </si>
  <si>
    <t>Prędkość auta na zakręcie</t>
  </si>
  <si>
    <t>Hamowanie</t>
  </si>
  <si>
    <t>Siła hamowania</t>
  </si>
  <si>
    <t>Obciążenia przy hamowaniu</t>
  </si>
  <si>
    <t>Obciążenie koła z przodu przy hamowaniu</t>
  </si>
  <si>
    <t>Obciążenie koła z tyłu podczas hamowania</t>
  </si>
  <si>
    <t>Liczba pasażerów - warianty</t>
  </si>
  <si>
    <t>1+2</t>
  </si>
  <si>
    <t>1+3</t>
  </si>
  <si>
    <t>1+4</t>
  </si>
  <si>
    <t>1+2+3</t>
  </si>
  <si>
    <t>1+2+3+4</t>
  </si>
  <si>
    <t>1+3+4</t>
  </si>
  <si>
    <t>1+2+4</t>
  </si>
  <si>
    <t>Masa całowita pojazdu</t>
  </si>
  <si>
    <t>Total Vehicle Mass</t>
  </si>
  <si>
    <t>Masa poszczególnego pasażera</t>
  </si>
  <si>
    <t>Pasażer 1</t>
  </si>
  <si>
    <t>Pasażer 2</t>
  </si>
  <si>
    <t>Pasażer 3</t>
  </si>
  <si>
    <t>Pasażer 4</t>
  </si>
  <si>
    <t>Położenia środka ciężkości od osi przedniej (X)</t>
  </si>
  <si>
    <t>COG Position Distance From Front Wheels (X)</t>
  </si>
  <si>
    <t>Położenia środka ciężkości od osi tylnej (X)</t>
  </si>
  <si>
    <t>COG Position Distance From Rear Wheels (X)</t>
  </si>
  <si>
    <t>?</t>
  </si>
  <si>
    <t>Płaskie zakręty | Flat circuits</t>
  </si>
  <si>
    <t>Prędkość | Cornering Velocity [m/s]</t>
  </si>
  <si>
    <t>Promień zakrętu | Cornering Radius [m]</t>
  </si>
  <si>
    <t>Poziome przyspieszenie boczne | Horizontal Lateral Acceleration [g]</t>
  </si>
  <si>
    <t>Przyspieszenie boczne | Lateral Acceleration [g]</t>
  </si>
  <si>
    <t>Efektywna masa pojazdu z powodu pokonywania zakrętu | Effective Weight of the Car Due to the Banking [kg]</t>
  </si>
  <si>
    <t>Masa całowita pojazdu | Total Vehicle Mass</t>
  </si>
  <si>
    <t>Położenia środka ciężkości od osi przedniej (X) | COG Position Distance From Front Wheels (X)</t>
  </si>
  <si>
    <t>Położenia środka ciężkości od osi tylnej (X) | COG Position Distance From Rear Wheels (X)</t>
  </si>
  <si>
    <t>Efektywne obciążenie przedniej osi | Effective Front Axle Mass</t>
  </si>
  <si>
    <t>Efektywne obciążenie tylnej osi | Effective Rear Axle Mass</t>
  </si>
  <si>
    <t>Nm/Radian</t>
  </si>
  <si>
    <t xml:space="preserve">Sztywność przechyłu podwozia | Chassis Roll Stiffness </t>
  </si>
  <si>
    <t>Gradient toczenia | Roll gradient</t>
  </si>
  <si>
    <t>Radian/g</t>
  </si>
  <si>
    <t>Wysokość środka obrotu z przodu | Front Roll Centre Height</t>
  </si>
  <si>
    <t>Wysokość środka obrotu z tyłu | Rear Roll Centre Height</t>
  </si>
  <si>
    <t>Przeniesienia obciążenia z przodu | Front Lateral Load Transfer</t>
  </si>
  <si>
    <t>Przeniesienia obciążenia z tyłu | Rear Lateral Load Transfer</t>
  </si>
  <si>
    <t>Efektywna masa pojazdu z powodu pokonywania zakrętu | Effective Weight of the Car Due to the Banking</t>
  </si>
  <si>
    <t>Przyspieszenie boczne | Lateral Acceleration</t>
  </si>
  <si>
    <t>kg | N</t>
  </si>
  <si>
    <t>Przednie zewnętrzne koło | Front Outside Wheel</t>
  </si>
  <si>
    <t>Przednie wewnętrzne koło | Front Inside Wheel</t>
  </si>
  <si>
    <t>Tylne zewnętrzne koło | Rear Outside Wheel</t>
  </si>
  <si>
    <t xml:space="preserve">Tylne wewnętrzne koło | Rear Inside Wheel </t>
  </si>
  <si>
    <t>Wysokość środka ciężkości | Centre's High of Gravity (Z)</t>
  </si>
  <si>
    <t>Obciążenie na przednią oś | Front Axle Load</t>
  </si>
  <si>
    <t>Obciążenie na tylną oś | Rear Axle Load</t>
  </si>
  <si>
    <t>Efektywne obciążenie poszczególnego koła | Effective Individual Wheel Load</t>
  </si>
  <si>
    <t>Ustalamy maksymalny skok zawieszenia na przednią oraz tylną oś</t>
  </si>
  <si>
    <t>Dodatek na przedni zderzak | Front Bump Allowance</t>
  </si>
  <si>
    <t>Dodatek na tylny zderzak | Rear Bump Allowance</t>
  </si>
  <si>
    <t>N/m</t>
  </si>
  <si>
    <t>Częstotliwość jazdy z przodu | Front Ride Frequency</t>
  </si>
  <si>
    <t>Częstotliwość jazdy z tyłu | Rear Ride Frequency</t>
  </si>
  <si>
    <t>Hz</t>
  </si>
  <si>
    <t>cpm</t>
  </si>
  <si>
    <r>
      <rPr>
        <b/>
        <sz val="11"/>
        <color theme="1"/>
        <rFont val="Czcionka tekstu podstawowego"/>
        <charset val="238"/>
      </rPr>
      <t>Założenia:</t>
    </r>
    <r>
      <rPr>
        <sz val="11"/>
        <color theme="1"/>
        <rFont val="Czcionka tekstu podstawowego"/>
        <family val="2"/>
        <charset val="238"/>
      </rPr>
      <t xml:space="preserve"> silnik z przodu i napęd na tylne koła</t>
    </r>
  </si>
  <si>
    <r>
      <rPr>
        <b/>
        <sz val="11"/>
        <color theme="1"/>
        <rFont val="Czcionka tekstu podstawowego"/>
        <charset val="238"/>
      </rPr>
      <t>Założenia:</t>
    </r>
    <r>
      <rPr>
        <sz val="11"/>
        <color theme="1"/>
        <rFont val="Czcionka tekstu podstawowego"/>
        <family val="2"/>
        <charset val="238"/>
      </rPr>
      <t xml:space="preserve"> silnik z przodu i napęd na przednie koła</t>
    </r>
  </si>
  <si>
    <t>Częstotliwość drgań własnych z przodu wyższa niż z tyłu</t>
  </si>
  <si>
    <t>Częstotliwość drgań własnych z tyłu wyższa niż z przodu</t>
  </si>
  <si>
    <r>
      <rPr>
        <b/>
        <sz val="11"/>
        <color theme="1"/>
        <rFont val="Czcionka tekstu podstawowego"/>
        <charset val="238"/>
      </rPr>
      <t>Założenia:</t>
    </r>
    <r>
      <rPr>
        <sz val="11"/>
        <color theme="1"/>
        <rFont val="Czcionka tekstu podstawowego"/>
        <family val="2"/>
        <charset val="238"/>
      </rPr>
      <t xml:space="preserve"> silnik z tyłu i napęd na tylne koła</t>
    </r>
  </si>
  <si>
    <r>
      <rPr>
        <b/>
        <sz val="11"/>
        <color theme="1"/>
        <rFont val="Czcionka tekstu podstawowego"/>
        <charset val="238"/>
      </rPr>
      <t>Założenia:</t>
    </r>
    <r>
      <rPr>
        <sz val="11"/>
        <color theme="1"/>
        <rFont val="Czcionka tekstu podstawowego"/>
        <family val="2"/>
        <charset val="238"/>
      </rPr>
      <t xml:space="preserve"> silnik z tyłu i napęd na przednie koła</t>
    </r>
  </si>
  <si>
    <t>Stosunek dwóch częstotliwości własnych | Ratio of the two Natural Frequencies</t>
  </si>
  <si>
    <t>-------</t>
  </si>
  <si>
    <t>Cykle na minutę z przodu | Front Cycles Per Minute</t>
  </si>
  <si>
    <t>Cykle na minutę z tyłu | Rear Cycles Per Minute</t>
  </si>
  <si>
    <t>Zmiana obciążenia koła | Wheel Load Change</t>
  </si>
  <si>
    <t>Współczynnika tarcia pow. sucha</t>
  </si>
  <si>
    <t>Współczynnika tarcia pow. mokra</t>
  </si>
  <si>
    <t>Pochylenie nawierzchni | Banking Angle [stopnie]</t>
  </si>
  <si>
    <t>kg/mm</t>
  </si>
  <si>
    <t>… | Front Roll Rate</t>
  </si>
  <si>
    <t>… | Rear Roll Rate</t>
  </si>
  <si>
    <t>Nowa częstotliwość jazdy z tyłu | New Rear Ride Frequency</t>
  </si>
  <si>
    <t>Zwiększamy częstotliwość jazdy z tyłu | Increase the Rear Ride Frequency</t>
  </si>
  <si>
    <t>Nowe cykle na minutę z tyłu | New Rear Cycles Per Minute</t>
  </si>
  <si>
    <t>Sztywność przechyłu podwozia z przodu | Front Roll Rate</t>
  </si>
  <si>
    <t>Sztywność przechyłu podwozia z tyłu | Rear Roll Rate</t>
  </si>
  <si>
    <t>… | Front Wheel Centre Rate</t>
  </si>
  <si>
    <t>… | Rear Wheel Centre Rate</t>
  </si>
  <si>
    <t xml:space="preserve">Wheel Centre Rates for Independent Suspension </t>
  </si>
  <si>
    <t>Wymagana sztywność sprężyny stabilizatora przedniego | Required Front Anti-Roll Bar Spring Rate</t>
  </si>
  <si>
    <t>Wymagana sztywność sprężyny stabilizatora tylnego | Required Rear Anti-Roll Bar Spring Rate</t>
  </si>
  <si>
    <t>Sztywność pionowa opony | Tyre Vertical Stiffness</t>
  </si>
  <si>
    <t>sqrt</t>
  </si>
  <si>
    <t>u</t>
  </si>
  <si>
    <t>r</t>
  </si>
  <si>
    <t>gravity</t>
  </si>
  <si>
    <t>radius</t>
  </si>
  <si>
    <t>coefficient of friction</t>
  </si>
  <si>
    <t>… | Front Vertical Axle Rate</t>
  </si>
  <si>
    <t>… | Rear Vertical Axle Rate</t>
  </si>
  <si>
    <t>… | Spring Track Width</t>
  </si>
  <si>
    <t>Nm/radian</t>
  </si>
  <si>
    <t xml:space="preserve">Wariant 1 - </t>
  </si>
  <si>
    <t>… | Roll Rate of the Anti-Roll Bar (combined roll rate of the springs and the roll bar)</t>
  </si>
  <si>
    <t>Wariant 2 - Równanie należy zastosować, jeśli stabilizator jest zamontowany do tylnej osi belki.</t>
  </si>
  <si>
    <t>Gradient toczenia | Roll Gradient</t>
  </si>
  <si>
    <t>radian/g</t>
  </si>
  <si>
    <t>Maximum speed on corner</t>
  </si>
  <si>
    <t>Stosunek instalacji przedniej sprężyny | Installation Ratio of Front Spring</t>
  </si>
  <si>
    <t>Stosunek instalacji tylnej sprężyny | Installation Ratio of Rear Spring</t>
  </si>
  <si>
    <t>B</t>
  </si>
  <si>
    <t>A</t>
  </si>
  <si>
    <t>Dystans A oraz B dla sprężyn (zawieszenia przedniego)</t>
  </si>
  <si>
    <t>Dystans A oraz B dla srpężyn (zawieszenia tylnego)</t>
  </si>
  <si>
    <t>… | Front Anti-Roll Bar Rate Contribution to Car Roll Rate</t>
  </si>
  <si>
    <t>… | Rear Anti-Roll Bar Rate Contribution to Car Roll Rate</t>
  </si>
  <si>
    <t>Współczynnik skrętu kątowego stabilizatora | Front Anti-Roll Bar Angular Twist Rate</t>
  </si>
  <si>
    <t>Współczynnik skrętu kątowego stabilizatora | Rear Anti-Roll Bar Angular Twist Rate</t>
  </si>
  <si>
    <t>Długość wspornika stabilizatora | Front Anti-Roll Bar Cantilever Length</t>
  </si>
  <si>
    <t>Długość wspornika stabilizatora | Rear Anti-Roll Bar Cantilever Length</t>
  </si>
  <si>
    <t>Współczynnik montażu stabilizatora | Front Installation Ratio of the Anti-Roll Bar</t>
  </si>
  <si>
    <t>Współczynnik montażu stabilizatora | Rear Installation Ratio of the Anti-Roll Bar</t>
  </si>
  <si>
    <t>Przedniego</t>
  </si>
  <si>
    <t>Tylnego</t>
  </si>
  <si>
    <t>°/radiany</t>
  </si>
  <si>
    <t>Kąt pochylenia Pushroda</t>
  </si>
  <si>
    <t>R</t>
  </si>
  <si>
    <t>Dystans A oraz B dla stabilizatora (zawieszenia przedniego)</t>
  </si>
  <si>
    <t>Dystans A oraz B dla stabilizatora (zawieszenia tylnego)</t>
  </si>
  <si>
    <t>Geometria Rockerplate'a (sprężyny)</t>
  </si>
  <si>
    <t>Geometria Rockerplate'a (stabilizator)</t>
  </si>
  <si>
    <t>Skorygować geometrię na późniejszym etapie!</t>
  </si>
  <si>
    <t>Calculating Rates for An Axle Suspension (amortyzatory piórowe)</t>
  </si>
  <si>
    <t>Final Stage | Podsumowanie</t>
  </si>
  <si>
    <t>Pochylenie nawierzchni | Banking Angle (od 2% do 4%)</t>
  </si>
  <si>
    <t>!</t>
  </si>
  <si>
    <t>mm</t>
  </si>
  <si>
    <t>°/g</t>
  </si>
  <si>
    <t>Tempo jazdy z przodu | Front Ride Rate</t>
  </si>
  <si>
    <t>Tempo jazdy z tyłu | Rear Ride Rate</t>
  </si>
  <si>
    <t>Nowe tempo jazdy z tyłu | New Rear Ride Rate</t>
  </si>
  <si>
    <t>Sztywność sprężyny tylnej stabilizatora | Rear Anti-Roll Bar Spring Rate</t>
  </si>
  <si>
    <t>Sztywność sprężyny przedniej stabilizatora | Front Anti-Roll Bar Spring Rate</t>
  </si>
  <si>
    <t>Nowe pionowe przemieszczenie koła z przdu | New Front Wheel Ride Displacement</t>
  </si>
  <si>
    <t>Nowe pionowe przemieszczenie koła z tyłu | New Rear Wheel Ride Displacement</t>
  </si>
  <si>
    <t>Sztywność pionowa opony | Tyre Vertical Rate</t>
  </si>
  <si>
    <t>`</t>
  </si>
  <si>
    <t>Nowy gradient toczenia | New Roll Gradient</t>
  </si>
  <si>
    <t>Wymagana sztywność sprężyn przednich | Front Spring Rate</t>
  </si>
  <si>
    <t>Wymagana sztywność sprężyn tylnych | Rear Spring Rate</t>
  </si>
  <si>
    <t>Wymagana sztywność stabilizatora przedniego | Front Anti Roll Bar Stiffness</t>
  </si>
  <si>
    <t>Wymagana sztywność stabilizatora tylnego | Rear Anti Roll Bar Stiffness</t>
  </si>
  <si>
    <t>-</t>
  </si>
  <si>
    <t>Położenia środka ciężkości (X)</t>
  </si>
  <si>
    <t>COG Position Distance (X)</t>
  </si>
  <si>
    <t>COG Position Distance (Y)</t>
  </si>
  <si>
    <t>Położenia środka ciężkości (Y)</t>
  </si>
  <si>
    <t>Oś przednia (X)</t>
  </si>
  <si>
    <t>Front Wheels (X)</t>
  </si>
  <si>
    <t>Oś tylnia (X)</t>
  </si>
  <si>
    <t>Rear Wheels (X)</t>
  </si>
  <si>
    <t xml:space="preserve">Body Roll Angle </t>
  </si>
  <si>
    <t>Radian/Stopnie</t>
  </si>
  <si>
    <t>Braking system</t>
  </si>
  <si>
    <t>Tyre/road friction coefficient</t>
  </si>
  <si>
    <t>Pad/disc friction coefficient</t>
  </si>
  <si>
    <t>Wheel Radius</t>
  </si>
  <si>
    <t>Radius to centre of all pads</t>
  </si>
  <si>
    <t>Front calliper piston area</t>
  </si>
  <si>
    <t>mm^2</t>
  </si>
  <si>
    <t>Rear calliper piston area</t>
  </si>
  <si>
    <t>Spacing of master cylinder</t>
  </si>
  <si>
    <t>Ilość osób</t>
  </si>
  <si>
    <t>Total weight</t>
  </si>
  <si>
    <t>Static axle loads</t>
  </si>
  <si>
    <t>Rear</t>
  </si>
  <si>
    <t>Front</t>
  </si>
  <si>
    <t>Braking force</t>
  </si>
  <si>
    <t>Longitudinal weight transfer</t>
  </si>
  <si>
    <t>Front wheel loads</t>
  </si>
  <si>
    <t>Rear wheel loads</t>
  </si>
  <si>
    <t>Front wheel brake force</t>
  </si>
  <si>
    <t>Rear wheel brake force</t>
  </si>
  <si>
    <t>Front wheel brake torque</t>
  </si>
  <si>
    <t>Rear wheel brake torque</t>
  </si>
  <si>
    <t>Nmm</t>
  </si>
  <si>
    <t>Front calliper clamping force</t>
  </si>
  <si>
    <t>Rear calliper clamping force</t>
  </si>
  <si>
    <t>Front fluid system pressure</t>
  </si>
  <si>
    <t>Rear fluid system pressure</t>
  </si>
  <si>
    <t>N/mm^2</t>
  </si>
  <si>
    <t>Force on front master cylinder</t>
  </si>
  <si>
    <t>Force on rear master cylinder</t>
  </si>
  <si>
    <t>Force applied to bias bar</t>
  </si>
  <si>
    <t>Siła którą działa kierowca na pedał</t>
  </si>
  <si>
    <t>Pedal ratio</t>
  </si>
  <si>
    <t>(Najczęściej pomiędzy 5 a 6)</t>
  </si>
  <si>
    <t>Tyre concerning forces</t>
  </si>
  <si>
    <t>Całkowita masa auta</t>
  </si>
  <si>
    <t>Siła ciężkości auta</t>
  </si>
  <si>
    <t>Slip angle</t>
  </si>
  <si>
    <t>st.</t>
  </si>
  <si>
    <t>Induded drag</t>
  </si>
  <si>
    <t>Nachylenie powierzchnii</t>
  </si>
  <si>
    <t>Rolling resistance</t>
  </si>
  <si>
    <t>Total drag</t>
  </si>
  <si>
    <t>Engine power</t>
  </si>
  <si>
    <t>Szybkość auta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</si>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</sst>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zcionka tekstu podstawowego"/>
      <family val="2"/>
      <charset val="238"/>
    </font>
    <font>
      <sz val="11"/>
      <color rgb="FF000000"/>
      <name val="Czcionka tekstu podstawowego"/>
      <charset val="238"/>
    </font>
    <font>
      <b/>
      <sz val="11"/>
      <color theme="1"/>
      <name val="Czcionka tekstu podstawowego"/>
      <charset val="238"/>
    </font>
    <font>
      <sz val="11"/>
      <color rgb="FFFF0000"/>
      <name val="Czcionka tekstu podstawowego"/>
      <family val="2"/>
      <charset val="238"/>
    </font>
    <font>
      <sz val="11"/>
      <color theme="1"/>
      <name val="Czcionka tekstu podstawowego"/>
      <charset val="238"/>
    </font>
    <font>
      <sz val="10"/>
      <color theme="1"/>
      <name val="Czcionka tekstu podstawowego"/>
      <family val="2"/>
      <charset val="238"/>
    </font>
    <font>
      <b/>
      <sz val="11"/>
      <color rgb="FFFF0000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2" fontId="0" fillId="6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6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60758</xdr:colOff>
      <xdr:row>2</xdr:row>
      <xdr:rowOff>179876</xdr:rowOff>
    </xdr:from>
    <xdr:to>
      <xdr:col>31</xdr:col>
      <xdr:colOff>608770</xdr:colOff>
      <xdr:row>20</xdr:row>
      <xdr:rowOff>134653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578849" y="526240"/>
          <a:ext cx="6660092" cy="3141322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657941</xdr:colOff>
      <xdr:row>48</xdr:row>
      <xdr:rowOff>15864</xdr:rowOff>
    </xdr:from>
    <xdr:to>
      <xdr:col>34</xdr:col>
      <xdr:colOff>408728</xdr:colOff>
      <xdr:row>76</xdr:row>
      <xdr:rowOff>158142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6655" y="8629185"/>
          <a:ext cx="7792609" cy="5122493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70014</xdr:colOff>
      <xdr:row>78</xdr:row>
      <xdr:rowOff>52574</xdr:rowOff>
    </xdr:from>
    <xdr:to>
      <xdr:col>34</xdr:col>
      <xdr:colOff>557893</xdr:colOff>
      <xdr:row>104</xdr:row>
      <xdr:rowOff>96114</xdr:rowOff>
    </xdr:to>
    <xdr:pic>
      <xdr:nvPicPr>
        <xdr:cNvPr id="1035" name="Picture 11" descr="macphereson-rc.jpg (750×500)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698943" y="14108753"/>
          <a:ext cx="7713272" cy="4656361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83283</xdr:colOff>
      <xdr:row>173</xdr:row>
      <xdr:rowOff>131243</xdr:rowOff>
    </xdr:from>
    <xdr:to>
      <xdr:col>31</xdr:col>
      <xdr:colOff>110499</xdr:colOff>
      <xdr:row>189</xdr:row>
      <xdr:rowOff>54428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31854" y="31277993"/>
          <a:ext cx="6027966" cy="2767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145458</xdr:colOff>
      <xdr:row>189</xdr:row>
      <xdr:rowOff>49627</xdr:rowOff>
    </xdr:from>
    <xdr:to>
      <xdr:col>31</xdr:col>
      <xdr:colOff>617502</xdr:colOff>
      <xdr:row>207</xdr:row>
      <xdr:rowOff>9607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4039601" y="34040270"/>
          <a:ext cx="6472794" cy="3198480"/>
        </a:xfrm>
        <a:prstGeom prst="rect">
          <a:avLst/>
        </a:prstGeom>
        <a:noFill/>
      </xdr:spPr>
    </xdr:pic>
    <xdr:clientData/>
  </xdr:twoCellAnchor>
  <xdr:twoCellAnchor editAs="oneCell">
    <xdr:from>
      <xdr:col>33</xdr:col>
      <xdr:colOff>232561</xdr:colOff>
      <xdr:row>187</xdr:row>
      <xdr:rowOff>166996</xdr:rowOff>
    </xdr:from>
    <xdr:to>
      <xdr:col>42</xdr:col>
      <xdr:colOff>503465</xdr:colOff>
      <xdr:row>211</xdr:row>
      <xdr:rowOff>92607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1120775" y="33790246"/>
          <a:ext cx="6394118" cy="4293504"/>
        </a:xfrm>
        <a:prstGeom prst="rect">
          <a:avLst/>
        </a:prstGeom>
        <a:noFill/>
      </xdr:spPr>
    </xdr:pic>
    <xdr:clientData/>
  </xdr:twoCellAnchor>
  <xdr:twoCellAnchor editAs="oneCell">
    <xdr:from>
      <xdr:col>25</xdr:col>
      <xdr:colOff>122465</xdr:colOff>
      <xdr:row>207</xdr:row>
      <xdr:rowOff>163286</xdr:rowOff>
    </xdr:from>
    <xdr:to>
      <xdr:col>35</xdr:col>
      <xdr:colOff>43544</xdr:colOff>
      <xdr:row>233</xdr:row>
      <xdr:rowOff>138793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5A591325-02DD-4325-B4D8-919CEAF70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67822" y="37392429"/>
          <a:ext cx="7146472" cy="4656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372836</xdr:colOff>
      <xdr:row>109</xdr:row>
      <xdr:rowOff>149678</xdr:rowOff>
    </xdr:from>
    <xdr:to>
      <xdr:col>11</xdr:col>
      <xdr:colOff>144236</xdr:colOff>
      <xdr:row>113</xdr:row>
      <xdr:rowOff>29936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C16FDBD6-1815-4391-9552-A878C0913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836" y="19730357"/>
          <a:ext cx="12888686" cy="587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911679</xdr:colOff>
      <xdr:row>114</xdr:row>
      <xdr:rowOff>81642</xdr:rowOff>
    </xdr:from>
    <xdr:to>
      <xdr:col>10</xdr:col>
      <xdr:colOff>356507</xdr:colOff>
      <xdr:row>127</xdr:row>
      <xdr:rowOff>110217</xdr:rowOff>
    </xdr:to>
    <xdr:pic>
      <xdr:nvPicPr>
        <xdr:cNvPr id="24" name="Obraz 23" descr="Zobacz obraz źródłowy">
          <a:extLst>
            <a:ext uri="{FF2B5EF4-FFF2-40B4-BE49-F238E27FC236}">
              <a16:creationId xmlns:a16="http://schemas.microsoft.com/office/drawing/2014/main" id="{A8E99858-39E8-4EAB-B94A-BB22D9026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2" y="20546785"/>
          <a:ext cx="5717721" cy="2341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911679</xdr:colOff>
      <xdr:row>142</xdr:row>
      <xdr:rowOff>118884</xdr:rowOff>
    </xdr:from>
    <xdr:to>
      <xdr:col>10</xdr:col>
      <xdr:colOff>66676</xdr:colOff>
      <xdr:row>169</xdr:row>
      <xdr:rowOff>43542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D14B4CBF-F869-4898-9C67-F52BCD36D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2" y="25618670"/>
          <a:ext cx="5427890" cy="4877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U229"/>
  <sheetViews>
    <sheetView tabSelected="1" topLeftCell="A121" zoomScale="70" zoomScaleNormal="70" workbookViewId="0">
      <selection activeCell="D169" sqref="D169"/>
    </sheetView>
  </sheetViews>
  <sheetFormatPr defaultColWidth="9" defaultRowHeight="14.25"/>
  <cols>
    <col min="1" max="1" width="9" style="9" customWidth="1"/>
    <col min="2" max="2" width="40.125" style="9" customWidth="1"/>
    <col min="3" max="4" width="9" style="9"/>
    <col min="5" max="5" width="10.375" style="9" customWidth="1"/>
    <col min="6" max="6" width="41.625" style="9" customWidth="1"/>
    <col min="7" max="7" width="9.875" style="9" customWidth="1"/>
    <col min="8" max="8" width="11.75" style="9" bestFit="1" customWidth="1"/>
    <col min="9" max="9" width="9.75" style="9" customWidth="1"/>
    <col min="10" max="10" width="9.25" style="9" bestFit="1" customWidth="1"/>
    <col min="11" max="11" width="12.5" style="9" bestFit="1" customWidth="1"/>
    <col min="12" max="12" width="9" style="9"/>
    <col min="13" max="13" width="39.375" style="9" customWidth="1"/>
    <col min="14" max="14" width="9" style="9"/>
    <col min="15" max="15" width="10.125" style="9" customWidth="1"/>
    <col min="16" max="16" width="9" style="9"/>
    <col min="17" max="17" width="9.375" style="9" bestFit="1" customWidth="1"/>
    <col min="18" max="21" width="9" style="9"/>
    <col min="22" max="22" width="11" style="9" customWidth="1"/>
    <col min="23" max="23" width="9.5" style="9" customWidth="1"/>
    <col min="24" max="24" width="10.625" style="9" customWidth="1"/>
    <col min="25" max="27" width="9" style="9"/>
    <col min="28" max="28" width="14.375" style="9" customWidth="1"/>
    <col min="29" max="16384" width="9" style="9"/>
  </cols>
  <sheetData>
    <row r="2" spans="2:23">
      <c r="B2" s="3" t="s">
        <v>1</v>
      </c>
      <c r="C2" s="3">
        <v>400</v>
      </c>
      <c r="D2" s="3" t="s">
        <v>2</v>
      </c>
      <c r="E2" s="10"/>
      <c r="F2" s="6"/>
      <c r="G2" s="6" t="s">
        <v>75</v>
      </c>
      <c r="H2" s="6" t="s">
        <v>76</v>
      </c>
      <c r="I2" s="6" t="s">
        <v>77</v>
      </c>
      <c r="J2" s="6" t="s">
        <v>78</v>
      </c>
      <c r="K2" s="6"/>
      <c r="M2" s="3"/>
      <c r="N2" s="3" t="s">
        <v>100</v>
      </c>
      <c r="O2" s="3" t="s">
        <v>101</v>
      </c>
      <c r="P2" s="3" t="s">
        <v>102</v>
      </c>
      <c r="Q2" s="3" t="s">
        <v>103</v>
      </c>
      <c r="R2" s="3"/>
    </row>
    <row r="3" spans="2:23" ht="15">
      <c r="B3" s="3" t="s">
        <v>63</v>
      </c>
      <c r="C3" s="3">
        <v>75</v>
      </c>
      <c r="D3" s="3" t="s">
        <v>2</v>
      </c>
      <c r="E3" s="10"/>
      <c r="F3" s="7" t="s">
        <v>51</v>
      </c>
      <c r="G3" s="2">
        <f>C2+1*C3</f>
        <v>475</v>
      </c>
      <c r="H3" s="2">
        <f>C2+2*C3</f>
        <v>550</v>
      </c>
      <c r="I3" s="2">
        <f>C2+3*C3</f>
        <v>625</v>
      </c>
      <c r="J3" s="2">
        <f>C2+4*C3</f>
        <v>700</v>
      </c>
      <c r="K3" s="6" t="s">
        <v>2</v>
      </c>
      <c r="M3" s="15" t="s">
        <v>99</v>
      </c>
      <c r="N3" s="38">
        <v>75</v>
      </c>
      <c r="O3" s="38">
        <v>75</v>
      </c>
      <c r="P3" s="38">
        <v>75</v>
      </c>
      <c r="Q3" s="38">
        <v>75</v>
      </c>
      <c r="R3" s="38" t="s">
        <v>2</v>
      </c>
    </row>
    <row r="4" spans="2:23">
      <c r="B4" s="100" t="s">
        <v>8</v>
      </c>
      <c r="C4" s="3">
        <f>100-C5</f>
        <v>40</v>
      </c>
      <c r="D4" s="3" t="s">
        <v>9</v>
      </c>
      <c r="E4" s="10"/>
    </row>
    <row r="5" spans="2:23" ht="15">
      <c r="B5" s="101"/>
      <c r="C5" s="3">
        <v>60</v>
      </c>
      <c r="D5" s="3" t="s">
        <v>9</v>
      </c>
      <c r="E5" s="10"/>
      <c r="F5" s="90" t="s">
        <v>79</v>
      </c>
      <c r="G5" s="91"/>
      <c r="H5" s="91"/>
      <c r="I5" s="91"/>
      <c r="J5" s="91"/>
      <c r="K5" s="92"/>
      <c r="M5" s="27"/>
      <c r="N5" s="28" t="s">
        <v>89</v>
      </c>
      <c r="O5" s="29"/>
      <c r="P5" s="29"/>
      <c r="Q5" s="29"/>
      <c r="R5" s="29"/>
      <c r="S5" s="29"/>
      <c r="T5" s="29"/>
      <c r="U5" s="29"/>
      <c r="V5" s="57"/>
      <c r="W5" s="27"/>
    </row>
    <row r="6" spans="2:23">
      <c r="B6" s="3" t="s">
        <v>70</v>
      </c>
      <c r="C6" s="3">
        <v>1.5</v>
      </c>
      <c r="D6" s="3" t="s">
        <v>3</v>
      </c>
      <c r="E6" s="10"/>
      <c r="F6" s="5"/>
      <c r="G6" s="5" t="s">
        <v>75</v>
      </c>
      <c r="H6" s="5" t="s">
        <v>76</v>
      </c>
      <c r="I6" s="5" t="s">
        <v>77</v>
      </c>
      <c r="J6" s="5" t="s">
        <v>78</v>
      </c>
      <c r="K6" s="5"/>
      <c r="M6" s="27"/>
      <c r="N6" s="3">
        <v>1</v>
      </c>
      <c r="O6" s="3" t="s">
        <v>90</v>
      </c>
      <c r="P6" s="3" t="s">
        <v>91</v>
      </c>
      <c r="Q6" s="3" t="s">
        <v>92</v>
      </c>
      <c r="R6" s="3" t="s">
        <v>93</v>
      </c>
      <c r="S6" s="3" t="s">
        <v>96</v>
      </c>
      <c r="T6" s="3" t="s">
        <v>95</v>
      </c>
      <c r="U6" s="3" t="s">
        <v>94</v>
      </c>
      <c r="V6" s="3" t="s">
        <v>235</v>
      </c>
      <c r="W6" s="30"/>
    </row>
    <row r="7" spans="2:23">
      <c r="B7" s="3" t="s">
        <v>71</v>
      </c>
      <c r="C7" s="3">
        <v>1.5</v>
      </c>
      <c r="D7" s="3" t="s">
        <v>3</v>
      </c>
      <c r="E7" s="10"/>
      <c r="F7" s="102" t="s">
        <v>64</v>
      </c>
      <c r="G7" s="18">
        <f>$C$4*0.01*$G$3*0.5</f>
        <v>95</v>
      </c>
      <c r="H7" s="18">
        <f>$C$4*0.01*$H$3*0.5</f>
        <v>110</v>
      </c>
      <c r="I7" s="18">
        <f>$C$4*0.01*$I$3*0.5</f>
        <v>125</v>
      </c>
      <c r="J7" s="19">
        <f>$C$4*0.01*$J$3*0.5</f>
        <v>140</v>
      </c>
      <c r="K7" s="2" t="s">
        <v>2</v>
      </c>
      <c r="M7" s="50" t="s">
        <v>97</v>
      </c>
      <c r="N7" s="68">
        <f>$C$2+N3</f>
        <v>475</v>
      </c>
      <c r="O7" s="68">
        <f>$C$2+O3+N3</f>
        <v>550</v>
      </c>
      <c r="P7" s="68">
        <f>$C$2+P3+N3</f>
        <v>550</v>
      </c>
      <c r="Q7" s="68">
        <f>$C$2+Q3+N3</f>
        <v>550</v>
      </c>
      <c r="R7" s="68">
        <f>$C$2+O3+P3+N3</f>
        <v>625</v>
      </c>
      <c r="S7" s="68">
        <f>$C$2+O3+Q3+N3</f>
        <v>625</v>
      </c>
      <c r="T7" s="68">
        <f>$C$2+P3+Q3+N3</f>
        <v>625</v>
      </c>
      <c r="U7" s="68">
        <f>$C$2+N3+O3+P3+Q3</f>
        <v>700</v>
      </c>
      <c r="V7" s="68">
        <v>400</v>
      </c>
      <c r="W7" s="68" t="s">
        <v>2</v>
      </c>
    </row>
    <row r="8" spans="2:23">
      <c r="B8" s="3" t="s">
        <v>4</v>
      </c>
      <c r="C8" s="3">
        <v>2.6</v>
      </c>
      <c r="D8" s="3" t="s">
        <v>3</v>
      </c>
      <c r="E8" s="10"/>
      <c r="F8" s="103"/>
      <c r="G8" s="19">
        <f t="shared" ref="G8:I8" si="0">G7*9.81</f>
        <v>931.95</v>
      </c>
      <c r="H8" s="19">
        <f t="shared" si="0"/>
        <v>1079.1000000000001</v>
      </c>
      <c r="I8" s="19">
        <f t="shared" si="0"/>
        <v>1226.25</v>
      </c>
      <c r="J8" s="19">
        <f>J7*9.81</f>
        <v>1373.4</v>
      </c>
      <c r="K8" s="2" t="s">
        <v>11</v>
      </c>
      <c r="M8" s="52" t="s">
        <v>98</v>
      </c>
      <c r="N8" s="69"/>
      <c r="O8" s="69"/>
      <c r="P8" s="69"/>
      <c r="Q8" s="69"/>
      <c r="R8" s="69"/>
      <c r="S8" s="69"/>
      <c r="T8" s="69"/>
      <c r="U8" s="69"/>
      <c r="V8" s="69"/>
      <c r="W8" s="69"/>
    </row>
    <row r="9" spans="2:23">
      <c r="B9" s="2" t="s">
        <v>15</v>
      </c>
      <c r="C9" s="2">
        <f>J15*C8/J3</f>
        <v>1.04</v>
      </c>
      <c r="D9" s="2" t="s">
        <v>3</v>
      </c>
      <c r="E9" s="10"/>
      <c r="F9" s="102" t="s">
        <v>65</v>
      </c>
      <c r="G9" s="18">
        <f>$C$4*0.01*$G$3*0.5</f>
        <v>95</v>
      </c>
      <c r="H9" s="19">
        <f>$C$4*0.01*$H$3*0.5</f>
        <v>110</v>
      </c>
      <c r="I9" s="18">
        <f>$C$4*0.01*$I$3*0.5</f>
        <v>125</v>
      </c>
      <c r="J9" s="19">
        <f>$C$4*0.01*$J$3*0.5</f>
        <v>140</v>
      </c>
      <c r="K9" s="2" t="s">
        <v>2</v>
      </c>
      <c r="M9" s="44" t="s">
        <v>97</v>
      </c>
      <c r="N9" s="76">
        <f>N7*9.81</f>
        <v>4659.75</v>
      </c>
      <c r="O9" s="76">
        <f t="shared" ref="O9:U9" si="1">O7*9.81</f>
        <v>5395.5</v>
      </c>
      <c r="P9" s="76">
        <f t="shared" si="1"/>
        <v>5395.5</v>
      </c>
      <c r="Q9" s="76">
        <f t="shared" si="1"/>
        <v>5395.5</v>
      </c>
      <c r="R9" s="76">
        <f t="shared" si="1"/>
        <v>6131.25</v>
      </c>
      <c r="S9" s="76">
        <f t="shared" si="1"/>
        <v>6131.25</v>
      </c>
      <c r="T9" s="76">
        <f t="shared" si="1"/>
        <v>6131.25</v>
      </c>
      <c r="U9" s="76">
        <f t="shared" si="1"/>
        <v>6867</v>
      </c>
      <c r="V9" s="68">
        <f>V7*9.81</f>
        <v>3924</v>
      </c>
      <c r="W9" s="68" t="s">
        <v>11</v>
      </c>
    </row>
    <row r="10" spans="2:23">
      <c r="B10" s="2" t="s">
        <v>14</v>
      </c>
      <c r="C10" s="2">
        <f>C8-C9</f>
        <v>1.56</v>
      </c>
      <c r="D10" s="2" t="s">
        <v>3</v>
      </c>
      <c r="E10" s="10"/>
      <c r="F10" s="103"/>
      <c r="G10" s="19">
        <f t="shared" ref="G10:I10" si="2">G9*9.81</f>
        <v>931.95</v>
      </c>
      <c r="H10" s="19">
        <f t="shared" si="2"/>
        <v>1079.1000000000001</v>
      </c>
      <c r="I10" s="19">
        <f t="shared" si="2"/>
        <v>1226.25</v>
      </c>
      <c r="J10" s="19">
        <f>J9*9.81</f>
        <v>1373.4</v>
      </c>
      <c r="K10" s="2" t="s">
        <v>11</v>
      </c>
      <c r="M10" s="53" t="s">
        <v>98</v>
      </c>
      <c r="N10" s="77"/>
      <c r="O10" s="77"/>
      <c r="P10" s="77"/>
      <c r="Q10" s="77"/>
      <c r="R10" s="77"/>
      <c r="S10" s="77"/>
      <c r="T10" s="77"/>
      <c r="U10" s="77"/>
      <c r="V10" s="69"/>
      <c r="W10" s="69"/>
    </row>
    <row r="11" spans="2:23">
      <c r="B11" s="17" t="s">
        <v>72</v>
      </c>
      <c r="C11" s="17">
        <v>0.3</v>
      </c>
      <c r="D11" s="17" t="s">
        <v>3</v>
      </c>
      <c r="E11" s="11"/>
      <c r="F11" s="102" t="s">
        <v>66</v>
      </c>
      <c r="G11" s="18">
        <f>C5*0.01*G3*0.5</f>
        <v>142.5</v>
      </c>
      <c r="H11" s="19">
        <f>$C$5*0.01*$H$3*0.5</f>
        <v>165</v>
      </c>
      <c r="I11" s="18">
        <f>$C$5*0.01*$I$3*0.5</f>
        <v>187.5</v>
      </c>
      <c r="J11" s="19">
        <f>$C$5*0.01*$J$3*0.5</f>
        <v>210</v>
      </c>
      <c r="K11" s="2" t="s">
        <v>2</v>
      </c>
      <c r="M11" s="50" t="s">
        <v>236</v>
      </c>
      <c r="N11" s="74">
        <v>2.048</v>
      </c>
      <c r="O11" s="68">
        <v>1.575</v>
      </c>
      <c r="P11" s="68">
        <f>V11</f>
        <v>2.52</v>
      </c>
      <c r="Q11" s="68">
        <f>V11</f>
        <v>2.52</v>
      </c>
      <c r="R11" s="68">
        <f>N11</f>
        <v>2.048</v>
      </c>
      <c r="S11" s="68">
        <f>N11</f>
        <v>2.048</v>
      </c>
      <c r="T11" s="68">
        <v>2.835</v>
      </c>
      <c r="U11" s="68">
        <f>V11</f>
        <v>2.52</v>
      </c>
      <c r="V11" s="68">
        <f>0.6*C16</f>
        <v>2.52</v>
      </c>
      <c r="W11" s="68" t="s">
        <v>3</v>
      </c>
    </row>
    <row r="12" spans="2:23">
      <c r="B12" s="2" t="s">
        <v>48</v>
      </c>
      <c r="C12" s="2">
        <f>C49</f>
        <v>0.26283600000000001</v>
      </c>
      <c r="D12" s="2" t="s">
        <v>3</v>
      </c>
      <c r="E12" s="11"/>
      <c r="F12" s="103"/>
      <c r="G12" s="19">
        <f t="shared" ref="G12:I12" si="3">G11*9.81</f>
        <v>1397.9250000000002</v>
      </c>
      <c r="H12" s="19">
        <f t="shared" si="3"/>
        <v>1618.65</v>
      </c>
      <c r="I12" s="19">
        <f t="shared" si="3"/>
        <v>1839.375</v>
      </c>
      <c r="J12" s="19">
        <f>J11*9.81</f>
        <v>2060.1</v>
      </c>
      <c r="K12" s="2" t="s">
        <v>11</v>
      </c>
      <c r="M12" s="51" t="s">
        <v>237</v>
      </c>
      <c r="N12" s="75"/>
      <c r="O12" s="69"/>
      <c r="P12" s="69"/>
      <c r="Q12" s="69"/>
      <c r="R12" s="69"/>
      <c r="S12" s="69"/>
      <c r="T12" s="69"/>
      <c r="U12" s="69"/>
      <c r="V12" s="69"/>
      <c r="W12" s="69"/>
    </row>
    <row r="13" spans="2:23">
      <c r="B13" s="17" t="s">
        <v>16</v>
      </c>
      <c r="C13" s="17">
        <v>1.5</v>
      </c>
      <c r="D13" s="17" t="s">
        <v>12</v>
      </c>
      <c r="E13" s="11"/>
      <c r="F13" s="102" t="s">
        <v>67</v>
      </c>
      <c r="G13" s="18">
        <f>$C$5*0.01*$G$3*0.5</f>
        <v>142.5</v>
      </c>
      <c r="H13" s="19">
        <f>$C$5*0.01*$H$3*0.5</f>
        <v>165</v>
      </c>
      <c r="I13" s="18">
        <f>$C$5*0.01*$I$3*0.5</f>
        <v>187.5</v>
      </c>
      <c r="J13" s="19">
        <f>$C$5*0.01*$J$3*0.5</f>
        <v>210</v>
      </c>
      <c r="K13" s="2" t="s">
        <v>2</v>
      </c>
      <c r="M13" s="44" t="s">
        <v>239</v>
      </c>
      <c r="N13" s="74">
        <v>0.71099999999999997</v>
      </c>
      <c r="O13" s="68">
        <f>V13</f>
        <v>0.875</v>
      </c>
      <c r="P13" s="68">
        <v>0.54700000000000004</v>
      </c>
      <c r="Q13" s="68">
        <f>V13</f>
        <v>0.875</v>
      </c>
      <c r="R13" s="68">
        <f>N13</f>
        <v>0.71099999999999997</v>
      </c>
      <c r="S13" s="68">
        <f>Q13+Q13-R13</f>
        <v>1.0390000000000001</v>
      </c>
      <c r="T13" s="68">
        <f>R13</f>
        <v>0.71099999999999997</v>
      </c>
      <c r="U13" s="68">
        <f>V13</f>
        <v>0.875</v>
      </c>
      <c r="V13" s="68">
        <f>C14/2</f>
        <v>0.875</v>
      </c>
      <c r="W13" s="68" t="s">
        <v>3</v>
      </c>
    </row>
    <row r="14" spans="2:23" ht="15">
      <c r="B14" s="3" t="s">
        <v>6</v>
      </c>
      <c r="C14" s="3">
        <v>1.75</v>
      </c>
      <c r="D14" s="3" t="s">
        <v>3</v>
      </c>
      <c r="E14" s="12"/>
      <c r="F14" s="103"/>
      <c r="G14" s="19">
        <f t="shared" ref="G14:I14" si="4">G13*9.81</f>
        <v>1397.9250000000002</v>
      </c>
      <c r="H14" s="19">
        <f t="shared" si="4"/>
        <v>1618.65</v>
      </c>
      <c r="I14" s="19">
        <f t="shared" si="4"/>
        <v>1839.375</v>
      </c>
      <c r="J14" s="19">
        <f>J13*9.81</f>
        <v>2060.1</v>
      </c>
      <c r="K14" s="2" t="s">
        <v>11</v>
      </c>
      <c r="M14" s="34" t="s">
        <v>238</v>
      </c>
      <c r="N14" s="75"/>
      <c r="O14" s="69"/>
      <c r="P14" s="69"/>
      <c r="Q14" s="69"/>
      <c r="R14" s="69"/>
      <c r="S14" s="69"/>
      <c r="T14" s="69"/>
      <c r="U14" s="69"/>
      <c r="V14" s="69"/>
      <c r="W14" s="69"/>
    </row>
    <row r="15" spans="2:23">
      <c r="B15" s="3" t="s">
        <v>7</v>
      </c>
      <c r="C15" s="3">
        <v>7</v>
      </c>
      <c r="D15" s="3" t="s">
        <v>3</v>
      </c>
      <c r="F15" s="102" t="s">
        <v>68</v>
      </c>
      <c r="G15" s="19">
        <f>G7+G9</f>
        <v>190</v>
      </c>
      <c r="H15" s="19">
        <f t="shared" ref="H15:I15" si="5">H7+H9</f>
        <v>220</v>
      </c>
      <c r="I15" s="19">
        <f t="shared" si="5"/>
        <v>250</v>
      </c>
      <c r="J15" s="19">
        <f>J7+J9</f>
        <v>280</v>
      </c>
      <c r="K15" s="2" t="s">
        <v>2</v>
      </c>
      <c r="M15" s="50" t="s">
        <v>104</v>
      </c>
      <c r="N15" s="74">
        <f>N11-$N$19</f>
        <v>1.0880000000000001</v>
      </c>
      <c r="O15" s="74">
        <f t="shared" ref="O15:U15" si="6">O11-$N$19</f>
        <v>0.61499999999999999</v>
      </c>
      <c r="P15" s="74">
        <f t="shared" si="6"/>
        <v>1.56</v>
      </c>
      <c r="Q15" s="74">
        <f t="shared" si="6"/>
        <v>1.56</v>
      </c>
      <c r="R15" s="74">
        <f t="shared" si="6"/>
        <v>1.0880000000000001</v>
      </c>
      <c r="S15" s="74">
        <f t="shared" si="6"/>
        <v>1.0880000000000001</v>
      </c>
      <c r="T15" s="74">
        <f t="shared" si="6"/>
        <v>1.875</v>
      </c>
      <c r="U15" s="74">
        <f t="shared" si="6"/>
        <v>1.56</v>
      </c>
      <c r="V15" s="68">
        <f>C10</f>
        <v>1.56</v>
      </c>
      <c r="W15" s="68" t="s">
        <v>3</v>
      </c>
    </row>
    <row r="16" spans="2:23">
      <c r="B16" s="3" t="s">
        <v>0</v>
      </c>
      <c r="C16" s="3">
        <v>4.2</v>
      </c>
      <c r="D16" s="3" t="s">
        <v>3</v>
      </c>
      <c r="F16" s="103"/>
      <c r="G16" s="19">
        <f t="shared" ref="G16:I16" si="7">G15*9.81</f>
        <v>1863.9</v>
      </c>
      <c r="H16" s="19">
        <f t="shared" si="7"/>
        <v>2158.2000000000003</v>
      </c>
      <c r="I16" s="19">
        <f t="shared" si="7"/>
        <v>2452.5</v>
      </c>
      <c r="J16" s="19">
        <f>J15*9.81</f>
        <v>2746.8</v>
      </c>
      <c r="K16" s="2" t="s">
        <v>11</v>
      </c>
      <c r="M16" s="51" t="s">
        <v>105</v>
      </c>
      <c r="N16" s="75"/>
      <c r="O16" s="75"/>
      <c r="P16" s="75"/>
      <c r="Q16" s="75"/>
      <c r="R16" s="75"/>
      <c r="S16" s="75"/>
      <c r="T16" s="75"/>
      <c r="U16" s="75"/>
      <c r="V16" s="69"/>
      <c r="W16" s="69"/>
    </row>
    <row r="17" spans="2:42">
      <c r="B17" s="3" t="s">
        <v>22</v>
      </c>
      <c r="C17" s="3">
        <v>8000</v>
      </c>
      <c r="D17" s="3" t="s">
        <v>24</v>
      </c>
      <c r="F17" s="102" t="s">
        <v>69</v>
      </c>
      <c r="G17" s="19">
        <f t="shared" ref="G17:I17" si="8">G11+G13</f>
        <v>285</v>
      </c>
      <c r="H17" s="19">
        <f t="shared" si="8"/>
        <v>330</v>
      </c>
      <c r="I17" s="19">
        <f t="shared" si="8"/>
        <v>375</v>
      </c>
      <c r="J17" s="19">
        <f>J11+J13</f>
        <v>420</v>
      </c>
      <c r="K17" s="2" t="s">
        <v>2</v>
      </c>
      <c r="M17" s="44" t="s">
        <v>106</v>
      </c>
      <c r="N17" s="74">
        <f>$N$21-N11</f>
        <v>1.512</v>
      </c>
      <c r="O17" s="74">
        <f t="shared" ref="O17:T17" si="9">$N$21-O11</f>
        <v>1.9850000000000001</v>
      </c>
      <c r="P17" s="74">
        <f t="shared" si="9"/>
        <v>1.04</v>
      </c>
      <c r="Q17" s="74">
        <f t="shared" si="9"/>
        <v>1.04</v>
      </c>
      <c r="R17" s="74">
        <f t="shared" si="9"/>
        <v>1.512</v>
      </c>
      <c r="S17" s="74">
        <f t="shared" si="9"/>
        <v>1.512</v>
      </c>
      <c r="T17" s="74">
        <f t="shared" si="9"/>
        <v>0.72500000000000009</v>
      </c>
      <c r="U17" s="74">
        <f>$N$21-U11</f>
        <v>1.04</v>
      </c>
      <c r="V17" s="68">
        <f>C9</f>
        <v>1.04</v>
      </c>
      <c r="W17" s="68" t="s">
        <v>3</v>
      </c>
    </row>
    <row r="18" spans="2:42">
      <c r="B18" s="3" t="s">
        <v>23</v>
      </c>
      <c r="C18" s="3">
        <v>16000</v>
      </c>
      <c r="D18" s="3" t="s">
        <v>24</v>
      </c>
      <c r="F18" s="103"/>
      <c r="G18" s="19">
        <f t="shared" ref="G18:I18" si="10">G17*9.81</f>
        <v>2795.8500000000004</v>
      </c>
      <c r="H18" s="19">
        <f t="shared" si="10"/>
        <v>3237.3</v>
      </c>
      <c r="I18" s="19">
        <f t="shared" si="10"/>
        <v>3678.75</v>
      </c>
      <c r="J18" s="19">
        <f>J17*9.81</f>
        <v>4120.2</v>
      </c>
      <c r="K18" s="2" t="s">
        <v>11</v>
      </c>
      <c r="M18" s="34" t="s">
        <v>107</v>
      </c>
      <c r="N18" s="75"/>
      <c r="O18" s="75"/>
      <c r="P18" s="75"/>
      <c r="Q18" s="75"/>
      <c r="R18" s="75"/>
      <c r="S18" s="75"/>
      <c r="T18" s="75"/>
      <c r="U18" s="75"/>
      <c r="V18" s="69"/>
      <c r="W18" s="69"/>
    </row>
    <row r="19" spans="2:42">
      <c r="B19" s="3" t="s">
        <v>35</v>
      </c>
      <c r="C19" s="3">
        <v>1.2250000000000001</v>
      </c>
      <c r="D19" s="3" t="s">
        <v>25</v>
      </c>
      <c r="M19" s="51" t="s">
        <v>240</v>
      </c>
      <c r="N19" s="70">
        <f>V11-V15</f>
        <v>0.96</v>
      </c>
      <c r="O19" s="71"/>
      <c r="P19" s="71"/>
      <c r="Q19" s="71"/>
      <c r="R19" s="71"/>
      <c r="S19" s="71"/>
      <c r="T19" s="71"/>
      <c r="U19" s="71"/>
      <c r="V19" s="71"/>
      <c r="W19" s="68" t="s">
        <v>3</v>
      </c>
    </row>
    <row r="20" spans="2:42" ht="15">
      <c r="B20" s="3" t="s">
        <v>26</v>
      </c>
      <c r="C20" s="3">
        <v>1.4</v>
      </c>
      <c r="D20" s="3" t="s">
        <v>3</v>
      </c>
      <c r="F20" s="90" t="s">
        <v>74</v>
      </c>
      <c r="G20" s="91"/>
      <c r="H20" s="91"/>
      <c r="I20" s="91"/>
      <c r="J20" s="91"/>
      <c r="K20" s="92"/>
      <c r="M20" s="6" t="s">
        <v>241</v>
      </c>
      <c r="N20" s="72"/>
      <c r="O20" s="73"/>
      <c r="P20" s="73"/>
      <c r="Q20" s="73"/>
      <c r="R20" s="73"/>
      <c r="S20" s="73"/>
      <c r="T20" s="73"/>
      <c r="U20" s="73"/>
      <c r="V20" s="73"/>
      <c r="W20" s="69"/>
    </row>
    <row r="21" spans="2:42" ht="15">
      <c r="B21" s="13" t="s">
        <v>33</v>
      </c>
      <c r="C21" s="3">
        <f>C7+C23+0.1</f>
        <v>1.7850000000000001</v>
      </c>
      <c r="D21" s="3" t="s">
        <v>3</v>
      </c>
      <c r="E21" s="14"/>
      <c r="F21" s="5"/>
      <c r="G21" s="5" t="s">
        <v>75</v>
      </c>
      <c r="H21" s="5" t="s">
        <v>76</v>
      </c>
      <c r="I21" s="5" t="s">
        <v>77</v>
      </c>
      <c r="J21" s="5" t="s">
        <v>78</v>
      </c>
      <c r="K21" s="5"/>
      <c r="M21" s="24" t="s">
        <v>242</v>
      </c>
      <c r="N21" s="70">
        <f>V11+V17</f>
        <v>3.56</v>
      </c>
      <c r="O21" s="71"/>
      <c r="P21" s="71"/>
      <c r="Q21" s="71"/>
      <c r="R21" s="71"/>
      <c r="S21" s="71"/>
      <c r="T21" s="71"/>
      <c r="U21" s="71"/>
      <c r="V21" s="71"/>
      <c r="W21" s="68" t="s">
        <v>3</v>
      </c>
    </row>
    <row r="22" spans="2:42">
      <c r="B22" s="3" t="s">
        <v>27</v>
      </c>
      <c r="C22" s="3">
        <v>0.22</v>
      </c>
      <c r="D22" s="3" t="s">
        <v>12</v>
      </c>
      <c r="F22" s="2" t="s">
        <v>36</v>
      </c>
      <c r="G22" s="19">
        <f>(G18*$C$13)/(1-($C$11*$C$13/$C$7))</f>
        <v>5991.107142857144</v>
      </c>
      <c r="H22" s="19">
        <f>(H18*$C$13)/(1-($C$11*$C$13/$C$7))</f>
        <v>6937.0714285714303</v>
      </c>
      <c r="I22" s="19">
        <f>(I18*$C$13)/(1-($C$11*$C$13/$C$7))</f>
        <v>7883.0357142857147</v>
      </c>
      <c r="J22" s="19">
        <f>(J18*$C$13)/(1-($C$11*$C$13/$C$7))</f>
        <v>8829</v>
      </c>
      <c r="K22" s="2" t="s">
        <v>11</v>
      </c>
      <c r="M22" s="24" t="s">
        <v>243</v>
      </c>
      <c r="N22" s="72"/>
      <c r="O22" s="73"/>
      <c r="P22" s="73"/>
      <c r="Q22" s="73"/>
      <c r="R22" s="73"/>
      <c r="S22" s="73"/>
      <c r="T22" s="73"/>
      <c r="U22" s="73"/>
      <c r="V22" s="73"/>
      <c r="W22" s="69"/>
    </row>
    <row r="23" spans="2:42">
      <c r="B23" s="3" t="s">
        <v>34</v>
      </c>
      <c r="C23" s="3">
        <v>0.185</v>
      </c>
      <c r="D23" s="3" t="s">
        <v>3</v>
      </c>
      <c r="F23" s="8" t="s">
        <v>13</v>
      </c>
      <c r="G23" s="19">
        <f>G22*$C$11/$C$7</f>
        <v>1198.2214285714288</v>
      </c>
      <c r="H23" s="19">
        <f>H22*$C$11/$C$7</f>
        <v>1387.4142857142861</v>
      </c>
      <c r="I23" s="19">
        <f>I22*$C$11/$C$7</f>
        <v>1576.6071428571429</v>
      </c>
      <c r="J23" s="19">
        <f>J22*$C$11/$C$7</f>
        <v>1765.8</v>
      </c>
      <c r="K23" s="2" t="s">
        <v>11</v>
      </c>
      <c r="M23" s="4"/>
      <c r="N23" s="25"/>
      <c r="O23" s="25"/>
      <c r="P23" s="25"/>
      <c r="Q23" s="25"/>
      <c r="R23" s="25"/>
      <c r="S23" s="25"/>
      <c r="T23" s="25"/>
      <c r="U23" s="25"/>
      <c r="V23" s="25"/>
    </row>
    <row r="24" spans="2:42">
      <c r="B24" s="3" t="s">
        <v>10</v>
      </c>
      <c r="C24" s="3">
        <v>0.125</v>
      </c>
      <c r="D24" s="3" t="s">
        <v>3</v>
      </c>
      <c r="F24" s="2" t="s">
        <v>37</v>
      </c>
      <c r="G24" s="19">
        <f>(G16-G23)/2</f>
        <v>332.83928571428567</v>
      </c>
      <c r="H24" s="19">
        <f>(H16-H23)/2</f>
        <v>385.39285714285711</v>
      </c>
      <c r="I24" s="19">
        <f>(I16-I23)/2</f>
        <v>437.94642857142856</v>
      </c>
      <c r="J24" s="19">
        <f>(J16-J23)/2</f>
        <v>490.50000000000011</v>
      </c>
      <c r="K24" s="2" t="s">
        <v>11</v>
      </c>
      <c r="M24" s="4"/>
      <c r="N24" s="25"/>
      <c r="O24" s="25"/>
      <c r="P24" s="25"/>
      <c r="Q24" s="25"/>
      <c r="R24" s="25"/>
      <c r="S24" s="25"/>
      <c r="T24" s="25"/>
      <c r="U24" s="25"/>
      <c r="V24" s="25"/>
    </row>
    <row r="25" spans="2:42">
      <c r="F25" s="2" t="s">
        <v>38</v>
      </c>
      <c r="G25" s="19">
        <f>(G18+G23)/2</f>
        <v>1997.0357142857147</v>
      </c>
      <c r="H25" s="19">
        <f>(H18+H23)/2</f>
        <v>2312.3571428571431</v>
      </c>
      <c r="I25" s="19">
        <f>(I18+I23)/2</f>
        <v>2627.6785714285716</v>
      </c>
      <c r="J25" s="19">
        <f>(J18+J23)/2</f>
        <v>2943</v>
      </c>
      <c r="K25" s="2" t="s">
        <v>11</v>
      </c>
      <c r="M25" s="4"/>
      <c r="N25" s="25"/>
      <c r="O25" s="25"/>
      <c r="P25" s="25"/>
      <c r="Q25" s="25"/>
      <c r="R25" s="25"/>
      <c r="S25" s="25"/>
      <c r="T25" s="25"/>
      <c r="U25" s="25"/>
      <c r="V25" s="25"/>
    </row>
    <row r="26" spans="2:42">
      <c r="B26" s="104" t="s">
        <v>30</v>
      </c>
      <c r="C26" s="105"/>
      <c r="D26" s="106"/>
      <c r="F26" s="8" t="s">
        <v>17</v>
      </c>
      <c r="G26" s="19">
        <f>(G25*2)*$C$12*$C$13</f>
        <v>1574.6786370000004</v>
      </c>
      <c r="H26" s="19">
        <f>(H25*2)*$C$12*$C$13</f>
        <v>1823.3121060000003</v>
      </c>
      <c r="I26" s="19">
        <f>(I25*2)*$C$12*$C$13</f>
        <v>2071.9455750000002</v>
      </c>
      <c r="J26" s="19">
        <f>(J25*2)*$C$12*$C$13</f>
        <v>2320.5790440000001</v>
      </c>
      <c r="K26" s="2" t="s">
        <v>18</v>
      </c>
      <c r="M26" s="4"/>
      <c r="N26" s="25"/>
      <c r="O26" s="25"/>
      <c r="P26" s="25"/>
      <c r="Q26" s="25"/>
      <c r="R26" s="25"/>
      <c r="S26" s="25"/>
      <c r="T26" s="25"/>
      <c r="U26" s="25"/>
      <c r="V26" s="25"/>
      <c r="W26" s="22"/>
      <c r="X26" s="22"/>
      <c r="Y26" s="22"/>
      <c r="Z26" s="22"/>
      <c r="AA26" s="21"/>
      <c r="AB26" s="21"/>
    </row>
    <row r="27" spans="2:42">
      <c r="B27" s="15" t="s">
        <v>28</v>
      </c>
      <c r="C27" s="15">
        <f>C20*C7</f>
        <v>2.0999999999999996</v>
      </c>
      <c r="D27" s="15" t="s">
        <v>29</v>
      </c>
      <c r="F27" s="2" t="s">
        <v>19</v>
      </c>
      <c r="G27" s="19">
        <f>G22/G3</f>
        <v>12.612857142857145</v>
      </c>
      <c r="H27" s="19">
        <f>H22/H3</f>
        <v>12.612857142857147</v>
      </c>
      <c r="I27" s="19">
        <f>I22/I3</f>
        <v>12.612857142857143</v>
      </c>
      <c r="J27" s="19">
        <f>J22/J3</f>
        <v>12.612857142857143</v>
      </c>
      <c r="K27" s="2" t="s">
        <v>20</v>
      </c>
      <c r="V27" s="10"/>
      <c r="W27" s="22"/>
      <c r="X27" s="22"/>
      <c r="Y27" s="22"/>
      <c r="Z27" s="22"/>
      <c r="AA27" s="21"/>
      <c r="AB27" s="21"/>
    </row>
    <row r="28" spans="2:42" ht="15">
      <c r="B28" s="15" t="s">
        <v>30</v>
      </c>
      <c r="C28" s="5">
        <f>(C18*2/C19/C22/C27)^(1/3)</f>
        <v>38.381679212227723</v>
      </c>
      <c r="D28" s="5" t="s">
        <v>31</v>
      </c>
      <c r="F28" s="2" t="s">
        <v>19</v>
      </c>
      <c r="G28" s="19">
        <f t="shared" ref="G28:I28" si="11">G27/9.81</f>
        <v>1.2857142857142858</v>
      </c>
      <c r="H28" s="19">
        <f t="shared" si="11"/>
        <v>1.285714285714286</v>
      </c>
      <c r="I28" s="19">
        <f t="shared" si="11"/>
        <v>1.2857142857142856</v>
      </c>
      <c r="J28" s="19">
        <f>J27/9.81</f>
        <v>1.2857142857142856</v>
      </c>
      <c r="K28" s="2" t="s">
        <v>21</v>
      </c>
      <c r="M28" s="82" t="s">
        <v>109</v>
      </c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</row>
    <row r="29" spans="2:42">
      <c r="B29" s="15" t="s">
        <v>30</v>
      </c>
      <c r="C29" s="5">
        <f>C28*3.6</f>
        <v>138.17404516401982</v>
      </c>
      <c r="D29" s="5" t="s">
        <v>32</v>
      </c>
      <c r="M29" s="78"/>
      <c r="N29" s="78"/>
      <c r="O29" s="78"/>
      <c r="P29" s="78"/>
      <c r="Q29" s="78"/>
      <c r="R29" s="78"/>
      <c r="S29" s="78"/>
      <c r="T29" s="78"/>
      <c r="U29" s="78"/>
      <c r="V29" s="39"/>
      <c r="W29" s="23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2:42" ht="15">
      <c r="F30" s="90" t="s">
        <v>73</v>
      </c>
      <c r="G30" s="91"/>
      <c r="H30" s="91"/>
      <c r="I30" s="91"/>
      <c r="J30" s="91"/>
      <c r="K30" s="92"/>
      <c r="M30" s="78"/>
      <c r="N30" s="78"/>
      <c r="O30" s="78"/>
      <c r="P30" s="78"/>
      <c r="Q30" s="78"/>
      <c r="R30" s="78"/>
      <c r="S30" s="78"/>
      <c r="T30" s="78"/>
      <c r="U30" s="78"/>
      <c r="V30" s="39"/>
      <c r="W30" s="39"/>
      <c r="Y30" s="22"/>
      <c r="Z30" s="22"/>
      <c r="AA30" s="22"/>
      <c r="AB30" s="22"/>
      <c r="AC30" s="22"/>
      <c r="AD30" s="33"/>
      <c r="AE30" s="33"/>
      <c r="AF30" s="33"/>
      <c r="AG30" s="33"/>
      <c r="AH30" s="33"/>
      <c r="AI30" s="33"/>
      <c r="AJ30" s="22"/>
      <c r="AK30" s="22"/>
      <c r="AL30" s="22"/>
      <c r="AM30" s="22"/>
      <c r="AN30" s="22"/>
      <c r="AO30" s="22"/>
      <c r="AP30" s="22"/>
    </row>
    <row r="31" spans="2:42" ht="15">
      <c r="B31" s="104" t="s">
        <v>58</v>
      </c>
      <c r="C31" s="105"/>
      <c r="D31" s="106"/>
      <c r="F31" s="97" t="s">
        <v>80</v>
      </c>
      <c r="G31" s="98"/>
      <c r="H31" s="98"/>
      <c r="I31" s="99"/>
      <c r="J31" s="3">
        <v>100</v>
      </c>
      <c r="K31" s="3" t="s">
        <v>3</v>
      </c>
      <c r="L31" s="14" t="s">
        <v>218</v>
      </c>
      <c r="M31" s="63" t="s">
        <v>124</v>
      </c>
      <c r="N31" s="63"/>
      <c r="O31" s="63"/>
      <c r="P31" s="63"/>
      <c r="Q31" s="63"/>
      <c r="R31" s="63"/>
      <c r="S31" s="63"/>
      <c r="T31" s="63"/>
      <c r="U31" s="63"/>
      <c r="V31" s="40">
        <v>6.9000000000000006E-2</v>
      </c>
      <c r="W31" s="40" t="s">
        <v>3</v>
      </c>
      <c r="Y31" s="22"/>
      <c r="Z31" s="22"/>
      <c r="AA31" s="22"/>
      <c r="AB31" s="22"/>
      <c r="AC31" s="22"/>
      <c r="AD31" s="33"/>
      <c r="AE31" s="33"/>
      <c r="AF31" s="33"/>
      <c r="AG31" s="33"/>
      <c r="AH31" s="33"/>
      <c r="AI31" s="33"/>
      <c r="AJ31" s="22"/>
      <c r="AK31" s="22"/>
      <c r="AL31" s="22"/>
      <c r="AM31" s="22"/>
      <c r="AN31" s="22"/>
      <c r="AO31" s="22"/>
      <c r="AP31" s="22"/>
    </row>
    <row r="32" spans="2:42" ht="15">
      <c r="B32" s="3" t="s">
        <v>35</v>
      </c>
      <c r="C32" s="3">
        <v>1.2250000000000001</v>
      </c>
      <c r="D32" s="3" t="s">
        <v>25</v>
      </c>
      <c r="F32" s="78"/>
      <c r="G32" s="78"/>
      <c r="H32" s="78"/>
      <c r="I32" s="78"/>
      <c r="J32" s="78"/>
      <c r="K32" s="78"/>
      <c r="L32" s="14" t="s">
        <v>218</v>
      </c>
      <c r="M32" s="63" t="s">
        <v>125</v>
      </c>
      <c r="N32" s="63"/>
      <c r="O32" s="63"/>
      <c r="P32" s="63"/>
      <c r="Q32" s="63"/>
      <c r="R32" s="63"/>
      <c r="S32" s="63"/>
      <c r="T32" s="63"/>
      <c r="U32" s="63"/>
      <c r="V32" s="40">
        <v>0.184</v>
      </c>
      <c r="W32" s="40" t="s">
        <v>3</v>
      </c>
      <c r="Y32" s="22"/>
      <c r="Z32" s="22"/>
      <c r="AA32" s="22"/>
      <c r="AB32" s="22"/>
      <c r="AC32" s="22"/>
      <c r="AD32" s="33"/>
      <c r="AE32" s="33"/>
      <c r="AF32" s="33"/>
      <c r="AG32" s="33"/>
      <c r="AH32" s="33"/>
      <c r="AI32" s="33"/>
      <c r="AJ32" s="22"/>
      <c r="AK32" s="22"/>
      <c r="AL32" s="22"/>
      <c r="AM32" s="22"/>
      <c r="AN32" s="22"/>
      <c r="AO32" s="22"/>
      <c r="AP32" s="22"/>
    </row>
    <row r="33" spans="2:73" ht="15">
      <c r="B33" s="3" t="s">
        <v>27</v>
      </c>
      <c r="C33" s="3">
        <v>0.22</v>
      </c>
      <c r="D33" s="3" t="s">
        <v>12</v>
      </c>
      <c r="F33" s="5"/>
      <c r="G33" s="5" t="s">
        <v>75</v>
      </c>
      <c r="H33" s="5" t="s">
        <v>76</v>
      </c>
      <c r="I33" s="5" t="s">
        <v>77</v>
      </c>
      <c r="J33" s="5" t="s">
        <v>78</v>
      </c>
      <c r="K33" s="5"/>
      <c r="L33" s="14" t="s">
        <v>218</v>
      </c>
      <c r="M33" s="63" t="s">
        <v>121</v>
      </c>
      <c r="N33" s="63"/>
      <c r="O33" s="63"/>
      <c r="P33" s="63"/>
      <c r="Q33" s="63"/>
      <c r="R33" s="63"/>
      <c r="S33" s="63"/>
      <c r="T33" s="63"/>
      <c r="U33" s="63"/>
      <c r="V33" s="40">
        <v>55000</v>
      </c>
      <c r="W33" s="40" t="s">
        <v>120</v>
      </c>
      <c r="Y33" s="22"/>
      <c r="Z33" s="22"/>
      <c r="AA33" s="22"/>
      <c r="AB33" s="22"/>
      <c r="AC33" s="22"/>
      <c r="AD33" s="33"/>
      <c r="AE33" s="33"/>
      <c r="AF33" s="33"/>
      <c r="AG33" s="33"/>
      <c r="AH33" s="33"/>
      <c r="AI33" s="33"/>
      <c r="AJ33" s="22"/>
      <c r="AK33" s="22"/>
      <c r="AL33" s="22"/>
      <c r="AM33" s="22"/>
      <c r="AN33" s="22"/>
      <c r="AO33" s="22"/>
      <c r="AP33" s="22"/>
    </row>
    <row r="34" spans="2:73" ht="15">
      <c r="B34" s="3" t="s">
        <v>5</v>
      </c>
      <c r="C34" s="3">
        <v>1.5</v>
      </c>
      <c r="D34" s="3" t="s">
        <v>3</v>
      </c>
      <c r="F34" s="78" t="s">
        <v>81</v>
      </c>
      <c r="G34" s="18">
        <f>G3*$C$13</f>
        <v>712.5</v>
      </c>
      <c r="H34" s="18">
        <f>H3*$C$13</f>
        <v>825</v>
      </c>
      <c r="I34" s="18">
        <f>I3*$C$13</f>
        <v>937.5</v>
      </c>
      <c r="J34" s="18">
        <f>J3*$C$13</f>
        <v>1050</v>
      </c>
      <c r="K34" s="2" t="s">
        <v>2</v>
      </c>
      <c r="L34" s="14" t="s">
        <v>218</v>
      </c>
      <c r="M34" s="63" t="s">
        <v>135</v>
      </c>
      <c r="N34" s="63"/>
      <c r="O34" s="63"/>
      <c r="P34" s="63"/>
      <c r="Q34" s="63"/>
      <c r="R34" s="63"/>
      <c r="S34" s="63"/>
      <c r="T34" s="63"/>
      <c r="U34" s="63"/>
      <c r="V34" s="40">
        <v>0.38300000000000001</v>
      </c>
      <c r="W34" s="40" t="s">
        <v>3</v>
      </c>
      <c r="Y34" s="22"/>
      <c r="Z34" s="78" t="s">
        <v>190</v>
      </c>
      <c r="AA34" s="78"/>
      <c r="AB34" s="78"/>
      <c r="AC34" s="78"/>
      <c r="AD34" s="78"/>
      <c r="AE34" s="33"/>
      <c r="AF34" s="33"/>
      <c r="AG34" s="33"/>
      <c r="AH34" s="33"/>
      <c r="AI34" s="33"/>
      <c r="AJ34" s="22"/>
      <c r="AK34" s="22"/>
      <c r="AL34" s="22"/>
      <c r="AM34" s="22"/>
      <c r="AN34" s="22"/>
      <c r="AO34" s="22"/>
      <c r="AP34" s="22"/>
    </row>
    <row r="35" spans="2:73" ht="15">
      <c r="B35" s="3" t="s">
        <v>34</v>
      </c>
      <c r="C35" s="3">
        <v>0.185</v>
      </c>
      <c r="D35" s="3" t="s">
        <v>3</v>
      </c>
      <c r="F35" s="78"/>
      <c r="G35" s="18">
        <f>G34*9.81</f>
        <v>6989.625</v>
      </c>
      <c r="H35" s="18">
        <f t="shared" ref="H35:J35" si="12">H34*9.81</f>
        <v>8093.25</v>
      </c>
      <c r="I35" s="18">
        <f t="shared" si="12"/>
        <v>9196.875</v>
      </c>
      <c r="J35" s="18">
        <f t="shared" si="12"/>
        <v>10300.5</v>
      </c>
      <c r="K35" s="5" t="s">
        <v>11</v>
      </c>
      <c r="L35" s="14" t="s">
        <v>218</v>
      </c>
      <c r="M35" s="63" t="s">
        <v>116</v>
      </c>
      <c r="N35" s="63"/>
      <c r="O35" s="63"/>
      <c r="P35" s="63"/>
      <c r="Q35" s="63"/>
      <c r="R35" s="63"/>
      <c r="S35" s="63"/>
      <c r="T35" s="63"/>
      <c r="U35" s="63"/>
      <c r="V35" s="40">
        <f>0.6*2.6</f>
        <v>1.56</v>
      </c>
      <c r="W35" s="40" t="s">
        <v>3</v>
      </c>
      <c r="Y35" s="22"/>
      <c r="Z35" s="36" t="s">
        <v>175</v>
      </c>
      <c r="AA35" s="79" t="s">
        <v>176</v>
      </c>
      <c r="AB35" s="80"/>
      <c r="AC35" s="36" t="s">
        <v>177</v>
      </c>
      <c r="AD35" s="36" t="s">
        <v>21</v>
      </c>
      <c r="AE35" s="33"/>
      <c r="AF35" s="33"/>
      <c r="AG35" s="33"/>
      <c r="AH35" s="33"/>
      <c r="AI35" s="33"/>
      <c r="AJ35" s="22"/>
      <c r="AK35" s="22"/>
      <c r="AL35" s="22"/>
      <c r="AM35" s="22"/>
      <c r="AN35" s="22"/>
      <c r="AO35" s="22"/>
      <c r="AP35" s="22"/>
    </row>
    <row r="36" spans="2:73" ht="15">
      <c r="B36" s="3" t="s">
        <v>26</v>
      </c>
      <c r="C36" s="3">
        <v>1.4</v>
      </c>
      <c r="D36" s="3" t="s">
        <v>3</v>
      </c>
      <c r="F36" s="5" t="s">
        <v>82</v>
      </c>
      <c r="G36" s="18">
        <f>G35*$C$11/$C$7</f>
        <v>1397.925</v>
      </c>
      <c r="H36" s="18">
        <f t="shared" ref="H36:J36" si="13">H35*$C$11/$C$7</f>
        <v>1618.6499999999999</v>
      </c>
      <c r="I36" s="18">
        <f t="shared" si="13"/>
        <v>1839.375</v>
      </c>
      <c r="J36" s="18">
        <f t="shared" si="13"/>
        <v>2060.1</v>
      </c>
      <c r="K36" s="5" t="s">
        <v>11</v>
      </c>
      <c r="L36" s="14" t="s">
        <v>218</v>
      </c>
      <c r="M36" s="63" t="s">
        <v>117</v>
      </c>
      <c r="N36" s="63"/>
      <c r="O36" s="63"/>
      <c r="P36" s="63"/>
      <c r="Q36" s="63"/>
      <c r="R36" s="63"/>
      <c r="S36" s="63"/>
      <c r="T36" s="63"/>
      <c r="U36" s="63"/>
      <c r="V36" s="40">
        <f>0.4*2.6</f>
        <v>1.04</v>
      </c>
      <c r="W36" s="40" t="s">
        <v>3</v>
      </c>
      <c r="Y36" s="22"/>
      <c r="Z36" s="36" t="s">
        <v>175</v>
      </c>
      <c r="AA36" s="79" t="s">
        <v>180</v>
      </c>
      <c r="AB36" s="80"/>
      <c r="AC36" s="36" t="s">
        <v>179</v>
      </c>
      <c r="AD36" s="36" t="s">
        <v>178</v>
      </c>
      <c r="AE36" s="33"/>
      <c r="AF36" s="33"/>
      <c r="AG36" s="33"/>
      <c r="AH36" s="33"/>
      <c r="AI36" s="33"/>
      <c r="AJ36" s="22"/>
      <c r="AK36" s="22"/>
      <c r="AL36" s="22"/>
      <c r="AM36" s="22"/>
      <c r="AN36" s="22"/>
      <c r="AO36" s="22"/>
      <c r="AP36" s="22"/>
    </row>
    <row r="37" spans="2:73" ht="15">
      <c r="B37" s="3" t="s">
        <v>57</v>
      </c>
      <c r="C37" s="3">
        <v>32</v>
      </c>
      <c r="D37" s="3" t="s">
        <v>31</v>
      </c>
      <c r="F37" s="5" t="s">
        <v>83</v>
      </c>
      <c r="G37" s="18">
        <f>SQRT(G35*$J$31/G3)</f>
        <v>38.360135557633264</v>
      </c>
      <c r="H37" s="18">
        <f t="shared" ref="H37:J37" si="14">SQRT(H35*$J$31/H3)</f>
        <v>38.360135557633264</v>
      </c>
      <c r="I37" s="18">
        <f t="shared" si="14"/>
        <v>38.360135557633264</v>
      </c>
      <c r="J37" s="18">
        <f t="shared" si="14"/>
        <v>38.360135557633264</v>
      </c>
      <c r="K37" s="5" t="s">
        <v>31</v>
      </c>
      <c r="L37" s="14" t="s">
        <v>218</v>
      </c>
      <c r="M37" s="63" t="s">
        <v>115</v>
      </c>
      <c r="N37" s="63"/>
      <c r="O37" s="63"/>
      <c r="P37" s="63"/>
      <c r="Q37" s="63"/>
      <c r="R37" s="63"/>
      <c r="S37" s="63"/>
      <c r="T37" s="63"/>
      <c r="U37" s="63"/>
      <c r="V37" s="40">
        <v>700</v>
      </c>
      <c r="W37" s="40" t="s">
        <v>2</v>
      </c>
      <c r="Y37" s="22"/>
      <c r="Z37" s="22"/>
      <c r="AA37" s="22"/>
      <c r="AB37" s="22"/>
      <c r="AC37" s="22"/>
      <c r="AD37" s="33"/>
      <c r="AE37" s="33"/>
      <c r="AF37" s="33"/>
      <c r="AG37" s="33"/>
      <c r="AH37" s="33"/>
      <c r="AI37" s="33"/>
      <c r="AJ37" s="22"/>
      <c r="AK37" s="22"/>
      <c r="AL37" s="22"/>
      <c r="AM37" s="22"/>
      <c r="AN37" s="22"/>
      <c r="AO37" s="22"/>
      <c r="AP37" s="22"/>
    </row>
    <row r="38" spans="2:73" ht="15">
      <c r="B38" s="2" t="s">
        <v>33</v>
      </c>
      <c r="C38" s="2">
        <f>C34+C35+0.1</f>
        <v>1.7850000000000001</v>
      </c>
      <c r="D38" s="2" t="s">
        <v>3</v>
      </c>
      <c r="F38" s="10"/>
      <c r="G38" s="10"/>
      <c r="H38" s="10"/>
      <c r="I38" s="10"/>
      <c r="J38" s="10"/>
      <c r="K38" s="4"/>
      <c r="L38" s="14" t="s">
        <v>218</v>
      </c>
      <c r="M38" s="63" t="s">
        <v>217</v>
      </c>
      <c r="N38" s="63"/>
      <c r="O38" s="63"/>
      <c r="P38" s="63"/>
      <c r="Q38" s="63"/>
      <c r="R38" s="63"/>
      <c r="S38" s="63"/>
      <c r="T38" s="63"/>
      <c r="U38" s="63"/>
      <c r="V38" s="40">
        <v>-0.04</v>
      </c>
      <c r="W38" s="40" t="s">
        <v>46</v>
      </c>
      <c r="Y38" s="22"/>
      <c r="Z38" s="22"/>
      <c r="AA38" s="22"/>
      <c r="AB38" s="22"/>
      <c r="AC38" s="22"/>
      <c r="AD38" s="33"/>
      <c r="AE38" s="33"/>
      <c r="AF38" s="33"/>
      <c r="AG38" s="33"/>
      <c r="AH38" s="33"/>
      <c r="AI38" s="33"/>
      <c r="AJ38" s="22"/>
      <c r="AK38" s="22"/>
      <c r="AL38" s="22"/>
      <c r="AM38" s="22"/>
      <c r="AN38" s="22"/>
      <c r="AO38" s="22"/>
      <c r="AP38" s="22"/>
    </row>
    <row r="39" spans="2:73" ht="15">
      <c r="B39" s="5" t="s">
        <v>56</v>
      </c>
      <c r="C39" s="5">
        <f>C36*C38</f>
        <v>2.4990000000000001</v>
      </c>
      <c r="D39" s="5" t="s">
        <v>29</v>
      </c>
      <c r="F39" s="107" t="s">
        <v>86</v>
      </c>
      <c r="G39" s="107"/>
      <c r="H39" s="107"/>
      <c r="I39" s="107"/>
      <c r="J39" s="107"/>
      <c r="K39" s="107"/>
      <c r="M39" s="62" t="s">
        <v>112</v>
      </c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 t="s">
        <v>112</v>
      </c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22"/>
      <c r="AL39" s="22"/>
      <c r="AM39" s="22"/>
      <c r="AN39" s="22"/>
      <c r="AO39" s="22"/>
      <c r="AP39" s="22"/>
    </row>
    <row r="40" spans="2:73">
      <c r="B40" s="2" t="s">
        <v>47</v>
      </c>
      <c r="C40" s="5">
        <f>0.5*C32*C33*C39*C37^2</f>
        <v>344.82201600000002</v>
      </c>
      <c r="D40" s="2" t="s">
        <v>11</v>
      </c>
      <c r="F40" s="5"/>
      <c r="G40" s="5" t="s">
        <v>75</v>
      </c>
      <c r="H40" s="5" t="s">
        <v>76</v>
      </c>
      <c r="I40" s="5" t="s">
        <v>77</v>
      </c>
      <c r="J40" s="5" t="s">
        <v>78</v>
      </c>
      <c r="K40" s="5"/>
      <c r="M40" s="62"/>
      <c r="N40" s="62"/>
      <c r="O40" s="62" t="s">
        <v>110</v>
      </c>
      <c r="P40" s="62"/>
      <c r="Q40" s="62"/>
      <c r="R40" s="62"/>
      <c r="S40" s="62"/>
      <c r="T40" s="62"/>
      <c r="U40" s="62"/>
      <c r="V40" s="62"/>
      <c r="W40" s="62"/>
      <c r="Y40" s="79">
        <v>0.8</v>
      </c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80"/>
      <c r="AK40" s="22"/>
      <c r="AL40" s="22"/>
      <c r="AM40" s="22"/>
      <c r="AN40" s="22"/>
      <c r="AO40" s="22"/>
      <c r="AP40" s="22"/>
    </row>
    <row r="41" spans="2:73" ht="14.25" customHeight="1">
      <c r="F41" s="5" t="s">
        <v>85</v>
      </c>
      <c r="G41" s="18">
        <f>G3*9.81*$C$13</f>
        <v>6989.625</v>
      </c>
      <c r="H41" s="18">
        <f t="shared" ref="H41:J41" si="15">H3*9.81*$C$13</f>
        <v>8093.25</v>
      </c>
      <c r="I41" s="18">
        <f t="shared" si="15"/>
        <v>9196.875</v>
      </c>
      <c r="J41" s="18">
        <f t="shared" si="15"/>
        <v>10300.5</v>
      </c>
      <c r="K41" s="5" t="s">
        <v>11</v>
      </c>
      <c r="M41" s="62"/>
      <c r="N41" s="62"/>
      <c r="O41" s="41">
        <v>5</v>
      </c>
      <c r="P41" s="41">
        <v>10</v>
      </c>
      <c r="Q41" s="41">
        <v>15</v>
      </c>
      <c r="R41" s="41">
        <v>20</v>
      </c>
      <c r="S41" s="41">
        <v>25</v>
      </c>
      <c r="T41" s="41">
        <v>30</v>
      </c>
      <c r="U41" s="41">
        <v>35</v>
      </c>
      <c r="V41" s="41">
        <v>40</v>
      </c>
      <c r="W41" s="41">
        <v>45</v>
      </c>
      <c r="X41" s="22"/>
      <c r="Y41" s="62" t="s">
        <v>160</v>
      </c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22"/>
      <c r="AL41" s="22"/>
      <c r="AM41" s="22"/>
      <c r="AN41" s="22"/>
      <c r="AO41" s="22"/>
      <c r="AP41" s="22"/>
    </row>
    <row r="42" spans="2:73">
      <c r="B42" s="104" t="s">
        <v>39</v>
      </c>
      <c r="C42" s="105"/>
      <c r="D42" s="106"/>
      <c r="F42" s="8" t="s">
        <v>13</v>
      </c>
      <c r="G42" s="18">
        <f>G41*$C$11/$C$8</f>
        <v>806.49519230769226</v>
      </c>
      <c r="H42" s="18">
        <f t="shared" ref="H42:J42" si="16">H41*$C$11/$C$8</f>
        <v>933.83653846153834</v>
      </c>
      <c r="I42" s="18">
        <f t="shared" si="16"/>
        <v>1061.1778846153845</v>
      </c>
      <c r="J42" s="18">
        <f t="shared" si="16"/>
        <v>1188.5192307692307</v>
      </c>
      <c r="K42" s="5" t="s">
        <v>11</v>
      </c>
      <c r="M42" s="62" t="s">
        <v>111</v>
      </c>
      <c r="N42" s="41">
        <v>5</v>
      </c>
      <c r="O42" s="26">
        <f>(O41^2)/($N$42*9.81)</f>
        <v>0.509683995922528</v>
      </c>
      <c r="P42" s="26">
        <f t="shared" ref="P42:W42" si="17">(P41^2)/($N$42*9.81)</f>
        <v>2.038735983690112</v>
      </c>
      <c r="Q42" s="26">
        <f t="shared" si="17"/>
        <v>4.5871559633027523</v>
      </c>
      <c r="R42" s="26">
        <f t="shared" si="17"/>
        <v>8.154943934760448</v>
      </c>
      <c r="S42" s="26">
        <f t="shared" si="17"/>
        <v>12.7420998980632</v>
      </c>
      <c r="T42" s="26">
        <f t="shared" si="17"/>
        <v>18.348623853211009</v>
      </c>
      <c r="U42" s="26">
        <f t="shared" si="17"/>
        <v>24.974515800203871</v>
      </c>
      <c r="V42" s="26">
        <f t="shared" si="17"/>
        <v>32.619775739041792</v>
      </c>
      <c r="W42" s="26">
        <f t="shared" si="17"/>
        <v>41.284403669724767</v>
      </c>
      <c r="X42" s="22"/>
      <c r="Y42" s="39">
        <v>0</v>
      </c>
      <c r="Z42" s="39">
        <v>1</v>
      </c>
      <c r="AA42" s="39">
        <v>2</v>
      </c>
      <c r="AB42" s="39">
        <v>3</v>
      </c>
      <c r="AC42" s="39">
        <v>4</v>
      </c>
      <c r="AD42" s="39">
        <v>5</v>
      </c>
      <c r="AE42" s="39">
        <v>6</v>
      </c>
      <c r="AF42" s="39">
        <v>7</v>
      </c>
      <c r="AG42" s="39">
        <v>8</v>
      </c>
      <c r="AH42" s="39">
        <v>9</v>
      </c>
      <c r="AI42" s="39">
        <v>10</v>
      </c>
      <c r="AJ42" s="39">
        <f>DEGREES(V38)</f>
        <v>-2.2918311805232929</v>
      </c>
      <c r="AK42" s="22"/>
      <c r="AL42" s="22"/>
      <c r="AM42" s="22"/>
      <c r="AN42" s="22"/>
      <c r="AO42" s="22"/>
      <c r="AP42" s="22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</row>
    <row r="43" spans="2:73">
      <c r="B43" s="3" t="s">
        <v>43</v>
      </c>
      <c r="C43" s="3">
        <v>6.5000000000000002E-2</v>
      </c>
      <c r="D43" s="3" t="s">
        <v>3</v>
      </c>
      <c r="F43" s="5" t="s">
        <v>87</v>
      </c>
      <c r="G43" s="18">
        <f>(G16+G42)/2</f>
        <v>1335.1975961538462</v>
      </c>
      <c r="H43" s="18">
        <f t="shared" ref="H43:I43" si="18">(H16+H42)/2</f>
        <v>1546.0182692307694</v>
      </c>
      <c r="I43" s="18">
        <f t="shared" si="18"/>
        <v>1756.8389423076924</v>
      </c>
      <c r="J43" s="18">
        <f>(J16+J42)/2</f>
        <v>1967.6596153846153</v>
      </c>
      <c r="K43" s="5" t="s">
        <v>11</v>
      </c>
      <c r="M43" s="62"/>
      <c r="N43" s="41">
        <v>10</v>
      </c>
      <c r="O43" s="26">
        <f>(O41^2)/($N$43*9.81)</f>
        <v>0.254841997961264</v>
      </c>
      <c r="P43" s="26">
        <f t="shared" ref="P43:W43" si="19">(P41^2)/($N$43*9.81)</f>
        <v>1.019367991845056</v>
      </c>
      <c r="Q43" s="26">
        <f t="shared" si="19"/>
        <v>2.2935779816513762</v>
      </c>
      <c r="R43" s="26">
        <f t="shared" si="19"/>
        <v>4.077471967380224</v>
      </c>
      <c r="S43" s="26">
        <f t="shared" si="19"/>
        <v>6.3710499490316002</v>
      </c>
      <c r="T43" s="26">
        <f t="shared" si="19"/>
        <v>9.1743119266055047</v>
      </c>
      <c r="U43" s="26">
        <f t="shared" si="19"/>
        <v>12.487257900101936</v>
      </c>
      <c r="V43" s="26">
        <f t="shared" si="19"/>
        <v>16.309887869520896</v>
      </c>
      <c r="W43" s="26">
        <f t="shared" si="19"/>
        <v>20.642201834862384</v>
      </c>
      <c r="X43" s="22"/>
      <c r="Y43" s="39">
        <f t="shared" ref="Y43:AJ43" si="20">RADIANS(Y42)</f>
        <v>0</v>
      </c>
      <c r="Z43" s="39">
        <f t="shared" si="20"/>
        <v>1.7453292519943295E-2</v>
      </c>
      <c r="AA43" s="39">
        <f t="shared" si="20"/>
        <v>3.4906585039886591E-2</v>
      </c>
      <c r="AB43" s="39">
        <f t="shared" si="20"/>
        <v>5.235987755982989E-2</v>
      </c>
      <c r="AC43" s="39">
        <f t="shared" si="20"/>
        <v>6.9813170079773182E-2</v>
      </c>
      <c r="AD43" s="39">
        <f t="shared" si="20"/>
        <v>8.7266462599716474E-2</v>
      </c>
      <c r="AE43" s="39">
        <f t="shared" si="20"/>
        <v>0.10471975511965978</v>
      </c>
      <c r="AF43" s="39">
        <f t="shared" si="20"/>
        <v>0.12217304763960307</v>
      </c>
      <c r="AG43" s="39">
        <f t="shared" si="20"/>
        <v>0.13962634015954636</v>
      </c>
      <c r="AH43" s="39">
        <f t="shared" si="20"/>
        <v>0.15707963267948966</v>
      </c>
      <c r="AI43" s="39">
        <f t="shared" si="20"/>
        <v>0.17453292519943295</v>
      </c>
      <c r="AJ43" s="39">
        <f t="shared" si="20"/>
        <v>-0.04</v>
      </c>
      <c r="AK43" s="22"/>
      <c r="AL43" s="22"/>
      <c r="AM43" s="22"/>
      <c r="AN43" s="22"/>
      <c r="AO43" s="22"/>
      <c r="AP43" s="22"/>
    </row>
    <row r="44" spans="2:73">
      <c r="B44" s="3" t="s">
        <v>40</v>
      </c>
      <c r="C44" s="3">
        <v>16</v>
      </c>
      <c r="D44" s="3" t="s">
        <v>44</v>
      </c>
      <c r="F44" s="5" t="s">
        <v>88</v>
      </c>
      <c r="G44" s="18">
        <f>(G18-G42)/2</f>
        <v>994.67740384615399</v>
      </c>
      <c r="H44" s="18">
        <f t="shared" ref="H44:J44" si="21">(H18-H42)/2</f>
        <v>1151.731730769231</v>
      </c>
      <c r="I44" s="18">
        <f t="shared" si="21"/>
        <v>1308.7860576923076</v>
      </c>
      <c r="J44" s="18">
        <f t="shared" si="21"/>
        <v>1465.8403846153847</v>
      </c>
      <c r="K44" s="5" t="s">
        <v>11</v>
      </c>
      <c r="M44" s="62"/>
      <c r="N44" s="41">
        <v>15</v>
      </c>
      <c r="O44" s="26">
        <f>(O41^2)/($N$44*9.81)</f>
        <v>0.16989466530750932</v>
      </c>
      <c r="P44" s="26">
        <f t="shared" ref="P44:W44" si="22">(P41^2)/($N$44*9.81)</f>
        <v>0.6795786612300373</v>
      </c>
      <c r="Q44" s="26">
        <f t="shared" si="22"/>
        <v>1.5290519877675841</v>
      </c>
      <c r="R44" s="26">
        <f t="shared" si="22"/>
        <v>2.7183146449201492</v>
      </c>
      <c r="S44" s="26">
        <f t="shared" si="22"/>
        <v>4.2473666326877337</v>
      </c>
      <c r="T44" s="26">
        <f t="shared" si="22"/>
        <v>6.1162079510703364</v>
      </c>
      <c r="U44" s="26">
        <f t="shared" si="22"/>
        <v>8.3248386000679577</v>
      </c>
      <c r="V44" s="26">
        <f t="shared" si="22"/>
        <v>10.873258579680597</v>
      </c>
      <c r="W44" s="26">
        <f t="shared" si="22"/>
        <v>13.761467889908257</v>
      </c>
      <c r="X44" s="22"/>
      <c r="Y44" s="62" t="s">
        <v>113</v>
      </c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22"/>
      <c r="AL44" s="22"/>
      <c r="AM44" s="22"/>
      <c r="AN44" s="22"/>
      <c r="AO44" s="22"/>
      <c r="AP44" s="22"/>
    </row>
    <row r="45" spans="2:73">
      <c r="B45" s="2" t="s">
        <v>54</v>
      </c>
      <c r="C45" s="2">
        <f>2*C43</f>
        <v>0.13</v>
      </c>
      <c r="D45" s="2" t="s">
        <v>3</v>
      </c>
      <c r="F45" s="5" t="s">
        <v>84</v>
      </c>
      <c r="G45" s="18">
        <f>G41/G3</f>
        <v>14.715</v>
      </c>
      <c r="H45" s="18">
        <f t="shared" ref="H45:J45" si="23">H41/H3</f>
        <v>14.715</v>
      </c>
      <c r="I45" s="18">
        <f t="shared" si="23"/>
        <v>14.715</v>
      </c>
      <c r="J45" s="18">
        <f t="shared" si="23"/>
        <v>14.715</v>
      </c>
      <c r="K45" s="5" t="s">
        <v>20</v>
      </c>
      <c r="M45" s="62"/>
      <c r="N45" s="41">
        <v>20</v>
      </c>
      <c r="O45" s="26">
        <f>(O41^2)/($N$45*9.81)</f>
        <v>0.127420998980632</v>
      </c>
      <c r="P45" s="26">
        <f t="shared" ref="P45:W45" si="24">(P41^2)/($N$45*9.81)</f>
        <v>0.509683995922528</v>
      </c>
      <c r="Q45" s="26">
        <f t="shared" si="24"/>
        <v>1.1467889908256881</v>
      </c>
      <c r="R45" s="26">
        <f t="shared" si="24"/>
        <v>2.038735983690112</v>
      </c>
      <c r="S45" s="26">
        <f t="shared" si="24"/>
        <v>3.1855249745158001</v>
      </c>
      <c r="T45" s="26">
        <f t="shared" si="24"/>
        <v>4.5871559633027523</v>
      </c>
      <c r="U45" s="26">
        <f t="shared" si="24"/>
        <v>6.2436289500509679</v>
      </c>
      <c r="V45" s="26">
        <f t="shared" si="24"/>
        <v>8.154943934760448</v>
      </c>
      <c r="W45" s="26">
        <f t="shared" si="24"/>
        <v>10.321100917431192</v>
      </c>
      <c r="X45" s="22"/>
      <c r="Y45" s="39">
        <f t="shared" ref="Y45:AJ45" si="25">$Y$40*COS(Y43)-SIN(Y43)</f>
        <v>0.8</v>
      </c>
      <c r="Z45" s="39">
        <f t="shared" si="25"/>
        <v>0.78242574968782952</v>
      </c>
      <c r="AA45" s="39">
        <f t="shared" si="25"/>
        <v>0.76461316491277576</v>
      </c>
      <c r="AB45" s="39">
        <f t="shared" si="25"/>
        <v>0.74656767156071524</v>
      </c>
      <c r="AC45" s="39">
        <f t="shared" si="25"/>
        <v>0.72829476646373414</v>
      </c>
      <c r="AD45" s="39">
        <f t="shared" si="25"/>
        <v>0.70980001572573836</v>
      </c>
      <c r="AE45" s="39">
        <f t="shared" si="25"/>
        <v>0.69108905302696511</v>
      </c>
      <c r="AF45" s="39">
        <f t="shared" si="25"/>
        <v>0.67216757790791015</v>
      </c>
      <c r="AG45" s="39">
        <f t="shared" si="25"/>
        <v>0.65304135403319097</v>
      </c>
      <c r="AH45" s="39">
        <f t="shared" si="25"/>
        <v>0.63371620743587942</v>
      </c>
      <c r="AI45" s="39">
        <f t="shared" si="25"/>
        <v>0.61419802474283614</v>
      </c>
      <c r="AJ45" s="39">
        <f t="shared" si="25"/>
        <v>0.83934941951541653</v>
      </c>
      <c r="AK45" s="22"/>
      <c r="AL45" s="22"/>
      <c r="AM45" s="22"/>
      <c r="AN45" s="22"/>
      <c r="AO45" s="22"/>
      <c r="AP45" s="22"/>
    </row>
    <row r="46" spans="2:73">
      <c r="B46" s="5" t="s">
        <v>40</v>
      </c>
      <c r="C46" s="5">
        <f>C44*25.4/1000</f>
        <v>0.40639999999999998</v>
      </c>
      <c r="D46" s="5" t="s">
        <v>3</v>
      </c>
      <c r="F46" s="5" t="s">
        <v>84</v>
      </c>
      <c r="G46" s="18">
        <f>G45/9.81</f>
        <v>1.5</v>
      </c>
      <c r="H46" s="18">
        <f t="shared" ref="H46:J46" si="26">H45/9.81</f>
        <v>1.5</v>
      </c>
      <c r="I46" s="18">
        <f t="shared" si="26"/>
        <v>1.5</v>
      </c>
      <c r="J46" s="18">
        <f t="shared" si="26"/>
        <v>1.5</v>
      </c>
      <c r="K46" s="5" t="s">
        <v>21</v>
      </c>
      <c r="M46" s="62"/>
      <c r="N46" s="41">
        <v>25</v>
      </c>
      <c r="O46" s="26">
        <f>(O41^2)/($N$46*9.81)</f>
        <v>0.1019367991845056</v>
      </c>
      <c r="P46" s="26">
        <f t="shared" ref="P46:V46" si="27">(P41^2)/($N$46*9.81)</f>
        <v>0.4077471967380224</v>
      </c>
      <c r="Q46" s="26">
        <f t="shared" si="27"/>
        <v>0.91743119266055051</v>
      </c>
      <c r="R46" s="26">
        <f t="shared" si="27"/>
        <v>1.6309887869520896</v>
      </c>
      <c r="S46" s="26">
        <f t="shared" si="27"/>
        <v>2.5484199796126403</v>
      </c>
      <c r="T46" s="26">
        <f t="shared" si="27"/>
        <v>3.669724770642202</v>
      </c>
      <c r="U46" s="26">
        <f t="shared" si="27"/>
        <v>4.9949031600407743</v>
      </c>
      <c r="V46" s="26">
        <f t="shared" si="27"/>
        <v>6.5239551478083584</v>
      </c>
      <c r="W46" s="26">
        <f>(W41^2)/($N$46*9.81)</f>
        <v>8.2568807339449535</v>
      </c>
      <c r="X46" s="22"/>
      <c r="Y46" s="112" t="s">
        <v>114</v>
      </c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22"/>
      <c r="AL46" s="22"/>
      <c r="AM46" s="22"/>
      <c r="AN46" s="22"/>
      <c r="AO46" s="22"/>
      <c r="AP46" s="22"/>
    </row>
    <row r="47" spans="2:73">
      <c r="B47" s="5" t="s">
        <v>41</v>
      </c>
      <c r="C47" s="5">
        <f>C46+C45</f>
        <v>0.53639999999999999</v>
      </c>
      <c r="D47" s="5" t="s">
        <v>3</v>
      </c>
      <c r="M47" s="62"/>
      <c r="N47" s="41">
        <v>30</v>
      </c>
      <c r="O47" s="26">
        <f>(O41^2)/($N$47*9.81)</f>
        <v>8.4947332653754662E-2</v>
      </c>
      <c r="P47" s="26">
        <f t="shared" ref="P47:W47" si="28">(P41^2)/($N$47*9.81)</f>
        <v>0.33978933061501865</v>
      </c>
      <c r="Q47" s="26">
        <f t="shared" si="28"/>
        <v>0.76452599388379205</v>
      </c>
      <c r="R47" s="26">
        <f t="shared" si="28"/>
        <v>1.3591573224600746</v>
      </c>
      <c r="S47" s="26">
        <f t="shared" si="28"/>
        <v>2.1236833163438669</v>
      </c>
      <c r="T47" s="26">
        <f t="shared" si="28"/>
        <v>3.0581039755351682</v>
      </c>
      <c r="U47" s="26">
        <f t="shared" si="28"/>
        <v>4.1624193000339789</v>
      </c>
      <c r="V47" s="26">
        <f t="shared" si="28"/>
        <v>5.4366292898402984</v>
      </c>
      <c r="W47" s="26">
        <f t="shared" si="28"/>
        <v>6.8807339449541285</v>
      </c>
      <c r="X47" s="22"/>
      <c r="Y47" s="39">
        <f t="shared" ref="Y47:AJ47" si="29">$V$37*($Y$40*SIN(Y43)+COS(Y43))</f>
        <v>700</v>
      </c>
      <c r="Z47" s="39">
        <f t="shared" si="29"/>
        <v>709.66673421435269</v>
      </c>
      <c r="AA47" s="39">
        <f t="shared" si="29"/>
        <v>719.11729706676749</v>
      </c>
      <c r="AB47" s="39">
        <f t="shared" si="29"/>
        <v>728.34880982425022</v>
      </c>
      <c r="AC47" s="39">
        <f t="shared" si="29"/>
        <v>737.35846047858706</v>
      </c>
      <c r="AD47" s="39">
        <f t="shared" si="29"/>
        <v>746.14350460291053</v>
      </c>
      <c r="AE47" s="39">
        <f t="shared" si="29"/>
        <v>754.70126618767733</v>
      </c>
      <c r="AF47" s="39">
        <f t="shared" si="29"/>
        <v>763.02913845580804</v>
      </c>
      <c r="AG47" s="39">
        <f t="shared" si="29"/>
        <v>771.12458465673592</v>
      </c>
      <c r="AH47" s="39">
        <f t="shared" si="29"/>
        <v>778.98513883912563</v>
      </c>
      <c r="AI47" s="39">
        <f t="shared" si="29"/>
        <v>786.60840660202655</v>
      </c>
      <c r="AJ47" s="39">
        <f t="shared" si="29"/>
        <v>677.04604751816942</v>
      </c>
      <c r="AK47" s="22"/>
      <c r="AL47" s="22"/>
      <c r="AM47" s="22"/>
      <c r="AN47" s="22"/>
      <c r="AO47" s="22"/>
      <c r="AP47" s="22"/>
    </row>
    <row r="48" spans="2:73" ht="15">
      <c r="B48" s="5" t="s">
        <v>42</v>
      </c>
      <c r="C48" s="5">
        <f>C47/2</f>
        <v>0.26819999999999999</v>
      </c>
      <c r="D48" s="5" t="s">
        <v>3</v>
      </c>
      <c r="F48" s="90" t="s">
        <v>50</v>
      </c>
      <c r="G48" s="91"/>
      <c r="H48" s="91"/>
      <c r="I48" s="91"/>
      <c r="J48" s="91"/>
      <c r="K48" s="92"/>
      <c r="M48" s="62"/>
      <c r="N48" s="41">
        <v>35</v>
      </c>
      <c r="O48" s="26">
        <f>(O41^2)/($N$48*9.81)</f>
        <v>7.2811999417504006E-2</v>
      </c>
      <c r="P48" s="26">
        <f t="shared" ref="P48:W48" si="30">(P41^2)/($N$48*9.81)</f>
        <v>0.29124799767001602</v>
      </c>
      <c r="Q48" s="26">
        <f t="shared" si="30"/>
        <v>0.65530799475753598</v>
      </c>
      <c r="R48" s="26">
        <f t="shared" si="30"/>
        <v>1.1649919906800641</v>
      </c>
      <c r="S48" s="26">
        <f t="shared" si="30"/>
        <v>1.8202999854376001</v>
      </c>
      <c r="T48" s="26">
        <f t="shared" si="30"/>
        <v>2.6212319790301439</v>
      </c>
      <c r="U48" s="26">
        <f t="shared" si="30"/>
        <v>3.5677879714576961</v>
      </c>
      <c r="V48" s="26">
        <f t="shared" si="30"/>
        <v>4.6599679627202564</v>
      </c>
      <c r="W48" s="26">
        <f t="shared" si="30"/>
        <v>5.8977719528178243</v>
      </c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5"/>
      <c r="AJ48" s="22"/>
      <c r="AK48" s="22"/>
      <c r="AL48" s="22"/>
      <c r="AM48" s="22"/>
      <c r="AN48" s="22"/>
      <c r="AO48" s="22"/>
      <c r="AP48" s="22"/>
    </row>
    <row r="49" spans="1:42">
      <c r="B49" s="5" t="s">
        <v>39</v>
      </c>
      <c r="C49" s="5">
        <f>0.98*C48</f>
        <v>0.26283600000000001</v>
      </c>
      <c r="D49" s="5" t="s">
        <v>3</v>
      </c>
      <c r="F49" s="93" t="s">
        <v>52</v>
      </c>
      <c r="G49" s="94"/>
      <c r="H49" s="94"/>
      <c r="I49" s="95"/>
      <c r="J49" s="3">
        <v>1.5</v>
      </c>
      <c r="K49" s="3" t="s">
        <v>12</v>
      </c>
      <c r="M49" s="62"/>
      <c r="N49" s="41">
        <v>40</v>
      </c>
      <c r="O49" s="26">
        <f>(O41^2)/($N$49*9.81)</f>
        <v>6.3710499490316E-2</v>
      </c>
      <c r="P49" s="26">
        <f t="shared" ref="P49:W49" si="31">(P41^2)/($N$49*9.81)</f>
        <v>0.254841997961264</v>
      </c>
      <c r="Q49" s="26">
        <f t="shared" si="31"/>
        <v>0.57339449541284404</v>
      </c>
      <c r="R49" s="26">
        <f t="shared" si="31"/>
        <v>1.019367991845056</v>
      </c>
      <c r="S49" s="26">
        <f t="shared" si="31"/>
        <v>1.5927624872579</v>
      </c>
      <c r="T49" s="26">
        <f t="shared" si="31"/>
        <v>2.2935779816513762</v>
      </c>
      <c r="U49" s="26">
        <f t="shared" si="31"/>
        <v>3.1218144750254839</v>
      </c>
      <c r="V49" s="26">
        <f t="shared" si="31"/>
        <v>4.077471967380224</v>
      </c>
      <c r="W49" s="26">
        <f t="shared" si="31"/>
        <v>5.1605504587155959</v>
      </c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2">
      <c r="F50" s="84" t="s">
        <v>53</v>
      </c>
      <c r="G50" s="85"/>
      <c r="H50" s="85"/>
      <c r="I50" s="86"/>
      <c r="J50" s="3">
        <v>0</v>
      </c>
      <c r="K50" s="1" t="s">
        <v>45</v>
      </c>
      <c r="M50" s="62"/>
      <c r="N50" s="41">
        <v>45</v>
      </c>
      <c r="O50" s="26">
        <f>(O41^2)/($N$50*9.81)</f>
        <v>5.663155510250311E-2</v>
      </c>
      <c r="P50" s="26">
        <f t="shared" ref="P50:W50" si="32">(P41^2)/($N$50*9.81)</f>
        <v>0.22652622041001244</v>
      </c>
      <c r="Q50" s="26">
        <f t="shared" si="32"/>
        <v>0.509683995922528</v>
      </c>
      <c r="R50" s="26">
        <f t="shared" si="32"/>
        <v>0.90610488164004976</v>
      </c>
      <c r="S50" s="26">
        <f t="shared" si="32"/>
        <v>1.4157888775625778</v>
      </c>
      <c r="T50" s="26">
        <f t="shared" si="32"/>
        <v>2.038735983690112</v>
      </c>
      <c r="U50" s="26">
        <f t="shared" si="32"/>
        <v>2.7749462000226521</v>
      </c>
      <c r="V50" s="26">
        <f t="shared" si="32"/>
        <v>3.6244195265601991</v>
      </c>
      <c r="W50" s="26">
        <f t="shared" si="32"/>
        <v>4.5871559633027514</v>
      </c>
      <c r="X50" s="22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2"/>
      <c r="AK50" s="22"/>
      <c r="AL50" s="22"/>
      <c r="AM50" s="22"/>
      <c r="AN50" s="22"/>
      <c r="AO50" s="22"/>
      <c r="AP50" s="22"/>
    </row>
    <row r="51" spans="1:42">
      <c r="B51" s="32" t="s">
        <v>158</v>
      </c>
      <c r="C51" s="32">
        <v>0.8</v>
      </c>
      <c r="D51" s="32" t="s">
        <v>12</v>
      </c>
      <c r="F51" s="87"/>
      <c r="G51" s="88"/>
      <c r="H51" s="88"/>
      <c r="I51" s="89"/>
      <c r="J51" s="2">
        <f>RADIANS(J50)</f>
        <v>0</v>
      </c>
      <c r="K51" s="2" t="s">
        <v>46</v>
      </c>
      <c r="M51" s="62"/>
      <c r="N51" s="41">
        <v>50</v>
      </c>
      <c r="O51" s="26">
        <f>(O41^2)/($N$51*9.81)</f>
        <v>5.09683995922528E-2</v>
      </c>
      <c r="P51" s="26">
        <f t="shared" ref="P51:W51" si="33">(P41^2)/($N$51*9.81)</f>
        <v>0.2038735983690112</v>
      </c>
      <c r="Q51" s="26">
        <f t="shared" si="33"/>
        <v>0.45871559633027525</v>
      </c>
      <c r="R51" s="26">
        <f t="shared" si="33"/>
        <v>0.8154943934760448</v>
      </c>
      <c r="S51" s="26">
        <f t="shared" si="33"/>
        <v>1.2742099898063202</v>
      </c>
      <c r="T51" s="26">
        <f t="shared" si="33"/>
        <v>1.834862385321101</v>
      </c>
      <c r="U51" s="26">
        <f t="shared" si="33"/>
        <v>2.4974515800203871</v>
      </c>
      <c r="V51" s="26">
        <f t="shared" si="33"/>
        <v>3.2619775739041792</v>
      </c>
      <c r="W51" s="26">
        <f t="shared" si="33"/>
        <v>4.1284403669724767</v>
      </c>
      <c r="X51" s="22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2"/>
      <c r="AK51" s="22"/>
      <c r="AL51" s="22"/>
      <c r="AM51" s="22"/>
      <c r="AN51" s="22"/>
      <c r="AO51" s="22"/>
      <c r="AP51" s="22"/>
    </row>
    <row r="52" spans="1:42">
      <c r="B52" s="32" t="s">
        <v>159</v>
      </c>
      <c r="C52" s="32">
        <v>0.75</v>
      </c>
      <c r="D52" s="32" t="s">
        <v>12</v>
      </c>
      <c r="F52" s="79"/>
      <c r="G52" s="96"/>
      <c r="H52" s="96"/>
      <c r="I52" s="96"/>
      <c r="J52" s="96"/>
      <c r="K52" s="80"/>
      <c r="M52" s="62"/>
      <c r="N52" s="41">
        <v>55</v>
      </c>
      <c r="O52" s="26">
        <f>(O41^2)/($N$52*9.81)</f>
        <v>4.6334908720229814E-2</v>
      </c>
      <c r="P52" s="26">
        <f t="shared" ref="P52:W52" si="34">(P41^2)/($N$52*9.81)</f>
        <v>0.18533963488091926</v>
      </c>
      <c r="Q52" s="26">
        <f t="shared" si="34"/>
        <v>0.41701417848206834</v>
      </c>
      <c r="R52" s="26">
        <f t="shared" si="34"/>
        <v>0.74135853952367703</v>
      </c>
      <c r="S52" s="26">
        <f t="shared" si="34"/>
        <v>1.1583727180057455</v>
      </c>
      <c r="T52" s="26">
        <f t="shared" si="34"/>
        <v>1.6680567139282734</v>
      </c>
      <c r="U52" s="26">
        <f t="shared" si="34"/>
        <v>2.2704105272912609</v>
      </c>
      <c r="V52" s="26">
        <f t="shared" si="34"/>
        <v>2.9654341580947081</v>
      </c>
      <c r="W52" s="26">
        <f t="shared" si="34"/>
        <v>3.753127606338615</v>
      </c>
      <c r="X52" s="22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2"/>
      <c r="AK52" s="22"/>
      <c r="AL52" s="22"/>
      <c r="AM52" s="22"/>
      <c r="AN52" s="22"/>
      <c r="AO52" s="22"/>
      <c r="AP52" s="22"/>
    </row>
    <row r="53" spans="1:42">
      <c r="F53" s="5"/>
      <c r="G53" s="5" t="s">
        <v>75</v>
      </c>
      <c r="H53" s="5" t="s">
        <v>76</v>
      </c>
      <c r="I53" s="5" t="s">
        <v>77</v>
      </c>
      <c r="J53" s="5" t="s">
        <v>78</v>
      </c>
      <c r="K53" s="5"/>
      <c r="M53" s="62"/>
      <c r="N53" s="41">
        <v>60</v>
      </c>
      <c r="O53" s="26">
        <f>(O41^2)/($N$53*9.81)</f>
        <v>4.2473666326877331E-2</v>
      </c>
      <c r="P53" s="26">
        <f t="shared" ref="P53:W53" si="35">(P41^2)/($N$53*9.81)</f>
        <v>0.16989466530750932</v>
      </c>
      <c r="Q53" s="26">
        <f t="shared" si="35"/>
        <v>0.38226299694189603</v>
      </c>
      <c r="R53" s="26">
        <f t="shared" si="35"/>
        <v>0.6795786612300373</v>
      </c>
      <c r="S53" s="26">
        <f t="shared" si="35"/>
        <v>1.0618416581719334</v>
      </c>
      <c r="T53" s="26">
        <f t="shared" si="35"/>
        <v>1.5290519877675841</v>
      </c>
      <c r="U53" s="26">
        <f t="shared" si="35"/>
        <v>2.0812096500169894</v>
      </c>
      <c r="V53" s="26">
        <f t="shared" si="35"/>
        <v>2.7183146449201492</v>
      </c>
      <c r="W53" s="26">
        <f t="shared" si="35"/>
        <v>3.4403669724770642</v>
      </c>
      <c r="X53" s="22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2"/>
      <c r="AK53" s="22"/>
      <c r="AL53" s="22"/>
      <c r="AM53" s="22"/>
      <c r="AN53" s="22"/>
      <c r="AO53" s="22"/>
      <c r="AP53" s="22"/>
    </row>
    <row r="54" spans="1:42">
      <c r="F54" s="5" t="s">
        <v>50</v>
      </c>
      <c r="G54" s="18">
        <f>G3*9.81*$J$49*COS($J$51)</f>
        <v>6989.625</v>
      </c>
      <c r="H54" s="18">
        <f>H3*9.81*$J$49*COS($J$51)</f>
        <v>8093.25</v>
      </c>
      <c r="I54" s="18">
        <f>I3*9.81*$J$49*COS($J$51)</f>
        <v>9196.875</v>
      </c>
      <c r="J54" s="18">
        <f>J3*9.81*$J$49*COS($J$51)</f>
        <v>10300.5</v>
      </c>
      <c r="K54" s="5" t="s">
        <v>11</v>
      </c>
      <c r="M54" s="62"/>
      <c r="N54" s="41">
        <v>65</v>
      </c>
      <c r="O54" s="26">
        <f>(O41^2)/($N$54*9.81)</f>
        <v>3.9206461224809849E-2</v>
      </c>
      <c r="P54" s="26">
        <f t="shared" ref="P54:W54" si="36">(P41^2)/($N$54*9.81)</f>
        <v>0.1568258448992394</v>
      </c>
      <c r="Q54" s="26">
        <f t="shared" si="36"/>
        <v>0.35285815102328866</v>
      </c>
      <c r="R54" s="26">
        <f t="shared" si="36"/>
        <v>0.62730337959695759</v>
      </c>
      <c r="S54" s="26">
        <f t="shared" si="36"/>
        <v>0.98016153062024625</v>
      </c>
      <c r="T54" s="26">
        <f t="shared" si="36"/>
        <v>1.4114326040931546</v>
      </c>
      <c r="U54" s="26">
        <f t="shared" si="36"/>
        <v>1.9211166000156827</v>
      </c>
      <c r="V54" s="26">
        <f t="shared" si="36"/>
        <v>2.5092135183878304</v>
      </c>
      <c r="W54" s="26">
        <f t="shared" si="36"/>
        <v>3.1757233592095977</v>
      </c>
      <c r="X54" s="22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2"/>
      <c r="AK54" s="22"/>
      <c r="AL54" s="22"/>
      <c r="AM54" s="22"/>
      <c r="AN54" s="22"/>
      <c r="AO54" s="22"/>
      <c r="AP54" s="22"/>
    </row>
    <row r="55" spans="1:42">
      <c r="B55" s="4"/>
      <c r="C55" s="4"/>
      <c r="D55" s="4"/>
      <c r="F55" s="5"/>
      <c r="G55" s="5"/>
      <c r="H55" s="5"/>
      <c r="I55" s="5"/>
      <c r="J55" s="5"/>
      <c r="K55" s="5"/>
      <c r="M55" s="62"/>
      <c r="N55" s="41">
        <v>70</v>
      </c>
      <c r="O55" s="26">
        <f>(O41^2)/($N$55*9.81)</f>
        <v>3.6405999708752003E-2</v>
      </c>
      <c r="P55" s="26">
        <f t="shared" ref="P55:W55" si="37">(P41^2)/($N$55*9.81)</f>
        <v>0.14562399883500801</v>
      </c>
      <c r="Q55" s="26">
        <f t="shared" si="37"/>
        <v>0.32765399737876799</v>
      </c>
      <c r="R55" s="26">
        <f t="shared" si="37"/>
        <v>0.58249599534003205</v>
      </c>
      <c r="S55" s="26">
        <f t="shared" si="37"/>
        <v>0.91014999271880004</v>
      </c>
      <c r="T55" s="26">
        <f t="shared" si="37"/>
        <v>1.310615989515072</v>
      </c>
      <c r="U55" s="26">
        <f t="shared" si="37"/>
        <v>1.7838939857288481</v>
      </c>
      <c r="V55" s="26">
        <f t="shared" si="37"/>
        <v>2.3299839813601282</v>
      </c>
      <c r="W55" s="26">
        <f t="shared" si="37"/>
        <v>2.9488859764089121</v>
      </c>
      <c r="X55" s="22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2"/>
      <c r="AK55" s="22"/>
      <c r="AL55" s="22"/>
      <c r="AM55" s="22"/>
      <c r="AN55" s="22"/>
      <c r="AO55" s="22"/>
      <c r="AP55" s="22"/>
    </row>
    <row r="56" spans="1:42">
      <c r="B56" s="4"/>
      <c r="C56" s="4"/>
      <c r="D56" s="4"/>
      <c r="E56" s="16"/>
      <c r="M56" s="62"/>
      <c r="N56" s="41">
        <v>75</v>
      </c>
      <c r="O56" s="26">
        <f>(O41^2)/($N$56*9.81)</f>
        <v>3.3978933061501869E-2</v>
      </c>
      <c r="P56" s="26">
        <f t="shared" ref="P56:W56" si="38">(P41^2)/($N$56*9.81)</f>
        <v>0.13591573224600748</v>
      </c>
      <c r="Q56" s="26">
        <f t="shared" si="38"/>
        <v>0.3058103975535168</v>
      </c>
      <c r="R56" s="26">
        <f t="shared" si="38"/>
        <v>0.5436629289840299</v>
      </c>
      <c r="S56" s="26">
        <f t="shared" si="38"/>
        <v>0.8494733265375467</v>
      </c>
      <c r="T56" s="26">
        <f t="shared" si="38"/>
        <v>1.2232415902140672</v>
      </c>
      <c r="U56" s="26">
        <f t="shared" si="38"/>
        <v>1.6649677200135915</v>
      </c>
      <c r="V56" s="26">
        <f t="shared" si="38"/>
        <v>2.1746517159361196</v>
      </c>
      <c r="W56" s="26">
        <f t="shared" si="38"/>
        <v>2.7522935779816513</v>
      </c>
      <c r="X56" s="22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2"/>
      <c r="AK56" s="22"/>
      <c r="AL56" s="22"/>
      <c r="AM56" s="22"/>
      <c r="AN56" s="22"/>
      <c r="AO56" s="22"/>
      <c r="AP56" s="22"/>
    </row>
    <row r="57" spans="1:42" ht="15">
      <c r="B57" s="4"/>
      <c r="C57" s="4"/>
      <c r="D57" s="4"/>
      <c r="E57" s="16"/>
      <c r="F57" s="90" t="s">
        <v>59</v>
      </c>
      <c r="G57" s="91"/>
      <c r="H57" s="91"/>
      <c r="I57" s="91"/>
      <c r="J57" s="91"/>
      <c r="K57" s="92"/>
      <c r="M57" s="62"/>
      <c r="N57" s="41">
        <v>80</v>
      </c>
      <c r="O57" s="26">
        <f>(O41^2)/($N$57*9.81)</f>
        <v>3.1855249745158E-2</v>
      </c>
      <c r="P57" s="26">
        <f t="shared" ref="P57:W57" si="39">(P41^2)/($N$57*9.81)</f>
        <v>0.127420998980632</v>
      </c>
      <c r="Q57" s="26">
        <f t="shared" si="39"/>
        <v>0.28669724770642202</v>
      </c>
      <c r="R57" s="26">
        <f t="shared" si="39"/>
        <v>0.509683995922528</v>
      </c>
      <c r="S57" s="26">
        <f t="shared" si="39"/>
        <v>0.79638124362895002</v>
      </c>
      <c r="T57" s="26">
        <f t="shared" si="39"/>
        <v>1.1467889908256881</v>
      </c>
      <c r="U57" s="26">
        <f t="shared" si="39"/>
        <v>1.560907237512742</v>
      </c>
      <c r="V57" s="26">
        <f t="shared" si="39"/>
        <v>2.038735983690112</v>
      </c>
      <c r="W57" s="26">
        <f t="shared" si="39"/>
        <v>2.580275229357798</v>
      </c>
      <c r="X57" s="22"/>
      <c r="Y57" s="22"/>
      <c r="Z57" s="22"/>
      <c r="AA57" s="22"/>
      <c r="AB57" s="22"/>
      <c r="AC57" s="22"/>
      <c r="AD57" s="33"/>
      <c r="AE57" s="33"/>
      <c r="AF57" s="33"/>
      <c r="AG57" s="33"/>
      <c r="AH57" s="33"/>
      <c r="AI57" s="33"/>
      <c r="AJ57" s="22"/>
      <c r="AK57" s="22"/>
      <c r="AL57" s="22"/>
      <c r="AM57" s="22"/>
      <c r="AN57" s="22"/>
      <c r="AO57" s="22"/>
      <c r="AP57" s="22"/>
    </row>
    <row r="58" spans="1:42">
      <c r="B58" s="4"/>
      <c r="C58" s="4"/>
      <c r="D58" s="4"/>
      <c r="E58" s="16"/>
      <c r="F58" s="70" t="s">
        <v>53</v>
      </c>
      <c r="G58" s="71"/>
      <c r="H58" s="71"/>
      <c r="I58" s="74"/>
      <c r="J58" s="3">
        <v>0</v>
      </c>
      <c r="K58" s="1" t="s">
        <v>45</v>
      </c>
      <c r="M58" s="62"/>
      <c r="N58" s="41">
        <v>85</v>
      </c>
      <c r="O58" s="26">
        <f>(O41^2)/($N$58*9.81)</f>
        <v>2.998141152485459E-2</v>
      </c>
      <c r="P58" s="26">
        <f t="shared" ref="P58:W58" si="40">(P41^2)/($N$58*9.81)</f>
        <v>0.11992564609941836</v>
      </c>
      <c r="Q58" s="26">
        <f t="shared" si="40"/>
        <v>0.26983270372369128</v>
      </c>
      <c r="R58" s="26">
        <f t="shared" si="40"/>
        <v>0.47970258439767344</v>
      </c>
      <c r="S58" s="26">
        <f t="shared" si="40"/>
        <v>0.74953528812136472</v>
      </c>
      <c r="T58" s="26">
        <f t="shared" si="40"/>
        <v>1.0793308148947651</v>
      </c>
      <c r="U58" s="26">
        <f t="shared" si="40"/>
        <v>1.469089164717875</v>
      </c>
      <c r="V58" s="26">
        <f t="shared" si="40"/>
        <v>1.9188103375906937</v>
      </c>
      <c r="W58" s="26">
        <f t="shared" si="40"/>
        <v>2.4284943335132216</v>
      </c>
      <c r="X58" s="22"/>
      <c r="Y58" s="22"/>
      <c r="Z58" s="22"/>
      <c r="AA58" s="22"/>
      <c r="AB58" s="22"/>
      <c r="AC58" s="22"/>
      <c r="AD58" s="33"/>
      <c r="AE58" s="33"/>
      <c r="AF58" s="33"/>
      <c r="AG58" s="33"/>
      <c r="AH58" s="33"/>
      <c r="AI58" s="33"/>
      <c r="AJ58" s="22"/>
      <c r="AK58" s="22"/>
      <c r="AL58" s="22"/>
      <c r="AM58" s="22"/>
      <c r="AN58" s="22"/>
      <c r="AO58" s="22"/>
      <c r="AP58" s="22"/>
    </row>
    <row r="59" spans="1:42">
      <c r="B59" s="4"/>
      <c r="C59" s="4"/>
      <c r="D59" s="4"/>
      <c r="E59" s="16"/>
      <c r="F59" s="72"/>
      <c r="G59" s="73"/>
      <c r="H59" s="73"/>
      <c r="I59" s="75"/>
      <c r="J59" s="2">
        <f>RADIANS(J58)</f>
        <v>0</v>
      </c>
      <c r="K59" s="2" t="s">
        <v>46</v>
      </c>
      <c r="M59" s="62"/>
      <c r="N59" s="41">
        <v>90</v>
      </c>
      <c r="O59" s="26">
        <f>(O41^2)/($N$59*9.81)</f>
        <v>2.8315777551251555E-2</v>
      </c>
      <c r="P59" s="26">
        <f t="shared" ref="P59:W59" si="41">(P41^2)/($N$59*9.81)</f>
        <v>0.11326311020500622</v>
      </c>
      <c r="Q59" s="26">
        <f t="shared" si="41"/>
        <v>0.254841997961264</v>
      </c>
      <c r="R59" s="26">
        <f t="shared" si="41"/>
        <v>0.45305244082002488</v>
      </c>
      <c r="S59" s="26">
        <f t="shared" si="41"/>
        <v>0.70789443878128888</v>
      </c>
      <c r="T59" s="26">
        <f t="shared" si="41"/>
        <v>1.019367991845056</v>
      </c>
      <c r="U59" s="26">
        <f t="shared" si="41"/>
        <v>1.3874731000113261</v>
      </c>
      <c r="V59" s="26">
        <f t="shared" si="41"/>
        <v>1.8122097632800995</v>
      </c>
      <c r="W59" s="26">
        <f t="shared" si="41"/>
        <v>2.2935779816513757</v>
      </c>
      <c r="X59" s="22"/>
      <c r="Y59" s="22"/>
      <c r="Z59" s="22"/>
      <c r="AA59" s="22"/>
      <c r="AB59" s="22"/>
      <c r="AC59" s="22"/>
      <c r="AD59" s="33"/>
      <c r="AE59" s="33"/>
      <c r="AF59" s="33"/>
      <c r="AG59" s="33"/>
      <c r="AH59" s="33"/>
      <c r="AI59" s="33"/>
      <c r="AJ59" s="22"/>
      <c r="AK59" s="22"/>
      <c r="AL59" s="22"/>
      <c r="AM59" s="22"/>
      <c r="AN59" s="22"/>
      <c r="AO59" s="22"/>
      <c r="AP59" s="22"/>
    </row>
    <row r="60" spans="1:42">
      <c r="B60" s="4"/>
      <c r="C60" s="4"/>
      <c r="D60" s="4"/>
      <c r="E60" s="16"/>
      <c r="F60" s="79"/>
      <c r="G60" s="96"/>
      <c r="H60" s="96"/>
      <c r="I60" s="96"/>
      <c r="J60" s="96"/>
      <c r="K60" s="80"/>
      <c r="M60" s="62"/>
      <c r="N60" s="41">
        <v>95</v>
      </c>
      <c r="O60" s="26">
        <f>(O41^2)/($N$60*9.81)</f>
        <v>2.6825473469606738E-2</v>
      </c>
      <c r="P60" s="26">
        <f t="shared" ref="P60:W60" si="42">(P41^2)/($N$60*9.81)</f>
        <v>0.10730189387842695</v>
      </c>
      <c r="Q60" s="26">
        <f t="shared" si="42"/>
        <v>0.24142926122646063</v>
      </c>
      <c r="R60" s="26">
        <f t="shared" si="42"/>
        <v>0.42920757551370781</v>
      </c>
      <c r="S60" s="26">
        <f t="shared" si="42"/>
        <v>0.67063683674016838</v>
      </c>
      <c r="T60" s="26">
        <f t="shared" si="42"/>
        <v>0.96571704490584254</v>
      </c>
      <c r="U60" s="26">
        <f t="shared" si="42"/>
        <v>1.31444820001073</v>
      </c>
      <c r="V60" s="26">
        <f t="shared" si="42"/>
        <v>1.7168303020548312</v>
      </c>
      <c r="W60" s="26">
        <f t="shared" si="42"/>
        <v>2.1728633510381457</v>
      </c>
      <c r="X60" s="22"/>
      <c r="Y60" s="22"/>
      <c r="Z60" s="22"/>
      <c r="AA60" s="22"/>
      <c r="AB60" s="22"/>
      <c r="AC60" s="22"/>
      <c r="AD60" s="33"/>
      <c r="AE60" s="33"/>
      <c r="AF60" s="33"/>
      <c r="AG60" s="33"/>
      <c r="AH60" s="33"/>
      <c r="AI60" s="33"/>
      <c r="AJ60" s="22"/>
      <c r="AK60" s="22"/>
      <c r="AL60" s="22"/>
      <c r="AM60" s="22"/>
      <c r="AN60" s="22"/>
      <c r="AO60" s="22"/>
      <c r="AP60" s="22"/>
    </row>
    <row r="61" spans="1:42">
      <c r="E61" s="16"/>
      <c r="F61" s="5"/>
      <c r="G61" s="5" t="s">
        <v>75</v>
      </c>
      <c r="H61" s="5" t="s">
        <v>76</v>
      </c>
      <c r="I61" s="5" t="s">
        <v>77</v>
      </c>
      <c r="J61" s="5" t="s">
        <v>78</v>
      </c>
      <c r="K61" s="5"/>
      <c r="M61" s="62"/>
      <c r="N61" s="41">
        <v>100</v>
      </c>
      <c r="O61" s="26">
        <f>(O41^2)/($N$61*9.81)</f>
        <v>2.54841997961264E-2</v>
      </c>
      <c r="P61" s="26">
        <f t="shared" ref="P61:W61" si="43">(P41^2)/($N$61*9.81)</f>
        <v>0.1019367991845056</v>
      </c>
      <c r="Q61" s="26">
        <f t="shared" si="43"/>
        <v>0.22935779816513763</v>
      </c>
      <c r="R61" s="26">
        <f t="shared" si="43"/>
        <v>0.4077471967380224</v>
      </c>
      <c r="S61" s="26">
        <f t="shared" si="43"/>
        <v>0.63710499490316008</v>
      </c>
      <c r="T61" s="26">
        <f t="shared" si="43"/>
        <v>0.91743119266055051</v>
      </c>
      <c r="U61" s="26">
        <f t="shared" si="43"/>
        <v>1.2487257900101936</v>
      </c>
      <c r="V61" s="26">
        <f t="shared" si="43"/>
        <v>1.6309887869520896</v>
      </c>
      <c r="W61" s="26">
        <f t="shared" si="43"/>
        <v>2.0642201834862384</v>
      </c>
      <c r="X61" s="22"/>
      <c r="Y61" s="22"/>
      <c r="Z61" s="22"/>
      <c r="AA61" s="22"/>
      <c r="AB61" s="22"/>
      <c r="AC61" s="22"/>
      <c r="AD61" s="33"/>
      <c r="AE61" s="33"/>
      <c r="AF61" s="33"/>
      <c r="AG61" s="33"/>
      <c r="AH61" s="33"/>
      <c r="AI61" s="33"/>
      <c r="AJ61" s="22"/>
      <c r="AK61" s="22"/>
      <c r="AL61" s="22"/>
      <c r="AM61" s="22"/>
      <c r="AN61" s="22"/>
      <c r="AO61" s="22"/>
      <c r="AP61" s="22"/>
    </row>
    <row r="62" spans="1:42">
      <c r="A62" s="9" t="s">
        <v>55</v>
      </c>
      <c r="F62" s="5" t="s">
        <v>59</v>
      </c>
      <c r="G62" s="5">
        <f>9.81*G3*SIN($J$58)</f>
        <v>0</v>
      </c>
      <c r="H62" s="5">
        <f>9.81*H3*SIN($J$58)</f>
        <v>0</v>
      </c>
      <c r="I62" s="5">
        <f>9.81*I3*SIN($J$58)</f>
        <v>0</v>
      </c>
      <c r="J62" s="5">
        <f>9.81*J3*SIN($J$58)</f>
        <v>0</v>
      </c>
      <c r="K62" s="5" t="s">
        <v>11</v>
      </c>
      <c r="M62" s="62" t="s">
        <v>113</v>
      </c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21"/>
      <c r="Y62" s="22"/>
      <c r="Z62" s="22"/>
      <c r="AA62" s="22"/>
      <c r="AB62" s="22"/>
      <c r="AC62" s="22"/>
      <c r="AD62" s="33"/>
      <c r="AE62" s="33"/>
      <c r="AF62" s="33"/>
      <c r="AG62" s="33"/>
      <c r="AH62" s="33"/>
      <c r="AI62" s="33"/>
      <c r="AJ62" s="22"/>
      <c r="AK62" s="22"/>
      <c r="AL62" s="22"/>
      <c r="AM62" s="22"/>
      <c r="AN62" s="22"/>
      <c r="AO62" s="22"/>
      <c r="AP62" s="22"/>
    </row>
    <row r="63" spans="1:42">
      <c r="M63" s="62"/>
      <c r="N63" s="62"/>
      <c r="O63" s="62" t="s">
        <v>110</v>
      </c>
      <c r="P63" s="62"/>
      <c r="Q63" s="62"/>
      <c r="R63" s="62"/>
      <c r="S63" s="62"/>
      <c r="T63" s="62"/>
      <c r="U63" s="62"/>
      <c r="V63" s="62"/>
      <c r="W63" s="62"/>
      <c r="Y63" s="22"/>
      <c r="Z63" s="22"/>
      <c r="AA63" s="22"/>
      <c r="AB63" s="22"/>
      <c r="AC63" s="22"/>
      <c r="AD63" s="33"/>
      <c r="AE63" s="33"/>
      <c r="AF63" s="33"/>
      <c r="AG63" s="33"/>
      <c r="AH63" s="33"/>
      <c r="AI63" s="33"/>
      <c r="AJ63" s="22"/>
      <c r="AK63" s="22"/>
      <c r="AL63" s="22"/>
      <c r="AM63" s="22"/>
      <c r="AN63" s="22"/>
      <c r="AO63" s="22"/>
      <c r="AP63" s="22"/>
    </row>
    <row r="64" spans="1:42" ht="15">
      <c r="F64" s="90" t="s">
        <v>62</v>
      </c>
      <c r="G64" s="91"/>
      <c r="H64" s="91"/>
      <c r="I64" s="91"/>
      <c r="J64" s="91"/>
      <c r="K64" s="92"/>
      <c r="M64" s="62"/>
      <c r="N64" s="62"/>
      <c r="O64" s="41">
        <v>5</v>
      </c>
      <c r="P64" s="41">
        <v>10</v>
      </c>
      <c r="Q64" s="41">
        <v>15</v>
      </c>
      <c r="R64" s="41">
        <v>20</v>
      </c>
      <c r="S64" s="41">
        <v>25</v>
      </c>
      <c r="T64" s="41">
        <v>30</v>
      </c>
      <c r="U64" s="41">
        <v>35</v>
      </c>
      <c r="V64" s="41">
        <v>40</v>
      </c>
      <c r="W64" s="41">
        <v>45</v>
      </c>
      <c r="Y64" s="22"/>
      <c r="Z64" s="22"/>
      <c r="AA64" s="22"/>
      <c r="AB64" s="22"/>
      <c r="AC64" s="22"/>
      <c r="AD64" s="33"/>
      <c r="AE64" s="33"/>
      <c r="AF64" s="33"/>
      <c r="AG64" s="33"/>
      <c r="AH64" s="33"/>
      <c r="AI64" s="33"/>
      <c r="AJ64" s="22"/>
      <c r="AK64" s="22"/>
      <c r="AL64" s="22"/>
      <c r="AM64" s="22"/>
      <c r="AN64" s="22"/>
      <c r="AO64" s="22"/>
      <c r="AP64" s="22"/>
    </row>
    <row r="65" spans="2:42">
      <c r="F65" s="84" t="s">
        <v>53</v>
      </c>
      <c r="G65" s="85"/>
      <c r="H65" s="85"/>
      <c r="I65" s="86"/>
      <c r="J65" s="3">
        <v>0</v>
      </c>
      <c r="K65" s="1" t="s">
        <v>45</v>
      </c>
      <c r="M65" s="62" t="s">
        <v>111</v>
      </c>
      <c r="N65" s="41">
        <v>5</v>
      </c>
      <c r="O65" s="24">
        <f>(O42*COS($V$38))-SIN($V$38)</f>
        <v>0.54926563727581756</v>
      </c>
      <c r="P65" s="24">
        <f>(P42*COS($V$38))-SIN($V$38)</f>
        <v>2.0770945465433677</v>
      </c>
      <c r="Q65" s="24">
        <f t="shared" ref="Q65:W65" si="44">(Q42*COS($V$38))-SIN($V$38)</f>
        <v>4.623476061989285</v>
      </c>
      <c r="R65" s="24">
        <f t="shared" si="44"/>
        <v>8.1884101836135681</v>
      </c>
      <c r="S65" s="24">
        <f t="shared" si="44"/>
        <v>12.771896911416221</v>
      </c>
      <c r="T65" s="24">
        <f t="shared" si="44"/>
        <v>18.373936245397235</v>
      </c>
      <c r="U65" s="24">
        <f t="shared" si="44"/>
        <v>24.994528185556618</v>
      </c>
      <c r="V65" s="24">
        <f t="shared" si="44"/>
        <v>32.633672731894372</v>
      </c>
      <c r="W65" s="24">
        <f t="shared" si="44"/>
        <v>41.291369884410493</v>
      </c>
      <c r="Y65" s="22"/>
      <c r="Z65" s="22"/>
      <c r="AA65" s="22"/>
      <c r="AB65" s="22"/>
      <c r="AC65" s="22"/>
      <c r="AD65" s="33"/>
      <c r="AE65" s="33"/>
      <c r="AF65" s="33"/>
      <c r="AG65" s="33"/>
      <c r="AH65" s="33"/>
      <c r="AI65" s="33"/>
      <c r="AJ65" s="22"/>
      <c r="AK65" s="22"/>
      <c r="AL65" s="22"/>
      <c r="AM65" s="22"/>
      <c r="AN65" s="22"/>
      <c r="AO65" s="22"/>
      <c r="AP65" s="22"/>
    </row>
    <row r="66" spans="2:42">
      <c r="F66" s="87"/>
      <c r="G66" s="88"/>
      <c r="H66" s="88"/>
      <c r="I66" s="89"/>
      <c r="J66" s="2">
        <f>RADIANS(J65)</f>
        <v>0</v>
      </c>
      <c r="K66" s="2" t="s">
        <v>46</v>
      </c>
      <c r="M66" s="62"/>
      <c r="N66" s="41">
        <v>10</v>
      </c>
      <c r="O66" s="24">
        <f t="shared" ref="O66:W66" si="45">(O43*COS($V$38))-SIN($V$38)</f>
        <v>0.29462748573122582</v>
      </c>
      <c r="P66" s="24">
        <f t="shared" si="45"/>
        <v>1.0585419403650009</v>
      </c>
      <c r="Q66" s="24">
        <f t="shared" si="45"/>
        <v>2.3317326980879596</v>
      </c>
      <c r="R66" s="24">
        <f t="shared" si="45"/>
        <v>4.1141997589001011</v>
      </c>
      <c r="S66" s="24">
        <f t="shared" si="45"/>
        <v>6.4059431228014274</v>
      </c>
      <c r="T66" s="24">
        <f t="shared" si="45"/>
        <v>9.2069627897919357</v>
      </c>
      <c r="U66" s="24">
        <f t="shared" si="45"/>
        <v>12.517258759871627</v>
      </c>
      <c r="V66" s="24">
        <f t="shared" si="45"/>
        <v>16.3368310330405</v>
      </c>
      <c r="W66" s="24">
        <f t="shared" si="45"/>
        <v>20.665679609298561</v>
      </c>
      <c r="Y66" s="22"/>
      <c r="Z66" s="22"/>
      <c r="AA66" s="22"/>
      <c r="AB66" s="22"/>
      <c r="AC66" s="22"/>
      <c r="AD66" s="33"/>
      <c r="AE66" s="33"/>
      <c r="AF66" s="33"/>
      <c r="AG66" s="33"/>
      <c r="AH66" s="33"/>
      <c r="AI66" s="33"/>
      <c r="AJ66" s="22"/>
      <c r="AK66" s="22"/>
      <c r="AL66" s="22"/>
      <c r="AM66" s="22"/>
      <c r="AN66" s="22"/>
      <c r="AO66" s="22"/>
      <c r="AP66" s="22"/>
    </row>
    <row r="67" spans="2:42">
      <c r="F67" s="97" t="s">
        <v>35</v>
      </c>
      <c r="G67" s="98"/>
      <c r="H67" s="98"/>
      <c r="I67" s="99"/>
      <c r="J67" s="3">
        <v>1.2250000000000001</v>
      </c>
      <c r="K67" s="3" t="s">
        <v>25</v>
      </c>
      <c r="M67" s="62"/>
      <c r="N67" s="41">
        <v>15</v>
      </c>
      <c r="O67" s="24">
        <f t="shared" ref="O67:W67" si="46">(O44*COS($V$38))-SIN($V$38)</f>
        <v>0.20974810188302861</v>
      </c>
      <c r="P67" s="24">
        <f t="shared" si="46"/>
        <v>0.71902440497221198</v>
      </c>
      <c r="Q67" s="24">
        <f t="shared" si="46"/>
        <v>1.5678182434541845</v>
      </c>
      <c r="R67" s="24">
        <f t="shared" si="46"/>
        <v>2.7561296173289453</v>
      </c>
      <c r="S67" s="24">
        <f t="shared" si="46"/>
        <v>4.2839585265964963</v>
      </c>
      <c r="T67" s="24">
        <f t="shared" si="46"/>
        <v>6.1513049712568355</v>
      </c>
      <c r="U67" s="24">
        <f t="shared" si="46"/>
        <v>8.3581689513099633</v>
      </c>
      <c r="V67" s="24">
        <f t="shared" si="46"/>
        <v>10.904550466755879</v>
      </c>
      <c r="W67" s="24">
        <f t="shared" si="46"/>
        <v>13.790449517594586</v>
      </c>
      <c r="Y67" s="22"/>
      <c r="Z67" s="22"/>
      <c r="AA67" s="22"/>
      <c r="AB67" s="22"/>
      <c r="AC67" s="22"/>
      <c r="AD67" s="33"/>
      <c r="AE67" s="33"/>
      <c r="AF67" s="33"/>
      <c r="AG67" s="33"/>
      <c r="AH67" s="33"/>
      <c r="AI67" s="33"/>
      <c r="AJ67" s="22"/>
      <c r="AK67" s="22"/>
      <c r="AL67" s="22"/>
      <c r="AM67" s="22"/>
      <c r="AN67" s="22"/>
      <c r="AO67" s="22"/>
      <c r="AP67" s="22"/>
    </row>
    <row r="68" spans="2:42">
      <c r="F68" s="97" t="s">
        <v>27</v>
      </c>
      <c r="G68" s="98"/>
      <c r="H68" s="98"/>
      <c r="I68" s="99"/>
      <c r="J68" s="3">
        <v>0.22</v>
      </c>
      <c r="K68" s="3" t="s">
        <v>12</v>
      </c>
      <c r="M68" s="62"/>
      <c r="N68" s="41">
        <v>20</v>
      </c>
      <c r="O68" s="24">
        <f t="shared" ref="O68:W68" si="47">(O45*COS($V$38))-SIN($V$38)</f>
        <v>0.16730840995893001</v>
      </c>
      <c r="P68" s="24">
        <f t="shared" si="47"/>
        <v>0.54926563727581756</v>
      </c>
      <c r="Q68" s="24">
        <f t="shared" si="47"/>
        <v>1.1858610161372969</v>
      </c>
      <c r="R68" s="24">
        <f t="shared" si="47"/>
        <v>2.0770945465433677</v>
      </c>
      <c r="S68" s="24">
        <f t="shared" si="47"/>
        <v>3.2229662284940308</v>
      </c>
      <c r="T68" s="24">
        <f t="shared" si="47"/>
        <v>4.623476061989285</v>
      </c>
      <c r="U68" s="24">
        <f t="shared" si="47"/>
        <v>6.2786240470291306</v>
      </c>
      <c r="V68" s="24">
        <f t="shared" si="47"/>
        <v>8.1884101836135681</v>
      </c>
      <c r="W68" s="24">
        <f t="shared" si="47"/>
        <v>10.352834471742598</v>
      </c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2:42">
      <c r="F69" s="97" t="s">
        <v>5</v>
      </c>
      <c r="G69" s="98"/>
      <c r="H69" s="98"/>
      <c r="I69" s="99"/>
      <c r="J69" s="3">
        <v>1.5</v>
      </c>
      <c r="K69" s="3" t="s">
        <v>3</v>
      </c>
      <c r="M69" s="62"/>
      <c r="N69" s="41">
        <v>25</v>
      </c>
      <c r="O69" s="24">
        <f t="shared" ref="O69:W69" si="48">(O46*COS($V$38))-SIN($V$38)</f>
        <v>0.14184459480447084</v>
      </c>
      <c r="P69" s="24">
        <f t="shared" si="48"/>
        <v>0.44741037665798089</v>
      </c>
      <c r="Q69" s="24">
        <f t="shared" si="48"/>
        <v>0.95668667974716448</v>
      </c>
      <c r="R69" s="24">
        <f t="shared" si="48"/>
        <v>1.6696735040720212</v>
      </c>
      <c r="S69" s="24">
        <f t="shared" si="48"/>
        <v>2.5863708496325515</v>
      </c>
      <c r="T69" s="24">
        <f t="shared" si="48"/>
        <v>3.7067787164287553</v>
      </c>
      <c r="U69" s="24">
        <f t="shared" si="48"/>
        <v>5.0308971044606317</v>
      </c>
      <c r="V69" s="24">
        <f t="shared" si="48"/>
        <v>6.5587260137281822</v>
      </c>
      <c r="W69" s="24">
        <f t="shared" si="48"/>
        <v>8.2902654442314052</v>
      </c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2:42">
      <c r="F70" s="97" t="s">
        <v>34</v>
      </c>
      <c r="G70" s="98"/>
      <c r="H70" s="98"/>
      <c r="I70" s="99"/>
      <c r="J70" s="3">
        <v>0.185</v>
      </c>
      <c r="K70" s="3" t="s">
        <v>3</v>
      </c>
      <c r="M70" s="62"/>
      <c r="N70" s="41">
        <v>30</v>
      </c>
      <c r="O70" s="24">
        <f t="shared" ref="O70:W70" si="49">(O47*COS($V$38))-SIN($V$38)</f>
        <v>0.12486871803483138</v>
      </c>
      <c r="P70" s="24">
        <f t="shared" si="49"/>
        <v>0.37950686957942303</v>
      </c>
      <c r="Q70" s="24">
        <f t="shared" si="49"/>
        <v>0.80390378882040936</v>
      </c>
      <c r="R70" s="24">
        <f t="shared" si="49"/>
        <v>1.3980594757577898</v>
      </c>
      <c r="S70" s="24">
        <f t="shared" si="49"/>
        <v>2.1619739303915653</v>
      </c>
      <c r="T70" s="24">
        <f t="shared" si="49"/>
        <v>3.0956471527217349</v>
      </c>
      <c r="U70" s="24">
        <f t="shared" si="49"/>
        <v>4.1990791427482987</v>
      </c>
      <c r="V70" s="24">
        <f t="shared" si="49"/>
        <v>5.4722699004712565</v>
      </c>
      <c r="W70" s="24">
        <f t="shared" si="49"/>
        <v>6.9152194258906103</v>
      </c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2:42">
      <c r="B71" s="4"/>
      <c r="F71" s="97" t="s">
        <v>26</v>
      </c>
      <c r="G71" s="98"/>
      <c r="H71" s="98"/>
      <c r="I71" s="99"/>
      <c r="J71" s="3">
        <v>1.4</v>
      </c>
      <c r="K71" s="3" t="s">
        <v>3</v>
      </c>
      <c r="M71" s="62"/>
      <c r="N71" s="41">
        <v>35</v>
      </c>
      <c r="O71" s="24">
        <f t="shared" ref="O71:W71" si="50">(O48*COS($V$38))-SIN($V$38)</f>
        <v>0.11274309177080322</v>
      </c>
      <c r="P71" s="24">
        <f t="shared" si="50"/>
        <v>0.33100436452331039</v>
      </c>
      <c r="Q71" s="24">
        <f t="shared" si="50"/>
        <v>0.69477315244415572</v>
      </c>
      <c r="R71" s="24">
        <f t="shared" si="50"/>
        <v>1.2040494555333392</v>
      </c>
      <c r="S71" s="24">
        <f t="shared" si="50"/>
        <v>1.8588332737908608</v>
      </c>
      <c r="T71" s="24">
        <f t="shared" si="50"/>
        <v>2.6591246072167203</v>
      </c>
      <c r="U71" s="24">
        <f t="shared" si="50"/>
        <v>3.6049234558109182</v>
      </c>
      <c r="V71" s="24">
        <f t="shared" si="50"/>
        <v>4.6962298195734542</v>
      </c>
      <c r="W71" s="24">
        <f t="shared" si="50"/>
        <v>5.9330436985043287</v>
      </c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2:42">
      <c r="F72" s="97" t="s">
        <v>52</v>
      </c>
      <c r="G72" s="98"/>
      <c r="H72" s="98"/>
      <c r="I72" s="99"/>
      <c r="J72" s="3">
        <v>0.02</v>
      </c>
      <c r="K72" s="3" t="s">
        <v>12</v>
      </c>
      <c r="M72" s="62"/>
      <c r="N72" s="41">
        <v>40</v>
      </c>
      <c r="O72" s="24">
        <f t="shared" ref="O72:W72" si="51">(O49*COS($V$38))-SIN($V$38)</f>
        <v>0.10364887207278209</v>
      </c>
      <c r="P72" s="24">
        <f t="shared" si="51"/>
        <v>0.29462748573122582</v>
      </c>
      <c r="Q72" s="24">
        <f t="shared" si="51"/>
        <v>0.61292517516196554</v>
      </c>
      <c r="R72" s="24">
        <f t="shared" si="51"/>
        <v>1.0585419403650009</v>
      </c>
      <c r="S72" s="24">
        <f t="shared" si="51"/>
        <v>1.6314777813403325</v>
      </c>
      <c r="T72" s="24">
        <f t="shared" si="51"/>
        <v>2.3317326980879596</v>
      </c>
      <c r="U72" s="24">
        <f t="shared" si="51"/>
        <v>3.1593066906078824</v>
      </c>
      <c r="V72" s="24">
        <f t="shared" si="51"/>
        <v>4.1141997589001011</v>
      </c>
      <c r="W72" s="24">
        <f t="shared" si="51"/>
        <v>5.1964119029646163</v>
      </c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2:42">
      <c r="F73" s="108" t="s">
        <v>33</v>
      </c>
      <c r="G73" s="109"/>
      <c r="H73" s="109"/>
      <c r="I73" s="110"/>
      <c r="J73" s="5">
        <f>C34+C35+0.1</f>
        <v>1.7850000000000001</v>
      </c>
      <c r="K73" s="2" t="s">
        <v>3</v>
      </c>
      <c r="M73" s="62"/>
      <c r="N73" s="41">
        <v>45</v>
      </c>
      <c r="O73" s="24">
        <f t="shared" ref="O73:W73" si="52">(O50*COS($V$38))-SIN($V$38)</f>
        <v>9.6575590085432317E-2</v>
      </c>
      <c r="P73" s="24">
        <f t="shared" si="52"/>
        <v>0.26633435778182679</v>
      </c>
      <c r="Q73" s="24">
        <f t="shared" si="52"/>
        <v>0.54926563727581756</v>
      </c>
      <c r="R73" s="24">
        <f t="shared" si="52"/>
        <v>0.94536942856740469</v>
      </c>
      <c r="S73" s="24">
        <f t="shared" si="52"/>
        <v>1.4546457316565882</v>
      </c>
      <c r="T73" s="24">
        <f t="shared" si="52"/>
        <v>2.0770945465433677</v>
      </c>
      <c r="U73" s="24">
        <f t="shared" si="52"/>
        <v>2.8127158732277437</v>
      </c>
      <c r="V73" s="24">
        <f t="shared" si="52"/>
        <v>3.6615097117097162</v>
      </c>
      <c r="W73" s="24">
        <f t="shared" si="52"/>
        <v>4.6234760619892841</v>
      </c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 spans="2:42">
      <c r="F74" s="79" t="s">
        <v>56</v>
      </c>
      <c r="G74" s="96"/>
      <c r="H74" s="96"/>
      <c r="I74" s="80"/>
      <c r="J74" s="5">
        <f>J71*J73</f>
        <v>2.4990000000000001</v>
      </c>
      <c r="K74" s="5" t="s">
        <v>29</v>
      </c>
      <c r="M74" s="62"/>
      <c r="N74" s="41">
        <v>50</v>
      </c>
      <c r="O74" s="24">
        <f t="shared" ref="O74:W74" si="53">(O51*COS($V$38))-SIN($V$38)</f>
        <v>9.0916964495552505E-2</v>
      </c>
      <c r="P74" s="24">
        <f t="shared" si="53"/>
        <v>0.24369985542230754</v>
      </c>
      <c r="Q74" s="24">
        <f t="shared" si="53"/>
        <v>0.49833800696689928</v>
      </c>
      <c r="R74" s="24">
        <f t="shared" si="53"/>
        <v>0.8548314191293277</v>
      </c>
      <c r="S74" s="24">
        <f t="shared" si="53"/>
        <v>1.3131800919095928</v>
      </c>
      <c r="T74" s="24">
        <f t="shared" si="53"/>
        <v>1.8733840253076948</v>
      </c>
      <c r="U74" s="24">
        <f t="shared" si="53"/>
        <v>2.5354432193236329</v>
      </c>
      <c r="V74" s="24">
        <f t="shared" si="53"/>
        <v>3.2993576739574082</v>
      </c>
      <c r="W74" s="24">
        <f t="shared" si="53"/>
        <v>4.1651273892090197</v>
      </c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2:42">
      <c r="F75" s="79"/>
      <c r="G75" s="96"/>
      <c r="H75" s="96"/>
      <c r="I75" s="96"/>
      <c r="J75" s="96"/>
      <c r="K75" s="80"/>
      <c r="M75" s="62"/>
      <c r="N75" s="41">
        <v>55</v>
      </c>
      <c r="O75" s="24">
        <f t="shared" ref="O75:W75" si="54">(O52*COS($V$38))-SIN($V$38)</f>
        <v>8.628717992201447E-2</v>
      </c>
      <c r="P75" s="24">
        <f t="shared" si="54"/>
        <v>0.22518071712815541</v>
      </c>
      <c r="Q75" s="24">
        <f t="shared" si="54"/>
        <v>0.45666994580505693</v>
      </c>
      <c r="R75" s="24">
        <f t="shared" si="54"/>
        <v>0.78075486595271915</v>
      </c>
      <c r="S75" s="24">
        <f t="shared" si="54"/>
        <v>1.197435477571142</v>
      </c>
      <c r="T75" s="24">
        <f t="shared" si="54"/>
        <v>1.7067117806603254</v>
      </c>
      <c r="U75" s="24">
        <f t="shared" si="54"/>
        <v>2.3085837752202694</v>
      </c>
      <c r="V75" s="24">
        <f t="shared" si="54"/>
        <v>3.003051461250974</v>
      </c>
      <c r="W75" s="24">
        <f t="shared" si="54"/>
        <v>3.790114838752439</v>
      </c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2:42">
      <c r="F76" s="5"/>
      <c r="G76" s="5" t="s">
        <v>75</v>
      </c>
      <c r="H76" s="5" t="s">
        <v>76</v>
      </c>
      <c r="I76" s="5" t="s">
        <v>77</v>
      </c>
      <c r="J76" s="5" t="s">
        <v>78</v>
      </c>
      <c r="K76" s="5"/>
      <c r="M76" s="62"/>
      <c r="N76" s="41">
        <v>60</v>
      </c>
      <c r="O76" s="24">
        <f t="shared" ref="O76:W76" si="55">(O53*COS($V$38))-SIN($V$38)</f>
        <v>8.2429026110732773E-2</v>
      </c>
      <c r="P76" s="24">
        <f t="shared" si="55"/>
        <v>0.20974810188302861</v>
      </c>
      <c r="Q76" s="24">
        <f t="shared" si="55"/>
        <v>0.42194656150352172</v>
      </c>
      <c r="R76" s="24">
        <f t="shared" si="55"/>
        <v>0.71902440497221198</v>
      </c>
      <c r="S76" s="24">
        <f t="shared" si="55"/>
        <v>1.1009816322890997</v>
      </c>
      <c r="T76" s="24">
        <f t="shared" si="55"/>
        <v>1.5678182434541845</v>
      </c>
      <c r="U76" s="24">
        <f t="shared" si="55"/>
        <v>2.1195342384674665</v>
      </c>
      <c r="V76" s="24">
        <f t="shared" si="55"/>
        <v>2.7561296173289453</v>
      </c>
      <c r="W76" s="24">
        <f t="shared" si="55"/>
        <v>3.4776043800386223</v>
      </c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2:42">
      <c r="F77" s="3" t="s">
        <v>49</v>
      </c>
      <c r="G77" s="20">
        <v>33.6</v>
      </c>
      <c r="H77" s="20">
        <v>33.200000000000003</v>
      </c>
      <c r="I77" s="20">
        <v>32.799999999999997</v>
      </c>
      <c r="J77" s="20">
        <v>32.4</v>
      </c>
      <c r="K77" s="3" t="s">
        <v>31</v>
      </c>
      <c r="M77" s="62"/>
      <c r="N77" s="41">
        <v>65</v>
      </c>
      <c r="O77" s="24">
        <f t="shared" ref="O77:W77" si="56">(O54*COS($V$38))-SIN($V$38)</f>
        <v>7.9164434424263658E-2</v>
      </c>
      <c r="P77" s="24">
        <f t="shared" si="56"/>
        <v>0.19668973513715216</v>
      </c>
      <c r="Q77" s="24">
        <f t="shared" si="56"/>
        <v>0.3925652363252996</v>
      </c>
      <c r="R77" s="24">
        <f t="shared" si="56"/>
        <v>0.66679093798870614</v>
      </c>
      <c r="S77" s="24">
        <f t="shared" si="56"/>
        <v>1.0193668401273717</v>
      </c>
      <c r="T77" s="24">
        <f t="shared" si="56"/>
        <v>1.4502929427412961</v>
      </c>
      <c r="U77" s="24">
        <f t="shared" si="56"/>
        <v>1.9595692458304796</v>
      </c>
      <c r="V77" s="24">
        <f t="shared" si="56"/>
        <v>2.547195749394922</v>
      </c>
      <c r="W77" s="24">
        <f t="shared" si="56"/>
        <v>3.2131724534346233</v>
      </c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2:42">
      <c r="F78" s="5" t="s">
        <v>60</v>
      </c>
      <c r="G78" s="18">
        <f>G77*(9.81*G3*SIN($J$66)+$J$72*9.81*G3*COS($J$66)+0.5*$J$67*$J$68*$J$74*G77^2)</f>
        <v>15904.938760704003</v>
      </c>
      <c r="H78" s="18">
        <f>H77*(9.81*H3*SIN($J$66)+$J$72*9.81*H3*COS($J$66)+0.5*$J$67*$J$68*$J$74*H77^2)</f>
        <v>15905.408628912006</v>
      </c>
      <c r="I78" s="18">
        <f>I77*(9.81*I3*SIN($J$66)+$J$72*9.81*I3*COS($J$66)+0.5*$J$67*$J$68*$J$74*I77^2)</f>
        <v>15904.839082367998</v>
      </c>
      <c r="J78" s="18">
        <f>J77*(9.81*J3*SIN($J$66)+$J$72*9.81*J3*COS($J$66)+0.5*$J$67*$J$68*$J$74*J77^2)</f>
        <v>15903.100812815999</v>
      </c>
      <c r="K78" s="5" t="s">
        <v>24</v>
      </c>
      <c r="M78" s="62"/>
      <c r="N78" s="41">
        <v>70</v>
      </c>
      <c r="O78" s="24">
        <f t="shared" ref="O78:W78" si="57">(O55*COS($V$38))-SIN($V$38)</f>
        <v>7.6366212978718692E-2</v>
      </c>
      <c r="P78" s="24">
        <f t="shared" si="57"/>
        <v>0.18549684935497229</v>
      </c>
      <c r="Q78" s="24">
        <f t="shared" si="57"/>
        <v>0.3673812433153949</v>
      </c>
      <c r="R78" s="24">
        <f t="shared" si="57"/>
        <v>0.6220193948599867</v>
      </c>
      <c r="S78" s="24">
        <f t="shared" si="57"/>
        <v>0.94941130398874751</v>
      </c>
      <c r="T78" s="24">
        <f t="shared" si="57"/>
        <v>1.3495569707016772</v>
      </c>
      <c r="U78" s="24">
        <f t="shared" si="57"/>
        <v>1.8224563949987762</v>
      </c>
      <c r="V78" s="24">
        <f t="shared" si="57"/>
        <v>2.3681095768800442</v>
      </c>
      <c r="W78" s="24">
        <f t="shared" si="57"/>
        <v>2.9865165163454814</v>
      </c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2:42">
      <c r="F79" s="2" t="s">
        <v>61</v>
      </c>
      <c r="G79" s="18">
        <f t="shared" ref="G79:I79" si="58">G77*3.6</f>
        <v>120.96000000000001</v>
      </c>
      <c r="H79" s="18">
        <f t="shared" si="58"/>
        <v>119.52000000000001</v>
      </c>
      <c r="I79" s="18">
        <f t="shared" si="58"/>
        <v>118.08</v>
      </c>
      <c r="J79" s="18">
        <f>J77*3.6</f>
        <v>116.64</v>
      </c>
      <c r="K79" s="2" t="s">
        <v>32</v>
      </c>
      <c r="M79" s="62"/>
      <c r="N79" s="41">
        <v>75</v>
      </c>
      <c r="O79" s="24">
        <f t="shared" ref="O79:W79" si="59">(O56*COS($V$38))-SIN($V$38)</f>
        <v>7.3941087725913054E-2</v>
      </c>
      <c r="P79" s="24">
        <f t="shared" si="59"/>
        <v>0.17579634834374974</v>
      </c>
      <c r="Q79" s="24">
        <f t="shared" si="59"/>
        <v>0.34555511604014416</v>
      </c>
      <c r="R79" s="24">
        <f t="shared" si="59"/>
        <v>0.58321739081509649</v>
      </c>
      <c r="S79" s="24">
        <f t="shared" si="59"/>
        <v>0.88878317266860662</v>
      </c>
      <c r="T79" s="24">
        <f t="shared" si="59"/>
        <v>1.2622524616006743</v>
      </c>
      <c r="U79" s="24">
        <f t="shared" si="59"/>
        <v>1.7036252576113</v>
      </c>
      <c r="V79" s="24">
        <f t="shared" si="59"/>
        <v>2.2129015607004834</v>
      </c>
      <c r="W79" s="24">
        <f t="shared" si="59"/>
        <v>2.7900813708682248</v>
      </c>
    </row>
    <row r="80" spans="2:42">
      <c r="M80" s="62"/>
      <c r="N80" s="41">
        <v>80</v>
      </c>
      <c r="O80" s="24">
        <f t="shared" ref="O80:W80" si="60">(O57*COS($V$38))-SIN($V$38)</f>
        <v>7.1819103129708128E-2</v>
      </c>
      <c r="P80" s="24">
        <f t="shared" si="60"/>
        <v>0.16730840995893001</v>
      </c>
      <c r="Q80" s="24">
        <f t="shared" si="60"/>
        <v>0.32645725467429981</v>
      </c>
      <c r="R80" s="24">
        <f t="shared" si="60"/>
        <v>0.54926563727581756</v>
      </c>
      <c r="S80" s="24">
        <f t="shared" si="60"/>
        <v>0.83573355776348335</v>
      </c>
      <c r="T80" s="24">
        <f t="shared" si="60"/>
        <v>1.1858610161372969</v>
      </c>
      <c r="U80" s="24">
        <f t="shared" si="60"/>
        <v>1.5996480123972583</v>
      </c>
      <c r="V80" s="24">
        <f t="shared" si="60"/>
        <v>2.0770945465433677</v>
      </c>
      <c r="W80" s="24">
        <f t="shared" si="60"/>
        <v>2.6182006185756252</v>
      </c>
    </row>
    <row r="81" spans="5:23" ht="15">
      <c r="F81" s="65" t="s">
        <v>246</v>
      </c>
      <c r="G81" s="66"/>
      <c r="H81" s="66"/>
      <c r="I81" s="66"/>
      <c r="J81" s="66"/>
      <c r="K81" s="66"/>
      <c r="M81" s="62"/>
      <c r="N81" s="41">
        <v>85</v>
      </c>
      <c r="O81" s="24">
        <f t="shared" ref="O81:W81" si="61">(O58*COS($V$38))-SIN($V$38)</f>
        <v>6.9946763780115537E-2</v>
      </c>
      <c r="P81" s="24">
        <f t="shared" si="61"/>
        <v>0.15981905256055967</v>
      </c>
      <c r="Q81" s="24">
        <f t="shared" si="61"/>
        <v>0.3096062005279665</v>
      </c>
      <c r="R81" s="24">
        <f t="shared" si="61"/>
        <v>0.51930820768233621</v>
      </c>
      <c r="S81" s="24">
        <f t="shared" si="61"/>
        <v>0.78892507402366863</v>
      </c>
      <c r="T81" s="24">
        <f t="shared" si="61"/>
        <v>1.1184567995519636</v>
      </c>
      <c r="U81" s="24">
        <f t="shared" si="61"/>
        <v>1.5079033842672218</v>
      </c>
      <c r="V81" s="24">
        <f t="shared" si="61"/>
        <v>1.9572648281694425</v>
      </c>
      <c r="W81" s="24">
        <f t="shared" si="61"/>
        <v>2.4665411312586256</v>
      </c>
    </row>
    <row r="82" spans="5:23">
      <c r="F82" s="67" t="s">
        <v>247</v>
      </c>
      <c r="G82" s="67"/>
      <c r="H82" s="67"/>
      <c r="I82" s="67"/>
      <c r="J82" s="3">
        <f>J49</f>
        <v>1.5</v>
      </c>
      <c r="K82" s="3" t="s">
        <v>12</v>
      </c>
      <c r="M82" s="62"/>
      <c r="N82" s="41">
        <v>90</v>
      </c>
      <c r="O82" s="24">
        <f t="shared" ref="O82:W82" si="62">(O59*COS($V$38))-SIN($V$38)</f>
        <v>6.8282462136033242E-2</v>
      </c>
      <c r="P82" s="24">
        <f t="shared" si="62"/>
        <v>0.15316184598423047</v>
      </c>
      <c r="Q82" s="24">
        <f t="shared" si="62"/>
        <v>0.29462748573122582</v>
      </c>
      <c r="R82" s="24">
        <f t="shared" si="62"/>
        <v>0.49267938137701939</v>
      </c>
      <c r="S82" s="24">
        <f t="shared" si="62"/>
        <v>0.74731753292161118</v>
      </c>
      <c r="T82" s="24">
        <f t="shared" si="62"/>
        <v>1.0585419403650009</v>
      </c>
      <c r="U82" s="24">
        <f t="shared" si="62"/>
        <v>1.426352603707189</v>
      </c>
      <c r="V82" s="24">
        <f t="shared" si="62"/>
        <v>1.8507495229481752</v>
      </c>
      <c r="W82" s="24">
        <f t="shared" si="62"/>
        <v>2.3317326980879591</v>
      </c>
    </row>
    <row r="83" spans="5:23">
      <c r="F83" s="67" t="s">
        <v>248</v>
      </c>
      <c r="G83" s="67"/>
      <c r="H83" s="67"/>
      <c r="I83" s="67"/>
      <c r="J83" s="3">
        <v>0.5</v>
      </c>
      <c r="K83" s="3" t="s">
        <v>12</v>
      </c>
      <c r="M83" s="62"/>
      <c r="N83" s="41">
        <v>95</v>
      </c>
      <c r="O83" s="24">
        <f t="shared" ref="O83:W83" si="63">(O60*COS($V$38))-SIN($V$38)</f>
        <v>6.6793350138696445E-2</v>
      </c>
      <c r="P83" s="24">
        <f t="shared" si="63"/>
        <v>0.1472053979948833</v>
      </c>
      <c r="Q83" s="24">
        <f t="shared" si="63"/>
        <v>0.28122547775519474</v>
      </c>
      <c r="R83" s="24">
        <f t="shared" si="63"/>
        <v>0.46885358941963073</v>
      </c>
      <c r="S83" s="24">
        <f t="shared" si="63"/>
        <v>0.71008973298819122</v>
      </c>
      <c r="T83" s="24">
        <f t="shared" si="63"/>
        <v>1.0049339084608764</v>
      </c>
      <c r="U83" s="24">
        <f t="shared" si="63"/>
        <v>1.3533861158376861</v>
      </c>
      <c r="V83" s="24">
        <f t="shared" si="63"/>
        <v>1.7554463551186206</v>
      </c>
      <c r="W83" s="24">
        <f t="shared" si="63"/>
        <v>2.2111146263036794</v>
      </c>
    </row>
    <row r="84" spans="5:23">
      <c r="F84" s="67" t="s">
        <v>249</v>
      </c>
      <c r="G84" s="67"/>
      <c r="H84" s="67"/>
      <c r="I84" s="67"/>
      <c r="J84" s="3">
        <f>C44/2*2.54*10</f>
        <v>203.2</v>
      </c>
      <c r="K84" s="3" t="s">
        <v>219</v>
      </c>
      <c r="M84" s="62"/>
      <c r="N84" s="41">
        <v>100</v>
      </c>
      <c r="O84" s="24">
        <f t="shared" ref="O84:W84" si="64">(O61*COS($V$38))-SIN($V$38)</f>
        <v>6.5453149341093336E-2</v>
      </c>
      <c r="P84" s="24">
        <f t="shared" si="64"/>
        <v>0.14184459480447084</v>
      </c>
      <c r="Q84" s="24">
        <f t="shared" si="64"/>
        <v>0.26916367057676671</v>
      </c>
      <c r="R84" s="24">
        <f t="shared" si="64"/>
        <v>0.44741037665798089</v>
      </c>
      <c r="S84" s="24">
        <f t="shared" si="64"/>
        <v>0.67658471304811352</v>
      </c>
      <c r="T84" s="24">
        <f t="shared" si="64"/>
        <v>0.95668667974716448</v>
      </c>
      <c r="U84" s="24">
        <f t="shared" si="64"/>
        <v>1.2877162767551336</v>
      </c>
      <c r="V84" s="24">
        <f t="shared" si="64"/>
        <v>1.6696735040720212</v>
      </c>
      <c r="W84" s="24">
        <f t="shared" si="64"/>
        <v>2.1025583616978269</v>
      </c>
    </row>
    <row r="85" spans="5:23">
      <c r="F85" s="67" t="s">
        <v>250</v>
      </c>
      <c r="G85" s="67"/>
      <c r="H85" s="67"/>
      <c r="I85" s="67"/>
      <c r="J85" s="3">
        <v>100</v>
      </c>
      <c r="K85" s="3" t="s">
        <v>219</v>
      </c>
      <c r="M85" s="62" t="s">
        <v>114</v>
      </c>
      <c r="N85" s="62"/>
      <c r="O85" s="62"/>
      <c r="P85" s="62"/>
      <c r="Q85" s="62"/>
      <c r="R85" s="62"/>
      <c r="S85" s="62"/>
      <c r="T85" s="62"/>
      <c r="U85" s="62"/>
      <c r="V85" s="62"/>
      <c r="W85" s="62"/>
    </row>
    <row r="86" spans="5:23">
      <c r="F86" s="67" t="s">
        <v>251</v>
      </c>
      <c r="G86" s="67"/>
      <c r="H86" s="67"/>
      <c r="I86" s="67"/>
      <c r="J86" s="3">
        <v>1587</v>
      </c>
      <c r="K86" s="3" t="s">
        <v>252</v>
      </c>
      <c r="M86" s="62"/>
      <c r="N86" s="62"/>
      <c r="O86" s="62" t="s">
        <v>110</v>
      </c>
      <c r="P86" s="62"/>
      <c r="Q86" s="62"/>
      <c r="R86" s="62"/>
      <c r="S86" s="62"/>
      <c r="T86" s="62"/>
      <c r="U86" s="62"/>
      <c r="V86" s="62"/>
      <c r="W86" s="62"/>
    </row>
    <row r="87" spans="5:23">
      <c r="F87" s="67" t="s">
        <v>253</v>
      </c>
      <c r="G87" s="67"/>
      <c r="H87" s="67"/>
      <c r="I87" s="67"/>
      <c r="J87" s="3">
        <v>1019</v>
      </c>
      <c r="K87" s="3" t="s">
        <v>252</v>
      </c>
      <c r="M87" s="62"/>
      <c r="N87" s="62"/>
      <c r="O87" s="41">
        <v>5</v>
      </c>
      <c r="P87" s="41">
        <v>10</v>
      </c>
      <c r="Q87" s="41">
        <v>15</v>
      </c>
      <c r="R87" s="41">
        <v>20</v>
      </c>
      <c r="S87" s="41">
        <v>25</v>
      </c>
      <c r="T87" s="41">
        <v>30</v>
      </c>
      <c r="U87" s="41">
        <v>35</v>
      </c>
      <c r="V87" s="41">
        <v>40</v>
      </c>
      <c r="W87" s="41">
        <v>45</v>
      </c>
    </row>
    <row r="88" spans="5:23">
      <c r="F88" s="67" t="s">
        <v>254</v>
      </c>
      <c r="G88" s="67"/>
      <c r="H88" s="67"/>
      <c r="I88" s="67"/>
      <c r="J88" s="3">
        <v>65</v>
      </c>
      <c r="K88" s="3" t="s">
        <v>219</v>
      </c>
      <c r="M88" s="62" t="s">
        <v>111</v>
      </c>
      <c r="N88" s="41">
        <v>5</v>
      </c>
      <c r="O88" s="24">
        <f>$V$37*(O42*SIN($V$38)+COS($V$38))</f>
        <v>685.17272811291707</v>
      </c>
      <c r="P88" s="24">
        <f t="shared" ref="P88:W88" si="65">$V$37*(P42*SIN($V$38)+COS($V$38))</f>
        <v>642.37068846361433</v>
      </c>
      <c r="Q88" s="24">
        <f t="shared" si="65"/>
        <v>571.03395571477665</v>
      </c>
      <c r="R88" s="24">
        <f t="shared" si="65"/>
        <v>471.16252986640393</v>
      </c>
      <c r="S88" s="24">
        <f t="shared" si="65"/>
        <v>342.7564109184961</v>
      </c>
      <c r="T88" s="24">
        <f t="shared" si="65"/>
        <v>185.81559887105311</v>
      </c>
      <c r="U88" s="24">
        <f t="shared" si="65"/>
        <v>0.34009372407519667</v>
      </c>
      <c r="V88" s="24">
        <f t="shared" si="65"/>
        <v>-213.67010452243787</v>
      </c>
      <c r="W88" s="24">
        <f t="shared" si="65"/>
        <v>-456.21499586848608</v>
      </c>
    </row>
    <row r="89" spans="5:23">
      <c r="F89" s="63" t="s">
        <v>255</v>
      </c>
      <c r="G89" s="63"/>
      <c r="H89" s="63"/>
      <c r="I89" s="63"/>
      <c r="J89" s="59">
        <v>0</v>
      </c>
      <c r="K89" s="59" t="s">
        <v>12</v>
      </c>
      <c r="M89" s="62"/>
      <c r="N89" s="41">
        <v>10</v>
      </c>
      <c r="O89" s="24">
        <f t="shared" ref="O89:W89" si="66">$V$37*(O43*SIN($V$38)+COS($V$38))</f>
        <v>692.30640138780075</v>
      </c>
      <c r="P89" s="24">
        <f t="shared" si="66"/>
        <v>670.90538156314949</v>
      </c>
      <c r="Q89" s="24">
        <f t="shared" si="66"/>
        <v>635.23701518873054</v>
      </c>
      <c r="R89" s="24">
        <f t="shared" si="66"/>
        <v>585.30130226454423</v>
      </c>
      <c r="S89" s="24">
        <f t="shared" si="66"/>
        <v>521.09824279059023</v>
      </c>
      <c r="T89" s="24">
        <f t="shared" si="66"/>
        <v>442.62783676686882</v>
      </c>
      <c r="U89" s="24">
        <f t="shared" si="66"/>
        <v>349.89008419337989</v>
      </c>
      <c r="V89" s="24">
        <f t="shared" si="66"/>
        <v>242.88498507012335</v>
      </c>
      <c r="W89" s="24">
        <f t="shared" si="66"/>
        <v>121.61253939709923</v>
      </c>
    </row>
    <row r="90" spans="5:23">
      <c r="F90" s="62" t="s">
        <v>256</v>
      </c>
      <c r="G90" s="62"/>
      <c r="H90" s="62"/>
      <c r="I90" s="62"/>
      <c r="J90" s="3">
        <f>(C2+J89*75)*9.81</f>
        <v>3924</v>
      </c>
      <c r="K90" s="3" t="s">
        <v>11</v>
      </c>
      <c r="M90" s="62"/>
      <c r="N90" s="41">
        <v>15</v>
      </c>
      <c r="O90" s="24">
        <f t="shared" ref="O90:W90" si="67">$V$37*(O44*SIN($V$38)+COS($V$38))</f>
        <v>694.68429247942868</v>
      </c>
      <c r="P90" s="24">
        <f t="shared" si="67"/>
        <v>680.41694592966121</v>
      </c>
      <c r="Q90" s="24">
        <f t="shared" si="67"/>
        <v>656.63803501338191</v>
      </c>
      <c r="R90" s="24">
        <f t="shared" si="67"/>
        <v>623.347559730591</v>
      </c>
      <c r="S90" s="24">
        <f t="shared" si="67"/>
        <v>580.54552008128837</v>
      </c>
      <c r="T90" s="24">
        <f t="shared" si="67"/>
        <v>528.23191606547402</v>
      </c>
      <c r="U90" s="24">
        <f t="shared" si="67"/>
        <v>466.40674768314807</v>
      </c>
      <c r="V90" s="24">
        <f t="shared" si="67"/>
        <v>395.07001493431034</v>
      </c>
      <c r="W90" s="24">
        <f t="shared" si="67"/>
        <v>314.221717818961</v>
      </c>
    </row>
    <row r="91" spans="5:23">
      <c r="F91" s="62" t="s">
        <v>257</v>
      </c>
      <c r="G91" s="62"/>
      <c r="H91" s="62"/>
      <c r="I91" s="58" t="s">
        <v>258</v>
      </c>
      <c r="J91" s="3">
        <f>J90*0.6</f>
        <v>2354.4</v>
      </c>
      <c r="K91" s="3" t="s">
        <v>11</v>
      </c>
      <c r="M91" s="62"/>
      <c r="N91" s="41">
        <v>20</v>
      </c>
      <c r="O91" s="24">
        <f t="shared" ref="O91:W91" si="68">$V$37*(O45*SIN($V$38)+COS($V$38))</f>
        <v>695.8732380252427</v>
      </c>
      <c r="P91" s="24">
        <f t="shared" si="68"/>
        <v>685.17272811291707</v>
      </c>
      <c r="Q91" s="24">
        <f t="shared" si="68"/>
        <v>667.33854492570754</v>
      </c>
      <c r="R91" s="24">
        <f t="shared" si="68"/>
        <v>642.37068846361433</v>
      </c>
      <c r="S91" s="24">
        <f t="shared" si="68"/>
        <v>610.26915872663744</v>
      </c>
      <c r="T91" s="24">
        <f t="shared" si="68"/>
        <v>571.03395571477665</v>
      </c>
      <c r="U91" s="24">
        <f t="shared" si="68"/>
        <v>524.6650794280323</v>
      </c>
      <c r="V91" s="24">
        <f t="shared" si="68"/>
        <v>471.16252986640393</v>
      </c>
      <c r="W91" s="24">
        <f t="shared" si="68"/>
        <v>410.52630702989194</v>
      </c>
    </row>
    <row r="92" spans="5:23">
      <c r="F92" s="62"/>
      <c r="G92" s="62"/>
      <c r="H92" s="62"/>
      <c r="I92" s="58" t="s">
        <v>259</v>
      </c>
      <c r="J92" s="3">
        <f>J90-J91</f>
        <v>1569.6</v>
      </c>
      <c r="K92" s="3" t="s">
        <v>11</v>
      </c>
      <c r="M92" s="62"/>
      <c r="N92" s="41">
        <v>25</v>
      </c>
      <c r="O92" s="24">
        <f t="shared" ref="O92:W92" si="69">$V$37*(O46*SIN($V$38)+COS($V$38))</f>
        <v>696.586605352731</v>
      </c>
      <c r="P92" s="24">
        <f t="shared" si="69"/>
        <v>688.0261974228705</v>
      </c>
      <c r="Q92" s="24">
        <f t="shared" si="69"/>
        <v>673.75885087310303</v>
      </c>
      <c r="R92" s="24">
        <f t="shared" si="69"/>
        <v>653.78456570342848</v>
      </c>
      <c r="S92" s="24">
        <f t="shared" si="69"/>
        <v>628.10334191384675</v>
      </c>
      <c r="T92" s="24">
        <f t="shared" si="69"/>
        <v>596.71517950435828</v>
      </c>
      <c r="U92" s="24">
        <f t="shared" si="69"/>
        <v>559.62007847496261</v>
      </c>
      <c r="V92" s="24">
        <f t="shared" si="69"/>
        <v>516.81803882565998</v>
      </c>
      <c r="W92" s="24">
        <f t="shared" si="69"/>
        <v>468.30906055645039</v>
      </c>
    </row>
    <row r="93" spans="5:23">
      <c r="E93" s="10"/>
      <c r="F93" s="62" t="s">
        <v>260</v>
      </c>
      <c r="G93" s="62"/>
      <c r="H93" s="62"/>
      <c r="I93" s="62"/>
      <c r="J93" s="3">
        <f>J90*J82</f>
        <v>5886</v>
      </c>
      <c r="K93" s="3" t="s">
        <v>11</v>
      </c>
      <c r="M93" s="62"/>
      <c r="N93" s="41">
        <v>30</v>
      </c>
      <c r="O93" s="24">
        <f t="shared" ref="O93:W93" si="70">$V$37*(O47*SIN($V$38)+COS($V$38))</f>
        <v>697.06218357105661</v>
      </c>
      <c r="P93" s="24">
        <f t="shared" si="70"/>
        <v>689.92851029617282</v>
      </c>
      <c r="Q93" s="24">
        <f t="shared" si="70"/>
        <v>678.03905483803328</v>
      </c>
      <c r="R93" s="24">
        <f t="shared" si="70"/>
        <v>661.39381719663777</v>
      </c>
      <c r="S93" s="24">
        <f t="shared" si="70"/>
        <v>639.99279737198651</v>
      </c>
      <c r="T93" s="24">
        <f t="shared" si="70"/>
        <v>613.83599536407928</v>
      </c>
      <c r="U93" s="24">
        <f t="shared" si="70"/>
        <v>582.9234111729163</v>
      </c>
      <c r="V93" s="24">
        <f t="shared" si="70"/>
        <v>547.25504479849747</v>
      </c>
      <c r="W93" s="24">
        <f t="shared" si="70"/>
        <v>506.83089624082277</v>
      </c>
    </row>
    <row r="94" spans="5:23">
      <c r="E94" s="10"/>
      <c r="F94" s="62" t="s">
        <v>261</v>
      </c>
      <c r="G94" s="62"/>
      <c r="H94" s="62"/>
      <c r="I94" s="62"/>
      <c r="J94" s="3">
        <f>J93*C11/C8</f>
        <v>679.15384615384608</v>
      </c>
      <c r="K94" s="3" t="s">
        <v>11</v>
      </c>
      <c r="M94" s="62"/>
      <c r="N94" s="41">
        <v>35</v>
      </c>
      <c r="O94" s="24">
        <f t="shared" ref="O94:W94" si="71">$V$37*(O48*SIN($V$38)+COS($V$38))</f>
        <v>697.40188229843204</v>
      </c>
      <c r="P94" s="24">
        <f t="shared" si="71"/>
        <v>691.28730520567456</v>
      </c>
      <c r="Q94" s="24">
        <f t="shared" si="71"/>
        <v>681.09634338441197</v>
      </c>
      <c r="R94" s="24">
        <f t="shared" si="71"/>
        <v>666.8289968346445</v>
      </c>
      <c r="S94" s="24">
        <f t="shared" si="71"/>
        <v>648.48526555637193</v>
      </c>
      <c r="T94" s="24">
        <f t="shared" si="71"/>
        <v>626.06514954959437</v>
      </c>
      <c r="U94" s="24">
        <f t="shared" si="71"/>
        <v>599.56864881431181</v>
      </c>
      <c r="V94" s="24">
        <f t="shared" si="71"/>
        <v>568.99576335052427</v>
      </c>
      <c r="W94" s="24">
        <f t="shared" si="71"/>
        <v>534.34649315823151</v>
      </c>
    </row>
    <row r="95" spans="5:23">
      <c r="F95" s="62" t="s">
        <v>262</v>
      </c>
      <c r="G95" s="62"/>
      <c r="H95" s="62"/>
      <c r="I95" s="62"/>
      <c r="J95" s="3">
        <f>J92+J94</f>
        <v>2248.7538461538461</v>
      </c>
      <c r="K95" s="3" t="s">
        <v>11</v>
      </c>
      <c r="M95" s="62"/>
      <c r="N95" s="41">
        <v>40</v>
      </c>
      <c r="O95" s="24">
        <f t="shared" ref="O95:W95" si="72">$V$37*(O49*SIN($V$38)+COS($V$38))</f>
        <v>697.65665634396362</v>
      </c>
      <c r="P95" s="24">
        <f t="shared" si="72"/>
        <v>692.30640138780075</v>
      </c>
      <c r="Q95" s="24">
        <f t="shared" si="72"/>
        <v>683.38930979419604</v>
      </c>
      <c r="R95" s="24">
        <f t="shared" si="72"/>
        <v>670.90538156314949</v>
      </c>
      <c r="S95" s="24">
        <f t="shared" si="72"/>
        <v>654.85461669466099</v>
      </c>
      <c r="T95" s="24">
        <f t="shared" si="72"/>
        <v>635.23701518873054</v>
      </c>
      <c r="U95" s="24">
        <f t="shared" si="72"/>
        <v>612.05257704535836</v>
      </c>
      <c r="V95" s="24">
        <f t="shared" si="72"/>
        <v>585.30130226454423</v>
      </c>
      <c r="W95" s="24">
        <f t="shared" si="72"/>
        <v>554.98319084628827</v>
      </c>
    </row>
    <row r="96" spans="5:23">
      <c r="F96" s="62" t="s">
        <v>263</v>
      </c>
      <c r="G96" s="62"/>
      <c r="H96" s="62"/>
      <c r="I96" s="62"/>
      <c r="J96" s="3">
        <f>J91-J94</f>
        <v>1675.2461538461539</v>
      </c>
      <c r="K96" s="3" t="s">
        <v>11</v>
      </c>
      <c r="M96" s="62"/>
      <c r="N96" s="41">
        <v>45</v>
      </c>
      <c r="O96" s="24">
        <f t="shared" ref="O96:W96" si="73">$V$37*(O50*SIN($V$38)+COS($V$38))</f>
        <v>697.85481393493262</v>
      </c>
      <c r="P96" s="24">
        <f t="shared" si="73"/>
        <v>693.09903175167676</v>
      </c>
      <c r="Q96" s="24">
        <f t="shared" si="73"/>
        <v>685.17272811291707</v>
      </c>
      <c r="R96" s="24">
        <f t="shared" si="73"/>
        <v>674.07590301865332</v>
      </c>
      <c r="S96" s="24">
        <f t="shared" si="73"/>
        <v>659.80855646888585</v>
      </c>
      <c r="T96" s="24">
        <f t="shared" si="73"/>
        <v>642.37068846361433</v>
      </c>
      <c r="U96" s="24">
        <f t="shared" si="73"/>
        <v>621.76229900283909</v>
      </c>
      <c r="V96" s="24">
        <f t="shared" si="73"/>
        <v>597.9833880865599</v>
      </c>
      <c r="W96" s="24">
        <f t="shared" si="73"/>
        <v>571.03395571477677</v>
      </c>
    </row>
    <row r="97" spans="3:23">
      <c r="F97" s="62" t="s">
        <v>264</v>
      </c>
      <c r="G97" s="62"/>
      <c r="H97" s="62"/>
      <c r="I97" s="62"/>
      <c r="J97" s="3">
        <f>J95*J82</f>
        <v>3373.1307692307691</v>
      </c>
      <c r="K97" s="3" t="s">
        <v>11</v>
      </c>
      <c r="M97" s="62"/>
      <c r="N97" s="41">
        <v>50</v>
      </c>
      <c r="O97" s="24">
        <f t="shared" ref="O97:W97" si="74">$V$37*(O51*SIN($V$38)+COS($V$38))</f>
        <v>698.01334000770782</v>
      </c>
      <c r="P97" s="24">
        <f t="shared" si="74"/>
        <v>693.73313604277746</v>
      </c>
      <c r="Q97" s="24">
        <f t="shared" si="74"/>
        <v>686.59946276789367</v>
      </c>
      <c r="R97" s="24">
        <f t="shared" si="74"/>
        <v>676.61232018305645</v>
      </c>
      <c r="S97" s="24">
        <f t="shared" si="74"/>
        <v>663.7717082882657</v>
      </c>
      <c r="T97" s="24">
        <f t="shared" si="74"/>
        <v>648.07762708352141</v>
      </c>
      <c r="U97" s="24">
        <f t="shared" si="74"/>
        <v>629.53007656882357</v>
      </c>
      <c r="V97" s="24">
        <f t="shared" si="74"/>
        <v>608.12905674417232</v>
      </c>
      <c r="W97" s="24">
        <f t="shared" si="74"/>
        <v>583.87456760956741</v>
      </c>
    </row>
    <row r="98" spans="3:23">
      <c r="F98" s="62" t="s">
        <v>265</v>
      </c>
      <c r="G98" s="62"/>
      <c r="H98" s="62"/>
      <c r="I98" s="62"/>
      <c r="J98" s="3">
        <f>J96*J82</f>
        <v>2512.8692307692309</v>
      </c>
      <c r="K98" s="3" t="s">
        <v>11</v>
      </c>
      <c r="M98" s="62"/>
      <c r="N98" s="41">
        <v>55</v>
      </c>
      <c r="O98" s="24">
        <f t="shared" ref="O98:W98" si="75">$V$37*(O52*SIN($V$38)+COS($V$38))</f>
        <v>698.14304315816025</v>
      </c>
      <c r="P98" s="24">
        <f t="shared" si="75"/>
        <v>694.25194864458729</v>
      </c>
      <c r="Q98" s="24">
        <f t="shared" si="75"/>
        <v>687.76679112196564</v>
      </c>
      <c r="R98" s="24">
        <f t="shared" si="75"/>
        <v>678.68757059029531</v>
      </c>
      <c r="S98" s="24">
        <f t="shared" si="75"/>
        <v>667.01428704957652</v>
      </c>
      <c r="T98" s="24">
        <f t="shared" si="75"/>
        <v>652.74694049980894</v>
      </c>
      <c r="U98" s="24">
        <f t="shared" si="75"/>
        <v>635.88553094099279</v>
      </c>
      <c r="V98" s="24">
        <f t="shared" si="75"/>
        <v>616.43005837312796</v>
      </c>
      <c r="W98" s="24">
        <f t="shared" si="75"/>
        <v>594.38052279621445</v>
      </c>
    </row>
    <row r="99" spans="3:23">
      <c r="F99" s="62" t="s">
        <v>266</v>
      </c>
      <c r="G99" s="62"/>
      <c r="H99" s="62"/>
      <c r="I99" s="62"/>
      <c r="J99" s="3">
        <f>J97*J84</f>
        <v>685420.17230769224</v>
      </c>
      <c r="K99" s="3" t="s">
        <v>268</v>
      </c>
      <c r="M99" s="62"/>
      <c r="N99" s="41">
        <v>60</v>
      </c>
      <c r="O99" s="24">
        <f t="shared" ref="O99:W99" si="76">$V$37*(O53*SIN($V$38)+COS($V$38))</f>
        <v>698.25112911687052</v>
      </c>
      <c r="P99" s="24">
        <f t="shared" si="76"/>
        <v>694.68429247942868</v>
      </c>
      <c r="Q99" s="24">
        <f t="shared" si="76"/>
        <v>688.73956475035891</v>
      </c>
      <c r="R99" s="24">
        <f t="shared" si="76"/>
        <v>680.41694592966121</v>
      </c>
      <c r="S99" s="24">
        <f t="shared" si="76"/>
        <v>669.71643601733547</v>
      </c>
      <c r="T99" s="24">
        <f t="shared" si="76"/>
        <v>656.63803501338191</v>
      </c>
      <c r="U99" s="24">
        <f t="shared" si="76"/>
        <v>641.18174291780042</v>
      </c>
      <c r="V99" s="24">
        <f t="shared" si="76"/>
        <v>623.347559730591</v>
      </c>
      <c r="W99" s="24">
        <f t="shared" si="76"/>
        <v>603.13548545175365</v>
      </c>
    </row>
    <row r="100" spans="3:23">
      <c r="F100" s="62" t="s">
        <v>267</v>
      </c>
      <c r="G100" s="62"/>
      <c r="H100" s="62"/>
      <c r="I100" s="62"/>
      <c r="J100" s="3">
        <f>J98*J84</f>
        <v>510615.02769230766</v>
      </c>
      <c r="K100" s="3" t="s">
        <v>268</v>
      </c>
      <c r="M100" s="62"/>
      <c r="N100" s="41">
        <v>65</v>
      </c>
      <c r="O100" s="24">
        <f t="shared" ref="O100:W100" si="77">$V$37*(O54*SIN($V$38)+COS($V$38))</f>
        <v>698.3425864665486</v>
      </c>
      <c r="P100" s="24">
        <f t="shared" si="77"/>
        <v>695.05012187814066</v>
      </c>
      <c r="Q100" s="24">
        <f t="shared" si="77"/>
        <v>689.56268089746084</v>
      </c>
      <c r="R100" s="24">
        <f t="shared" si="77"/>
        <v>681.88026352450913</v>
      </c>
      <c r="S100" s="24">
        <f t="shared" si="77"/>
        <v>672.00286975928543</v>
      </c>
      <c r="T100" s="24">
        <f t="shared" si="77"/>
        <v>659.93049960178985</v>
      </c>
      <c r="U100" s="24">
        <f t="shared" si="77"/>
        <v>645.66315305202227</v>
      </c>
      <c r="V100" s="24">
        <f t="shared" si="77"/>
        <v>629.2008301099828</v>
      </c>
      <c r="W100" s="24">
        <f t="shared" si="77"/>
        <v>610.54353077567146</v>
      </c>
    </row>
    <row r="101" spans="3:23">
      <c r="F101" s="62" t="s">
        <v>269</v>
      </c>
      <c r="G101" s="62"/>
      <c r="H101" s="62"/>
      <c r="I101" s="62"/>
      <c r="J101" s="3">
        <f>J99/(2*J85*J83)</f>
        <v>6854.2017230769225</v>
      </c>
      <c r="K101" s="3" t="s">
        <v>11</v>
      </c>
      <c r="M101" s="62"/>
      <c r="N101" s="41">
        <v>70</v>
      </c>
      <c r="O101" s="24">
        <f t="shared" ref="O101:W101" si="78">$V$37*(O55*SIN($V$38)+COS($V$38))</f>
        <v>698.42097848055823</v>
      </c>
      <c r="P101" s="24">
        <f t="shared" si="78"/>
        <v>695.36368993417955</v>
      </c>
      <c r="Q101" s="24">
        <f t="shared" si="78"/>
        <v>690.26820902354825</v>
      </c>
      <c r="R101" s="24">
        <f t="shared" si="78"/>
        <v>683.13453574866446</v>
      </c>
      <c r="S101" s="24">
        <f t="shared" si="78"/>
        <v>673.96267010952829</v>
      </c>
      <c r="T101" s="24">
        <f t="shared" si="78"/>
        <v>662.75261210613951</v>
      </c>
      <c r="U101" s="24">
        <f t="shared" si="78"/>
        <v>649.50436173849812</v>
      </c>
      <c r="V101" s="24">
        <f t="shared" si="78"/>
        <v>634.21791900660435</v>
      </c>
      <c r="W101" s="24">
        <f t="shared" si="78"/>
        <v>616.89328391045808</v>
      </c>
    </row>
    <row r="102" spans="3:23">
      <c r="F102" s="62" t="s">
        <v>270</v>
      </c>
      <c r="G102" s="62"/>
      <c r="H102" s="62"/>
      <c r="I102" s="62"/>
      <c r="J102" s="3">
        <f>J100/(2*J85*J83)</f>
        <v>5106.1502769230765</v>
      </c>
      <c r="K102" s="3" t="s">
        <v>11</v>
      </c>
      <c r="M102" s="62"/>
      <c r="N102" s="41">
        <v>75</v>
      </c>
      <c r="O102" s="24">
        <f t="shared" ref="O102:W102" si="79">$V$37*(O56*SIN($V$38)+COS($V$38))</f>
        <v>698.48891822603343</v>
      </c>
      <c r="P102" s="24">
        <f t="shared" si="79"/>
        <v>695.63544891607989</v>
      </c>
      <c r="Q102" s="24">
        <f t="shared" si="79"/>
        <v>690.87966673282403</v>
      </c>
      <c r="R102" s="24">
        <f t="shared" si="79"/>
        <v>684.22157167626585</v>
      </c>
      <c r="S102" s="24">
        <f t="shared" si="79"/>
        <v>675.66116374640535</v>
      </c>
      <c r="T102" s="24">
        <f t="shared" si="79"/>
        <v>665.19844294324241</v>
      </c>
      <c r="U102" s="24">
        <f t="shared" si="79"/>
        <v>652.83340926677727</v>
      </c>
      <c r="V102" s="24">
        <f t="shared" si="79"/>
        <v>638.56606271700969</v>
      </c>
      <c r="W102" s="24">
        <f t="shared" si="79"/>
        <v>622.3964032939399</v>
      </c>
    </row>
    <row r="103" spans="3:23">
      <c r="F103" s="62" t="s">
        <v>271</v>
      </c>
      <c r="G103" s="62"/>
      <c r="H103" s="62"/>
      <c r="I103" s="62"/>
      <c r="J103" s="3">
        <f>J101/J86</f>
        <v>4.3189676893994466</v>
      </c>
      <c r="K103" s="3" t="s">
        <v>273</v>
      </c>
      <c r="M103" s="62"/>
      <c r="N103" s="41">
        <v>80</v>
      </c>
      <c r="O103" s="24">
        <f t="shared" ref="O103:W103" si="80">$V$37*(O57*SIN($V$38)+COS($V$38))</f>
        <v>698.54836550332413</v>
      </c>
      <c r="P103" s="24">
        <f t="shared" si="80"/>
        <v>695.8732380252427</v>
      </c>
      <c r="Q103" s="24">
        <f t="shared" si="80"/>
        <v>691.41469222844034</v>
      </c>
      <c r="R103" s="24">
        <f t="shared" si="80"/>
        <v>685.17272811291707</v>
      </c>
      <c r="S103" s="24">
        <f t="shared" si="80"/>
        <v>677.14734567867276</v>
      </c>
      <c r="T103" s="24">
        <f t="shared" si="80"/>
        <v>667.33854492570754</v>
      </c>
      <c r="U103" s="24">
        <f t="shared" si="80"/>
        <v>655.74632585402139</v>
      </c>
      <c r="V103" s="24">
        <f t="shared" si="80"/>
        <v>642.37068846361433</v>
      </c>
      <c r="W103" s="24">
        <f t="shared" si="80"/>
        <v>627.21163275448635</v>
      </c>
    </row>
    <row r="104" spans="3:23">
      <c r="F104" s="62" t="s">
        <v>272</v>
      </c>
      <c r="G104" s="62"/>
      <c r="H104" s="62"/>
      <c r="I104" s="62"/>
      <c r="J104" s="3">
        <f>J102/J87</f>
        <v>5.0109423718577784</v>
      </c>
      <c r="K104" s="3" t="s">
        <v>273</v>
      </c>
      <c r="M104" s="62"/>
      <c r="N104" s="41">
        <v>85</v>
      </c>
      <c r="O104" s="24">
        <f t="shared" ref="O104:W104" si="81">$V$37*(O58*SIN($V$38)+COS($V$38))</f>
        <v>698.60081898328644</v>
      </c>
      <c r="P104" s="24">
        <f t="shared" si="81"/>
        <v>696.08305194509217</v>
      </c>
      <c r="Q104" s="24">
        <f t="shared" si="81"/>
        <v>691.8867735481017</v>
      </c>
      <c r="R104" s="24">
        <f t="shared" si="81"/>
        <v>686.01198379231505</v>
      </c>
      <c r="S104" s="24">
        <f t="shared" si="81"/>
        <v>678.45868267773233</v>
      </c>
      <c r="T104" s="24">
        <f t="shared" si="81"/>
        <v>669.2268702043533</v>
      </c>
      <c r="U104" s="24">
        <f t="shared" si="81"/>
        <v>658.3165463721781</v>
      </c>
      <c r="V104" s="24">
        <f t="shared" si="81"/>
        <v>645.7277111812067</v>
      </c>
      <c r="W104" s="24">
        <f t="shared" si="81"/>
        <v>631.46036463143923</v>
      </c>
    </row>
    <row r="105" spans="3:23">
      <c r="F105" s="62" t="s">
        <v>274</v>
      </c>
      <c r="G105" s="62"/>
      <c r="H105" s="62"/>
      <c r="I105" s="62"/>
      <c r="J105" s="3">
        <f>J103*285</f>
        <v>1230.9057914788423</v>
      </c>
      <c r="K105" s="3" t="s">
        <v>11</v>
      </c>
      <c r="M105" s="62"/>
      <c r="N105" s="41">
        <v>90</v>
      </c>
      <c r="O105" s="24">
        <f t="shared" ref="O105:W105" si="82">$V$37*(O59*SIN($V$38)+COS($V$38))</f>
        <v>698.64744429880852</v>
      </c>
      <c r="P105" s="24">
        <f t="shared" si="82"/>
        <v>696.26955320718071</v>
      </c>
      <c r="Q105" s="24">
        <f t="shared" si="82"/>
        <v>692.30640138780075</v>
      </c>
      <c r="R105" s="24">
        <f t="shared" si="82"/>
        <v>686.75798884066899</v>
      </c>
      <c r="S105" s="24">
        <f t="shared" si="82"/>
        <v>679.6243155657852</v>
      </c>
      <c r="T105" s="24">
        <f t="shared" si="82"/>
        <v>670.90538156314949</v>
      </c>
      <c r="U105" s="24">
        <f t="shared" si="82"/>
        <v>660.60118683276175</v>
      </c>
      <c r="V105" s="24">
        <f t="shared" si="82"/>
        <v>648.71173137462222</v>
      </c>
      <c r="W105" s="24">
        <f t="shared" si="82"/>
        <v>635.23701518873054</v>
      </c>
    </row>
    <row r="106" spans="3:23">
      <c r="F106" s="62" t="s">
        <v>275</v>
      </c>
      <c r="G106" s="62"/>
      <c r="H106" s="62"/>
      <c r="I106" s="62"/>
      <c r="J106" s="3">
        <f>J104*198</f>
        <v>992.16658962784015</v>
      </c>
      <c r="K106" s="3" t="s">
        <v>11</v>
      </c>
      <c r="M106" s="62"/>
      <c r="N106" s="41">
        <v>95</v>
      </c>
      <c r="O106" s="24">
        <f t="shared" ref="O106:W106" si="83">$V$37*(O60*SIN($V$38)+COS($V$38))</f>
        <v>698.689161686381</v>
      </c>
      <c r="P106" s="24">
        <f t="shared" si="83"/>
        <v>696.43642275747038</v>
      </c>
      <c r="Q106" s="24">
        <f t="shared" si="83"/>
        <v>692.68185787595257</v>
      </c>
      <c r="R106" s="24">
        <f t="shared" si="83"/>
        <v>687.42546704182769</v>
      </c>
      <c r="S106" s="24">
        <f t="shared" si="83"/>
        <v>680.66725025509561</v>
      </c>
      <c r="T106" s="24">
        <f t="shared" si="83"/>
        <v>672.40720751575657</v>
      </c>
      <c r="U106" s="24">
        <f t="shared" si="83"/>
        <v>662.64533882381033</v>
      </c>
      <c r="V106" s="24">
        <f t="shared" si="83"/>
        <v>651.38164417925702</v>
      </c>
      <c r="W106" s="24">
        <f t="shared" si="83"/>
        <v>638.61612358209663</v>
      </c>
    </row>
    <row r="107" spans="3:23">
      <c r="F107" s="62" t="s">
        <v>276</v>
      </c>
      <c r="G107" s="62"/>
      <c r="H107" s="62"/>
      <c r="I107" s="62"/>
      <c r="J107" s="3">
        <f>J105+J106</f>
        <v>2223.0723811066823</v>
      </c>
      <c r="K107" s="3" t="s">
        <v>11</v>
      </c>
      <c r="M107" s="62"/>
      <c r="N107" s="41">
        <v>100</v>
      </c>
      <c r="O107" s="24">
        <f t="shared" ref="O107:W107" si="84">$V$37*(O61*SIN($V$38)+COS($V$38))</f>
        <v>698.72670733519612</v>
      </c>
      <c r="P107" s="24">
        <f t="shared" si="84"/>
        <v>696.586605352731</v>
      </c>
      <c r="Q107" s="24">
        <f t="shared" si="84"/>
        <v>693.01976871528916</v>
      </c>
      <c r="R107" s="24">
        <f t="shared" si="84"/>
        <v>688.0261974228705</v>
      </c>
      <c r="S107" s="24">
        <f t="shared" si="84"/>
        <v>681.60589147547512</v>
      </c>
      <c r="T107" s="24">
        <f t="shared" si="84"/>
        <v>673.75885087310303</v>
      </c>
      <c r="U107" s="24">
        <f t="shared" si="84"/>
        <v>664.485075615754</v>
      </c>
      <c r="V107" s="24">
        <f t="shared" si="84"/>
        <v>653.78456570342848</v>
      </c>
      <c r="W107" s="24">
        <f t="shared" si="84"/>
        <v>641.65732113612603</v>
      </c>
    </row>
    <row r="108" spans="3:23" ht="15">
      <c r="F108" s="63" t="s">
        <v>277</v>
      </c>
      <c r="G108" s="63"/>
      <c r="H108" s="63"/>
      <c r="I108" s="63"/>
      <c r="J108" s="59">
        <v>375</v>
      </c>
      <c r="K108" s="59" t="s">
        <v>11</v>
      </c>
      <c r="L108" s="14"/>
      <c r="M108" s="63" t="s">
        <v>129</v>
      </c>
      <c r="N108" s="63"/>
      <c r="O108" s="63"/>
      <c r="P108" s="63"/>
      <c r="Q108" s="63"/>
      <c r="R108" s="63"/>
      <c r="S108" s="63"/>
      <c r="T108" s="63"/>
      <c r="U108" s="63"/>
      <c r="V108" s="40">
        <v>0.8</v>
      </c>
      <c r="W108" s="40" t="s">
        <v>21</v>
      </c>
    </row>
    <row r="109" spans="3:23" ht="15">
      <c r="C109" s="64" t="s">
        <v>279</v>
      </c>
      <c r="D109" s="64"/>
      <c r="E109" s="64"/>
      <c r="F109" s="62" t="s">
        <v>278</v>
      </c>
      <c r="G109" s="62"/>
      <c r="H109" s="62"/>
      <c r="I109" s="62"/>
      <c r="J109" s="3">
        <f>J107/J108</f>
        <v>5.928193016284486</v>
      </c>
      <c r="K109" s="3" t="s">
        <v>12</v>
      </c>
      <c r="L109" s="14"/>
      <c r="M109" s="63" t="s">
        <v>128</v>
      </c>
      <c r="N109" s="63"/>
      <c r="O109" s="63"/>
      <c r="P109" s="63"/>
      <c r="Q109" s="63"/>
      <c r="R109" s="63"/>
      <c r="S109" s="63"/>
      <c r="T109" s="63"/>
      <c r="U109" s="63"/>
      <c r="V109" s="40">
        <v>700</v>
      </c>
      <c r="W109" s="40" t="s">
        <v>2</v>
      </c>
    </row>
    <row r="110" spans="3:23">
      <c r="M110" s="62" t="s">
        <v>118</v>
      </c>
      <c r="N110" s="62"/>
      <c r="O110" s="62"/>
      <c r="P110" s="62"/>
      <c r="Q110" s="62"/>
      <c r="R110" s="62"/>
      <c r="S110" s="62"/>
      <c r="T110" s="62"/>
      <c r="U110" s="62"/>
      <c r="V110" s="24">
        <f>(V109*V36)/C8</f>
        <v>280</v>
      </c>
      <c r="W110" s="24" t="s">
        <v>2</v>
      </c>
    </row>
    <row r="111" spans="3:23">
      <c r="M111" s="62" t="s">
        <v>119</v>
      </c>
      <c r="N111" s="62"/>
      <c r="O111" s="62"/>
      <c r="P111" s="62"/>
      <c r="Q111" s="62"/>
      <c r="R111" s="62"/>
      <c r="S111" s="62"/>
      <c r="T111" s="62"/>
      <c r="U111" s="62"/>
      <c r="V111" s="24">
        <f>(V109*V35)/C8</f>
        <v>420</v>
      </c>
      <c r="W111" s="24" t="s">
        <v>2</v>
      </c>
    </row>
    <row r="112" spans="3:23">
      <c r="M112" s="62" t="s">
        <v>167</v>
      </c>
      <c r="N112" s="62"/>
      <c r="O112" s="62"/>
      <c r="P112" s="62"/>
      <c r="Q112" s="62"/>
      <c r="R112" s="62"/>
      <c r="S112" s="62"/>
      <c r="T112" s="62"/>
      <c r="U112" s="62"/>
      <c r="V112" s="24">
        <f>V33*V36/C8</f>
        <v>22000</v>
      </c>
      <c r="W112" s="24" t="s">
        <v>120</v>
      </c>
    </row>
    <row r="113" spans="6:23">
      <c r="M113" s="62" t="s">
        <v>168</v>
      </c>
      <c r="N113" s="62"/>
      <c r="O113" s="62"/>
      <c r="P113" s="62"/>
      <c r="Q113" s="62"/>
      <c r="R113" s="62"/>
      <c r="S113" s="62"/>
      <c r="T113" s="62"/>
      <c r="U113" s="62"/>
      <c r="V113" s="24">
        <f>V33-V112</f>
        <v>33000</v>
      </c>
      <c r="W113" s="24" t="s">
        <v>120</v>
      </c>
    </row>
    <row r="114" spans="6:23">
      <c r="M114" s="62" t="s">
        <v>122</v>
      </c>
      <c r="N114" s="62"/>
      <c r="O114" s="62"/>
      <c r="P114" s="62"/>
      <c r="Q114" s="62"/>
      <c r="R114" s="62"/>
      <c r="S114" s="62"/>
      <c r="T114" s="62"/>
      <c r="U114" s="62"/>
      <c r="V114" s="24">
        <f>(-V37*9.81*V34)/V33</f>
        <v>-4.7819290909090914E-2</v>
      </c>
      <c r="W114" s="24" t="s">
        <v>123</v>
      </c>
    </row>
    <row r="115" spans="6:23">
      <c r="M115" s="62" t="s">
        <v>126</v>
      </c>
      <c r="N115" s="62"/>
      <c r="O115" s="62"/>
      <c r="P115" s="62"/>
      <c r="Q115" s="62"/>
      <c r="R115" s="62"/>
      <c r="S115" s="62"/>
      <c r="T115" s="62"/>
      <c r="U115" s="62"/>
      <c r="V115" s="24">
        <f>(V108*V37*V34*V113)/(V33*C6)+(V36/C8)*V31</f>
        <v>85.819600000000023</v>
      </c>
      <c r="W115" s="24" t="s">
        <v>2</v>
      </c>
    </row>
    <row r="116" spans="6:23">
      <c r="M116" s="62" t="s">
        <v>127</v>
      </c>
      <c r="N116" s="62"/>
      <c r="O116" s="62"/>
      <c r="P116" s="62"/>
      <c r="Q116" s="62"/>
      <c r="R116" s="62"/>
      <c r="S116" s="62"/>
      <c r="T116" s="62"/>
      <c r="U116" s="62"/>
      <c r="V116" s="24">
        <f>(V108*V37*V34*V113)/(C7*V33)+(V35/C8)*V32</f>
        <v>85.902400000000014</v>
      </c>
      <c r="W116" s="24" t="s">
        <v>2</v>
      </c>
    </row>
    <row r="117" spans="6:23">
      <c r="M117" s="62" t="s">
        <v>136</v>
      </c>
      <c r="N117" s="62"/>
      <c r="O117" s="62"/>
      <c r="P117" s="62"/>
      <c r="Q117" s="62"/>
      <c r="R117" s="62"/>
      <c r="S117" s="62"/>
      <c r="T117" s="62"/>
      <c r="U117" s="24">
        <f>V37*V36/C8</f>
        <v>280</v>
      </c>
      <c r="V117" s="24">
        <f>U117*9.81</f>
        <v>2746.8</v>
      </c>
      <c r="W117" s="24" t="s">
        <v>130</v>
      </c>
    </row>
    <row r="118" spans="6:23">
      <c r="M118" s="62" t="s">
        <v>137</v>
      </c>
      <c r="N118" s="62"/>
      <c r="O118" s="62"/>
      <c r="P118" s="62"/>
      <c r="Q118" s="62"/>
      <c r="R118" s="62"/>
      <c r="S118" s="62"/>
      <c r="T118" s="62"/>
      <c r="U118" s="24">
        <f>V37-U117</f>
        <v>420</v>
      </c>
      <c r="V118" s="24">
        <f>U118*9.81</f>
        <v>4120.2</v>
      </c>
      <c r="W118" s="24" t="s">
        <v>130</v>
      </c>
    </row>
    <row r="119" spans="6:23">
      <c r="M119" s="112" t="s">
        <v>138</v>
      </c>
      <c r="N119" s="112"/>
      <c r="O119" s="112"/>
      <c r="P119" s="62" t="s">
        <v>131</v>
      </c>
      <c r="Q119" s="62"/>
      <c r="R119" s="62"/>
      <c r="S119" s="62"/>
      <c r="T119" s="62"/>
      <c r="U119" s="24">
        <f>U117/2+V115</f>
        <v>225.81960000000004</v>
      </c>
      <c r="V119" s="24">
        <f>U119*9.81</f>
        <v>2215.2902760000006</v>
      </c>
      <c r="W119" s="24" t="s">
        <v>130</v>
      </c>
    </row>
    <row r="120" spans="6:23">
      <c r="F120"/>
      <c r="M120" s="112"/>
      <c r="N120" s="112"/>
      <c r="O120" s="112"/>
      <c r="P120" s="62" t="s">
        <v>132</v>
      </c>
      <c r="Q120" s="62"/>
      <c r="R120" s="62"/>
      <c r="S120" s="62"/>
      <c r="T120" s="62"/>
      <c r="U120" s="24">
        <f>U117/2-V115</f>
        <v>54.180399999999977</v>
      </c>
      <c r="V120" s="24">
        <f t="shared" ref="V120:V122" si="85">U120*9.81</f>
        <v>531.50972399999978</v>
      </c>
      <c r="W120" s="24" t="s">
        <v>130</v>
      </c>
    </row>
    <row r="121" spans="6:23">
      <c r="M121" s="112"/>
      <c r="N121" s="112"/>
      <c r="O121" s="112"/>
      <c r="P121" s="62" t="s">
        <v>133</v>
      </c>
      <c r="Q121" s="62"/>
      <c r="R121" s="62"/>
      <c r="S121" s="62"/>
      <c r="T121" s="62"/>
      <c r="U121" s="24">
        <f>U118/2+V116</f>
        <v>295.9024</v>
      </c>
      <c r="V121" s="24">
        <f t="shared" si="85"/>
        <v>2902.8025440000001</v>
      </c>
      <c r="W121" s="24" t="s">
        <v>130</v>
      </c>
    </row>
    <row r="122" spans="6:23">
      <c r="M122" s="112"/>
      <c r="N122" s="112"/>
      <c r="O122" s="112"/>
      <c r="P122" s="62" t="s">
        <v>134</v>
      </c>
      <c r="Q122" s="62"/>
      <c r="R122" s="62"/>
      <c r="S122" s="62"/>
      <c r="T122" s="62"/>
      <c r="U122" s="24">
        <f>U118/2-V116</f>
        <v>124.09759999999999</v>
      </c>
      <c r="V122" s="24">
        <f t="shared" si="85"/>
        <v>1217.3974559999999</v>
      </c>
      <c r="W122" s="24" t="s">
        <v>130</v>
      </c>
    </row>
    <row r="123" spans="6:23">
      <c r="M123" s="111" t="s">
        <v>157</v>
      </c>
      <c r="N123" s="111"/>
      <c r="O123" s="111"/>
      <c r="P123" s="62" t="s">
        <v>131</v>
      </c>
      <c r="Q123" s="62"/>
      <c r="R123" s="62"/>
      <c r="S123" s="62"/>
      <c r="T123" s="62"/>
      <c r="U123" s="24">
        <f>V115</f>
        <v>85.819600000000023</v>
      </c>
      <c r="V123" s="24">
        <f>U123*9.81</f>
        <v>841.89027600000031</v>
      </c>
      <c r="W123" s="24" t="s">
        <v>130</v>
      </c>
    </row>
    <row r="124" spans="6:23">
      <c r="M124" s="111"/>
      <c r="N124" s="111"/>
      <c r="O124" s="111"/>
      <c r="P124" s="62" t="s">
        <v>132</v>
      </c>
      <c r="Q124" s="62"/>
      <c r="R124" s="62"/>
      <c r="S124" s="62"/>
      <c r="T124" s="62"/>
      <c r="U124" s="24">
        <f>-V115</f>
        <v>-85.819600000000023</v>
      </c>
      <c r="V124" s="24">
        <f t="shared" ref="V124:V126" si="86">U124*9.81</f>
        <v>-841.89027600000031</v>
      </c>
      <c r="W124" s="24" t="s">
        <v>130</v>
      </c>
    </row>
    <row r="125" spans="6:23">
      <c r="M125" s="111"/>
      <c r="N125" s="111"/>
      <c r="O125" s="111"/>
      <c r="P125" s="62" t="s">
        <v>133</v>
      </c>
      <c r="Q125" s="62"/>
      <c r="R125" s="62"/>
      <c r="S125" s="62"/>
      <c r="T125" s="62"/>
      <c r="U125" s="24">
        <f>V116</f>
        <v>85.902400000000014</v>
      </c>
      <c r="V125" s="24">
        <f t="shared" si="86"/>
        <v>842.70254400000022</v>
      </c>
      <c r="W125" s="24" t="s">
        <v>130</v>
      </c>
    </row>
    <row r="126" spans="6:23">
      <c r="M126" s="111"/>
      <c r="N126" s="111"/>
      <c r="O126" s="111"/>
      <c r="P126" s="62" t="s">
        <v>134</v>
      </c>
      <c r="Q126" s="62"/>
      <c r="R126" s="62"/>
      <c r="S126" s="62"/>
      <c r="T126" s="62"/>
      <c r="U126" s="24">
        <f>-V116</f>
        <v>-85.902400000000014</v>
      </c>
      <c r="V126" s="24">
        <f t="shared" si="86"/>
        <v>-842.70254400000022</v>
      </c>
      <c r="W126" s="24" t="s">
        <v>130</v>
      </c>
    </row>
    <row r="127" spans="6:23" ht="15">
      <c r="M127" s="82" t="s">
        <v>139</v>
      </c>
      <c r="N127" s="82"/>
      <c r="O127" s="82"/>
      <c r="P127" s="82"/>
      <c r="Q127" s="82"/>
      <c r="R127" s="82"/>
      <c r="S127" s="82"/>
      <c r="T127" s="82"/>
      <c r="U127" s="82"/>
      <c r="V127" s="82"/>
      <c r="W127" s="82"/>
    </row>
    <row r="128" spans="6:23">
      <c r="M128" s="63" t="s">
        <v>140</v>
      </c>
      <c r="N128" s="63"/>
      <c r="O128" s="63"/>
      <c r="P128" s="63"/>
      <c r="Q128" s="63"/>
      <c r="R128" s="63"/>
      <c r="S128" s="63"/>
      <c r="T128" s="63"/>
      <c r="U128" s="63"/>
      <c r="V128" s="40">
        <v>0.08</v>
      </c>
      <c r="W128" s="40" t="s">
        <v>3</v>
      </c>
    </row>
    <row r="129" spans="6:31">
      <c r="M129" s="63" t="s">
        <v>141</v>
      </c>
      <c r="N129" s="63"/>
      <c r="O129" s="63"/>
      <c r="P129" s="63"/>
      <c r="Q129" s="63"/>
      <c r="R129" s="63"/>
      <c r="S129" s="63"/>
      <c r="T129" s="63"/>
      <c r="U129" s="63"/>
      <c r="V129" s="40">
        <v>0.08</v>
      </c>
      <c r="W129" s="40" t="s">
        <v>3</v>
      </c>
    </row>
    <row r="130" spans="6:31" ht="15">
      <c r="F130" s="127" t="s">
        <v>280</v>
      </c>
      <c r="G130" s="127"/>
      <c r="H130" s="127"/>
      <c r="I130" s="127"/>
      <c r="J130" s="127"/>
      <c r="K130" s="127"/>
      <c r="M130" s="62" t="s">
        <v>221</v>
      </c>
      <c r="N130" s="62"/>
      <c r="O130" s="62"/>
      <c r="P130" s="62"/>
      <c r="Q130" s="62"/>
      <c r="R130" s="62"/>
      <c r="S130" s="62"/>
      <c r="T130" s="62"/>
      <c r="U130" s="62"/>
      <c r="V130" s="24">
        <f>(U123*9.81)/V128</f>
        <v>10523.628450000004</v>
      </c>
      <c r="W130" s="24" t="s">
        <v>142</v>
      </c>
    </row>
    <row r="131" spans="6:31">
      <c r="F131" s="128" t="s">
        <v>255</v>
      </c>
      <c r="G131" s="128"/>
      <c r="H131" s="128"/>
      <c r="I131" s="128"/>
      <c r="J131" s="60">
        <v>2</v>
      </c>
      <c r="K131" s="60" t="s">
        <v>12</v>
      </c>
      <c r="M131" s="62" t="s">
        <v>222</v>
      </c>
      <c r="N131" s="62"/>
      <c r="O131" s="62"/>
      <c r="P131" s="62"/>
      <c r="Q131" s="62"/>
      <c r="R131" s="62"/>
      <c r="S131" s="62"/>
      <c r="T131" s="62"/>
      <c r="U131" s="62"/>
      <c r="V131" s="24">
        <f>(U125*9.81)/V129</f>
        <v>10533.781800000002</v>
      </c>
      <c r="W131" s="24" t="s">
        <v>142</v>
      </c>
    </row>
    <row r="132" spans="6:31">
      <c r="F132" s="62" t="s">
        <v>281</v>
      </c>
      <c r="G132" s="62"/>
      <c r="H132" s="62"/>
      <c r="I132" s="62"/>
      <c r="J132" s="61">
        <f>C2+J131*N3</f>
        <v>550</v>
      </c>
      <c r="K132" s="61" t="s">
        <v>2</v>
      </c>
      <c r="M132" s="62" t="s">
        <v>143</v>
      </c>
      <c r="N132" s="62"/>
      <c r="O132" s="62"/>
      <c r="P132" s="62"/>
      <c r="Q132" s="62"/>
      <c r="R132" s="62"/>
      <c r="S132" s="62"/>
      <c r="T132" s="62"/>
      <c r="U132" s="62"/>
      <c r="V132" s="24">
        <f>(1/2/PI())*SQRT(V130/(U117/2))</f>
        <v>1.3798722060175026</v>
      </c>
      <c r="W132" s="24" t="s">
        <v>145</v>
      </c>
    </row>
    <row r="133" spans="6:31">
      <c r="F133" s="62" t="s">
        <v>282</v>
      </c>
      <c r="G133" s="62"/>
      <c r="H133" s="62"/>
      <c r="I133" s="62"/>
      <c r="J133" s="61">
        <f>J132*9.81</f>
        <v>5395.5</v>
      </c>
      <c r="K133" s="61" t="s">
        <v>11</v>
      </c>
      <c r="M133" s="62" t="s">
        <v>144</v>
      </c>
      <c r="N133" s="62"/>
      <c r="O133" s="62"/>
      <c r="P133" s="62"/>
      <c r="Q133" s="62"/>
      <c r="R133" s="62"/>
      <c r="S133" s="62"/>
      <c r="T133" s="62"/>
      <c r="U133" s="62"/>
      <c r="V133" s="24">
        <f>(1/2/PI())*SQRT(V131/(U118/2))</f>
        <v>1.1272043167385171</v>
      </c>
      <c r="W133" s="24" t="s">
        <v>145</v>
      </c>
    </row>
    <row r="134" spans="6:31">
      <c r="F134" s="63" t="s">
        <v>283</v>
      </c>
      <c r="G134" s="63"/>
      <c r="H134" s="63"/>
      <c r="I134" s="63"/>
      <c r="J134" s="129">
        <v>8</v>
      </c>
      <c r="K134" s="60" t="s">
        <v>284</v>
      </c>
      <c r="M134" s="62" t="s">
        <v>155</v>
      </c>
      <c r="N134" s="62"/>
      <c r="O134" s="62"/>
      <c r="P134" s="62"/>
      <c r="Q134" s="62"/>
      <c r="R134" s="62"/>
      <c r="S134" s="62"/>
      <c r="T134" s="62"/>
      <c r="U134" s="62"/>
      <c r="V134" s="24">
        <f>V132*60</f>
        <v>82.792332361050157</v>
      </c>
      <c r="W134" s="24" t="s">
        <v>146</v>
      </c>
    </row>
    <row r="135" spans="6:31">
      <c r="F135" s="62" t="s">
        <v>283</v>
      </c>
      <c r="G135" s="62"/>
      <c r="H135" s="62"/>
      <c r="I135" s="62"/>
      <c r="J135" s="61">
        <f>J134*PI()/180</f>
        <v>0.13962634015954636</v>
      </c>
      <c r="K135" s="61" t="s">
        <v>46</v>
      </c>
      <c r="M135" s="62" t="s">
        <v>156</v>
      </c>
      <c r="N135" s="62"/>
      <c r="O135" s="62"/>
      <c r="P135" s="62"/>
      <c r="Q135" s="62"/>
      <c r="R135" s="62"/>
      <c r="S135" s="62"/>
      <c r="T135" s="62"/>
      <c r="U135" s="62"/>
      <c r="V135" s="24">
        <f>V133*60</f>
        <v>67.632259004311024</v>
      </c>
      <c r="W135" s="24" t="s">
        <v>146</v>
      </c>
    </row>
    <row r="136" spans="6:31" ht="15">
      <c r="F136" s="67" t="s">
        <v>285</v>
      </c>
      <c r="G136" s="67"/>
      <c r="H136" s="67"/>
      <c r="I136" s="67"/>
      <c r="J136" s="61">
        <f>J133*SIN(J135)</f>
        <v>750.90846623003301</v>
      </c>
      <c r="K136" s="61" t="s">
        <v>11</v>
      </c>
      <c r="M136" s="83" t="s">
        <v>147</v>
      </c>
      <c r="N136" s="62"/>
      <c r="O136" s="62"/>
      <c r="P136" s="62"/>
      <c r="Q136" s="83" t="s">
        <v>148</v>
      </c>
      <c r="R136" s="62"/>
      <c r="S136" s="62"/>
      <c r="T136" s="62"/>
      <c r="U136" s="62"/>
      <c r="V136" s="62"/>
      <c r="W136" s="62"/>
    </row>
    <row r="137" spans="6:31">
      <c r="F137" s="63" t="s">
        <v>286</v>
      </c>
      <c r="G137" s="63"/>
      <c r="H137" s="63"/>
      <c r="I137" s="63"/>
      <c r="J137" s="60">
        <v>2</v>
      </c>
      <c r="K137" s="60" t="s">
        <v>9</v>
      </c>
      <c r="M137" s="62" t="s">
        <v>149</v>
      </c>
      <c r="N137" s="62"/>
      <c r="O137" s="62"/>
      <c r="P137" s="62"/>
      <c r="Q137" s="62" t="s">
        <v>150</v>
      </c>
      <c r="R137" s="62"/>
      <c r="S137" s="62"/>
      <c r="T137" s="62"/>
      <c r="U137" s="62"/>
      <c r="V137" s="62"/>
      <c r="W137" s="62"/>
    </row>
    <row r="138" spans="6:31" ht="15">
      <c r="F138" s="62" t="s">
        <v>287</v>
      </c>
      <c r="G138" s="62"/>
      <c r="H138" s="62"/>
      <c r="I138" s="62"/>
      <c r="J138" s="61">
        <f>J133*J137/100</f>
        <v>107.91</v>
      </c>
      <c r="K138" s="61" t="s">
        <v>11</v>
      </c>
      <c r="M138" s="83" t="s">
        <v>151</v>
      </c>
      <c r="N138" s="62"/>
      <c r="O138" s="62"/>
      <c r="P138" s="62"/>
      <c r="Q138" s="83" t="s">
        <v>152</v>
      </c>
      <c r="R138" s="62"/>
      <c r="S138" s="62"/>
      <c r="T138" s="62"/>
      <c r="U138" s="62"/>
      <c r="V138" s="62"/>
      <c r="W138" s="62"/>
    </row>
    <row r="139" spans="6:31">
      <c r="F139" s="67" t="s">
        <v>288</v>
      </c>
      <c r="G139" s="67"/>
      <c r="H139" s="67"/>
      <c r="I139" s="67"/>
      <c r="J139" s="61">
        <f>J136+J138</f>
        <v>858.81846623003298</v>
      </c>
      <c r="K139" s="61" t="s">
        <v>11</v>
      </c>
      <c r="M139" s="62" t="s">
        <v>149</v>
      </c>
      <c r="N139" s="62"/>
      <c r="O139" s="62"/>
      <c r="P139" s="62"/>
      <c r="Q139" s="62" t="s">
        <v>150</v>
      </c>
      <c r="R139" s="62"/>
      <c r="S139" s="62"/>
      <c r="T139" s="62"/>
      <c r="U139" s="62"/>
      <c r="V139" s="62"/>
      <c r="W139" s="62"/>
      <c r="AB139" s="25"/>
      <c r="AC139" s="25"/>
      <c r="AD139" s="25"/>
      <c r="AE139" s="25"/>
    </row>
    <row r="140" spans="6:31" ht="15">
      <c r="F140" s="63" t="s">
        <v>290</v>
      </c>
      <c r="G140" s="63"/>
      <c r="H140" s="63"/>
      <c r="I140" s="63"/>
      <c r="J140" s="60">
        <v>30</v>
      </c>
      <c r="K140" s="60" t="s">
        <v>31</v>
      </c>
      <c r="M140" s="82" t="s">
        <v>165</v>
      </c>
      <c r="N140" s="82"/>
      <c r="O140" s="82"/>
      <c r="P140" s="82"/>
      <c r="Q140" s="82"/>
      <c r="R140" s="82"/>
      <c r="S140" s="82"/>
      <c r="T140" s="82"/>
      <c r="U140" s="82"/>
      <c r="V140" s="82"/>
      <c r="W140" s="82"/>
    </row>
    <row r="141" spans="6:31" ht="15">
      <c r="F141" s="67" t="s">
        <v>289</v>
      </c>
      <c r="G141" s="67"/>
      <c r="H141" s="67"/>
      <c r="I141" s="67"/>
      <c r="J141" s="61">
        <f>J139*J140/1000</f>
        <v>25.764553986900989</v>
      </c>
      <c r="K141" s="61" t="s">
        <v>291</v>
      </c>
      <c r="L141" s="14" t="s">
        <v>218</v>
      </c>
      <c r="M141" s="63" t="s">
        <v>166</v>
      </c>
      <c r="N141" s="63"/>
      <c r="O141" s="63"/>
      <c r="P141" s="63"/>
      <c r="Q141" s="63"/>
      <c r="R141" s="63"/>
      <c r="S141" s="63"/>
      <c r="T141" s="63"/>
      <c r="U141" s="63"/>
      <c r="V141" s="40">
        <f>V135</f>
        <v>67.632259004311024</v>
      </c>
      <c r="W141" s="40" t="s">
        <v>146</v>
      </c>
    </row>
    <row r="142" spans="6:31">
      <c r="M142" s="62" t="s">
        <v>153</v>
      </c>
      <c r="N142" s="62"/>
      <c r="O142" s="62"/>
      <c r="P142" s="62"/>
      <c r="Q142" s="62"/>
      <c r="R142" s="62"/>
      <c r="S142" s="62"/>
      <c r="T142" s="62"/>
      <c r="U142" s="62"/>
      <c r="V142" s="24">
        <f>(V141/V135)^2</f>
        <v>1</v>
      </c>
      <c r="W142" s="31" t="s">
        <v>154</v>
      </c>
    </row>
    <row r="143" spans="6:31">
      <c r="M143" s="62" t="s">
        <v>223</v>
      </c>
      <c r="N143" s="62"/>
      <c r="O143" s="62"/>
      <c r="P143" s="62"/>
      <c r="Q143" s="62"/>
      <c r="R143" s="62"/>
      <c r="S143" s="62"/>
      <c r="T143" s="62"/>
      <c r="U143" s="62"/>
      <c r="V143" s="24">
        <f>V131*V142</f>
        <v>10533.781800000002</v>
      </c>
      <c r="W143" s="24" t="s">
        <v>142</v>
      </c>
    </row>
    <row r="144" spans="6:31">
      <c r="M144" s="62" t="s">
        <v>164</v>
      </c>
      <c r="N144" s="62"/>
      <c r="O144" s="62"/>
      <c r="P144" s="62"/>
      <c r="Q144" s="62"/>
      <c r="R144" s="62"/>
      <c r="S144" s="62"/>
      <c r="T144" s="62"/>
      <c r="U144" s="62"/>
      <c r="V144" s="24">
        <f>(1/2/PI())*SQRT(V143/(U117/2))</f>
        <v>1.3805377059359594</v>
      </c>
      <c r="W144" s="24" t="s">
        <v>145</v>
      </c>
    </row>
    <row r="145" spans="12:27">
      <c r="M145" s="62" t="s">
        <v>162</v>
      </c>
      <c r="N145" s="62"/>
      <c r="O145" s="62"/>
      <c r="P145" s="62"/>
      <c r="Q145" s="62"/>
      <c r="R145" s="62"/>
      <c r="S145" s="62"/>
      <c r="T145" s="62"/>
      <c r="U145" s="62"/>
      <c r="V145" s="24">
        <f>(V130*C6^2)/2</f>
        <v>11839.082006250004</v>
      </c>
      <c r="W145" s="24" t="s">
        <v>120</v>
      </c>
    </row>
    <row r="146" spans="12:27">
      <c r="M146" s="62" t="s">
        <v>163</v>
      </c>
      <c r="N146" s="62"/>
      <c r="O146" s="62"/>
      <c r="P146" s="62"/>
      <c r="Q146" s="62"/>
      <c r="R146" s="62"/>
      <c r="S146" s="62"/>
      <c r="T146" s="62"/>
      <c r="U146" s="62"/>
      <c r="V146" s="24">
        <f>(V143*C7^2)/2</f>
        <v>11850.504525000002</v>
      </c>
      <c r="W146" s="24" t="s">
        <v>120</v>
      </c>
    </row>
    <row r="147" spans="12:27">
      <c r="M147" s="62" t="s">
        <v>225</v>
      </c>
      <c r="N147" s="62"/>
      <c r="O147" s="62"/>
      <c r="P147" s="62"/>
      <c r="Q147" s="62"/>
      <c r="R147" s="62"/>
      <c r="S147" s="62"/>
      <c r="T147" s="62"/>
      <c r="U147" s="62"/>
      <c r="V147" s="24">
        <f>V112-V145</f>
        <v>10160.917993749996</v>
      </c>
      <c r="W147" s="24" t="s">
        <v>120</v>
      </c>
    </row>
    <row r="148" spans="12:27">
      <c r="M148" s="62" t="s">
        <v>224</v>
      </c>
      <c r="N148" s="62"/>
      <c r="O148" s="62"/>
      <c r="P148" s="62"/>
      <c r="Q148" s="62"/>
      <c r="R148" s="62"/>
      <c r="S148" s="62"/>
      <c r="T148" s="62"/>
      <c r="U148" s="62"/>
      <c r="V148" s="24">
        <f>V113-V146</f>
        <v>21149.495474999996</v>
      </c>
      <c r="W148" s="24" t="s">
        <v>120</v>
      </c>
    </row>
    <row r="149" spans="12:27">
      <c r="M149" s="62" t="s">
        <v>230</v>
      </c>
      <c r="N149" s="62"/>
      <c r="O149" s="62"/>
      <c r="P149" s="62"/>
      <c r="Q149" s="62"/>
      <c r="R149" s="62"/>
      <c r="S149" s="62"/>
      <c r="T149" s="24">
        <f>-V109*9.81*V34/(V147+V148+V145+V146)</f>
        <v>-4.7819290909090914E-2</v>
      </c>
      <c r="U149" s="24">
        <f>T149*360/2/PI()</f>
        <v>-2.739843548399215</v>
      </c>
      <c r="V149" s="24" t="s">
        <v>123</v>
      </c>
      <c r="W149" s="24" t="s">
        <v>220</v>
      </c>
    </row>
    <row r="150" spans="12:27" ht="15">
      <c r="L150" s="14"/>
      <c r="M150" s="62" t="s">
        <v>126</v>
      </c>
      <c r="N150" s="62"/>
      <c r="O150" s="62"/>
      <c r="P150" s="62"/>
      <c r="Q150" s="62"/>
      <c r="R150" s="62"/>
      <c r="S150" s="62"/>
      <c r="T150" s="62"/>
      <c r="U150" s="62"/>
      <c r="V150" s="24">
        <f>(V108*V37*V34*V112)/((V112+V113)*C6)+(V36/C8)*V31</f>
        <v>57.22226666666667</v>
      </c>
      <c r="W150" s="24" t="s">
        <v>2</v>
      </c>
    </row>
    <row r="151" spans="12:27" ht="15">
      <c r="L151" s="14"/>
      <c r="M151" s="62" t="s">
        <v>127</v>
      </c>
      <c r="N151" s="62"/>
      <c r="O151" s="62"/>
      <c r="P151" s="62"/>
      <c r="Q151" s="62"/>
      <c r="R151" s="62"/>
      <c r="S151" s="62"/>
      <c r="T151" s="62"/>
      <c r="U151" s="62"/>
      <c r="V151" s="24">
        <f>(V108*V37*V34*V113)/((V112+V113)*C6)+(V35/C8)*V32</f>
        <v>85.902400000000014</v>
      </c>
      <c r="W151" s="24" t="s">
        <v>2</v>
      </c>
    </row>
    <row r="152" spans="12:27" ht="15">
      <c r="L152" s="14"/>
      <c r="M152" s="112" t="s">
        <v>138</v>
      </c>
      <c r="N152" s="112"/>
      <c r="O152" s="112"/>
      <c r="P152" s="62" t="s">
        <v>131</v>
      </c>
      <c r="Q152" s="62"/>
      <c r="R152" s="62"/>
      <c r="S152" s="62"/>
      <c r="T152" s="62"/>
      <c r="U152" s="24">
        <f>V37*C4/100/2+V150</f>
        <v>197.22226666666666</v>
      </c>
      <c r="V152" s="24">
        <f>U152*9.81</f>
        <v>1934.750436</v>
      </c>
      <c r="W152" s="24" t="s">
        <v>130</v>
      </c>
    </row>
    <row r="153" spans="12:27" ht="15">
      <c r="L153" s="14"/>
      <c r="M153" s="112"/>
      <c r="N153" s="112"/>
      <c r="O153" s="112"/>
      <c r="P153" s="62" t="s">
        <v>132</v>
      </c>
      <c r="Q153" s="62"/>
      <c r="R153" s="62"/>
      <c r="S153" s="62"/>
      <c r="T153" s="62"/>
      <c r="U153" s="24">
        <f>V37*C4/100/2-V150</f>
        <v>82.77773333333333</v>
      </c>
      <c r="V153" s="24">
        <f t="shared" ref="V153:V159" si="87">U153*9.81</f>
        <v>812.04956400000003</v>
      </c>
      <c r="W153" s="24" t="s">
        <v>130</v>
      </c>
    </row>
    <row r="154" spans="12:27" ht="15">
      <c r="L154" s="14"/>
      <c r="M154" s="112"/>
      <c r="N154" s="112"/>
      <c r="O154" s="112"/>
      <c r="P154" s="62" t="s">
        <v>133</v>
      </c>
      <c r="Q154" s="62"/>
      <c r="R154" s="62"/>
      <c r="S154" s="62"/>
      <c r="T154" s="62"/>
      <c r="U154" s="24">
        <f>V37*C5/100/2+V151</f>
        <v>295.9024</v>
      </c>
      <c r="V154" s="24">
        <f t="shared" si="87"/>
        <v>2902.8025440000001</v>
      </c>
      <c r="W154" s="24" t="s">
        <v>130</v>
      </c>
    </row>
    <row r="155" spans="12:27" ht="15">
      <c r="L155" s="14"/>
      <c r="M155" s="112"/>
      <c r="N155" s="112"/>
      <c r="O155" s="112"/>
      <c r="P155" s="62" t="s">
        <v>134</v>
      </c>
      <c r="Q155" s="62"/>
      <c r="R155" s="62"/>
      <c r="S155" s="62"/>
      <c r="T155" s="62"/>
      <c r="U155" s="24">
        <f>V37*C5/100/2-V151</f>
        <v>124.09759999999999</v>
      </c>
      <c r="V155" s="24">
        <f t="shared" si="87"/>
        <v>1217.3974559999999</v>
      </c>
      <c r="W155" s="24" t="s">
        <v>130</v>
      </c>
    </row>
    <row r="156" spans="12:27" ht="15">
      <c r="L156" s="14"/>
      <c r="M156" s="111" t="s">
        <v>157</v>
      </c>
      <c r="N156" s="111"/>
      <c r="O156" s="111"/>
      <c r="P156" s="62" t="s">
        <v>131</v>
      </c>
      <c r="Q156" s="62"/>
      <c r="R156" s="62"/>
      <c r="S156" s="62"/>
      <c r="T156" s="62"/>
      <c r="U156" s="24">
        <f>U152-V37*C4/100/2</f>
        <v>57.222266666666656</v>
      </c>
      <c r="V156" s="24">
        <f t="shared" si="87"/>
        <v>561.35043599999995</v>
      </c>
      <c r="W156" s="24" t="s">
        <v>130</v>
      </c>
    </row>
    <row r="157" spans="12:27" ht="15">
      <c r="L157" s="14"/>
      <c r="M157" s="111"/>
      <c r="N157" s="111"/>
      <c r="O157" s="111"/>
      <c r="P157" s="62" t="s">
        <v>132</v>
      </c>
      <c r="Q157" s="62"/>
      <c r="R157" s="62"/>
      <c r="S157" s="62"/>
      <c r="T157" s="62"/>
      <c r="U157" s="24">
        <f>U153-V37*C4/100/2</f>
        <v>-57.22226666666667</v>
      </c>
      <c r="V157" s="24">
        <f t="shared" si="87"/>
        <v>-561.35043600000006</v>
      </c>
      <c r="W157" s="24" t="s">
        <v>130</v>
      </c>
      <c r="AA157" s="9" t="s">
        <v>229</v>
      </c>
    </row>
    <row r="158" spans="12:27" ht="15">
      <c r="L158" s="14"/>
      <c r="M158" s="111"/>
      <c r="N158" s="111"/>
      <c r="O158" s="111"/>
      <c r="P158" s="62" t="s">
        <v>133</v>
      </c>
      <c r="Q158" s="62"/>
      <c r="R158" s="62"/>
      <c r="S158" s="62"/>
      <c r="T158" s="62"/>
      <c r="U158" s="24">
        <f>U154-V37*C5/100/2</f>
        <v>85.9024</v>
      </c>
      <c r="V158" s="24">
        <f t="shared" si="87"/>
        <v>842.70254399999999</v>
      </c>
      <c r="W158" s="24" t="s">
        <v>130</v>
      </c>
    </row>
    <row r="159" spans="12:27" ht="15">
      <c r="L159" s="14"/>
      <c r="M159" s="111"/>
      <c r="N159" s="111"/>
      <c r="O159" s="111"/>
      <c r="P159" s="62" t="s">
        <v>134</v>
      </c>
      <c r="Q159" s="62"/>
      <c r="R159" s="62"/>
      <c r="S159" s="62"/>
      <c r="T159" s="62"/>
      <c r="U159" s="24">
        <f>U155-V37*C5/100/2</f>
        <v>-85.902400000000014</v>
      </c>
      <c r="V159" s="24">
        <f t="shared" si="87"/>
        <v>-842.70254400000022</v>
      </c>
      <c r="W159" s="24" t="s">
        <v>130</v>
      </c>
    </row>
    <row r="160" spans="12:27" ht="15">
      <c r="L160" s="14" t="s">
        <v>108</v>
      </c>
      <c r="M160" s="62" t="s">
        <v>226</v>
      </c>
      <c r="N160" s="62"/>
      <c r="O160" s="62"/>
      <c r="P160" s="62"/>
      <c r="Q160" s="62"/>
      <c r="R160" s="62"/>
      <c r="S160" s="62"/>
      <c r="T160" s="62"/>
      <c r="U160" s="62"/>
      <c r="V160" s="24">
        <f>TAN(Z173)*C14/2</f>
        <v>-5.8240547738563998E-2</v>
      </c>
      <c r="W160" s="24" t="s">
        <v>219</v>
      </c>
    </row>
    <row r="161" spans="8:32" ht="15">
      <c r="L161" s="14" t="s">
        <v>108</v>
      </c>
      <c r="M161" s="62" t="s">
        <v>227</v>
      </c>
      <c r="N161" s="62"/>
      <c r="O161" s="62"/>
      <c r="P161" s="62"/>
      <c r="Q161" s="62"/>
      <c r="R161" s="62"/>
      <c r="S161" s="62"/>
      <c r="T161" s="62"/>
      <c r="U161" s="62"/>
      <c r="V161" s="24">
        <f>TAN(Z173)*C14/2</f>
        <v>-5.8240547738563998E-2</v>
      </c>
      <c r="W161" s="24" t="s">
        <v>219</v>
      </c>
    </row>
    <row r="162" spans="8:32"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</row>
    <row r="163" spans="8:32" ht="15" customHeight="1">
      <c r="M163" s="82" t="s">
        <v>171</v>
      </c>
      <c r="N163" s="82"/>
      <c r="O163" s="82"/>
      <c r="P163" s="82"/>
      <c r="Q163" s="82"/>
      <c r="R163" s="82"/>
      <c r="S163" s="82"/>
      <c r="T163" s="82"/>
      <c r="U163" s="82"/>
      <c r="V163" s="82"/>
      <c r="W163" s="82"/>
    </row>
    <row r="164" spans="8:32">
      <c r="M164" s="63" t="s">
        <v>174</v>
      </c>
      <c r="N164" s="63"/>
      <c r="O164" s="63"/>
      <c r="P164" s="63"/>
      <c r="Q164" s="63"/>
      <c r="R164" s="63"/>
      <c r="S164" s="63"/>
      <c r="T164" s="63"/>
      <c r="U164" s="63"/>
      <c r="V164" s="40">
        <v>35</v>
      </c>
      <c r="W164" s="40" t="s">
        <v>161</v>
      </c>
    </row>
    <row r="165" spans="8:32">
      <c r="M165" s="62" t="s">
        <v>228</v>
      </c>
      <c r="N165" s="62"/>
      <c r="O165" s="62"/>
      <c r="P165" s="62"/>
      <c r="Q165" s="62"/>
      <c r="R165" s="62"/>
      <c r="S165" s="62"/>
      <c r="T165" s="62"/>
      <c r="U165" s="62"/>
      <c r="V165" s="24">
        <f>V164*9810</f>
        <v>343350</v>
      </c>
      <c r="W165" s="24" t="s">
        <v>142</v>
      </c>
      <c r="X165" s="25"/>
      <c r="Y165" s="21"/>
      <c r="Z165" s="21"/>
      <c r="AA165" s="21"/>
      <c r="AB165" s="21"/>
      <c r="AF165"/>
    </row>
    <row r="166" spans="8:32">
      <c r="M166" s="62" t="s">
        <v>169</v>
      </c>
      <c r="N166" s="62"/>
      <c r="O166" s="62"/>
      <c r="P166" s="62"/>
      <c r="Q166" s="62"/>
      <c r="R166" s="62"/>
      <c r="S166" s="62"/>
      <c r="T166" s="62"/>
      <c r="U166" s="62"/>
      <c r="V166" s="24">
        <f>V165*V130/(V165-V130)</f>
        <v>10856.374786289081</v>
      </c>
      <c r="W166" s="24" t="s">
        <v>142</v>
      </c>
    </row>
    <row r="167" spans="8:32">
      <c r="M167" s="62" t="s">
        <v>170</v>
      </c>
      <c r="N167" s="62"/>
      <c r="O167" s="62"/>
      <c r="P167" s="62"/>
      <c r="Q167" s="62"/>
      <c r="R167" s="62"/>
      <c r="S167" s="62"/>
      <c r="T167" s="62"/>
      <c r="U167" s="62"/>
      <c r="V167" s="24">
        <f>V165*V131/(V165-V131)</f>
        <v>10867.180693870407</v>
      </c>
      <c r="W167" s="24" t="s">
        <v>142</v>
      </c>
    </row>
    <row r="168" spans="8:32">
      <c r="M168" s="62" t="s">
        <v>172</v>
      </c>
      <c r="N168" s="62"/>
      <c r="O168" s="62"/>
      <c r="P168" s="62"/>
      <c r="Q168" s="62"/>
      <c r="R168" s="62"/>
      <c r="S168" s="62"/>
      <c r="T168" s="62"/>
      <c r="U168" s="62"/>
      <c r="V168" s="24">
        <f>((V112*V165*(C6^2)/2)/(V165*(C6^2)/2-V112))-(V166*(C6^2)/2)</f>
        <v>11115.267691643407</v>
      </c>
      <c r="W168" s="24" t="s">
        <v>184</v>
      </c>
    </row>
    <row r="169" spans="8:32">
      <c r="M169" s="62" t="s">
        <v>173</v>
      </c>
      <c r="N169" s="62"/>
      <c r="O169" s="62"/>
      <c r="P169" s="62"/>
      <c r="Q169" s="62"/>
      <c r="R169" s="62"/>
      <c r="S169" s="62"/>
      <c r="T169" s="62"/>
      <c r="U169" s="62"/>
      <c r="V169" s="24">
        <f>((V113*V165*(C7^2)/2)/(V165*(C7^2)/2-V113))-(V167*(C7^2)/2)</f>
        <v>23857.060645142836</v>
      </c>
      <c r="W169" s="24" t="s">
        <v>184</v>
      </c>
    </row>
    <row r="170" spans="8:32">
      <c r="M170" s="78"/>
      <c r="N170" s="78"/>
      <c r="O170" s="78"/>
      <c r="P170" s="78"/>
      <c r="Q170" s="78"/>
      <c r="R170" s="78"/>
      <c r="S170" s="78"/>
      <c r="T170" s="78"/>
      <c r="U170" s="78"/>
      <c r="V170" s="39"/>
      <c r="W170" s="39"/>
    </row>
    <row r="171" spans="8:32" ht="15">
      <c r="M171" s="82" t="s">
        <v>215</v>
      </c>
      <c r="N171" s="82"/>
      <c r="O171" s="82"/>
      <c r="P171" s="82"/>
      <c r="Q171" s="82"/>
      <c r="R171" s="82"/>
      <c r="S171" s="82"/>
      <c r="T171" s="82"/>
      <c r="U171" s="82"/>
      <c r="V171" s="82"/>
      <c r="W171" s="82"/>
    </row>
    <row r="172" spans="8:32">
      <c r="M172" s="63" t="s">
        <v>183</v>
      </c>
      <c r="N172" s="63"/>
      <c r="O172" s="63"/>
      <c r="P172" s="63"/>
      <c r="Q172" s="63"/>
      <c r="R172" s="63"/>
      <c r="S172" s="63"/>
      <c r="T172" s="63"/>
      <c r="U172" s="63"/>
      <c r="V172" s="40">
        <v>1.35</v>
      </c>
      <c r="W172" s="40" t="s">
        <v>3</v>
      </c>
    </row>
    <row r="173" spans="8:32">
      <c r="M173" s="62" t="s">
        <v>181</v>
      </c>
      <c r="N173" s="62"/>
      <c r="O173" s="62"/>
      <c r="P173" s="62"/>
      <c r="Q173" s="62"/>
      <c r="R173" s="62"/>
      <c r="S173" s="62"/>
      <c r="T173" s="62"/>
      <c r="U173" s="62"/>
      <c r="V173" s="24">
        <f>V165*V130/(V165-V130)</f>
        <v>10856.374786289081</v>
      </c>
      <c r="W173" s="24" t="s">
        <v>142</v>
      </c>
      <c r="X173" s="119" t="s">
        <v>244</v>
      </c>
      <c r="Y173" s="120"/>
      <c r="Z173" s="3">
        <f>V180*Y45</f>
        <v>-6.646259155999952E-2</v>
      </c>
      <c r="AA173" s="3">
        <f>ABS(Z173*180/PI())</f>
        <v>3.808025991889779</v>
      </c>
      <c r="AB173" s="3" t="s">
        <v>245</v>
      </c>
    </row>
    <row r="174" spans="8:32" ht="14.25" customHeight="1">
      <c r="M174" s="62" t="s">
        <v>182</v>
      </c>
      <c r="N174" s="62"/>
      <c r="O174" s="62"/>
      <c r="P174" s="62"/>
      <c r="Q174" s="62"/>
      <c r="R174" s="62"/>
      <c r="S174" s="62"/>
      <c r="T174" s="62"/>
      <c r="U174" s="62"/>
      <c r="V174" s="24">
        <f>V165*V143/(V165-V143)</f>
        <v>10867.180693870407</v>
      </c>
      <c r="W174" s="24" t="s">
        <v>142</v>
      </c>
    </row>
    <row r="175" spans="8:32" ht="14.25" customHeight="1">
      <c r="M175" s="81" t="s">
        <v>185</v>
      </c>
      <c r="N175" s="81"/>
      <c r="O175" s="81"/>
      <c r="P175" s="81"/>
      <c r="Q175" s="81"/>
      <c r="R175" s="81"/>
      <c r="S175" s="81"/>
      <c r="T175" s="81"/>
      <c r="U175" s="81"/>
      <c r="V175" s="81"/>
      <c r="W175" s="81"/>
    </row>
    <row r="176" spans="8:32" ht="14.25" customHeight="1">
      <c r="H176" s="42"/>
      <c r="I176" s="42"/>
      <c r="J176" s="42"/>
      <c r="K176" s="42"/>
      <c r="L176" s="42"/>
      <c r="M176" s="62" t="s">
        <v>163</v>
      </c>
      <c r="N176" s="62"/>
      <c r="O176" s="62"/>
      <c r="P176" s="62"/>
      <c r="Q176" s="62"/>
      <c r="R176" s="62"/>
      <c r="S176" s="62"/>
      <c r="T176" s="62"/>
      <c r="U176" s="62"/>
      <c r="V176" s="24">
        <f>((0.5*V165*C7^2)*(0.5*V174*V172^2))/((V165*0.5*C7^2)+(V174*0.5*V172^2))</f>
        <v>9655.189648471136</v>
      </c>
      <c r="W176" s="24" t="s">
        <v>184</v>
      </c>
    </row>
    <row r="177" spans="8:24" ht="14.25" customHeight="1">
      <c r="M177" s="81" t="s">
        <v>187</v>
      </c>
      <c r="N177" s="81"/>
      <c r="O177" s="81"/>
      <c r="P177" s="81"/>
      <c r="Q177" s="81"/>
      <c r="R177" s="81"/>
      <c r="S177" s="81"/>
      <c r="T177" s="81"/>
      <c r="U177" s="81"/>
      <c r="V177" s="81"/>
      <c r="W177" s="81"/>
    </row>
    <row r="178" spans="8:24">
      <c r="M178" s="62" t="s">
        <v>186</v>
      </c>
      <c r="N178" s="62"/>
      <c r="O178" s="62"/>
      <c r="P178" s="62"/>
      <c r="Q178" s="62"/>
      <c r="R178" s="62"/>
      <c r="S178" s="62"/>
      <c r="T178" s="62"/>
      <c r="U178" s="62"/>
      <c r="V178" s="24">
        <f>0.4*V174*0.5*V172^2</f>
        <v>3961.0873629157641</v>
      </c>
      <c r="W178" s="35" t="s">
        <v>184</v>
      </c>
    </row>
    <row r="179" spans="8:24">
      <c r="M179" s="62" t="s">
        <v>163</v>
      </c>
      <c r="N179" s="62"/>
      <c r="O179" s="62"/>
      <c r="P179" s="62"/>
      <c r="Q179" s="62"/>
      <c r="R179" s="62"/>
      <c r="S179" s="62"/>
      <c r="T179" s="62"/>
      <c r="U179" s="62"/>
      <c r="V179" s="24">
        <f>((V178+0.5*V165*C7^2)*(0.5*V174*V172^2))/((V178+V165*0.5*C7^2)+(V174*0.5*V172^2))</f>
        <v>9657.6400440322432</v>
      </c>
      <c r="W179" s="24" t="s">
        <v>184</v>
      </c>
    </row>
    <row r="180" spans="8:24">
      <c r="M180" s="62" t="s">
        <v>188</v>
      </c>
      <c r="N180" s="62"/>
      <c r="O180" s="62"/>
      <c r="P180" s="62"/>
      <c r="Q180" s="62"/>
      <c r="R180" s="62"/>
      <c r="S180" s="62"/>
      <c r="T180" s="62"/>
      <c r="U180" s="62"/>
      <c r="V180" s="37">
        <f>(-V37*9.81*V34)/(V179+V112)</f>
        <v>-8.3078239449999397E-2</v>
      </c>
      <c r="W180" s="37" t="s">
        <v>189</v>
      </c>
    </row>
    <row r="181" spans="8:24">
      <c r="M181" s="62" t="s">
        <v>126</v>
      </c>
      <c r="N181" s="62"/>
      <c r="O181" s="62"/>
      <c r="P181" s="62"/>
      <c r="Q181" s="62"/>
      <c r="R181" s="62"/>
      <c r="S181" s="62"/>
      <c r="T181" s="62"/>
      <c r="U181" s="62"/>
      <c r="V181" s="24">
        <f>V108*V109/C7*V34*(V166+V167)/(V166+V167+V179)+(V36/C8)*V31</f>
        <v>99.009768600359862</v>
      </c>
      <c r="W181" s="24" t="s">
        <v>2</v>
      </c>
    </row>
    <row r="182" spans="8:24">
      <c r="M182" s="62" t="s">
        <v>127</v>
      </c>
      <c r="N182" s="62"/>
      <c r="O182" s="62"/>
      <c r="P182" s="62"/>
      <c r="Q182" s="62"/>
      <c r="R182" s="62"/>
      <c r="S182" s="62"/>
      <c r="T182" s="62"/>
      <c r="U182" s="62"/>
      <c r="V182" s="24">
        <f>V108*V109/C7*V34*(V179)/(V166+V167+V179)+(V35/C8)*V32</f>
        <v>44.114898066306779</v>
      </c>
      <c r="W182" s="24" t="s">
        <v>2</v>
      </c>
    </row>
    <row r="183" spans="8:24">
      <c r="M183" s="112" t="s">
        <v>138</v>
      </c>
      <c r="N183" s="112"/>
      <c r="O183" s="112"/>
      <c r="P183" s="62" t="s">
        <v>131</v>
      </c>
      <c r="Q183" s="62"/>
      <c r="R183" s="62"/>
      <c r="S183" s="62"/>
      <c r="T183" s="62"/>
      <c r="U183" s="24">
        <f>U117/2+V181</f>
        <v>239.00976860035985</v>
      </c>
      <c r="V183" s="24">
        <f>U183*9.81</f>
        <v>2344.68582996953</v>
      </c>
      <c r="W183" s="24" t="s">
        <v>130</v>
      </c>
    </row>
    <row r="184" spans="8:24">
      <c r="M184" s="112"/>
      <c r="N184" s="112"/>
      <c r="O184" s="112"/>
      <c r="P184" s="62" t="s">
        <v>132</v>
      </c>
      <c r="Q184" s="62"/>
      <c r="R184" s="62"/>
      <c r="S184" s="62"/>
      <c r="T184" s="62"/>
      <c r="U184" s="24">
        <f>U117/2-V181</f>
        <v>40.990231399640138</v>
      </c>
      <c r="V184" s="24">
        <f t="shared" ref="V184:V186" si="88">U184*9.81</f>
        <v>402.11417003046978</v>
      </c>
      <c r="W184" s="24" t="s">
        <v>130</v>
      </c>
    </row>
    <row r="185" spans="8:24" ht="14.25" customHeight="1">
      <c r="M185" s="112"/>
      <c r="N185" s="112"/>
      <c r="O185" s="112"/>
      <c r="P185" s="62" t="s">
        <v>133</v>
      </c>
      <c r="Q185" s="62"/>
      <c r="R185" s="62"/>
      <c r="S185" s="62"/>
      <c r="T185" s="62"/>
      <c r="U185" s="24">
        <f>U118/2+V182</f>
        <v>254.11489806630678</v>
      </c>
      <c r="V185" s="24">
        <f t="shared" si="88"/>
        <v>2492.8671500304695</v>
      </c>
      <c r="W185" s="24" t="s">
        <v>130</v>
      </c>
    </row>
    <row r="186" spans="8:24" ht="14.25" customHeight="1">
      <c r="M186" s="112"/>
      <c r="N186" s="112"/>
      <c r="O186" s="112"/>
      <c r="P186" s="62" t="s">
        <v>134</v>
      </c>
      <c r="Q186" s="62"/>
      <c r="R186" s="62"/>
      <c r="S186" s="62"/>
      <c r="T186" s="62"/>
      <c r="U186" s="24">
        <f>U118/2-V182</f>
        <v>165.88510193369322</v>
      </c>
      <c r="V186" s="24">
        <f t="shared" si="88"/>
        <v>1627.3328499695306</v>
      </c>
      <c r="W186" s="24" t="s">
        <v>130</v>
      </c>
      <c r="X186"/>
    </row>
    <row r="187" spans="8:24" ht="14.25" customHeight="1"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</row>
    <row r="188" spans="8:24" ht="14.25" customHeight="1">
      <c r="M188" s="81" t="s">
        <v>216</v>
      </c>
      <c r="N188" s="81"/>
      <c r="O188" s="81"/>
      <c r="P188" s="81"/>
      <c r="Q188" s="81"/>
      <c r="R188" s="81"/>
      <c r="S188" s="81"/>
      <c r="T188" s="81"/>
      <c r="U188" s="81"/>
      <c r="V188" s="81"/>
      <c r="W188" s="81"/>
    </row>
    <row r="189" spans="8:24" ht="15" customHeight="1"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</row>
    <row r="190" spans="8:24" ht="15">
      <c r="H190" s="54"/>
      <c r="I190" s="10"/>
      <c r="J190" s="10"/>
      <c r="K190" s="10"/>
      <c r="L190" s="10"/>
      <c r="M190" s="62" t="s">
        <v>199</v>
      </c>
      <c r="N190" s="62"/>
      <c r="O190" s="62"/>
      <c r="P190" s="62"/>
      <c r="Q190" s="62"/>
      <c r="R190" s="62"/>
      <c r="S190" s="62"/>
      <c r="T190" s="62"/>
      <c r="U190" s="62"/>
      <c r="V190" s="24">
        <f>V168/V212^2/(C6^2/V192^2)</f>
        <v>60.016321420443738</v>
      </c>
      <c r="W190" s="24" t="s">
        <v>184</v>
      </c>
    </row>
    <row r="191" spans="8:24">
      <c r="H191" s="10"/>
      <c r="I191" s="10"/>
      <c r="J191" s="10"/>
      <c r="K191" s="10"/>
      <c r="L191" s="10"/>
      <c r="M191" s="62" t="s">
        <v>200</v>
      </c>
      <c r="N191" s="62"/>
      <c r="O191" s="62"/>
      <c r="P191" s="62"/>
      <c r="Q191" s="62"/>
      <c r="R191" s="62"/>
      <c r="S191" s="62"/>
      <c r="T191" s="62"/>
      <c r="U191" s="62"/>
      <c r="V191" s="24">
        <f>V169/V213^2/(C7^2/V193^2)</f>
        <v>128.81498309774094</v>
      </c>
      <c r="W191" s="24" t="s">
        <v>184</v>
      </c>
    </row>
    <row r="192" spans="8:24">
      <c r="M192" s="63" t="s">
        <v>201</v>
      </c>
      <c r="N192" s="63"/>
      <c r="O192" s="63"/>
      <c r="P192" s="63"/>
      <c r="Q192" s="63"/>
      <c r="R192" s="63"/>
      <c r="S192" s="63"/>
      <c r="T192" s="63"/>
      <c r="U192" s="63"/>
      <c r="V192" s="40">
        <v>0.13</v>
      </c>
      <c r="W192" s="40" t="s">
        <v>3</v>
      </c>
    </row>
    <row r="193" spans="8:35">
      <c r="M193" s="63" t="s">
        <v>202</v>
      </c>
      <c r="N193" s="63"/>
      <c r="O193" s="63"/>
      <c r="P193" s="63"/>
      <c r="Q193" s="63"/>
      <c r="R193" s="63"/>
      <c r="S193" s="63"/>
      <c r="T193" s="63"/>
      <c r="U193" s="63"/>
      <c r="V193" s="40">
        <v>0.13</v>
      </c>
      <c r="W193" s="40" t="s">
        <v>3</v>
      </c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</row>
    <row r="194" spans="8:35">
      <c r="M194" s="63" t="s">
        <v>210</v>
      </c>
      <c r="N194" s="63"/>
      <c r="O194" s="63"/>
      <c r="P194" s="63"/>
      <c r="Q194" s="63"/>
      <c r="R194" s="63"/>
      <c r="S194" s="63"/>
      <c r="T194" s="63"/>
      <c r="U194" s="40" t="s">
        <v>194</v>
      </c>
      <c r="V194" s="40">
        <v>0.26</v>
      </c>
      <c r="W194" s="40" t="s">
        <v>3</v>
      </c>
    </row>
    <row r="195" spans="8:35" ht="14.25" customHeight="1">
      <c r="M195" s="63"/>
      <c r="N195" s="63"/>
      <c r="O195" s="63"/>
      <c r="P195" s="63"/>
      <c r="Q195" s="63"/>
      <c r="R195" s="63"/>
      <c r="S195" s="63"/>
      <c r="T195" s="63"/>
      <c r="U195" s="40" t="s">
        <v>193</v>
      </c>
      <c r="V195" s="40">
        <v>0.3</v>
      </c>
      <c r="W195" s="40" t="s">
        <v>3</v>
      </c>
    </row>
    <row r="196" spans="8:35" ht="14.25" customHeight="1">
      <c r="M196" s="63" t="s">
        <v>211</v>
      </c>
      <c r="N196" s="63"/>
      <c r="O196" s="63"/>
      <c r="P196" s="63"/>
      <c r="Q196" s="63"/>
      <c r="R196" s="63"/>
      <c r="S196" s="63"/>
      <c r="T196" s="63"/>
      <c r="U196" s="40" t="s">
        <v>194</v>
      </c>
      <c r="V196" s="40">
        <v>0.26</v>
      </c>
      <c r="W196" s="40" t="s">
        <v>3</v>
      </c>
    </row>
    <row r="197" spans="8:35" ht="14.25" customHeight="1">
      <c r="M197" s="63"/>
      <c r="N197" s="63"/>
      <c r="O197" s="63"/>
      <c r="P197" s="63"/>
      <c r="Q197" s="63"/>
      <c r="R197" s="63"/>
      <c r="S197" s="63"/>
      <c r="T197" s="63"/>
      <c r="U197" s="40" t="s">
        <v>193</v>
      </c>
      <c r="V197" s="40">
        <v>0.3</v>
      </c>
      <c r="W197" s="40" t="s">
        <v>3</v>
      </c>
    </row>
    <row r="198" spans="8:35" ht="14.25" customHeight="1">
      <c r="H198" s="113" t="s">
        <v>214</v>
      </c>
      <c r="I198" s="114"/>
      <c r="J198" s="114"/>
      <c r="K198" s="114"/>
      <c r="L198" s="114"/>
      <c r="M198" s="63" t="s">
        <v>213</v>
      </c>
      <c r="N198" s="63"/>
      <c r="O198" s="63"/>
      <c r="P198" s="63"/>
      <c r="Q198" s="63"/>
      <c r="R198" s="63"/>
      <c r="S198" s="63" t="s">
        <v>205</v>
      </c>
      <c r="T198" s="63"/>
      <c r="U198" s="56" t="s">
        <v>177</v>
      </c>
      <c r="V198" s="56">
        <v>7.0000000000000007E-2</v>
      </c>
      <c r="W198" s="56" t="s">
        <v>3</v>
      </c>
    </row>
    <row r="199" spans="8:35" ht="15" customHeight="1">
      <c r="H199" s="115"/>
      <c r="I199" s="116"/>
      <c r="J199" s="116"/>
      <c r="K199" s="116"/>
      <c r="L199" s="116"/>
      <c r="M199" s="63"/>
      <c r="N199" s="63"/>
      <c r="O199" s="63"/>
      <c r="P199" s="63"/>
      <c r="Q199" s="63"/>
      <c r="R199" s="63"/>
      <c r="S199" s="63"/>
      <c r="T199" s="63"/>
      <c r="U199" s="56" t="s">
        <v>209</v>
      </c>
      <c r="V199" s="56">
        <v>0.11</v>
      </c>
      <c r="W199" s="56" t="s">
        <v>3</v>
      </c>
    </row>
    <row r="200" spans="8:35" ht="15" customHeight="1">
      <c r="H200" s="115"/>
      <c r="I200" s="116"/>
      <c r="J200" s="116"/>
      <c r="K200" s="116"/>
      <c r="L200" s="116"/>
      <c r="M200" s="63"/>
      <c r="N200" s="63"/>
      <c r="O200" s="63"/>
      <c r="P200" s="63"/>
      <c r="Q200" s="63"/>
      <c r="R200" s="63"/>
      <c r="S200" s="63" t="s">
        <v>206</v>
      </c>
      <c r="T200" s="63"/>
      <c r="U200" s="56" t="s">
        <v>177</v>
      </c>
      <c r="V200" s="56">
        <v>7.0000000000000007E-2</v>
      </c>
      <c r="W200" s="56" t="s">
        <v>3</v>
      </c>
    </row>
    <row r="201" spans="8:35" ht="15" customHeight="1">
      <c r="H201" s="117"/>
      <c r="I201" s="118"/>
      <c r="J201" s="118"/>
      <c r="K201" s="118"/>
      <c r="L201" s="118"/>
      <c r="M201" s="63"/>
      <c r="N201" s="63"/>
      <c r="O201" s="63"/>
      <c r="P201" s="63"/>
      <c r="Q201" s="63"/>
      <c r="R201" s="63"/>
      <c r="S201" s="63"/>
      <c r="T201" s="63"/>
      <c r="U201" s="56" t="s">
        <v>209</v>
      </c>
      <c r="V201" s="56">
        <v>0.11</v>
      </c>
      <c r="W201" s="56" t="s">
        <v>3</v>
      </c>
    </row>
    <row r="202" spans="8:35">
      <c r="M202" s="63" t="s">
        <v>195</v>
      </c>
      <c r="N202" s="63"/>
      <c r="O202" s="63"/>
      <c r="P202" s="63"/>
      <c r="Q202" s="63"/>
      <c r="R202" s="63"/>
      <c r="S202" s="63"/>
      <c r="T202" s="63"/>
      <c r="U202" s="40" t="s">
        <v>193</v>
      </c>
      <c r="V202" s="55">
        <v>0.25800000000000001</v>
      </c>
      <c r="W202" s="40" t="s">
        <v>3</v>
      </c>
    </row>
    <row r="203" spans="8:35">
      <c r="M203" s="63"/>
      <c r="N203" s="63"/>
      <c r="O203" s="63"/>
      <c r="P203" s="63"/>
      <c r="Q203" s="63"/>
      <c r="R203" s="63"/>
      <c r="S203" s="63"/>
      <c r="T203" s="63"/>
      <c r="U203" s="40" t="s">
        <v>194</v>
      </c>
      <c r="V203" s="55">
        <v>0.29199999999999998</v>
      </c>
      <c r="W203" s="40" t="s">
        <v>3</v>
      </c>
    </row>
    <row r="204" spans="8:35">
      <c r="M204" s="63" t="s">
        <v>196</v>
      </c>
      <c r="N204" s="63"/>
      <c r="O204" s="63"/>
      <c r="P204" s="63"/>
      <c r="Q204" s="63"/>
      <c r="R204" s="63"/>
      <c r="S204" s="63"/>
      <c r="T204" s="63"/>
      <c r="U204" s="40" t="s">
        <v>193</v>
      </c>
      <c r="V204" s="40">
        <v>0.25800000000000001</v>
      </c>
      <c r="W204" s="40" t="s">
        <v>3</v>
      </c>
    </row>
    <row r="205" spans="8:35">
      <c r="M205" s="63"/>
      <c r="N205" s="63"/>
      <c r="O205" s="63"/>
      <c r="P205" s="63"/>
      <c r="Q205" s="63"/>
      <c r="R205" s="63"/>
      <c r="S205" s="63"/>
      <c r="T205" s="63"/>
      <c r="U205" s="40" t="s">
        <v>194</v>
      </c>
      <c r="V205" s="40">
        <v>0.29199999999999998</v>
      </c>
      <c r="W205" s="40" t="s">
        <v>3</v>
      </c>
    </row>
    <row r="206" spans="8:35">
      <c r="M206" s="63" t="s">
        <v>208</v>
      </c>
      <c r="N206" s="63"/>
      <c r="O206" s="63"/>
      <c r="P206" s="63"/>
      <c r="Q206" s="63"/>
      <c r="R206" s="63"/>
      <c r="S206" s="63" t="s">
        <v>205</v>
      </c>
      <c r="T206" s="63"/>
      <c r="U206" s="40">
        <v>30</v>
      </c>
      <c r="V206" s="40">
        <f>RADIANS(U206)</f>
        <v>0.52359877559829882</v>
      </c>
      <c r="W206" s="40" t="s">
        <v>207</v>
      </c>
    </row>
    <row r="207" spans="8:35">
      <c r="M207" s="63"/>
      <c r="N207" s="63"/>
      <c r="O207" s="63"/>
      <c r="P207" s="63"/>
      <c r="Q207" s="63"/>
      <c r="R207" s="63"/>
      <c r="S207" s="63" t="s">
        <v>206</v>
      </c>
      <c r="T207" s="63"/>
      <c r="U207" s="40">
        <v>30</v>
      </c>
      <c r="V207" s="40">
        <f>RADIANS(U207)</f>
        <v>0.52359877559829882</v>
      </c>
      <c r="W207" s="40" t="s">
        <v>207</v>
      </c>
    </row>
    <row r="208" spans="8:35" ht="15" customHeight="1">
      <c r="H208" s="113" t="s">
        <v>214</v>
      </c>
      <c r="I208" s="114"/>
      <c r="J208" s="114"/>
      <c r="K208" s="114"/>
      <c r="L208" s="114"/>
      <c r="M208" s="63" t="s">
        <v>212</v>
      </c>
      <c r="N208" s="63"/>
      <c r="O208" s="63"/>
      <c r="P208" s="63"/>
      <c r="Q208" s="63"/>
      <c r="R208" s="63"/>
      <c r="S208" s="63" t="s">
        <v>205</v>
      </c>
      <c r="T208" s="63"/>
      <c r="U208" s="56" t="s">
        <v>177</v>
      </c>
      <c r="V208" s="56">
        <v>0.11</v>
      </c>
      <c r="W208" s="56" t="s">
        <v>3</v>
      </c>
    </row>
    <row r="209" spans="8:24" ht="15" customHeight="1">
      <c r="H209" s="115"/>
      <c r="I209" s="116"/>
      <c r="J209" s="116"/>
      <c r="K209" s="116"/>
      <c r="L209" s="116"/>
      <c r="M209" s="63"/>
      <c r="N209" s="63"/>
      <c r="O209" s="63"/>
      <c r="P209" s="63"/>
      <c r="Q209" s="63"/>
      <c r="R209" s="63"/>
      <c r="S209" s="63"/>
      <c r="T209" s="63"/>
      <c r="U209" s="56" t="s">
        <v>209</v>
      </c>
      <c r="V209" s="56">
        <v>0.11</v>
      </c>
      <c r="W209" s="56" t="s">
        <v>3</v>
      </c>
    </row>
    <row r="210" spans="8:24" ht="15" customHeight="1">
      <c r="H210" s="115"/>
      <c r="I210" s="116"/>
      <c r="J210" s="116"/>
      <c r="K210" s="116"/>
      <c r="L210" s="116"/>
      <c r="M210" s="63"/>
      <c r="N210" s="63"/>
      <c r="O210" s="63"/>
      <c r="P210" s="63"/>
      <c r="Q210" s="63"/>
      <c r="R210" s="63"/>
      <c r="S210" s="63" t="s">
        <v>206</v>
      </c>
      <c r="T210" s="63"/>
      <c r="U210" s="56" t="s">
        <v>177</v>
      </c>
      <c r="V210" s="56">
        <v>0.11</v>
      </c>
      <c r="W210" s="56" t="s">
        <v>3</v>
      </c>
    </row>
    <row r="211" spans="8:24" ht="15" customHeight="1">
      <c r="H211" s="117"/>
      <c r="I211" s="118"/>
      <c r="J211" s="118"/>
      <c r="K211" s="118"/>
      <c r="L211" s="118"/>
      <c r="M211" s="63"/>
      <c r="N211" s="63"/>
      <c r="O211" s="63"/>
      <c r="P211" s="63"/>
      <c r="Q211" s="63"/>
      <c r="R211" s="63"/>
      <c r="S211" s="63"/>
      <c r="T211" s="63"/>
      <c r="U211" s="56" t="s">
        <v>209</v>
      </c>
      <c r="V211" s="56">
        <v>0.11</v>
      </c>
      <c r="W211" s="56" t="s">
        <v>3</v>
      </c>
    </row>
    <row r="212" spans="8:24">
      <c r="L212" s="9" t="s">
        <v>108</v>
      </c>
      <c r="M212" s="62" t="s">
        <v>203</v>
      </c>
      <c r="N212" s="62"/>
      <c r="O212" s="62"/>
      <c r="P212" s="62"/>
      <c r="Q212" s="62"/>
      <c r="R212" s="62"/>
      <c r="S212" s="62"/>
      <c r="T212" s="62"/>
      <c r="U212" s="62"/>
      <c r="V212" s="24">
        <f>V194/V195*COS(V206)*V199/V198</f>
        <v>1.1794441213445213</v>
      </c>
      <c r="W212" s="24" t="s">
        <v>12</v>
      </c>
      <c r="X212" s="9">
        <v>0.5</v>
      </c>
    </row>
    <row r="213" spans="8:24">
      <c r="L213" s="4" t="s">
        <v>108</v>
      </c>
      <c r="M213" s="62" t="s">
        <v>204</v>
      </c>
      <c r="N213" s="62"/>
      <c r="O213" s="62"/>
      <c r="P213" s="62"/>
      <c r="Q213" s="62"/>
      <c r="R213" s="62"/>
      <c r="S213" s="62"/>
      <c r="T213" s="62"/>
      <c r="U213" s="62"/>
      <c r="V213" s="24">
        <f>V196/V197*COS(V207)*V201/V200</f>
        <v>1.1794441213445213</v>
      </c>
      <c r="W213" s="24" t="s">
        <v>12</v>
      </c>
      <c r="X213" s="9">
        <v>0.5</v>
      </c>
    </row>
    <row r="214" spans="8:24">
      <c r="L214" s="4"/>
      <c r="M214" s="62" t="s">
        <v>191</v>
      </c>
      <c r="N214" s="62"/>
      <c r="O214" s="62"/>
      <c r="P214" s="62"/>
      <c r="Q214" s="62"/>
      <c r="R214" s="62"/>
      <c r="S214" s="62"/>
      <c r="T214" s="62"/>
      <c r="U214" s="62"/>
      <c r="V214" s="24">
        <f>V202/V203*COS(V206)*V209/V208</f>
        <v>0.76518682937118221</v>
      </c>
      <c r="W214" s="24" t="s">
        <v>12</v>
      </c>
    </row>
    <row r="215" spans="8:24">
      <c r="L215" s="4"/>
      <c r="M215" s="62" t="s">
        <v>192</v>
      </c>
      <c r="N215" s="62"/>
      <c r="O215" s="62"/>
      <c r="P215" s="62"/>
      <c r="Q215" s="62"/>
      <c r="R215" s="62"/>
      <c r="S215" s="62"/>
      <c r="T215" s="62"/>
      <c r="U215" s="62"/>
      <c r="V215" s="24">
        <f>V204/V205*COS(V207)*V211/V210</f>
        <v>0.76518682937118221</v>
      </c>
      <c r="W215" s="24" t="s">
        <v>12</v>
      </c>
    </row>
    <row r="216" spans="8:24">
      <c r="L216" s="4"/>
      <c r="M216" s="62" t="s">
        <v>197</v>
      </c>
      <c r="N216" s="62"/>
      <c r="O216" s="62"/>
      <c r="P216" s="62"/>
      <c r="Q216" s="62"/>
      <c r="R216" s="62"/>
      <c r="S216" s="62"/>
      <c r="T216" s="62"/>
      <c r="U216" s="62"/>
      <c r="V216" s="24">
        <f>V190*V212^2*C6^2/V192^2</f>
        <v>11115.267691643407</v>
      </c>
      <c r="W216" s="24" t="s">
        <v>184</v>
      </c>
    </row>
    <row r="217" spans="8:24" ht="15" thickBot="1">
      <c r="L217" s="4"/>
      <c r="M217" s="123" t="s">
        <v>198</v>
      </c>
      <c r="N217" s="123"/>
      <c r="O217" s="123"/>
      <c r="P217" s="123"/>
      <c r="Q217" s="123"/>
      <c r="R217" s="123"/>
      <c r="S217" s="123"/>
      <c r="T217" s="123"/>
      <c r="U217" s="123"/>
      <c r="V217" s="44">
        <f>V191*V213^2*C7^2/V193^2</f>
        <v>23857.060645142839</v>
      </c>
      <c r="W217" s="44" t="s">
        <v>184</v>
      </c>
    </row>
    <row r="218" spans="8:24">
      <c r="L218" s="4"/>
      <c r="M218" s="124" t="s">
        <v>231</v>
      </c>
      <c r="N218" s="125"/>
      <c r="O218" s="125"/>
      <c r="P218" s="125"/>
      <c r="Q218" s="125"/>
      <c r="R218" s="125"/>
      <c r="S218" s="125"/>
      <c r="T218" s="125"/>
      <c r="U218" s="125"/>
      <c r="V218" s="45">
        <f>V166/V214^2</f>
        <v>18541.713033634838</v>
      </c>
      <c r="W218" s="46" t="s">
        <v>142</v>
      </c>
    </row>
    <row r="219" spans="8:24">
      <c r="L219" s="4"/>
      <c r="M219" s="126" t="s">
        <v>232</v>
      </c>
      <c r="N219" s="64"/>
      <c r="O219" s="64"/>
      <c r="P219" s="64"/>
      <c r="Q219" s="64"/>
      <c r="R219" s="64"/>
      <c r="S219" s="64"/>
      <c r="T219" s="64"/>
      <c r="U219" s="64"/>
      <c r="V219" s="43">
        <f>V167/V215^2</f>
        <v>18560.168553215273</v>
      </c>
      <c r="W219" s="47" t="s">
        <v>142</v>
      </c>
    </row>
    <row r="220" spans="8:24">
      <c r="L220" s="4"/>
      <c r="M220" s="126" t="s">
        <v>233</v>
      </c>
      <c r="N220" s="64"/>
      <c r="O220" s="64"/>
      <c r="P220" s="64"/>
      <c r="Q220" s="64"/>
      <c r="R220" s="64"/>
      <c r="S220" s="64"/>
      <c r="T220" s="64"/>
      <c r="U220" s="64"/>
      <c r="V220" s="43">
        <f>V168*V192^2/(X212^2*C6^2)</f>
        <v>333.95204264670861</v>
      </c>
      <c r="W220" s="47" t="s">
        <v>184</v>
      </c>
    </row>
    <row r="221" spans="8:24" ht="15" thickBot="1">
      <c r="L221" s="4"/>
      <c r="M221" s="121" t="s">
        <v>234</v>
      </c>
      <c r="N221" s="122"/>
      <c r="O221" s="122"/>
      <c r="P221" s="122"/>
      <c r="Q221" s="122"/>
      <c r="R221" s="122"/>
      <c r="S221" s="122"/>
      <c r="T221" s="122"/>
      <c r="U221" s="122"/>
      <c r="V221" s="48">
        <f>V169*V193^2/(X213^2*C7^2)</f>
        <v>716.77213316073585</v>
      </c>
      <c r="W221" s="49" t="s">
        <v>184</v>
      </c>
    </row>
    <row r="229" spans="10:10">
      <c r="J229"/>
    </row>
  </sheetData>
  <mergeCells count="292">
    <mergeCell ref="F139:I139"/>
    <mergeCell ref="F140:I140"/>
    <mergeCell ref="F141:I141"/>
    <mergeCell ref="F130:K130"/>
    <mergeCell ref="F131:I131"/>
    <mergeCell ref="F132:I132"/>
    <mergeCell ref="F133:I133"/>
    <mergeCell ref="F134:I134"/>
    <mergeCell ref="F135:I135"/>
    <mergeCell ref="F136:I136"/>
    <mergeCell ref="F137:I137"/>
    <mergeCell ref="F138:I138"/>
    <mergeCell ref="X173:Y173"/>
    <mergeCell ref="M221:U221"/>
    <mergeCell ref="M188:W188"/>
    <mergeCell ref="M189:W189"/>
    <mergeCell ref="M212:U212"/>
    <mergeCell ref="M213:U213"/>
    <mergeCell ref="M214:U214"/>
    <mergeCell ref="M215:U215"/>
    <mergeCell ref="M216:U216"/>
    <mergeCell ref="M217:U217"/>
    <mergeCell ref="M218:U218"/>
    <mergeCell ref="M219:U219"/>
    <mergeCell ref="M220:U220"/>
    <mergeCell ref="M187:W187"/>
    <mergeCell ref="M190:U190"/>
    <mergeCell ref="M191:U191"/>
    <mergeCell ref="M192:U192"/>
    <mergeCell ref="M193:U193"/>
    <mergeCell ref="M194:T195"/>
    <mergeCell ref="M178:U178"/>
    <mergeCell ref="M180:U180"/>
    <mergeCell ref="M196:T197"/>
    <mergeCell ref="M173:U173"/>
    <mergeCell ref="H208:L211"/>
    <mergeCell ref="S198:T199"/>
    <mergeCell ref="S200:T201"/>
    <mergeCell ref="M198:R201"/>
    <mergeCell ref="M202:T203"/>
    <mergeCell ref="M204:T205"/>
    <mergeCell ref="M206:R207"/>
    <mergeCell ref="S206:T206"/>
    <mergeCell ref="S207:T207"/>
    <mergeCell ref="M208:R211"/>
    <mergeCell ref="S208:T209"/>
    <mergeCell ref="S210:T211"/>
    <mergeCell ref="H198:L201"/>
    <mergeCell ref="M156:O159"/>
    <mergeCell ref="P156:T156"/>
    <mergeCell ref="P157:T157"/>
    <mergeCell ref="P158:T158"/>
    <mergeCell ref="P159:T159"/>
    <mergeCell ref="M183:O186"/>
    <mergeCell ref="P183:T183"/>
    <mergeCell ref="P184:T184"/>
    <mergeCell ref="P185:T185"/>
    <mergeCell ref="P186:T186"/>
    <mergeCell ref="M160:U160"/>
    <mergeCell ref="M161:U161"/>
    <mergeCell ref="M162:W162"/>
    <mergeCell ref="M177:W177"/>
    <mergeCell ref="M176:U176"/>
    <mergeCell ref="M179:U179"/>
    <mergeCell ref="M181:U181"/>
    <mergeCell ref="M182:U182"/>
    <mergeCell ref="M163:W163"/>
    <mergeCell ref="M171:W171"/>
    <mergeCell ref="M164:U164"/>
    <mergeCell ref="M170:U170"/>
    <mergeCell ref="M174:U174"/>
    <mergeCell ref="M172:U172"/>
    <mergeCell ref="Y39:AJ39"/>
    <mergeCell ref="Y41:AJ41"/>
    <mergeCell ref="Y44:AJ44"/>
    <mergeCell ref="Y46:AJ46"/>
    <mergeCell ref="Y40:AJ40"/>
    <mergeCell ref="M150:U150"/>
    <mergeCell ref="M151:U151"/>
    <mergeCell ref="M152:O155"/>
    <mergeCell ref="P152:T152"/>
    <mergeCell ref="P153:T153"/>
    <mergeCell ref="P154:T154"/>
    <mergeCell ref="P155:T155"/>
    <mergeCell ref="M149:S149"/>
    <mergeCell ref="P122:T122"/>
    <mergeCell ref="M115:U115"/>
    <mergeCell ref="M112:U112"/>
    <mergeCell ref="M147:U147"/>
    <mergeCell ref="M148:U148"/>
    <mergeCell ref="M110:U110"/>
    <mergeCell ref="M111:U111"/>
    <mergeCell ref="M85:W85"/>
    <mergeCell ref="M86:N87"/>
    <mergeCell ref="O86:W86"/>
    <mergeCell ref="M88:M107"/>
    <mergeCell ref="M109:U109"/>
    <mergeCell ref="M116:U116"/>
    <mergeCell ref="M113:U113"/>
    <mergeCell ref="M114:U114"/>
    <mergeCell ref="M117:T117"/>
    <mergeCell ref="M118:T118"/>
    <mergeCell ref="P119:T119"/>
    <mergeCell ref="M119:O122"/>
    <mergeCell ref="P120:T120"/>
    <mergeCell ref="P121:T121"/>
    <mergeCell ref="B26:D26"/>
    <mergeCell ref="B31:D31"/>
    <mergeCell ref="B42:D42"/>
    <mergeCell ref="F39:K39"/>
    <mergeCell ref="Q136:W136"/>
    <mergeCell ref="M136:P136"/>
    <mergeCell ref="M137:P137"/>
    <mergeCell ref="Q137:W137"/>
    <mergeCell ref="M132:U132"/>
    <mergeCell ref="M133:U133"/>
    <mergeCell ref="M134:U134"/>
    <mergeCell ref="M135:U135"/>
    <mergeCell ref="M127:W127"/>
    <mergeCell ref="M128:U128"/>
    <mergeCell ref="M129:U129"/>
    <mergeCell ref="M130:U130"/>
    <mergeCell ref="M131:U131"/>
    <mergeCell ref="F30:K30"/>
    <mergeCell ref="F31:I31"/>
    <mergeCell ref="F34:F35"/>
    <mergeCell ref="F72:I72"/>
    <mergeCell ref="F73:I73"/>
    <mergeCell ref="M123:O126"/>
    <mergeCell ref="P123:T123"/>
    <mergeCell ref="F20:K20"/>
    <mergeCell ref="F5:K5"/>
    <mergeCell ref="B4:B5"/>
    <mergeCell ref="F7:F8"/>
    <mergeCell ref="F9:F10"/>
    <mergeCell ref="F13:F14"/>
    <mergeCell ref="F15:F16"/>
    <mergeCell ref="F17:F18"/>
    <mergeCell ref="F11:F12"/>
    <mergeCell ref="M28:W28"/>
    <mergeCell ref="M63:N64"/>
    <mergeCell ref="O63:W63"/>
    <mergeCell ref="M65:M84"/>
    <mergeCell ref="M62:W62"/>
    <mergeCell ref="M38:U38"/>
    <mergeCell ref="M39:W39"/>
    <mergeCell ref="M42:M61"/>
    <mergeCell ref="M40:N41"/>
    <mergeCell ref="O40:W40"/>
    <mergeCell ref="M29:U29"/>
    <mergeCell ref="M30:U30"/>
    <mergeCell ref="M31:U31"/>
    <mergeCell ref="M32:U32"/>
    <mergeCell ref="M33:U33"/>
    <mergeCell ref="M36:U36"/>
    <mergeCell ref="M35:U35"/>
    <mergeCell ref="M37:U37"/>
    <mergeCell ref="F65:I66"/>
    <mergeCell ref="F64:K64"/>
    <mergeCell ref="F74:I74"/>
    <mergeCell ref="F75:K75"/>
    <mergeCell ref="F67:I67"/>
    <mergeCell ref="F68:I68"/>
    <mergeCell ref="F69:I69"/>
    <mergeCell ref="F70:I70"/>
    <mergeCell ref="F71:I71"/>
    <mergeCell ref="F50:I51"/>
    <mergeCell ref="F48:K48"/>
    <mergeCell ref="F49:I49"/>
    <mergeCell ref="F32:K32"/>
    <mergeCell ref="M34:U34"/>
    <mergeCell ref="F52:K52"/>
    <mergeCell ref="F57:K57"/>
    <mergeCell ref="F58:I59"/>
    <mergeCell ref="F60:K60"/>
    <mergeCell ref="M167:U167"/>
    <mergeCell ref="M168:U168"/>
    <mergeCell ref="M169:U169"/>
    <mergeCell ref="M166:U166"/>
    <mergeCell ref="M165:U165"/>
    <mergeCell ref="Z34:AD34"/>
    <mergeCell ref="AA35:AB35"/>
    <mergeCell ref="M175:W175"/>
    <mergeCell ref="M145:U145"/>
    <mergeCell ref="M146:U146"/>
    <mergeCell ref="M142:U142"/>
    <mergeCell ref="AA36:AB36"/>
    <mergeCell ref="M140:W140"/>
    <mergeCell ref="M143:U143"/>
    <mergeCell ref="M144:U144"/>
    <mergeCell ref="M138:P138"/>
    <mergeCell ref="M139:P139"/>
    <mergeCell ref="Q138:W138"/>
    <mergeCell ref="Q139:W139"/>
    <mergeCell ref="M141:U141"/>
    <mergeCell ref="P124:T124"/>
    <mergeCell ref="P125:T125"/>
    <mergeCell ref="P126:T126"/>
    <mergeCell ref="M108:U10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N11:N12"/>
    <mergeCell ref="O11:O12"/>
    <mergeCell ref="P11:P12"/>
    <mergeCell ref="Q11:Q12"/>
    <mergeCell ref="R11:R12"/>
    <mergeCell ref="S11:S12"/>
    <mergeCell ref="T11:T12"/>
    <mergeCell ref="U11:U12"/>
    <mergeCell ref="V11:V12"/>
    <mergeCell ref="Q13:Q14"/>
    <mergeCell ref="R13:R14"/>
    <mergeCell ref="S13:S14"/>
    <mergeCell ref="T13:T14"/>
    <mergeCell ref="U13:U14"/>
    <mergeCell ref="N15:N16"/>
    <mergeCell ref="O15:O16"/>
    <mergeCell ref="P15:P16"/>
    <mergeCell ref="Q15:Q16"/>
    <mergeCell ref="R15:R16"/>
    <mergeCell ref="S15:S16"/>
    <mergeCell ref="T15:T16"/>
    <mergeCell ref="U15:U16"/>
    <mergeCell ref="W7:W8"/>
    <mergeCell ref="W9:W10"/>
    <mergeCell ref="W11:W12"/>
    <mergeCell ref="W13:W14"/>
    <mergeCell ref="W15:W16"/>
    <mergeCell ref="W17:W18"/>
    <mergeCell ref="N19:V20"/>
    <mergeCell ref="N21:V22"/>
    <mergeCell ref="W19:W20"/>
    <mergeCell ref="W21:W22"/>
    <mergeCell ref="N17:N18"/>
    <mergeCell ref="O17:O18"/>
    <mergeCell ref="P17:P18"/>
    <mergeCell ref="Q17:Q18"/>
    <mergeCell ref="R17:R18"/>
    <mergeCell ref="S17:S18"/>
    <mergeCell ref="T17:T18"/>
    <mergeCell ref="U17:U18"/>
    <mergeCell ref="V13:V14"/>
    <mergeCell ref="V15:V16"/>
    <mergeCell ref="V17:V18"/>
    <mergeCell ref="N13:N14"/>
    <mergeCell ref="O13:O14"/>
    <mergeCell ref="P13:P14"/>
    <mergeCell ref="F90:I90"/>
    <mergeCell ref="F91:H92"/>
    <mergeCell ref="F93:I93"/>
    <mergeCell ref="F94:I94"/>
    <mergeCell ref="F95:I95"/>
    <mergeCell ref="F96:I96"/>
    <mergeCell ref="F97:I97"/>
    <mergeCell ref="F81:K81"/>
    <mergeCell ref="F82:I82"/>
    <mergeCell ref="F83:I83"/>
    <mergeCell ref="F84:I84"/>
    <mergeCell ref="F85:I85"/>
    <mergeCell ref="F86:I86"/>
    <mergeCell ref="F87:I87"/>
    <mergeCell ref="F88:I88"/>
    <mergeCell ref="F89:I89"/>
    <mergeCell ref="F107:I107"/>
    <mergeCell ref="F108:I108"/>
    <mergeCell ref="F109:I109"/>
    <mergeCell ref="C109:E109"/>
    <mergeCell ref="F98:I98"/>
    <mergeCell ref="F99:I99"/>
    <mergeCell ref="F100:I100"/>
    <mergeCell ref="F101:I101"/>
    <mergeCell ref="F102:I102"/>
    <mergeCell ref="F103:I103"/>
    <mergeCell ref="F104:I104"/>
    <mergeCell ref="F105:I105"/>
    <mergeCell ref="F106:I106"/>
  </mergeCells>
  <pageMargins left="0.7" right="0.7" top="0.75" bottom="0.75" header="0.3" footer="0.3"/>
  <pageSetup paperSize="9" orientation="portrait" r:id="rId1"/>
  <ignoredErrors>
    <ignoredError sqref="J9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5" sqref="G25"/>
    </sheetView>
  </sheetViews>
  <sheetFormatPr defaultRowHeight="14.25"/>
  <cols>
    <col min="7" max="7" width="9.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PC</cp:lastModifiedBy>
  <dcterms:created xsi:type="dcterms:W3CDTF">2021-01-02T12:59:15Z</dcterms:created>
  <dcterms:modified xsi:type="dcterms:W3CDTF">2021-10-09T21:31:04Z</dcterms:modified>
</cp:coreProperties>
</file>