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A:\Projects\"/>
    </mc:Choice>
  </mc:AlternateContent>
  <xr:revisionPtr revIDLastSave="0" documentId="13_ncr:1_{F0DB6390-FFF9-4566-A4B9-BF5955FB7C7A}" xr6:coauthVersionLast="47" xr6:coauthVersionMax="47" xr10:uidLastSave="{00000000-0000-0000-0000-000000000000}"/>
  <bookViews>
    <workbookView xWindow="20370" yWindow="-120" windowWidth="29040" windowHeight="15990" activeTab="1" xr2:uid="{317BD5CF-0887-4AD1-8883-A0AC6B392B46}"/>
  </bookViews>
  <sheets>
    <sheet name="Sales Dashboard" sheetId="5" r:id="rId1"/>
    <sheet name="Quick Sales Report" sheetId="6" r:id="rId2"/>
    <sheet name="Data" sheetId="1" state="hidden" r:id="rId3"/>
    <sheet name="Q1 Quick statistics" sheetId="2" state="hidden" r:id="rId4"/>
    <sheet name="Sheet3" sheetId="3" state="hidden" r:id="rId5"/>
    <sheet name="anomalies" sheetId="4" state="hidden" r:id="rId6"/>
  </sheets>
  <definedNames>
    <definedName name="_xlnm._FilterDatabase" localSheetId="5" hidden="1">anomalies!$A$4:$E$304</definedName>
    <definedName name="_xlnm._FilterDatabase" localSheetId="3" hidden="1">'Q1 Quick statistics'!$H$3:$K$9</definedName>
    <definedName name="_xlchart.v1.0" hidden="1">anomalies!$B$5:$B$304</definedName>
    <definedName name="_xlchart.v1.1" hidden="1">anomalies!$D$4</definedName>
    <definedName name="_xlchart.v1.2" hidden="1">anomalies!$D$5:$D$304</definedName>
    <definedName name="_xlchart.v1.3" hidden="1">anomalies!$D$4</definedName>
    <definedName name="_xlchart.v1.4" hidden="1">anomalies!$D$5:$D$304</definedName>
    <definedName name="_xlcn.WorksheetConnection_Book1data1" hidden="1">data[]</definedName>
    <definedName name="Slicer_Geography">#N/A</definedName>
    <definedName name="Slicer_Sales_Person">#N/A</definedName>
    <definedName name="Slicer_Sales_Person1">#N/A</definedName>
  </definedNames>
  <calcPr calcId="191029"/>
  <pivotCaches>
    <pivotCache cacheId="3" r:id="rId7"/>
    <pivotCache cacheId="458" r:id="rId8"/>
    <pivotCache cacheId="461" r:id="rId9"/>
    <pivotCache cacheId="464" r:id="rId10"/>
    <pivotCache cacheId="467" r:id="rId11"/>
    <pivotCache cacheId="470" r:id="rId12"/>
    <pivotCache cacheId="558" r:id="rId13"/>
    <pivotCache cacheId="561" r:id="rId14"/>
    <pivotCache cacheId="564" r:id="rId15"/>
    <pivotCache cacheId="567" r:id="rId16"/>
    <pivotCache cacheId="570" r:id="rId17"/>
    <pivotCache cacheId="573" r:id="rId18"/>
    <pivotCache cacheId="576" r:id="rId19"/>
  </pivotCaches>
  <extLst>
    <ext xmlns:x14="http://schemas.microsoft.com/office/spreadsheetml/2009/9/main" uri="{876F7934-8845-4945-9796-88D515C7AA90}">
      <x14:pivotCaches>
        <pivotCache cacheId="473"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ook1!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 i="6" l="1"/>
  <c r="R17" i="6"/>
  <c r="R16" i="6"/>
  <c r="R15" i="6"/>
  <c r="Q18" i="6"/>
  <c r="Q17" i="6"/>
  <c r="Q16" i="6"/>
  <c r="Q15" i="6"/>
  <c r="R12" i="6"/>
  <c r="L18" i="6"/>
  <c r="L17" i="6"/>
  <c r="L16" i="6"/>
  <c r="L15" i="6"/>
  <c r="K18" i="6"/>
  <c r="K17" i="6"/>
  <c r="K16" i="6"/>
  <c r="K15" i="6"/>
  <c r="F12" i="6"/>
  <c r="L12" i="6"/>
  <c r="F18" i="6"/>
  <c r="F17" i="6"/>
  <c r="F16" i="6"/>
  <c r="F15" i="6"/>
  <c r="E18" i="6"/>
  <c r="E17" i="6"/>
  <c r="E16" i="6"/>
  <c r="E15" i="6"/>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F90" i="1"/>
  <c r="G90" i="1" s="1"/>
  <c r="F265" i="1"/>
  <c r="G265" i="1" s="1"/>
  <c r="F263" i="1"/>
  <c r="G263" i="1" s="1"/>
  <c r="F39" i="1"/>
  <c r="G39" i="1" s="1"/>
  <c r="F31" i="1"/>
  <c r="G31" i="1" s="1"/>
  <c r="F222" i="1"/>
  <c r="G222" i="1" s="1"/>
  <c r="F63" i="1"/>
  <c r="G63" i="1" s="1"/>
  <c r="F148" i="1"/>
  <c r="G148" i="1" s="1"/>
  <c r="F35" i="1"/>
  <c r="G35" i="1" s="1"/>
  <c r="F199" i="1"/>
  <c r="G199" i="1" s="1"/>
  <c r="F27" i="1"/>
  <c r="G27" i="1" s="1"/>
  <c r="F211" i="1"/>
  <c r="G211" i="1" s="1"/>
  <c r="F220" i="1"/>
  <c r="G220" i="1" s="1"/>
  <c r="F244" i="1"/>
  <c r="G244" i="1" s="1"/>
  <c r="F164" i="1"/>
  <c r="G164" i="1" s="1"/>
  <c r="F57" i="1"/>
  <c r="G57" i="1" s="1"/>
  <c r="F218" i="1"/>
  <c r="G218" i="1" s="1"/>
  <c r="F152" i="1"/>
  <c r="G152" i="1" s="1"/>
  <c r="F257" i="1"/>
  <c r="G257" i="1" s="1"/>
  <c r="F178" i="1"/>
  <c r="G178" i="1" s="1"/>
  <c r="F121" i="1"/>
  <c r="G121" i="1" s="1"/>
  <c r="F125" i="1"/>
  <c r="G125" i="1" s="1"/>
  <c r="F154" i="1"/>
  <c r="G154" i="1" s="1"/>
  <c r="F188" i="1"/>
  <c r="G188" i="1" s="1"/>
  <c r="F119" i="1"/>
  <c r="G119" i="1" s="1"/>
  <c r="F48" i="1"/>
  <c r="G48" i="1" s="1"/>
  <c r="F117" i="1"/>
  <c r="G117" i="1" s="1"/>
  <c r="F13" i="1"/>
  <c r="G13" i="1" s="1"/>
  <c r="F145" i="1"/>
  <c r="G145" i="1" s="1"/>
  <c r="F261" i="1"/>
  <c r="G261" i="1" s="1"/>
  <c r="F136" i="1"/>
  <c r="G136" i="1" s="1"/>
  <c r="F159" i="1"/>
  <c r="G159" i="1" s="1"/>
  <c r="F264" i="1"/>
  <c r="G264" i="1" s="1"/>
  <c r="F29" i="1"/>
  <c r="G29" i="1" s="1"/>
  <c r="F64" i="1"/>
  <c r="G64" i="1" s="1"/>
  <c r="F232" i="1"/>
  <c r="G232" i="1" s="1"/>
  <c r="F112" i="1"/>
  <c r="G112" i="1" s="1"/>
  <c r="F171" i="1"/>
  <c r="G171" i="1" s="1"/>
  <c r="F89" i="1"/>
  <c r="G89" i="1" s="1"/>
  <c r="F20" i="1"/>
  <c r="G20" i="1" s="1"/>
  <c r="F97" i="1"/>
  <c r="G97" i="1" s="1"/>
  <c r="F150" i="1"/>
  <c r="G150" i="1" s="1"/>
  <c r="F288" i="1"/>
  <c r="G288" i="1" s="1"/>
  <c r="F248" i="1"/>
  <c r="G248" i="1" s="1"/>
  <c r="F108" i="1"/>
  <c r="G108" i="1" s="1"/>
  <c r="F140" i="1"/>
  <c r="G140" i="1" s="1"/>
  <c r="F51" i="1"/>
  <c r="G51" i="1" s="1"/>
  <c r="F65" i="1"/>
  <c r="G65" i="1" s="1"/>
  <c r="F249" i="1"/>
  <c r="G249" i="1" s="1"/>
  <c r="F223" i="1"/>
  <c r="G223" i="1" s="1"/>
  <c r="F250" i="1"/>
  <c r="G250" i="1" s="1"/>
  <c r="F196" i="1"/>
  <c r="G196" i="1" s="1"/>
  <c r="F88" i="1"/>
  <c r="G88" i="1" s="1"/>
  <c r="F192" i="1"/>
  <c r="G192" i="1" s="1"/>
  <c r="F60" i="1"/>
  <c r="G60" i="1" s="1"/>
  <c r="F91" i="1"/>
  <c r="G91" i="1" s="1"/>
  <c r="F282" i="1"/>
  <c r="G282" i="1" s="1"/>
  <c r="F113" i="1"/>
  <c r="G113" i="1" s="1"/>
  <c r="F122" i="1"/>
  <c r="G122" i="1" s="1"/>
  <c r="F162" i="1"/>
  <c r="G162" i="1" s="1"/>
  <c r="F173" i="1"/>
  <c r="G173" i="1" s="1"/>
  <c r="F37" i="1"/>
  <c r="G37" i="1" s="1"/>
  <c r="F118" i="1"/>
  <c r="G118" i="1" s="1"/>
  <c r="F236" i="1"/>
  <c r="G236" i="1" s="1"/>
  <c r="F75" i="1"/>
  <c r="G75" i="1" s="1"/>
  <c r="F189" i="1"/>
  <c r="G189" i="1" s="1"/>
  <c r="F225" i="1"/>
  <c r="G225" i="1" s="1"/>
  <c r="F266" i="1"/>
  <c r="G266" i="1" s="1"/>
  <c r="F273" i="1"/>
  <c r="G273" i="1" s="1"/>
  <c r="F66" i="1"/>
  <c r="G66" i="1" s="1"/>
  <c r="F161" i="1"/>
  <c r="G161" i="1" s="1"/>
  <c r="F247" i="1"/>
  <c r="G247" i="1" s="1"/>
  <c r="F215" i="1"/>
  <c r="G215" i="1" s="1"/>
  <c r="F46" i="1"/>
  <c r="G46" i="1" s="1"/>
  <c r="F43" i="1"/>
  <c r="G43" i="1" s="1"/>
  <c r="F144" i="1"/>
  <c r="G144" i="1" s="1"/>
  <c r="F26" i="1"/>
  <c r="G26" i="1" s="1"/>
  <c r="F101" i="1"/>
  <c r="G101" i="1" s="1"/>
  <c r="F16" i="1"/>
  <c r="G16" i="1" s="1"/>
  <c r="F128" i="1"/>
  <c r="G128" i="1" s="1"/>
  <c r="F286" i="1"/>
  <c r="G286" i="1" s="1"/>
  <c r="F94" i="1"/>
  <c r="G94" i="1" s="1"/>
  <c r="F182" i="1"/>
  <c r="G182" i="1" s="1"/>
  <c r="F224" i="1"/>
  <c r="G224" i="1" s="1"/>
  <c r="F295" i="1"/>
  <c r="G295" i="1" s="1"/>
  <c r="F15" i="1"/>
  <c r="G15" i="1" s="1"/>
  <c r="F49" i="1"/>
  <c r="G49" i="1" s="1"/>
  <c r="F123" i="1"/>
  <c r="G123" i="1" s="1"/>
  <c r="F253" i="1"/>
  <c r="G253" i="1" s="1"/>
  <c r="F217" i="1"/>
  <c r="G217" i="1" s="1"/>
  <c r="F221" i="1"/>
  <c r="G221" i="1" s="1"/>
  <c r="F260" i="1"/>
  <c r="G260" i="1" s="1"/>
  <c r="F219" i="1"/>
  <c r="G219" i="1" s="1"/>
  <c r="F28" i="1"/>
  <c r="G28" i="1" s="1"/>
  <c r="F106" i="1"/>
  <c r="G106" i="1" s="1"/>
  <c r="F166" i="1"/>
  <c r="G166" i="1" s="1"/>
  <c r="F258" i="1"/>
  <c r="G258" i="1" s="1"/>
  <c r="F209" i="1"/>
  <c r="G209" i="1" s="1"/>
  <c r="F53" i="1"/>
  <c r="G53" i="1" s="1"/>
  <c r="F67" i="1"/>
  <c r="G67" i="1" s="1"/>
  <c r="F137" i="1"/>
  <c r="G137" i="1" s="1"/>
  <c r="F180" i="1"/>
  <c r="G180" i="1" s="1"/>
  <c r="F195" i="1"/>
  <c r="G195" i="1" s="1"/>
  <c r="F36" i="1"/>
  <c r="G36" i="1" s="1"/>
  <c r="F80" i="1"/>
  <c r="G80" i="1" s="1"/>
  <c r="F114" i="1"/>
  <c r="G114" i="1" s="1"/>
  <c r="F267" i="1"/>
  <c r="G267" i="1" s="1"/>
  <c r="F105" i="1"/>
  <c r="G105" i="1" s="1"/>
  <c r="F131" i="1"/>
  <c r="G131" i="1" s="1"/>
  <c r="F92" i="1"/>
  <c r="G92" i="1" s="1"/>
  <c r="F212" i="1"/>
  <c r="G212" i="1" s="1"/>
  <c r="F300" i="1"/>
  <c r="G300" i="1" s="1"/>
  <c r="F142" i="1"/>
  <c r="G142" i="1" s="1"/>
  <c r="F22" i="1"/>
  <c r="G22" i="1" s="1"/>
  <c r="F132" i="1"/>
  <c r="G132" i="1" s="1"/>
  <c r="F252" i="1"/>
  <c r="G252" i="1" s="1"/>
  <c r="F141" i="1"/>
  <c r="G141" i="1" s="1"/>
  <c r="F296" i="1"/>
  <c r="G296" i="1" s="1"/>
  <c r="F99" i="1"/>
  <c r="G99" i="1" s="1"/>
  <c r="F104" i="1"/>
  <c r="G104" i="1" s="1"/>
  <c r="F127" i="1"/>
  <c r="G127" i="1" s="1"/>
  <c r="F124" i="1"/>
  <c r="G124" i="1" s="1"/>
  <c r="F100" i="1"/>
  <c r="G100" i="1" s="1"/>
  <c r="F143" i="1"/>
  <c r="G143" i="1" s="1"/>
  <c r="F299" i="1"/>
  <c r="G299" i="1" s="1"/>
  <c r="F254" i="1"/>
  <c r="G254" i="1" s="1"/>
  <c r="F84" i="1"/>
  <c r="G84" i="1" s="1"/>
  <c r="F134" i="1"/>
  <c r="G134" i="1" s="1"/>
  <c r="F191" i="1"/>
  <c r="G191" i="1" s="1"/>
  <c r="F284" i="1"/>
  <c r="G284" i="1" s="1"/>
  <c r="F204" i="1"/>
  <c r="G204" i="1" s="1"/>
  <c r="F233" i="1"/>
  <c r="G233" i="1" s="1"/>
  <c r="F205" i="1"/>
  <c r="G205" i="1" s="1"/>
  <c r="F198" i="1"/>
  <c r="G198" i="1" s="1"/>
  <c r="F243" i="1"/>
  <c r="G243" i="1" s="1"/>
  <c r="F255" i="1"/>
  <c r="G255" i="1" s="1"/>
  <c r="F301" i="1"/>
  <c r="G301" i="1" s="1"/>
  <c r="F262" i="1"/>
  <c r="G262" i="1" s="1"/>
  <c r="F56" i="1"/>
  <c r="G56" i="1" s="1"/>
  <c r="F107" i="1"/>
  <c r="G107" i="1" s="1"/>
  <c r="F133" i="1"/>
  <c r="G133" i="1" s="1"/>
  <c r="F231" i="1"/>
  <c r="G231" i="1" s="1"/>
  <c r="F283" i="1"/>
  <c r="G283" i="1" s="1"/>
  <c r="F62" i="1"/>
  <c r="G62" i="1" s="1"/>
  <c r="F110" i="1"/>
  <c r="G110" i="1" s="1"/>
  <c r="F153" i="1"/>
  <c r="G153" i="1" s="1"/>
  <c r="F197" i="1"/>
  <c r="G197" i="1" s="1"/>
  <c r="F297" i="1"/>
  <c r="G297" i="1" s="1"/>
  <c r="F14" i="1"/>
  <c r="G14" i="1" s="1"/>
  <c r="F44" i="1"/>
  <c r="G44" i="1" s="1"/>
  <c r="F181" i="1"/>
  <c r="G181" i="1" s="1"/>
  <c r="F203" i="1"/>
  <c r="G203" i="1" s="1"/>
  <c r="F206" i="1"/>
  <c r="G206" i="1" s="1"/>
  <c r="F214" i="1"/>
  <c r="G214" i="1" s="1"/>
  <c r="F174" i="1"/>
  <c r="G174" i="1" s="1"/>
  <c r="F207" i="1"/>
  <c r="G207" i="1" s="1"/>
  <c r="F230" i="1"/>
  <c r="G230" i="1" s="1"/>
  <c r="F120" i="1"/>
  <c r="G120" i="1" s="1"/>
  <c r="F237" i="1"/>
  <c r="G237" i="1" s="1"/>
  <c r="F70" i="1"/>
  <c r="G70" i="1" s="1"/>
  <c r="F79" i="1"/>
  <c r="G79" i="1" s="1"/>
  <c r="F138" i="1"/>
  <c r="G138" i="1" s="1"/>
  <c r="F170" i="1"/>
  <c r="G170" i="1" s="1"/>
  <c r="F226" i="1"/>
  <c r="G226" i="1" s="1"/>
  <c r="F238" i="1"/>
  <c r="G238" i="1" s="1"/>
  <c r="F190" i="1"/>
  <c r="G190" i="1" s="1"/>
  <c r="F271" i="1"/>
  <c r="G271" i="1" s="1"/>
  <c r="F50" i="1"/>
  <c r="G50" i="1" s="1"/>
  <c r="F151" i="1"/>
  <c r="G151" i="1" s="1"/>
  <c r="F234" i="1"/>
  <c r="G234" i="1" s="1"/>
  <c r="F78" i="1"/>
  <c r="G78" i="1" s="1"/>
  <c r="F168" i="1"/>
  <c r="G168" i="1" s="1"/>
  <c r="F177" i="1"/>
  <c r="G177" i="1" s="1"/>
  <c r="F227" i="1"/>
  <c r="G227" i="1" s="1"/>
  <c r="F241" i="1"/>
  <c r="G241" i="1" s="1"/>
  <c r="F17" i="1"/>
  <c r="G17" i="1" s="1"/>
  <c r="F34" i="1"/>
  <c r="G34" i="1" s="1"/>
  <c r="F185" i="1"/>
  <c r="G185" i="1" s="1"/>
  <c r="F21" i="1"/>
  <c r="G21" i="1" s="1"/>
  <c r="F41" i="1"/>
  <c r="G41" i="1" s="1"/>
  <c r="F268" i="1"/>
  <c r="G268" i="1" s="1"/>
  <c r="F272" i="1"/>
  <c r="G272" i="1" s="1"/>
  <c r="F281" i="1"/>
  <c r="G281" i="1" s="1"/>
  <c r="F285" i="1"/>
  <c r="G285" i="1" s="1"/>
  <c r="F12" i="1"/>
  <c r="G12" i="1" s="1"/>
  <c r="F279" i="1"/>
  <c r="G279" i="1" s="1"/>
  <c r="F293" i="1"/>
  <c r="G293" i="1" s="1"/>
  <c r="F38" i="1"/>
  <c r="G38" i="1" s="1"/>
  <c r="F55" i="1"/>
  <c r="G55" i="1" s="1"/>
  <c r="F147" i="1"/>
  <c r="G147" i="1" s="1"/>
  <c r="F274" i="1"/>
  <c r="G274" i="1" s="1"/>
  <c r="F69" i="1"/>
  <c r="G69" i="1" s="1"/>
  <c r="F213" i="1"/>
  <c r="G213" i="1" s="1"/>
  <c r="F33" i="1"/>
  <c r="G33" i="1" s="1"/>
  <c r="F155" i="1"/>
  <c r="G155" i="1" s="1"/>
  <c r="F157" i="1"/>
  <c r="G157" i="1" s="1"/>
  <c r="F175" i="1"/>
  <c r="G175" i="1" s="1"/>
  <c r="F202" i="1"/>
  <c r="G202" i="1" s="1"/>
  <c r="F245" i="1"/>
  <c r="G245" i="1" s="1"/>
  <c r="F256" i="1"/>
  <c r="G256" i="1" s="1"/>
  <c r="F277" i="1"/>
  <c r="G277" i="1" s="1"/>
  <c r="F280" i="1"/>
  <c r="G280" i="1" s="1"/>
  <c r="F25" i="1"/>
  <c r="G25" i="1" s="1"/>
  <c r="F135" i="1"/>
  <c r="G135" i="1" s="1"/>
  <c r="F158" i="1"/>
  <c r="G158" i="1" s="1"/>
  <c r="F242" i="1"/>
  <c r="G242" i="1" s="1"/>
  <c r="F111" i="1"/>
  <c r="G111" i="1" s="1"/>
  <c r="F210" i="1"/>
  <c r="G210" i="1" s="1"/>
  <c r="F77" i="1"/>
  <c r="G77" i="1" s="1"/>
  <c r="F116" i="1"/>
  <c r="G116" i="1" s="1"/>
  <c r="F200" i="1"/>
  <c r="G200" i="1" s="1"/>
  <c r="F228" i="1"/>
  <c r="G228" i="1" s="1"/>
  <c r="F278" i="1"/>
  <c r="G278" i="1" s="1"/>
  <c r="F129" i="1"/>
  <c r="G129" i="1" s="1"/>
  <c r="F24" i="1"/>
  <c r="G24" i="1" s="1"/>
  <c r="F52" i="1"/>
  <c r="G52" i="1" s="1"/>
  <c r="F68" i="1"/>
  <c r="G68" i="1" s="1"/>
  <c r="F160" i="1"/>
  <c r="G160" i="1" s="1"/>
  <c r="F179" i="1"/>
  <c r="G179" i="1" s="1"/>
  <c r="F251" i="1"/>
  <c r="G251" i="1" s="1"/>
  <c r="F287" i="1"/>
  <c r="G287" i="1" s="1"/>
  <c r="F96" i="1"/>
  <c r="G96" i="1" s="1"/>
  <c r="F146" i="1"/>
  <c r="G146" i="1" s="1"/>
  <c r="F270" i="1"/>
  <c r="G270" i="1" s="1"/>
  <c r="F298" i="1"/>
  <c r="G298" i="1" s="1"/>
  <c r="F61" i="1"/>
  <c r="G61" i="1" s="1"/>
  <c r="F71" i="1"/>
  <c r="G71" i="1" s="1"/>
  <c r="F201" i="1"/>
  <c r="G201" i="1" s="1"/>
  <c r="F229" i="1"/>
  <c r="G229" i="1" s="1"/>
  <c r="F276" i="1"/>
  <c r="G276" i="1" s="1"/>
  <c r="F291" i="1"/>
  <c r="G291" i="1" s="1"/>
  <c r="F292" i="1"/>
  <c r="G292" i="1" s="1"/>
  <c r="F45" i="1"/>
  <c r="G45" i="1" s="1"/>
  <c r="F76" i="1"/>
  <c r="G76" i="1" s="1"/>
  <c r="F169" i="1"/>
  <c r="G169" i="1" s="1"/>
  <c r="F186" i="1"/>
  <c r="G186" i="1" s="1"/>
  <c r="F32" i="1"/>
  <c r="G32" i="1" s="1"/>
  <c r="F74" i="1"/>
  <c r="G74" i="1" s="1"/>
  <c r="F87" i="1"/>
  <c r="G87" i="1" s="1"/>
  <c r="F172" i="1"/>
  <c r="G172" i="1" s="1"/>
  <c r="F40" i="1"/>
  <c r="G40" i="1" s="1"/>
  <c r="F156" i="1"/>
  <c r="G156" i="1" s="1"/>
  <c r="F216" i="1"/>
  <c r="G216" i="1" s="1"/>
  <c r="F239" i="1"/>
  <c r="G239" i="1" s="1"/>
  <c r="F23" i="1"/>
  <c r="G23" i="1" s="1"/>
  <c r="F47" i="1"/>
  <c r="G47" i="1" s="1"/>
  <c r="F109" i="1"/>
  <c r="G109" i="1" s="1"/>
  <c r="F269" i="1"/>
  <c r="G269" i="1" s="1"/>
  <c r="F290" i="1"/>
  <c r="G290" i="1" s="1"/>
  <c r="F18" i="1"/>
  <c r="G18" i="1" s="1"/>
  <c r="F72" i="1"/>
  <c r="G72" i="1" s="1"/>
  <c r="F93" i="1"/>
  <c r="G93" i="1" s="1"/>
  <c r="F115" i="1"/>
  <c r="G115" i="1" s="1"/>
  <c r="F126" i="1"/>
  <c r="G126" i="1" s="1"/>
  <c r="F19" i="1"/>
  <c r="G19" i="1" s="1"/>
  <c r="F58" i="1"/>
  <c r="G58" i="1" s="1"/>
  <c r="F83" i="1"/>
  <c r="G83" i="1" s="1"/>
  <c r="F163" i="1"/>
  <c r="G163" i="1" s="1"/>
  <c r="F208" i="1"/>
  <c r="G208" i="1" s="1"/>
  <c r="F235" i="1"/>
  <c r="G235" i="1" s="1"/>
  <c r="F130" i="1"/>
  <c r="G130" i="1" s="1"/>
  <c r="F139" i="1"/>
  <c r="G139" i="1" s="1"/>
  <c r="F30" i="1"/>
  <c r="G30" i="1" s="1"/>
  <c r="F42" i="1"/>
  <c r="G42" i="1" s="1"/>
  <c r="F54" i="1"/>
  <c r="G54" i="1" s="1"/>
  <c r="F98" i="1"/>
  <c r="G98" i="1" s="1"/>
  <c r="F187" i="1"/>
  <c r="G187" i="1" s="1"/>
  <c r="F294" i="1"/>
  <c r="G294" i="1" s="1"/>
  <c r="F183" i="1"/>
  <c r="G183" i="1" s="1"/>
  <c r="F246" i="1"/>
  <c r="G246" i="1" s="1"/>
  <c r="F289" i="1"/>
  <c r="G289" i="1" s="1"/>
  <c r="F73" i="1"/>
  <c r="G73" i="1" s="1"/>
  <c r="F193" i="1"/>
  <c r="G193" i="1" s="1"/>
  <c r="F240" i="1"/>
  <c r="G240" i="1" s="1"/>
  <c r="F275" i="1"/>
  <c r="G275" i="1" s="1"/>
  <c r="F86" i="1"/>
  <c r="G86" i="1" s="1"/>
  <c r="F102" i="1"/>
  <c r="G102" i="1" s="1"/>
  <c r="F81" i="1"/>
  <c r="G81" i="1" s="1"/>
  <c r="F103" i="1"/>
  <c r="G103" i="1" s="1"/>
  <c r="F167" i="1"/>
  <c r="G167" i="1" s="1"/>
  <c r="F176" i="1"/>
  <c r="G176" i="1" s="1"/>
  <c r="F194" i="1"/>
  <c r="G194" i="1" s="1"/>
  <c r="F59" i="1"/>
  <c r="G59" i="1" s="1"/>
  <c r="F184" i="1"/>
  <c r="G184" i="1" s="1"/>
  <c r="F259" i="1"/>
  <c r="G259" i="1" s="1"/>
  <c r="F82" i="1"/>
  <c r="G82" i="1" s="1"/>
  <c r="F85" i="1"/>
  <c r="G85" i="1" s="1"/>
  <c r="F149" i="1"/>
  <c r="G149" i="1" s="1"/>
  <c r="F165" i="1"/>
  <c r="G165" i="1" s="1"/>
  <c r="F95" i="1"/>
  <c r="G95" i="1" s="1"/>
  <c r="F3" i="1"/>
  <c r="G3" i="1" s="1"/>
  <c r="F7" i="1"/>
  <c r="G7" i="1" s="1"/>
  <c r="F11" i="1"/>
  <c r="G11" i="1" s="1"/>
  <c r="F9" i="1"/>
  <c r="G9" i="1" s="1"/>
  <c r="F5" i="1"/>
  <c r="G5" i="1" s="1"/>
  <c r="F4" i="1"/>
  <c r="G4" i="1" s="1"/>
  <c r="F8" i="1"/>
  <c r="G8" i="1" s="1"/>
  <c r="F2" i="1"/>
  <c r="G2" i="1" s="1"/>
  <c r="F6" i="1"/>
  <c r="G6" i="1" s="1"/>
  <c r="F10" i="1"/>
  <c r="G10" i="1" s="1"/>
  <c r="J5" i="2"/>
  <c r="J6" i="2"/>
  <c r="J7" i="2"/>
  <c r="J8" i="2"/>
  <c r="J9" i="2"/>
  <c r="J4" i="2"/>
  <c r="M4" i="2" a="1"/>
  <c r="O9" i="2" s="1"/>
  <c r="C13" i="2"/>
  <c r="D11" i="2"/>
  <c r="C11" i="2"/>
  <c r="D10" i="2"/>
  <c r="C10" i="2"/>
  <c r="D7" i="2"/>
  <c r="D6" i="2"/>
  <c r="C7" i="2"/>
  <c r="C6" i="2"/>
  <c r="D5" i="2"/>
  <c r="C5" i="2"/>
  <c r="D4" i="2"/>
  <c r="C4" i="2"/>
  <c r="D8" i="2" l="1"/>
  <c r="O8" i="2"/>
  <c r="O6" i="2"/>
  <c r="M4" i="2"/>
  <c r="N9" i="2"/>
  <c r="N6" i="2"/>
  <c r="N7" i="2"/>
  <c r="O7" i="2"/>
  <c r="N8" i="2"/>
  <c r="N5" i="2"/>
  <c r="O5" i="2"/>
  <c r="C8" i="2"/>
  <c r="O4" i="2" l="1"/>
  <c r="N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F8A28F-AB34-4E2F-BE0D-D31CE5293E4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69214B3-2C93-4D4D-B84F-957C4D08391E}" name="WorksheetConnection_Book1!data" type="102" refreshedVersion="7" minRefreshableVersion="5">
    <extLst>
      <ext xmlns:x15="http://schemas.microsoft.com/office/spreadsheetml/2010/11/main" uri="{DE250136-89BD-433C-8126-D09CA5730AF9}">
        <x15:connection id="data" autoDelete="1">
          <x15:rangePr sourceName="_xlcn.WorksheetConnection_Book1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<sst xmlns="http://schemas.openxmlformats.org/spreadsheetml/2006/main" count="2185" uniqueCount="98">
  <si>
    <t>Sales Person</t>
  </si>
  <si>
    <t>Geography</t>
  </si>
  <si>
    <t>Product</t>
  </si>
  <si>
    <t>Amount</t>
  </si>
  <si>
    <t>Units</t>
  </si>
  <si>
    <t>Questions</t>
  </si>
  <si>
    <t>Cost per unit</t>
  </si>
  <si>
    <t>Ram Mahesh</t>
  </si>
  <si>
    <t>New Zealand</t>
  </si>
  <si>
    <t>70% Dark Bites</t>
  </si>
  <si>
    <t>Quick statistics</t>
  </si>
  <si>
    <t>Milk Bars</t>
  </si>
  <si>
    <t>Brien Boise</t>
  </si>
  <si>
    <t>USA</t>
  </si>
  <si>
    <t>Choco Coated Almonds</t>
  </si>
  <si>
    <t>Exploratory Data Analysis (EDA) with CF</t>
  </si>
  <si>
    <t>50% Dark Bites</t>
  </si>
  <si>
    <t>Husein Augar</t>
  </si>
  <si>
    <t>Almond Choco</t>
  </si>
  <si>
    <t>Sales by country (with formulas)</t>
  </si>
  <si>
    <t>Carla Molina</t>
  </si>
  <si>
    <t>Canada</t>
  </si>
  <si>
    <t>Drinking Coco</t>
  </si>
  <si>
    <t>Sales by country (with pivots)</t>
  </si>
  <si>
    <t>Raspberry Choco</t>
  </si>
  <si>
    <t>Curtice Advani</t>
  </si>
  <si>
    <t>UK</t>
  </si>
  <si>
    <t>White Choc</t>
  </si>
  <si>
    <t>Top 5 products by $ per unit</t>
  </si>
  <si>
    <t>Mint Chip Choco</t>
  </si>
  <si>
    <t>Peanut Butter Cubes</t>
  </si>
  <si>
    <t>Are there any anomalies in the data?</t>
  </si>
  <si>
    <t>Eclairs</t>
  </si>
  <si>
    <t>Australia</t>
  </si>
  <si>
    <t>Smooth Sliky Salty</t>
  </si>
  <si>
    <t>Best Sales person by country</t>
  </si>
  <si>
    <t>After Nines</t>
  </si>
  <si>
    <t>Profits by product (using products table) - See column Y</t>
  </si>
  <si>
    <t>99% Dark &amp; Pure</t>
  </si>
  <si>
    <t>Ches Bonnell</t>
  </si>
  <si>
    <t>Dynamic country-level Sales Report</t>
  </si>
  <si>
    <t>Orange Choco</t>
  </si>
  <si>
    <t>Gigi Bohling</t>
  </si>
  <si>
    <t>Which products to discontinue?</t>
  </si>
  <si>
    <t>Spicy Special Slims</t>
  </si>
  <si>
    <t>Barr Faughny</t>
  </si>
  <si>
    <t>Gunar Cockshoot</t>
  </si>
  <si>
    <t>Fruit &amp; Nut Bars</t>
  </si>
  <si>
    <t>85% Dark Bars</t>
  </si>
  <si>
    <t>India</t>
  </si>
  <si>
    <t>Baker's Choco Chips</t>
  </si>
  <si>
    <t>Manuka Honey Choco</t>
  </si>
  <si>
    <t>Organic Choco Syrup</t>
  </si>
  <si>
    <t>Caramel Stuffed Bars</t>
  </si>
  <si>
    <t>Oby Sorrel</t>
  </si>
  <si>
    <t>average</t>
  </si>
  <si>
    <t>amount</t>
  </si>
  <si>
    <t>unit</t>
  </si>
  <si>
    <t>median</t>
  </si>
  <si>
    <t>Min val</t>
  </si>
  <si>
    <t>Max val</t>
  </si>
  <si>
    <t>Range</t>
  </si>
  <si>
    <t>1st Q</t>
  </si>
  <si>
    <t>3rd Q</t>
  </si>
  <si>
    <t xml:space="preserve">Distinct count of products </t>
  </si>
  <si>
    <t>Sales by country</t>
  </si>
  <si>
    <t>Country</t>
  </si>
  <si>
    <t>Sales by country pivot tables</t>
  </si>
  <si>
    <t>Row Labels</t>
  </si>
  <si>
    <t>Grand Total</t>
  </si>
  <si>
    <t>Sum of Amount</t>
  </si>
  <si>
    <t>Sum of Units</t>
  </si>
  <si>
    <t xml:space="preserve"> </t>
  </si>
  <si>
    <t>Top 5 items with $ per unit</t>
  </si>
  <si>
    <t>Total cost</t>
  </si>
  <si>
    <t>Sum of Total cost</t>
  </si>
  <si>
    <t>Total profit</t>
  </si>
  <si>
    <t>Profits made</t>
  </si>
  <si>
    <t>Total sales</t>
  </si>
  <si>
    <t>Total costs</t>
  </si>
  <si>
    <t>Average sales</t>
  </si>
  <si>
    <t>Average units sold</t>
  </si>
  <si>
    <t>Top 5 Products</t>
  </si>
  <si>
    <t>Pick a country</t>
  </si>
  <si>
    <t>Quick summary</t>
  </si>
  <si>
    <t>Number of transactions</t>
  </si>
  <si>
    <t>Total</t>
  </si>
  <si>
    <t>Average</t>
  </si>
  <si>
    <t>Sales</t>
  </si>
  <si>
    <t>Cost</t>
  </si>
  <si>
    <t>Profit</t>
  </si>
  <si>
    <t>Quantity</t>
  </si>
  <si>
    <t>Pick a product</t>
  </si>
  <si>
    <t>Pick a sales personnel</t>
  </si>
  <si>
    <t>Number of sales made</t>
  </si>
  <si>
    <t xml:space="preserve">  </t>
  </si>
  <si>
    <t xml:space="preserve">     </t>
  </si>
  <si>
    <t xml:space="preserve">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</si>
</sst>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C09]#,##0.00"/>
    <numFmt numFmtId="167" formatCode="[$$-C09]#,##0"/>
    <numFmt numFmtId="168" formatCode="\$#,##0.00;\-\$#,##0.00;\$#,##0.00"/>
    <numFmt numFmtId="169" formatCode="\$#,##0;\-\$#,##0;\$#,##0"/>
  </numFmts>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6" tint="-0.249977111117893"/>
      <name val="Calibri"/>
      <family val="2"/>
      <scheme val="minor"/>
    </font>
    <font>
      <b/>
      <sz val="26"/>
      <color theme="1"/>
      <name val="Cambria Math"/>
      <family val="1"/>
    </font>
    <font>
      <sz val="11"/>
      <color theme="0"/>
      <name val="Calibri"/>
      <family val="2"/>
      <scheme val="minor"/>
    </font>
    <font>
      <b/>
      <sz val="12"/>
      <color theme="0" tint="-4.9989318521683403E-2"/>
      <name val="Calibri"/>
      <family val="2"/>
      <scheme val="minor"/>
    </font>
    <font>
      <sz val="12"/>
      <color theme="0" tint="-4.9989318521683403E-2"/>
      <name val="Calibri"/>
      <family val="2"/>
      <scheme val="minor"/>
    </font>
    <font>
      <b/>
      <sz val="12"/>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0"/>
        <bgColor indexed="64"/>
      </patternFill>
    </fill>
  </fills>
  <borders count="9">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tted">
        <color theme="0" tint="-0.24994659260841701"/>
      </bottom>
      <diagonal/>
    </border>
    <border>
      <left/>
      <right/>
      <top style="thin">
        <color theme="4" tint="0.39997558519241921"/>
      </top>
      <bottom style="thin">
        <color theme="4" tint="0.39997558519241921"/>
      </bottom>
      <diagonal/>
    </border>
    <border>
      <left/>
      <right/>
      <top style="thin">
        <color theme="2" tint="-0.499984740745262"/>
      </top>
      <bottom style="thin">
        <color theme="2" tint="-0.499984740745262"/>
      </bottom>
      <diagonal/>
    </border>
    <border>
      <left/>
      <right/>
      <top/>
      <bottom style="thin">
        <color theme="2" tint="-0.499984740745262"/>
      </bottom>
      <diagonal/>
    </border>
    <border>
      <left/>
      <right/>
      <top style="thin">
        <color theme="0" tint="-0.499984740745262"/>
      </top>
      <bottom style="thin">
        <color theme="0" tint="-0.499984740745262"/>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horizontal="right"/>
    </xf>
    <xf numFmtId="164" fontId="0" fillId="0" borderId="0" xfId="0" applyNumberFormat="1"/>
    <xf numFmtId="3" fontId="0" fillId="0" borderId="0" xfId="0" applyNumberFormat="1"/>
    <xf numFmtId="0" fontId="2" fillId="0" borderId="1" xfId="0" applyFont="1" applyBorder="1"/>
    <xf numFmtId="0" fontId="0" fillId="0" borderId="1" xfId="0" applyBorder="1"/>
    <xf numFmtId="165" fontId="0" fillId="0" borderId="0" xfId="0" applyNumberFormat="1"/>
    <xf numFmtId="0" fontId="1" fillId="3" borderId="2" xfId="0" applyFont="1" applyFill="1" applyBorder="1"/>
    <xf numFmtId="0" fontId="0" fillId="4" borderId="2" xfId="0" applyFont="1" applyFill="1" applyBorder="1"/>
    <xf numFmtId="0" fontId="0" fillId="0" borderId="2" xfId="0" applyFont="1" applyBorder="1"/>
    <xf numFmtId="0" fontId="0" fillId="4" borderId="5" xfId="0" applyFont="1" applyFill="1" applyBorder="1"/>
    <xf numFmtId="0" fontId="0" fillId="0" borderId="5" xfId="0" applyFont="1" applyBorder="1"/>
    <xf numFmtId="166" fontId="0" fillId="0" borderId="0" xfId="0" applyNumberFormat="1"/>
    <xf numFmtId="167" fontId="0" fillId="0" borderId="0" xfId="0" applyNumberFormat="1"/>
    <xf numFmtId="0" fontId="0" fillId="0" borderId="0" xfId="0" applyNumberFormat="1"/>
    <xf numFmtId="0" fontId="2" fillId="5" borderId="7" xfId="0" applyFont="1" applyFill="1" applyBorder="1"/>
    <xf numFmtId="0" fontId="2" fillId="5" borderId="7" xfId="0" applyFont="1" applyFill="1" applyBorder="1" applyAlignment="1">
      <alignment horizontal="right"/>
    </xf>
    <xf numFmtId="0" fontId="0" fillId="0" borderId="6" xfId="0" applyFont="1" applyBorder="1"/>
    <xf numFmtId="167" fontId="0" fillId="0" borderId="6" xfId="0" applyNumberFormat="1" applyFont="1" applyBorder="1"/>
    <xf numFmtId="3" fontId="3" fillId="0" borderId="6" xfId="0" applyNumberFormat="1" applyFont="1" applyBorder="1"/>
    <xf numFmtId="0" fontId="0" fillId="0" borderId="0" xfId="0" pivotButton="1"/>
    <xf numFmtId="0" fontId="0" fillId="0" borderId="0" xfId="0" applyAlignment="1">
      <alignment horizontal="left"/>
    </xf>
    <xf numFmtId="168" fontId="0" fillId="0" borderId="0" xfId="0" applyNumberFormat="1"/>
    <xf numFmtId="0" fontId="1" fillId="3" borderId="5" xfId="0" applyFont="1" applyFill="1" applyBorder="1"/>
    <xf numFmtId="0" fontId="1" fillId="3" borderId="5" xfId="0" applyFont="1" applyFill="1" applyBorder="1" applyAlignment="1">
      <alignment horizontal="right"/>
    </xf>
    <xf numFmtId="0" fontId="1" fillId="3" borderId="3" xfId="0" applyFont="1" applyFill="1" applyBorder="1" applyAlignment="1">
      <alignment horizontal="right"/>
    </xf>
    <xf numFmtId="164" fontId="0" fillId="4" borderId="5" xfId="0" applyNumberFormat="1" applyFont="1" applyFill="1" applyBorder="1"/>
    <xf numFmtId="3" fontId="0" fillId="4" borderId="3" xfId="0" applyNumberFormat="1" applyFont="1" applyFill="1" applyBorder="1"/>
    <xf numFmtId="164" fontId="0" fillId="0" borderId="5" xfId="0" applyNumberFormat="1" applyFont="1" applyBorder="1"/>
    <xf numFmtId="3" fontId="0" fillId="0" borderId="3" xfId="0" applyNumberFormat="1" applyFont="1" applyBorder="1"/>
    <xf numFmtId="0" fontId="0" fillId="0" borderId="0" xfId="0" applyAlignment="1">
      <alignment horizontal="left" indent="1"/>
    </xf>
    <xf numFmtId="169" fontId="0" fillId="0" borderId="0" xfId="0" applyNumberFormat="1"/>
    <xf numFmtId="0" fontId="0" fillId="0" borderId="0" xfId="0" applyAlignment="1">
      <alignment horizontal="right"/>
    </xf>
    <xf numFmtId="0" fontId="0" fillId="0" borderId="0" xfId="0" applyAlignment="1"/>
    <xf numFmtId="0" fontId="0" fillId="0" borderId="0" xfId="0" pivotButton="1" applyProtection="1">
      <protection locked="0"/>
    </xf>
    <xf numFmtId="0" fontId="0" fillId="0" borderId="0" xfId="0" applyAlignment="1" applyProtection="1">
      <alignment horizontal="right"/>
      <protection locked="0"/>
    </xf>
    <xf numFmtId="169" fontId="0" fillId="0" borderId="0" xfId="0" applyNumberFormat="1" applyProtection="1">
      <protection locked="0"/>
    </xf>
    <xf numFmtId="0" fontId="0" fillId="0" borderId="0" xfId="0" applyAlignment="1" applyProtection="1">
      <protection locked="0"/>
    </xf>
    <xf numFmtId="3" fontId="0" fillId="0" borderId="0" xfId="0" applyNumberFormat="1" applyProtection="1">
      <protection locked="0"/>
    </xf>
    <xf numFmtId="0" fontId="0" fillId="0" borderId="0" xfId="0" applyAlignment="1" applyProtection="1">
      <alignment horizontal="left"/>
    </xf>
    <xf numFmtId="0" fontId="0" fillId="0" borderId="0" xfId="0" applyAlignment="1" applyProtection="1"/>
    <xf numFmtId="0" fontId="0" fillId="0" borderId="0" xfId="0" applyFill="1" applyAlignment="1">
      <alignment vertical="center"/>
    </xf>
    <xf numFmtId="0" fontId="4" fillId="6" borderId="0" xfId="0" applyFont="1" applyFill="1" applyAlignment="1">
      <alignment vertical="center"/>
    </xf>
    <xf numFmtId="0" fontId="0" fillId="6" borderId="0" xfId="0" applyFill="1" applyAlignment="1">
      <alignment vertical="center"/>
    </xf>
    <xf numFmtId="0" fontId="0" fillId="0" borderId="0" xfId="0" applyAlignment="1" applyProtection="1">
      <alignment horizontal="center"/>
      <protection locked="0"/>
    </xf>
    <xf numFmtId="0" fontId="2" fillId="2" borderId="4" xfId="0" applyFont="1" applyFill="1" applyBorder="1" applyAlignment="1">
      <alignment horizontal="center"/>
    </xf>
    <xf numFmtId="0" fontId="2" fillId="5" borderId="7" xfId="0" applyFont="1" applyFill="1" applyBorder="1" applyAlignment="1">
      <alignment horizontal="center"/>
    </xf>
    <xf numFmtId="0" fontId="0" fillId="5" borderId="0" xfId="0" applyFill="1"/>
    <xf numFmtId="0" fontId="0" fillId="7" borderId="0" xfId="0" applyFill="1" applyAlignment="1">
      <alignment horizontal="left"/>
    </xf>
    <xf numFmtId="0" fontId="6" fillId="7" borderId="0" xfId="0" applyFont="1" applyFill="1" applyAlignment="1">
      <alignment horizontal="left"/>
    </xf>
    <xf numFmtId="0" fontId="5" fillId="0" borderId="0" xfId="0" applyFont="1" applyAlignment="1">
      <alignment horizontal="left"/>
    </xf>
    <xf numFmtId="0" fontId="6" fillId="7" borderId="0" xfId="0" applyFont="1" applyFill="1" applyBorder="1" applyAlignment="1">
      <alignment horizontal="left"/>
    </xf>
    <xf numFmtId="0" fontId="7" fillId="7" borderId="0" xfId="0" applyFont="1" applyFill="1" applyBorder="1" applyAlignment="1">
      <alignment horizontal="left"/>
    </xf>
    <xf numFmtId="0" fontId="0" fillId="7" borderId="0" xfId="0" applyFill="1" applyBorder="1" applyAlignment="1">
      <alignment horizontal="left"/>
    </xf>
    <xf numFmtId="0" fontId="0" fillId="9" borderId="0" xfId="0" applyFill="1"/>
    <xf numFmtId="0" fontId="5" fillId="9" borderId="0" xfId="0" applyFont="1" applyFill="1" applyBorder="1"/>
    <xf numFmtId="0" fontId="0" fillId="0" borderId="8" xfId="0" applyBorder="1" applyAlignment="1">
      <alignment horizontal="left"/>
    </xf>
    <xf numFmtId="0" fontId="0" fillId="0" borderId="8" xfId="0" applyBorder="1"/>
    <xf numFmtId="0" fontId="0" fillId="0" borderId="8" xfId="0" applyBorder="1" applyAlignment="1">
      <alignment horizontal="center"/>
    </xf>
    <xf numFmtId="0" fontId="0" fillId="0" borderId="0" xfId="0" applyBorder="1" applyAlignment="1">
      <alignment horizontal="center"/>
    </xf>
    <xf numFmtId="0" fontId="8" fillId="0" borderId="0" xfId="0" applyFont="1" applyBorder="1" applyAlignment="1">
      <alignment horizontal="right"/>
    </xf>
    <xf numFmtId="0" fontId="0" fillId="0" borderId="0" xfId="0" applyBorder="1" applyAlignment="1">
      <alignment horizontal="left"/>
    </xf>
    <xf numFmtId="167" fontId="0" fillId="0" borderId="0" xfId="0" applyNumberFormat="1" applyBorder="1" applyAlignment="1">
      <alignment horizontal="right"/>
    </xf>
    <xf numFmtId="3" fontId="0" fillId="0" borderId="0" xfId="0" applyNumberFormat="1" applyBorder="1" applyAlignment="1">
      <alignment horizontal="right"/>
    </xf>
    <xf numFmtId="0" fontId="0" fillId="0" borderId="0" xfId="0" applyBorder="1"/>
    <xf numFmtId="167" fontId="0" fillId="0" borderId="0" xfId="0" applyNumberFormat="1" applyBorder="1"/>
    <xf numFmtId="3" fontId="0" fillId="0" borderId="0" xfId="0" applyNumberFormat="1" applyBorder="1"/>
    <xf numFmtId="0" fontId="0" fillId="8" borderId="8" xfId="0" applyFill="1" applyBorder="1" applyProtection="1">
      <protection locked="0"/>
    </xf>
    <xf numFmtId="0" fontId="0" fillId="8" borderId="8" xfId="0" applyFill="1" applyBorder="1" applyAlignment="1" applyProtection="1">
      <alignment horizontal="center"/>
      <protection locked="0"/>
    </xf>
  </cellXfs>
  <cellStyles count="1">
    <cellStyle name="Normal" xfId="0" builtinId="0"/>
  </cellStyles>
  <dxfs count="68">
    <dxf>
      <numFmt numFmtId="167" formatCode="[$$-C09]#,##0"/>
    </dxf>
    <dxf>
      <numFmt numFmtId="3" formatCode="#,##0"/>
    </dxf>
    <dxf>
      <numFmt numFmtId="167" formatCode="[$$-C09]#,##0"/>
    </dxf>
    <dxf>
      <numFmt numFmtId="167" formatCode="[$$-C09]#,##0"/>
    </dxf>
    <dxf>
      <numFmt numFmtId="167" formatCode="[$$-C09]#,##0"/>
    </dxf>
    <dxf>
      <numFmt numFmtId="3" formatCode="#,##0"/>
    </dxf>
    <dxf>
      <numFmt numFmtId="167" formatCode="[$$-C09]#,##0"/>
    </dxf>
    <dxf>
      <numFmt numFmtId="167" formatCode="[$$-C09]#,##0"/>
    </dxf>
    <dxf>
      <numFmt numFmtId="167" formatCode="[$$-C09]#,##0"/>
    </dxf>
    <dxf>
      <alignment horizontal="right"/>
    </dxf>
    <dxf>
      <protection locked="0"/>
    </dxf>
    <dxf>
      <protection locked="0"/>
    </dxf>
    <dxf>
      <protection locked="0"/>
    </dxf>
    <dxf>
      <protection locked="0"/>
    </dxf>
    <dxf>
      <protection locked="1"/>
    </dxf>
    <dxf>
      <alignment horizontal="right"/>
    </dxf>
    <dxf>
      <protection locked="0"/>
    </dxf>
    <dxf>
      <protection locked="0"/>
    </dxf>
    <dxf>
      <protection locked="0"/>
    </dxf>
    <dxf>
      <protection locked="0"/>
    </dxf>
    <dxf>
      <protection locked="1"/>
    </dxf>
    <dxf>
      <alignment horizontal="right"/>
    </dxf>
    <dxf>
      <protection locked="0"/>
    </dxf>
    <dxf>
      <protection locked="0"/>
    </dxf>
    <dxf>
      <protection locked="0"/>
    </dxf>
    <dxf>
      <protection locked="0"/>
    </dxf>
    <dxf>
      <protection locked="1"/>
    </dxf>
    <dxf>
      <alignment horizontal="right"/>
    </dxf>
    <dxf>
      <protection locked="0"/>
    </dxf>
    <dxf>
      <protection locked="0"/>
    </dxf>
    <dxf>
      <protection locked="0"/>
    </dxf>
    <dxf>
      <protection locked="0"/>
    </dxf>
    <dxf>
      <protection locked="1"/>
    </dxf>
    <dxf>
      <numFmt numFmtId="167" formatCode="[$$-C09]#,##0"/>
    </dxf>
    <dxf>
      <numFmt numFmtId="3" formatCode="#,##0"/>
    </dxf>
    <dxf>
      <numFmt numFmtId="167" formatCode="[$$-C09]#,##0"/>
    </dxf>
    <dxf>
      <numFmt numFmtId="167" formatCode="[$$-C09]#,##0"/>
    </dxf>
    <dxf>
      <numFmt numFmtId="167" formatCode="[$$-C09]#,##0"/>
    </dxf>
    <dxf>
      <numFmt numFmtId="167" formatCode="[$$-C09]#,##0"/>
    </dxf>
    <dxf>
      <numFmt numFmtId="167" formatCode="[$$-C09]#,##0"/>
    </dxf>
    <dxf>
      <border diagonalUp="0" diagonalDown="0">
        <left/>
        <right/>
        <top style="thin">
          <color theme="0" tint="-0.34998626667073579"/>
        </top>
        <bottom style="thin">
          <color theme="0" tint="-0.34998626667073579"/>
        </bottom>
      </border>
    </dxf>
    <dxf>
      <numFmt numFmtId="167" formatCode="[$$-C09]#,##0"/>
    </dxf>
    <dxf>
      <numFmt numFmtId="167" formatCode="[$$-C09]#,##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right/>
        <top style="thin">
          <color theme="0" tint="-0.34998626667073579"/>
        </top>
        <bottom style="thin">
          <color theme="0" tint="-0.34998626667073579"/>
        </bottom>
      </border>
    </dxf>
    <dxf>
      <numFmt numFmtId="167" formatCode="[$$-C09]#,##0"/>
      <alignment horizontal="right" vertical="bottom" textRotation="0" wrapText="0" indent="0" justifyLastLine="0" shrinkToFit="0" readingOrder="0"/>
    </dxf>
    <dxf>
      <numFmt numFmtId="167" formatCode="[$$-C09]#,##0"/>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right/>
        <top style="thin">
          <color theme="0" tint="-0.34998626667073579"/>
        </top>
        <bottom style="thin">
          <color theme="0" tint="-0.34998626667073579"/>
        </bottom>
      </border>
    </dxf>
    <dxf>
      <font>
        <color rgb="FF9C0006"/>
      </font>
      <fill>
        <patternFill>
          <bgColor rgb="FFFFC7CE"/>
        </patternFill>
      </fill>
    </dxf>
    <dxf>
      <font>
        <color rgb="FF9C0006"/>
      </font>
      <fill>
        <patternFill>
          <bgColor rgb="FFFFC7CE"/>
        </patternFill>
      </fill>
    </dxf>
    <dxf>
      <numFmt numFmtId="166" formatCode="[$$-C09]#,##0.00"/>
    </dxf>
    <dxf>
      <numFmt numFmtId="167" formatCode="[$$-C09]#,##0"/>
    </dxf>
    <dxf>
      <numFmt numFmtId="167" formatCode="[$$-C09]#,##0"/>
    </dxf>
    <dxf>
      <alignment horizontal="right"/>
    </dxf>
    <dxf>
      <numFmt numFmtId="3" formatCode="#,##0"/>
    </dxf>
    <dxf>
      <alignment horizontal="right"/>
    </dxf>
    <dxf>
      <numFmt numFmtId="3" formatCode="#,##0"/>
    </dxf>
    <dxf>
      <numFmt numFmtId="167" formatCode="[$$-C09]#,##0"/>
    </dxf>
    <dxf>
      <numFmt numFmtId="167" formatCode="[$$-C09]#,##0"/>
    </dxf>
    <dxf>
      <numFmt numFmtId="166" formatCode="[$$-C09]#,##0.00"/>
    </dxf>
    <dxf>
      <numFmt numFmtId="166" formatCode="[$$-C09]#,##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pivotCacheDefinition" Target="pivotCache/pivotCacheDefinition14.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Sales.xlsx]Sheet3!PivotTable22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chemeClr val="accent1">
                    <a:lumMod val="50000"/>
                  </a:schemeClr>
                </a:solidFill>
              </a:rPr>
              <a:t>Profit and costs by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Sheet3!$B$49</c:f>
              <c:strCache>
                <c:ptCount val="1"/>
                <c:pt idx="0">
                  <c:v>Total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Sheet3!$A$50:$A$72</c:f>
              <c:strCache>
                <c:ptCount val="22"/>
                <c:pt idx="0">
                  <c:v>Almond Choco</c:v>
                </c:pt>
                <c:pt idx="1">
                  <c:v>Eclairs</c:v>
                </c:pt>
                <c:pt idx="2">
                  <c:v>Manuka Honey Choco</c:v>
                </c:pt>
                <c:pt idx="3">
                  <c:v>Spicy Special Slims</c:v>
                </c:pt>
                <c:pt idx="4">
                  <c:v>70% Dark Bites</c:v>
                </c:pt>
                <c:pt idx="5">
                  <c:v>Baker's Choco Chips</c:v>
                </c:pt>
                <c:pt idx="6">
                  <c:v>Caramel Stuffed Bars</c:v>
                </c:pt>
                <c:pt idx="7">
                  <c:v>Drinking Coco</c:v>
                </c:pt>
                <c:pt idx="8">
                  <c:v>Fruit &amp; Nut Bars</c:v>
                </c:pt>
                <c:pt idx="9">
                  <c:v>Mint Chip Choco</c:v>
                </c:pt>
                <c:pt idx="10">
                  <c:v>Organic Choco Syrup</c:v>
                </c:pt>
                <c:pt idx="11">
                  <c:v>Peanut Butter Cubes</c:v>
                </c:pt>
                <c:pt idx="12">
                  <c:v>Smooth Sliky Salty</c:v>
                </c:pt>
                <c:pt idx="13">
                  <c:v>White Choc</c:v>
                </c:pt>
                <c:pt idx="14">
                  <c:v>99% Dark &amp; Pure</c:v>
                </c:pt>
                <c:pt idx="15">
                  <c:v>After Nines</c:v>
                </c:pt>
                <c:pt idx="16">
                  <c:v>50% Dark Bites</c:v>
                </c:pt>
                <c:pt idx="17">
                  <c:v>85% Dark Bars</c:v>
                </c:pt>
                <c:pt idx="18">
                  <c:v>Orange Choco</c:v>
                </c:pt>
                <c:pt idx="19">
                  <c:v>Raspberry Choco</c:v>
                </c:pt>
                <c:pt idx="20">
                  <c:v>Choco Coated Almonds</c:v>
                </c:pt>
                <c:pt idx="21">
                  <c:v>Milk Bars</c:v>
                </c:pt>
              </c:strCache>
            </c:strRef>
          </c:cat>
          <c:val>
            <c:numRef>
              <c:f>Sheet3!$B$50:$B$72</c:f>
              <c:numCache>
                <c:formatCode>[$$-C09]#,##0</c:formatCode>
                <c:ptCount val="22"/>
                <c:pt idx="0">
                  <c:v>14946.919999999998</c:v>
                </c:pt>
                <c:pt idx="1">
                  <c:v>56471.590000000004</c:v>
                </c:pt>
                <c:pt idx="2">
                  <c:v>36700.840000000004</c:v>
                </c:pt>
                <c:pt idx="3">
                  <c:v>26000</c:v>
                </c:pt>
                <c:pt idx="4">
                  <c:v>25899.020000000004</c:v>
                </c:pt>
                <c:pt idx="5">
                  <c:v>58277.8</c:v>
                </c:pt>
                <c:pt idx="6">
                  <c:v>39084.339999999997</c:v>
                </c:pt>
                <c:pt idx="7">
                  <c:v>40814.559999999998</c:v>
                </c:pt>
                <c:pt idx="8">
                  <c:v>44884.12</c:v>
                </c:pt>
                <c:pt idx="9">
                  <c:v>43177.34</c:v>
                </c:pt>
                <c:pt idx="10">
                  <c:v>19572.139999999992</c:v>
                </c:pt>
                <c:pt idx="11">
                  <c:v>46226.020000000004</c:v>
                </c:pt>
                <c:pt idx="12">
                  <c:v>29518.43</c:v>
                </c:pt>
                <c:pt idx="13">
                  <c:v>29678.099999999995</c:v>
                </c:pt>
                <c:pt idx="14">
                  <c:v>29800.16</c:v>
                </c:pt>
                <c:pt idx="15">
                  <c:v>46234.960000000006</c:v>
                </c:pt>
                <c:pt idx="16">
                  <c:v>19525.600000000002</c:v>
                </c:pt>
                <c:pt idx="17">
                  <c:v>30189.32</c:v>
                </c:pt>
                <c:pt idx="18">
                  <c:v>31390.479999999996</c:v>
                </c:pt>
                <c:pt idx="19">
                  <c:v>50988.91</c:v>
                </c:pt>
                <c:pt idx="20">
                  <c:v>52063.35</c:v>
                </c:pt>
                <c:pt idx="21">
                  <c:v>29721.269999999997</c:v>
                </c:pt>
              </c:numCache>
            </c:numRef>
          </c:val>
          <c:extLst>
            <c:ext xmlns:c16="http://schemas.microsoft.com/office/drawing/2014/chart" uri="{C3380CC4-5D6E-409C-BE32-E72D297353CC}">
              <c16:uniqueId val="{0000001B-329A-4DBE-8397-2546798D7B2F}"/>
            </c:ext>
          </c:extLst>
        </c:ser>
        <c:dLbls>
          <c:showLegendKey val="0"/>
          <c:showVal val="0"/>
          <c:showCatName val="0"/>
          <c:showSerName val="0"/>
          <c:showPercent val="0"/>
          <c:showBubbleSize val="0"/>
        </c:dLbls>
        <c:gapWidth val="150"/>
        <c:axId val="1213216496"/>
        <c:axId val="1213216912"/>
      </c:barChart>
      <c:lineChart>
        <c:grouping val="standard"/>
        <c:varyColors val="0"/>
        <c:ser>
          <c:idx val="1"/>
          <c:order val="1"/>
          <c:tx>
            <c:strRef>
              <c:f>Sheet3!$C$49</c:f>
              <c:strCache>
                <c:ptCount val="1"/>
                <c:pt idx="0">
                  <c:v>Total costs</c:v>
                </c:pt>
              </c:strCache>
            </c:strRef>
          </c:tx>
          <c:spPr>
            <a:ln w="31750" cap="rnd">
              <a:solidFill>
                <a:schemeClr val="accent2"/>
              </a:solidFill>
              <a:round/>
            </a:ln>
            <a:effectLst/>
          </c:spPr>
          <c:marker>
            <c:symbol val="none"/>
          </c:marker>
          <c:cat>
            <c:strRef>
              <c:f>Sheet3!$A$50:$A$72</c:f>
              <c:strCache>
                <c:ptCount val="22"/>
                <c:pt idx="0">
                  <c:v>Almond Choco</c:v>
                </c:pt>
                <c:pt idx="1">
                  <c:v>Eclairs</c:v>
                </c:pt>
                <c:pt idx="2">
                  <c:v>Manuka Honey Choco</c:v>
                </c:pt>
                <c:pt idx="3">
                  <c:v>Spicy Special Slims</c:v>
                </c:pt>
                <c:pt idx="4">
                  <c:v>70% Dark Bites</c:v>
                </c:pt>
                <c:pt idx="5">
                  <c:v>Baker's Choco Chips</c:v>
                </c:pt>
                <c:pt idx="6">
                  <c:v>Caramel Stuffed Bars</c:v>
                </c:pt>
                <c:pt idx="7">
                  <c:v>Drinking Coco</c:v>
                </c:pt>
                <c:pt idx="8">
                  <c:v>Fruit &amp; Nut Bars</c:v>
                </c:pt>
                <c:pt idx="9">
                  <c:v>Mint Chip Choco</c:v>
                </c:pt>
                <c:pt idx="10">
                  <c:v>Organic Choco Syrup</c:v>
                </c:pt>
                <c:pt idx="11">
                  <c:v>Peanut Butter Cubes</c:v>
                </c:pt>
                <c:pt idx="12">
                  <c:v>Smooth Sliky Salty</c:v>
                </c:pt>
                <c:pt idx="13">
                  <c:v>White Choc</c:v>
                </c:pt>
                <c:pt idx="14">
                  <c:v>99% Dark &amp; Pure</c:v>
                </c:pt>
                <c:pt idx="15">
                  <c:v>After Nines</c:v>
                </c:pt>
                <c:pt idx="16">
                  <c:v>50% Dark Bites</c:v>
                </c:pt>
                <c:pt idx="17">
                  <c:v>85% Dark Bars</c:v>
                </c:pt>
                <c:pt idx="18">
                  <c:v>Orange Choco</c:v>
                </c:pt>
                <c:pt idx="19">
                  <c:v>Raspberry Choco</c:v>
                </c:pt>
                <c:pt idx="20">
                  <c:v>Choco Coated Almonds</c:v>
                </c:pt>
                <c:pt idx="21">
                  <c:v>Milk Bars</c:v>
                </c:pt>
              </c:strCache>
            </c:strRef>
          </c:cat>
          <c:val>
            <c:numRef>
              <c:f>Sheet3!$C$50:$C$72</c:f>
              <c:numCache>
                <c:formatCode>[$$-C09]#,##0</c:formatCode>
                <c:ptCount val="22"/>
                <c:pt idx="0">
                  <c:v>18604.080000000002</c:v>
                </c:pt>
                <c:pt idx="1">
                  <c:v>7249.4099999999989</c:v>
                </c:pt>
                <c:pt idx="2">
                  <c:v>21308.159999999996</c:v>
                </c:pt>
                <c:pt idx="3">
                  <c:v>11772</c:v>
                </c:pt>
                <c:pt idx="4">
                  <c:v>40600.979999999996</c:v>
                </c:pt>
                <c:pt idx="5">
                  <c:v>11995.2</c:v>
                </c:pt>
                <c:pt idx="6">
                  <c:v>33288.660000000003</c:v>
                </c:pt>
                <c:pt idx="7">
                  <c:v>11335.44</c:v>
                </c:pt>
                <c:pt idx="8">
                  <c:v>11759.88</c:v>
                </c:pt>
                <c:pt idx="9">
                  <c:v>18933.660000000003</c:v>
                </c:pt>
                <c:pt idx="10">
                  <c:v>49888.860000000008</c:v>
                </c:pt>
                <c:pt idx="11">
                  <c:v>22933.98</c:v>
                </c:pt>
                <c:pt idx="12">
                  <c:v>9744.57</c:v>
                </c:pt>
                <c:pt idx="13">
                  <c:v>27693.900000000005</c:v>
                </c:pt>
                <c:pt idx="14">
                  <c:v>14943.84</c:v>
                </c:pt>
                <c:pt idx="15">
                  <c:v>20048.039999999997</c:v>
                </c:pt>
                <c:pt idx="16">
                  <c:v>23657.399999999998</c:v>
                </c:pt>
                <c:pt idx="17">
                  <c:v>5188.68</c:v>
                </c:pt>
                <c:pt idx="18">
                  <c:v>23321.520000000004</c:v>
                </c:pt>
                <c:pt idx="19">
                  <c:v>17982.09</c:v>
                </c:pt>
                <c:pt idx="20">
                  <c:v>19903.650000000001</c:v>
                </c:pt>
                <c:pt idx="21">
                  <c:v>17549.730000000003</c:v>
                </c:pt>
              </c:numCache>
            </c:numRef>
          </c:val>
          <c:smooth val="0"/>
          <c:extLst>
            <c:ext xmlns:c16="http://schemas.microsoft.com/office/drawing/2014/chart" uri="{C3380CC4-5D6E-409C-BE32-E72D297353CC}">
              <c16:uniqueId val="{0000001C-329A-4DBE-8397-2546798D7B2F}"/>
            </c:ext>
          </c:extLst>
        </c:ser>
        <c:dLbls>
          <c:showLegendKey val="0"/>
          <c:showVal val="0"/>
          <c:showCatName val="0"/>
          <c:showSerName val="0"/>
          <c:showPercent val="0"/>
          <c:showBubbleSize val="0"/>
        </c:dLbls>
        <c:marker val="1"/>
        <c:smooth val="0"/>
        <c:axId val="1213216496"/>
        <c:axId val="1213216912"/>
      </c:lineChart>
      <c:catAx>
        <c:axId val="121321649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3216912"/>
        <c:crosses val="autoZero"/>
        <c:auto val="1"/>
        <c:lblAlgn val="ctr"/>
        <c:lblOffset val="1000"/>
        <c:noMultiLvlLbl val="0"/>
      </c:catAx>
      <c:valAx>
        <c:axId val="1213216912"/>
        <c:scaling>
          <c:orientation val="minMax"/>
          <c:max val="60000"/>
        </c:scaling>
        <c:delete val="0"/>
        <c:axPos val="l"/>
        <c:majorGridlines>
          <c:spPr>
            <a:ln w="9525" cap="flat" cmpd="sng" algn="ctr">
              <a:solidFill>
                <a:schemeClr val="tx2">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32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Sales.xlsx]Sheet3!PivotTable4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600" b="1">
                <a:solidFill>
                  <a:schemeClr val="accent1">
                    <a:lumMod val="50000"/>
                  </a:schemeClr>
                </a:solidFill>
                <a:latin typeface="+mn-lt"/>
                <a:ea typeface="Cambria Math" panose="02040503050406030204" pitchFamily="18" charset="0"/>
              </a:rPr>
              <a:t>Sales Performance by Personnel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Sheet3!$I$30</c:f>
              <c:strCache>
                <c:ptCount val="1"/>
                <c:pt idx="0">
                  <c:v>Profits made</c:v>
                </c:pt>
              </c:strCache>
            </c:strRef>
          </c:tx>
          <c:spPr>
            <a:solidFill>
              <a:schemeClr val="accent1"/>
            </a:solidFill>
            <a:ln>
              <a:noFill/>
            </a:ln>
            <a:effectLst/>
          </c:spPr>
          <c:invertIfNegative val="0"/>
          <c:cat>
            <c:strRef>
              <c:f>Sheet3!$H$31:$H$41</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Sheet3!$I$31:$I$41</c:f>
              <c:numCache>
                <c:formatCode>[$$-C09]#,##0</c:formatCode>
                <c:ptCount val="10"/>
                <c:pt idx="0">
                  <c:v>85111.390000000014</c:v>
                </c:pt>
                <c:pt idx="1">
                  <c:v>52773.01999999999</c:v>
                </c:pt>
                <c:pt idx="2">
                  <c:v>60448.160000000003</c:v>
                </c:pt>
                <c:pt idx="3">
                  <c:v>99692.09</c:v>
                </c:pt>
                <c:pt idx="4">
                  <c:v>69419.989999999991</c:v>
                </c:pt>
                <c:pt idx="5">
                  <c:v>135189.98000000001</c:v>
                </c:pt>
                <c:pt idx="6">
                  <c:v>60065.860000000008</c:v>
                </c:pt>
                <c:pt idx="7">
                  <c:v>89425.93</c:v>
                </c:pt>
                <c:pt idx="8">
                  <c:v>47975.96</c:v>
                </c:pt>
                <c:pt idx="9">
                  <c:v>101062.89</c:v>
                </c:pt>
              </c:numCache>
            </c:numRef>
          </c:val>
          <c:extLst>
            <c:ext xmlns:c16="http://schemas.microsoft.com/office/drawing/2014/chart" uri="{C3380CC4-5D6E-409C-BE32-E72D297353CC}">
              <c16:uniqueId val="{00000000-AFFE-412A-B28D-010A8620A2AB}"/>
            </c:ext>
          </c:extLst>
        </c:ser>
        <c:ser>
          <c:idx val="1"/>
          <c:order val="1"/>
          <c:tx>
            <c:strRef>
              <c:f>Sheet3!$J$30</c:f>
              <c:strCache>
                <c:ptCount val="1"/>
                <c:pt idx="0">
                  <c:v>Total sales</c:v>
                </c:pt>
              </c:strCache>
            </c:strRef>
          </c:tx>
          <c:spPr>
            <a:solidFill>
              <a:schemeClr val="accent3"/>
            </a:solidFill>
            <a:ln>
              <a:noFill/>
            </a:ln>
            <a:effectLst/>
          </c:spPr>
          <c:invertIfNegative val="0"/>
          <c:cat>
            <c:strRef>
              <c:f>Sheet3!$H$31:$H$41</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Sheet3!$J$31:$J$41</c:f>
              <c:numCache>
                <c:formatCode>[$$-C09]#,##0</c:formatCode>
                <c:ptCount val="10"/>
                <c:pt idx="0">
                  <c:v>123949</c:v>
                </c:pt>
                <c:pt idx="1">
                  <c:v>98084</c:v>
                </c:pt>
                <c:pt idx="2">
                  <c:v>98210</c:v>
                </c:pt>
                <c:pt idx="3">
                  <c:v>149975</c:v>
                </c:pt>
                <c:pt idx="4">
                  <c:v>130697</c:v>
                </c:pt>
                <c:pt idx="5">
                  <c:v>165725</c:v>
                </c:pt>
                <c:pt idx="6">
                  <c:v>106834</c:v>
                </c:pt>
                <c:pt idx="7">
                  <c:v>132580</c:v>
                </c:pt>
                <c:pt idx="8">
                  <c:v>83216</c:v>
                </c:pt>
                <c:pt idx="9">
                  <c:v>151599</c:v>
                </c:pt>
              </c:numCache>
            </c:numRef>
          </c:val>
          <c:extLst>
            <c:ext xmlns:c16="http://schemas.microsoft.com/office/drawing/2014/chart" uri="{C3380CC4-5D6E-409C-BE32-E72D297353CC}">
              <c16:uniqueId val="{00000001-AFFE-412A-B28D-010A8620A2AB}"/>
            </c:ext>
          </c:extLst>
        </c:ser>
        <c:dLbls>
          <c:showLegendKey val="0"/>
          <c:showVal val="0"/>
          <c:showCatName val="0"/>
          <c:showSerName val="0"/>
          <c:showPercent val="0"/>
          <c:showBubbleSize val="0"/>
        </c:dLbls>
        <c:gapWidth val="182"/>
        <c:axId val="1505118128"/>
        <c:axId val="1505122288"/>
      </c:barChart>
      <c:catAx>
        <c:axId val="150511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122288"/>
        <c:crosses val="autoZero"/>
        <c:auto val="1"/>
        <c:lblAlgn val="ctr"/>
        <c:lblOffset val="100"/>
        <c:noMultiLvlLbl val="0"/>
      </c:catAx>
      <c:valAx>
        <c:axId val="1505122288"/>
        <c:scaling>
          <c:orientation val="minMax"/>
          <c:min val="20000"/>
        </c:scaling>
        <c:delete val="0"/>
        <c:axPos val="b"/>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118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Sales.xlsx]Sheet3!PivotTable24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lumMod val="50000"/>
                  </a:schemeClr>
                </a:solidFill>
              </a:rPr>
              <a:t>Total</a:t>
            </a:r>
            <a:r>
              <a:rPr lang="en-US" sz="1600" b="1" baseline="0">
                <a:solidFill>
                  <a:schemeClr val="accent1">
                    <a:lumMod val="50000"/>
                  </a:schemeClr>
                </a:solidFill>
              </a:rPr>
              <a:t> sales by product</a:t>
            </a:r>
            <a:endParaRPr lang="en-US" sz="1600"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Sheet3!$B$75</c:f>
              <c:strCache>
                <c:ptCount val="1"/>
                <c:pt idx="0">
                  <c:v>Total</c:v>
                </c:pt>
              </c:strCache>
            </c:strRef>
          </c:tx>
          <c:spPr>
            <a:solidFill>
              <a:schemeClr val="accent1"/>
            </a:solidFill>
            <a:ln>
              <a:noFill/>
            </a:ln>
            <a:effectLst/>
          </c:spPr>
          <c:invertIfNegative val="0"/>
          <c:cat>
            <c:strRef>
              <c:f>Sheet3!$A$76:$A$98</c:f>
              <c:strCache>
                <c:ptCount val="22"/>
                <c:pt idx="0">
                  <c:v>Almond Choco</c:v>
                </c:pt>
                <c:pt idx="1">
                  <c:v>Eclairs</c:v>
                </c:pt>
                <c:pt idx="2">
                  <c:v>Manuka Honey Choco</c:v>
                </c:pt>
                <c:pt idx="3">
                  <c:v>Spicy Special Slims</c:v>
                </c:pt>
                <c:pt idx="4">
                  <c:v>70% Dark Bites</c:v>
                </c:pt>
                <c:pt idx="5">
                  <c:v>Baker's Choco Chips</c:v>
                </c:pt>
                <c:pt idx="6">
                  <c:v>Caramel Stuffed Bars</c:v>
                </c:pt>
                <c:pt idx="7">
                  <c:v>Drinking Coco</c:v>
                </c:pt>
                <c:pt idx="8">
                  <c:v>Fruit &amp; Nut Bars</c:v>
                </c:pt>
                <c:pt idx="9">
                  <c:v>Mint Chip Choco</c:v>
                </c:pt>
                <c:pt idx="10">
                  <c:v>Organic Choco Syrup</c:v>
                </c:pt>
                <c:pt idx="11">
                  <c:v>Peanut Butter Cubes</c:v>
                </c:pt>
                <c:pt idx="12">
                  <c:v>Smooth Sliky Salty</c:v>
                </c:pt>
                <c:pt idx="13">
                  <c:v>White Choc</c:v>
                </c:pt>
                <c:pt idx="14">
                  <c:v>99% Dark &amp; Pure</c:v>
                </c:pt>
                <c:pt idx="15">
                  <c:v>After Nines</c:v>
                </c:pt>
                <c:pt idx="16">
                  <c:v>50% Dark Bites</c:v>
                </c:pt>
                <c:pt idx="17">
                  <c:v>85% Dark Bars</c:v>
                </c:pt>
                <c:pt idx="18">
                  <c:v>Orange Choco</c:v>
                </c:pt>
                <c:pt idx="19">
                  <c:v>Raspberry Choco</c:v>
                </c:pt>
                <c:pt idx="20">
                  <c:v>Choco Coated Almonds</c:v>
                </c:pt>
                <c:pt idx="21">
                  <c:v>Milk Bars</c:v>
                </c:pt>
              </c:strCache>
            </c:strRef>
          </c:cat>
          <c:val>
            <c:numRef>
              <c:f>Sheet3!$B$76:$B$98</c:f>
              <c:numCache>
                <c:formatCode>[$$-C09]#,##0</c:formatCode>
                <c:ptCount val="22"/>
                <c:pt idx="0">
                  <c:v>33551</c:v>
                </c:pt>
                <c:pt idx="1">
                  <c:v>63721</c:v>
                </c:pt>
                <c:pt idx="2">
                  <c:v>58009</c:v>
                </c:pt>
                <c:pt idx="3">
                  <c:v>37772</c:v>
                </c:pt>
                <c:pt idx="4">
                  <c:v>66500</c:v>
                </c:pt>
                <c:pt idx="5">
                  <c:v>70273</c:v>
                </c:pt>
                <c:pt idx="6">
                  <c:v>72373</c:v>
                </c:pt>
                <c:pt idx="7">
                  <c:v>52150</c:v>
                </c:pt>
                <c:pt idx="8">
                  <c:v>56644</c:v>
                </c:pt>
                <c:pt idx="9">
                  <c:v>62111</c:v>
                </c:pt>
                <c:pt idx="10">
                  <c:v>69461</c:v>
                </c:pt>
                <c:pt idx="11">
                  <c:v>69160</c:v>
                </c:pt>
                <c:pt idx="12">
                  <c:v>39263</c:v>
                </c:pt>
                <c:pt idx="13">
                  <c:v>57372</c:v>
                </c:pt>
                <c:pt idx="14">
                  <c:v>44744</c:v>
                </c:pt>
                <c:pt idx="15">
                  <c:v>66283</c:v>
                </c:pt>
                <c:pt idx="16">
                  <c:v>43183</c:v>
                </c:pt>
                <c:pt idx="17">
                  <c:v>35378</c:v>
                </c:pt>
                <c:pt idx="18">
                  <c:v>54712</c:v>
                </c:pt>
                <c:pt idx="19">
                  <c:v>68971</c:v>
                </c:pt>
                <c:pt idx="20">
                  <c:v>71967</c:v>
                </c:pt>
                <c:pt idx="21">
                  <c:v>47271</c:v>
                </c:pt>
              </c:numCache>
            </c:numRef>
          </c:val>
          <c:extLst>
            <c:ext xmlns:c16="http://schemas.microsoft.com/office/drawing/2014/chart" uri="{C3380CC4-5D6E-409C-BE32-E72D297353CC}">
              <c16:uniqueId val="{00000000-0FB6-4B90-B702-F89381E82CA3}"/>
            </c:ext>
          </c:extLst>
        </c:ser>
        <c:dLbls>
          <c:showLegendKey val="0"/>
          <c:showVal val="0"/>
          <c:showCatName val="0"/>
          <c:showSerName val="0"/>
          <c:showPercent val="0"/>
          <c:showBubbleSize val="0"/>
        </c:dLbls>
        <c:gapWidth val="182"/>
        <c:axId val="1662503392"/>
        <c:axId val="1662500896"/>
      </c:barChart>
      <c:catAx>
        <c:axId val="1662503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0896"/>
        <c:crosses val="autoZero"/>
        <c:auto val="1"/>
        <c:lblAlgn val="ctr"/>
        <c:lblOffset val="100"/>
        <c:noMultiLvlLbl val="0"/>
      </c:catAx>
      <c:valAx>
        <c:axId val="1662500896"/>
        <c:scaling>
          <c:orientation val="minMax"/>
          <c:max val="80000"/>
          <c:min val="0"/>
        </c:scaling>
        <c:delete val="0"/>
        <c:axPos val="b"/>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3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Sales.xlsx]Sheet3!PivotTable25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lumMod val="50000"/>
                  </a:schemeClr>
                </a:solidFill>
              </a:rPr>
              <a:t>Total units sold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Sheet3!$E$75</c:f>
              <c:strCache>
                <c:ptCount val="1"/>
                <c:pt idx="0">
                  <c:v>Total</c:v>
                </c:pt>
              </c:strCache>
            </c:strRef>
          </c:tx>
          <c:spPr>
            <a:solidFill>
              <a:schemeClr val="accent1"/>
            </a:solidFill>
            <a:ln>
              <a:noFill/>
            </a:ln>
            <a:effectLst/>
          </c:spPr>
          <c:invertIfNegative val="0"/>
          <c:cat>
            <c:strRef>
              <c:f>Sheet3!$D$76:$D$98</c:f>
              <c:strCache>
                <c:ptCount val="22"/>
                <c:pt idx="0">
                  <c:v>Almond Choco</c:v>
                </c:pt>
                <c:pt idx="1">
                  <c:v>Eclairs</c:v>
                </c:pt>
                <c:pt idx="2">
                  <c:v>Manuka Honey Choco</c:v>
                </c:pt>
                <c:pt idx="3">
                  <c:v>Spicy Special Slims</c:v>
                </c:pt>
                <c:pt idx="4">
                  <c:v>70% Dark Bites</c:v>
                </c:pt>
                <c:pt idx="5">
                  <c:v>Baker's Choco Chips</c:v>
                </c:pt>
                <c:pt idx="6">
                  <c:v>Caramel Stuffed Bars</c:v>
                </c:pt>
                <c:pt idx="7">
                  <c:v>Drinking Coco</c:v>
                </c:pt>
                <c:pt idx="8">
                  <c:v>Fruit &amp; Nut Bars</c:v>
                </c:pt>
                <c:pt idx="9">
                  <c:v>Mint Chip Choco</c:v>
                </c:pt>
                <c:pt idx="10">
                  <c:v>Organic Choco Syrup</c:v>
                </c:pt>
                <c:pt idx="11">
                  <c:v>Peanut Butter Cubes</c:v>
                </c:pt>
                <c:pt idx="12">
                  <c:v>Smooth Sliky Salty</c:v>
                </c:pt>
                <c:pt idx="13">
                  <c:v>White Choc</c:v>
                </c:pt>
                <c:pt idx="14">
                  <c:v>99% Dark &amp; Pure</c:v>
                </c:pt>
                <c:pt idx="15">
                  <c:v>After Nines</c:v>
                </c:pt>
                <c:pt idx="16">
                  <c:v>50% Dark Bites</c:v>
                </c:pt>
                <c:pt idx="17">
                  <c:v>85% Dark Bars</c:v>
                </c:pt>
                <c:pt idx="18">
                  <c:v>Orange Choco</c:v>
                </c:pt>
                <c:pt idx="19">
                  <c:v>Raspberry Choco</c:v>
                </c:pt>
                <c:pt idx="20">
                  <c:v>Choco Coated Almonds</c:v>
                </c:pt>
                <c:pt idx="21">
                  <c:v>Milk Bars</c:v>
                </c:pt>
              </c:strCache>
            </c:strRef>
          </c:cat>
          <c:val>
            <c:numRef>
              <c:f>Sheet3!$E$76:$E$98</c:f>
              <c:numCache>
                <c:formatCode>#,##0</c:formatCode>
                <c:ptCount val="22"/>
                <c:pt idx="0">
                  <c:v>1566</c:v>
                </c:pt>
                <c:pt idx="1">
                  <c:v>2331</c:v>
                </c:pt>
                <c:pt idx="2">
                  <c:v>2976</c:v>
                </c:pt>
                <c:pt idx="3">
                  <c:v>1308</c:v>
                </c:pt>
                <c:pt idx="4">
                  <c:v>2802</c:v>
                </c:pt>
                <c:pt idx="5">
                  <c:v>2142</c:v>
                </c:pt>
                <c:pt idx="6">
                  <c:v>3207</c:v>
                </c:pt>
                <c:pt idx="7">
                  <c:v>1752</c:v>
                </c:pt>
                <c:pt idx="8">
                  <c:v>1812</c:v>
                </c:pt>
                <c:pt idx="9">
                  <c:v>2154</c:v>
                </c:pt>
                <c:pt idx="10">
                  <c:v>2982</c:v>
                </c:pt>
                <c:pt idx="11">
                  <c:v>1854</c:v>
                </c:pt>
                <c:pt idx="12">
                  <c:v>1683</c:v>
                </c:pt>
                <c:pt idx="13">
                  <c:v>2106</c:v>
                </c:pt>
                <c:pt idx="14">
                  <c:v>1956</c:v>
                </c:pt>
                <c:pt idx="15">
                  <c:v>2052</c:v>
                </c:pt>
                <c:pt idx="16">
                  <c:v>2022</c:v>
                </c:pt>
                <c:pt idx="17">
                  <c:v>1044</c:v>
                </c:pt>
                <c:pt idx="18">
                  <c:v>2196</c:v>
                </c:pt>
                <c:pt idx="19">
                  <c:v>1533</c:v>
                </c:pt>
                <c:pt idx="20">
                  <c:v>2301</c:v>
                </c:pt>
                <c:pt idx="21">
                  <c:v>1881</c:v>
                </c:pt>
              </c:numCache>
            </c:numRef>
          </c:val>
          <c:extLst>
            <c:ext xmlns:c16="http://schemas.microsoft.com/office/drawing/2014/chart" uri="{C3380CC4-5D6E-409C-BE32-E72D297353CC}">
              <c16:uniqueId val="{00000000-CA23-49DF-8174-129FBF8DFB10}"/>
            </c:ext>
          </c:extLst>
        </c:ser>
        <c:dLbls>
          <c:showLegendKey val="0"/>
          <c:showVal val="0"/>
          <c:showCatName val="0"/>
          <c:showSerName val="0"/>
          <c:showPercent val="0"/>
          <c:showBubbleSize val="0"/>
        </c:dLbls>
        <c:gapWidth val="182"/>
        <c:axId val="1218353744"/>
        <c:axId val="1218354160"/>
      </c:barChart>
      <c:catAx>
        <c:axId val="1218353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354160"/>
        <c:crosses val="autoZero"/>
        <c:auto val="1"/>
        <c:lblAlgn val="ctr"/>
        <c:lblOffset val="100"/>
        <c:noMultiLvlLbl val="0"/>
      </c:catAx>
      <c:valAx>
        <c:axId val="1218354160"/>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353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anomalies!$E$4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anomalies!$D$5:$D$304</c:f>
              <c:numCache>
                <c:formatCode>"$"#,##0_);[Red]\("$"#,##0\)</c:formatCode>
                <c:ptCount val="300"/>
                <c:pt idx="0">
                  <c:v>5586</c:v>
                </c:pt>
                <c:pt idx="1">
                  <c:v>798</c:v>
                </c:pt>
                <c:pt idx="2">
                  <c:v>819</c:v>
                </c:pt>
                <c:pt idx="3">
                  <c:v>7777</c:v>
                </c:pt>
                <c:pt idx="4">
                  <c:v>8463</c:v>
                </c:pt>
                <c:pt idx="5">
                  <c:v>1785</c:v>
                </c:pt>
                <c:pt idx="6">
                  <c:v>6706</c:v>
                </c:pt>
                <c:pt idx="7">
                  <c:v>3556</c:v>
                </c:pt>
                <c:pt idx="8">
                  <c:v>8008</c:v>
                </c:pt>
                <c:pt idx="9">
                  <c:v>2275</c:v>
                </c:pt>
                <c:pt idx="10">
                  <c:v>8869</c:v>
                </c:pt>
                <c:pt idx="11">
                  <c:v>2100</c:v>
                </c:pt>
                <c:pt idx="12">
                  <c:v>1904</c:v>
                </c:pt>
                <c:pt idx="13">
                  <c:v>1302</c:v>
                </c:pt>
                <c:pt idx="14">
                  <c:v>3052</c:v>
                </c:pt>
                <c:pt idx="15">
                  <c:v>6853</c:v>
                </c:pt>
                <c:pt idx="16">
                  <c:v>1932</c:v>
                </c:pt>
                <c:pt idx="17">
                  <c:v>3402</c:v>
                </c:pt>
                <c:pt idx="18">
                  <c:v>938</c:v>
                </c:pt>
                <c:pt idx="19">
                  <c:v>2702</c:v>
                </c:pt>
                <c:pt idx="20">
                  <c:v>4480</c:v>
                </c:pt>
                <c:pt idx="21">
                  <c:v>4326</c:v>
                </c:pt>
                <c:pt idx="22">
                  <c:v>3339</c:v>
                </c:pt>
                <c:pt idx="23">
                  <c:v>2471</c:v>
                </c:pt>
                <c:pt idx="24">
                  <c:v>4487</c:v>
                </c:pt>
                <c:pt idx="25">
                  <c:v>7308</c:v>
                </c:pt>
                <c:pt idx="26">
                  <c:v>4592</c:v>
                </c:pt>
                <c:pt idx="27">
                  <c:v>10129</c:v>
                </c:pt>
                <c:pt idx="28">
                  <c:v>3689</c:v>
                </c:pt>
                <c:pt idx="29">
                  <c:v>854</c:v>
                </c:pt>
                <c:pt idx="30">
                  <c:v>3920</c:v>
                </c:pt>
                <c:pt idx="31">
                  <c:v>3164</c:v>
                </c:pt>
                <c:pt idx="32">
                  <c:v>819</c:v>
                </c:pt>
                <c:pt idx="33">
                  <c:v>8841</c:v>
                </c:pt>
                <c:pt idx="34">
                  <c:v>6657</c:v>
                </c:pt>
                <c:pt idx="35">
                  <c:v>1589</c:v>
                </c:pt>
                <c:pt idx="36">
                  <c:v>4753</c:v>
                </c:pt>
                <c:pt idx="37">
                  <c:v>2870</c:v>
                </c:pt>
                <c:pt idx="38">
                  <c:v>5670</c:v>
                </c:pt>
                <c:pt idx="39">
                  <c:v>9632</c:v>
                </c:pt>
                <c:pt idx="40">
                  <c:v>5194</c:v>
                </c:pt>
                <c:pt idx="41">
                  <c:v>3507</c:v>
                </c:pt>
                <c:pt idx="42">
                  <c:v>245</c:v>
                </c:pt>
                <c:pt idx="43">
                  <c:v>1134</c:v>
                </c:pt>
                <c:pt idx="44">
                  <c:v>4858</c:v>
                </c:pt>
                <c:pt idx="45">
                  <c:v>3808</c:v>
                </c:pt>
                <c:pt idx="46">
                  <c:v>7259</c:v>
                </c:pt>
                <c:pt idx="47">
                  <c:v>6657</c:v>
                </c:pt>
                <c:pt idx="48">
                  <c:v>1085</c:v>
                </c:pt>
                <c:pt idx="49">
                  <c:v>1778</c:v>
                </c:pt>
                <c:pt idx="50">
                  <c:v>1071</c:v>
                </c:pt>
                <c:pt idx="51">
                  <c:v>2317</c:v>
                </c:pt>
                <c:pt idx="52">
                  <c:v>5677</c:v>
                </c:pt>
                <c:pt idx="53">
                  <c:v>2415</c:v>
                </c:pt>
                <c:pt idx="54">
                  <c:v>6755</c:v>
                </c:pt>
                <c:pt idx="55">
                  <c:v>5551</c:v>
                </c:pt>
                <c:pt idx="56">
                  <c:v>385</c:v>
                </c:pt>
                <c:pt idx="57">
                  <c:v>4753</c:v>
                </c:pt>
                <c:pt idx="58">
                  <c:v>4438</c:v>
                </c:pt>
                <c:pt idx="59">
                  <c:v>3094</c:v>
                </c:pt>
                <c:pt idx="60">
                  <c:v>2856</c:v>
                </c:pt>
                <c:pt idx="61">
                  <c:v>7833</c:v>
                </c:pt>
                <c:pt idx="62">
                  <c:v>4585</c:v>
                </c:pt>
                <c:pt idx="63">
                  <c:v>1526</c:v>
                </c:pt>
                <c:pt idx="64">
                  <c:v>6279</c:v>
                </c:pt>
                <c:pt idx="65">
                  <c:v>2464</c:v>
                </c:pt>
                <c:pt idx="66">
                  <c:v>1701</c:v>
                </c:pt>
                <c:pt idx="67">
                  <c:v>714</c:v>
                </c:pt>
                <c:pt idx="68">
                  <c:v>567</c:v>
                </c:pt>
                <c:pt idx="69">
                  <c:v>6608</c:v>
                </c:pt>
                <c:pt idx="70">
                  <c:v>3101</c:v>
                </c:pt>
                <c:pt idx="71">
                  <c:v>1274</c:v>
                </c:pt>
                <c:pt idx="72">
                  <c:v>2009</c:v>
                </c:pt>
                <c:pt idx="73">
                  <c:v>7455</c:v>
                </c:pt>
                <c:pt idx="74">
                  <c:v>7651</c:v>
                </c:pt>
                <c:pt idx="75">
                  <c:v>3752</c:v>
                </c:pt>
                <c:pt idx="76">
                  <c:v>8890</c:v>
                </c:pt>
                <c:pt idx="77">
                  <c:v>5012</c:v>
                </c:pt>
                <c:pt idx="78">
                  <c:v>9835</c:v>
                </c:pt>
                <c:pt idx="79">
                  <c:v>4242</c:v>
                </c:pt>
                <c:pt idx="80">
                  <c:v>259</c:v>
                </c:pt>
                <c:pt idx="81">
                  <c:v>5355</c:v>
                </c:pt>
                <c:pt idx="82">
                  <c:v>2639</c:v>
                </c:pt>
                <c:pt idx="83">
                  <c:v>1771</c:v>
                </c:pt>
                <c:pt idx="84">
                  <c:v>98</c:v>
                </c:pt>
                <c:pt idx="85">
                  <c:v>9926</c:v>
                </c:pt>
                <c:pt idx="86">
                  <c:v>7280</c:v>
                </c:pt>
                <c:pt idx="87">
                  <c:v>4424</c:v>
                </c:pt>
                <c:pt idx="88">
                  <c:v>966</c:v>
                </c:pt>
                <c:pt idx="89">
                  <c:v>1974</c:v>
                </c:pt>
                <c:pt idx="90">
                  <c:v>1890</c:v>
                </c:pt>
                <c:pt idx="91">
                  <c:v>861</c:v>
                </c:pt>
                <c:pt idx="92">
                  <c:v>1925</c:v>
                </c:pt>
                <c:pt idx="93">
                  <c:v>8862</c:v>
                </c:pt>
                <c:pt idx="94">
                  <c:v>4949</c:v>
                </c:pt>
                <c:pt idx="95">
                  <c:v>2954</c:v>
                </c:pt>
                <c:pt idx="96">
                  <c:v>938</c:v>
                </c:pt>
                <c:pt idx="97">
                  <c:v>2114</c:v>
                </c:pt>
                <c:pt idx="98">
                  <c:v>7021</c:v>
                </c:pt>
                <c:pt idx="99">
                  <c:v>6580</c:v>
                </c:pt>
                <c:pt idx="100">
                  <c:v>3864</c:v>
                </c:pt>
                <c:pt idx="101">
                  <c:v>2646</c:v>
                </c:pt>
                <c:pt idx="102">
                  <c:v>2324</c:v>
                </c:pt>
                <c:pt idx="103">
                  <c:v>7847</c:v>
                </c:pt>
                <c:pt idx="104">
                  <c:v>6118</c:v>
                </c:pt>
                <c:pt idx="105">
                  <c:v>4725</c:v>
                </c:pt>
                <c:pt idx="106">
                  <c:v>707</c:v>
                </c:pt>
                <c:pt idx="107">
                  <c:v>4956</c:v>
                </c:pt>
                <c:pt idx="108">
                  <c:v>4018</c:v>
                </c:pt>
                <c:pt idx="109">
                  <c:v>5474</c:v>
                </c:pt>
                <c:pt idx="110">
                  <c:v>2023</c:v>
                </c:pt>
                <c:pt idx="111">
                  <c:v>21</c:v>
                </c:pt>
                <c:pt idx="112">
                  <c:v>3773</c:v>
                </c:pt>
                <c:pt idx="113">
                  <c:v>9443</c:v>
                </c:pt>
                <c:pt idx="114">
                  <c:v>4018</c:v>
                </c:pt>
                <c:pt idx="115">
                  <c:v>973</c:v>
                </c:pt>
                <c:pt idx="116">
                  <c:v>3794</c:v>
                </c:pt>
                <c:pt idx="117">
                  <c:v>98</c:v>
                </c:pt>
                <c:pt idx="118">
                  <c:v>5019</c:v>
                </c:pt>
                <c:pt idx="119">
                  <c:v>4970</c:v>
                </c:pt>
                <c:pt idx="120">
                  <c:v>4305</c:v>
                </c:pt>
                <c:pt idx="121">
                  <c:v>4417</c:v>
                </c:pt>
                <c:pt idx="122">
                  <c:v>5019</c:v>
                </c:pt>
                <c:pt idx="123">
                  <c:v>3759</c:v>
                </c:pt>
                <c:pt idx="124">
                  <c:v>42</c:v>
                </c:pt>
                <c:pt idx="125">
                  <c:v>959</c:v>
                </c:pt>
                <c:pt idx="126">
                  <c:v>6027</c:v>
                </c:pt>
                <c:pt idx="127">
                  <c:v>3983</c:v>
                </c:pt>
                <c:pt idx="128">
                  <c:v>2429</c:v>
                </c:pt>
                <c:pt idx="129">
                  <c:v>336</c:v>
                </c:pt>
                <c:pt idx="130">
                  <c:v>2205</c:v>
                </c:pt>
                <c:pt idx="131">
                  <c:v>1568</c:v>
                </c:pt>
                <c:pt idx="132">
                  <c:v>2205</c:v>
                </c:pt>
                <c:pt idx="133">
                  <c:v>2289</c:v>
                </c:pt>
                <c:pt idx="134">
                  <c:v>1400</c:v>
                </c:pt>
                <c:pt idx="135">
                  <c:v>959</c:v>
                </c:pt>
                <c:pt idx="136">
                  <c:v>0</c:v>
                </c:pt>
                <c:pt idx="137">
                  <c:v>847</c:v>
                </c:pt>
                <c:pt idx="138">
                  <c:v>6860</c:v>
                </c:pt>
                <c:pt idx="139">
                  <c:v>4935</c:v>
                </c:pt>
                <c:pt idx="140">
                  <c:v>4018</c:v>
                </c:pt>
                <c:pt idx="141">
                  <c:v>1617</c:v>
                </c:pt>
                <c:pt idx="142">
                  <c:v>357</c:v>
                </c:pt>
                <c:pt idx="143">
                  <c:v>6734</c:v>
                </c:pt>
                <c:pt idx="144">
                  <c:v>4781</c:v>
                </c:pt>
                <c:pt idx="145">
                  <c:v>3388</c:v>
                </c:pt>
                <c:pt idx="146">
                  <c:v>2317</c:v>
                </c:pt>
                <c:pt idx="147">
                  <c:v>63</c:v>
                </c:pt>
                <c:pt idx="148">
                  <c:v>10073</c:v>
                </c:pt>
                <c:pt idx="149">
                  <c:v>7511</c:v>
                </c:pt>
                <c:pt idx="150">
                  <c:v>2646</c:v>
                </c:pt>
                <c:pt idx="151">
                  <c:v>2212</c:v>
                </c:pt>
                <c:pt idx="152">
                  <c:v>2149</c:v>
                </c:pt>
                <c:pt idx="153">
                  <c:v>2016</c:v>
                </c:pt>
                <c:pt idx="154">
                  <c:v>2793</c:v>
                </c:pt>
                <c:pt idx="155">
                  <c:v>2142</c:v>
                </c:pt>
                <c:pt idx="156">
                  <c:v>1624</c:v>
                </c:pt>
                <c:pt idx="157">
                  <c:v>4487</c:v>
                </c:pt>
                <c:pt idx="158">
                  <c:v>1526</c:v>
                </c:pt>
                <c:pt idx="159">
                  <c:v>6398</c:v>
                </c:pt>
                <c:pt idx="160">
                  <c:v>6125</c:v>
                </c:pt>
                <c:pt idx="161">
                  <c:v>3850</c:v>
                </c:pt>
                <c:pt idx="162">
                  <c:v>2891</c:v>
                </c:pt>
                <c:pt idx="163">
                  <c:v>1652</c:v>
                </c:pt>
                <c:pt idx="164">
                  <c:v>1505</c:v>
                </c:pt>
                <c:pt idx="165">
                  <c:v>2436</c:v>
                </c:pt>
                <c:pt idx="166">
                  <c:v>609</c:v>
                </c:pt>
                <c:pt idx="167">
                  <c:v>7273</c:v>
                </c:pt>
                <c:pt idx="168">
                  <c:v>3472</c:v>
                </c:pt>
                <c:pt idx="169">
                  <c:v>1568</c:v>
                </c:pt>
                <c:pt idx="170">
                  <c:v>6132</c:v>
                </c:pt>
                <c:pt idx="171">
                  <c:v>2919</c:v>
                </c:pt>
                <c:pt idx="172">
                  <c:v>2737</c:v>
                </c:pt>
                <c:pt idx="173">
                  <c:v>1652</c:v>
                </c:pt>
                <c:pt idx="174">
                  <c:v>1428</c:v>
                </c:pt>
                <c:pt idx="175">
                  <c:v>9772</c:v>
                </c:pt>
                <c:pt idx="176">
                  <c:v>8155</c:v>
                </c:pt>
                <c:pt idx="177">
                  <c:v>2541</c:v>
                </c:pt>
                <c:pt idx="178">
                  <c:v>9506</c:v>
                </c:pt>
                <c:pt idx="179">
                  <c:v>7693</c:v>
                </c:pt>
                <c:pt idx="180">
                  <c:v>700</c:v>
                </c:pt>
                <c:pt idx="181">
                  <c:v>609</c:v>
                </c:pt>
                <c:pt idx="182">
                  <c:v>434</c:v>
                </c:pt>
                <c:pt idx="183">
                  <c:v>280</c:v>
                </c:pt>
                <c:pt idx="184">
                  <c:v>10304</c:v>
                </c:pt>
                <c:pt idx="185">
                  <c:v>490</c:v>
                </c:pt>
                <c:pt idx="186">
                  <c:v>168</c:v>
                </c:pt>
                <c:pt idx="187">
                  <c:v>7812</c:v>
                </c:pt>
                <c:pt idx="188">
                  <c:v>6909</c:v>
                </c:pt>
                <c:pt idx="189">
                  <c:v>3598</c:v>
                </c:pt>
                <c:pt idx="190">
                  <c:v>560</c:v>
                </c:pt>
                <c:pt idx="191">
                  <c:v>6433</c:v>
                </c:pt>
                <c:pt idx="192">
                  <c:v>2023</c:v>
                </c:pt>
                <c:pt idx="193">
                  <c:v>8211</c:v>
                </c:pt>
                <c:pt idx="194">
                  <c:v>3339</c:v>
                </c:pt>
                <c:pt idx="195">
                  <c:v>3262</c:v>
                </c:pt>
                <c:pt idx="196">
                  <c:v>2779</c:v>
                </c:pt>
                <c:pt idx="197">
                  <c:v>2219</c:v>
                </c:pt>
                <c:pt idx="198">
                  <c:v>1281</c:v>
                </c:pt>
                <c:pt idx="199">
                  <c:v>945</c:v>
                </c:pt>
                <c:pt idx="200">
                  <c:v>518</c:v>
                </c:pt>
                <c:pt idx="201">
                  <c:v>469</c:v>
                </c:pt>
                <c:pt idx="202">
                  <c:v>9002</c:v>
                </c:pt>
                <c:pt idx="203">
                  <c:v>3976</c:v>
                </c:pt>
                <c:pt idx="204">
                  <c:v>3192</c:v>
                </c:pt>
                <c:pt idx="205">
                  <c:v>1407</c:v>
                </c:pt>
                <c:pt idx="206">
                  <c:v>4760</c:v>
                </c:pt>
                <c:pt idx="207">
                  <c:v>2114</c:v>
                </c:pt>
                <c:pt idx="208">
                  <c:v>6146</c:v>
                </c:pt>
                <c:pt idx="209">
                  <c:v>4606</c:v>
                </c:pt>
                <c:pt idx="210">
                  <c:v>2268</c:v>
                </c:pt>
                <c:pt idx="211">
                  <c:v>1638</c:v>
                </c:pt>
                <c:pt idx="212">
                  <c:v>497</c:v>
                </c:pt>
                <c:pt idx="213">
                  <c:v>4137</c:v>
                </c:pt>
                <c:pt idx="214">
                  <c:v>9051</c:v>
                </c:pt>
                <c:pt idx="215">
                  <c:v>7189</c:v>
                </c:pt>
                <c:pt idx="216">
                  <c:v>6454</c:v>
                </c:pt>
                <c:pt idx="217">
                  <c:v>3108</c:v>
                </c:pt>
                <c:pt idx="218">
                  <c:v>2681</c:v>
                </c:pt>
                <c:pt idx="219">
                  <c:v>1057</c:v>
                </c:pt>
                <c:pt idx="220">
                  <c:v>252</c:v>
                </c:pt>
                <c:pt idx="221">
                  <c:v>5236</c:v>
                </c:pt>
                <c:pt idx="222">
                  <c:v>3640</c:v>
                </c:pt>
                <c:pt idx="223">
                  <c:v>623</c:v>
                </c:pt>
                <c:pt idx="224">
                  <c:v>56</c:v>
                </c:pt>
                <c:pt idx="225">
                  <c:v>6748</c:v>
                </c:pt>
                <c:pt idx="226">
                  <c:v>6391</c:v>
                </c:pt>
                <c:pt idx="227">
                  <c:v>2226</c:v>
                </c:pt>
                <c:pt idx="228">
                  <c:v>1638</c:v>
                </c:pt>
                <c:pt idx="229">
                  <c:v>525</c:v>
                </c:pt>
                <c:pt idx="230">
                  <c:v>189</c:v>
                </c:pt>
                <c:pt idx="231">
                  <c:v>182</c:v>
                </c:pt>
                <c:pt idx="232">
                  <c:v>7483</c:v>
                </c:pt>
                <c:pt idx="233">
                  <c:v>6279</c:v>
                </c:pt>
                <c:pt idx="234">
                  <c:v>2919</c:v>
                </c:pt>
                <c:pt idx="235">
                  <c:v>2541</c:v>
                </c:pt>
                <c:pt idx="236">
                  <c:v>8435</c:v>
                </c:pt>
                <c:pt idx="237">
                  <c:v>6300</c:v>
                </c:pt>
                <c:pt idx="238">
                  <c:v>5775</c:v>
                </c:pt>
                <c:pt idx="239">
                  <c:v>2863</c:v>
                </c:pt>
                <c:pt idx="240">
                  <c:v>7777</c:v>
                </c:pt>
                <c:pt idx="241">
                  <c:v>3339</c:v>
                </c:pt>
                <c:pt idx="242">
                  <c:v>1988</c:v>
                </c:pt>
                <c:pt idx="243">
                  <c:v>1463</c:v>
                </c:pt>
                <c:pt idx="244">
                  <c:v>9198</c:v>
                </c:pt>
                <c:pt idx="245">
                  <c:v>7322</c:v>
                </c:pt>
                <c:pt idx="246">
                  <c:v>4802</c:v>
                </c:pt>
                <c:pt idx="247">
                  <c:v>630</c:v>
                </c:pt>
                <c:pt idx="248">
                  <c:v>217</c:v>
                </c:pt>
                <c:pt idx="249">
                  <c:v>9709</c:v>
                </c:pt>
                <c:pt idx="250">
                  <c:v>6370</c:v>
                </c:pt>
                <c:pt idx="251">
                  <c:v>5439</c:v>
                </c:pt>
                <c:pt idx="252">
                  <c:v>4683</c:v>
                </c:pt>
                <c:pt idx="253">
                  <c:v>4319</c:v>
                </c:pt>
                <c:pt idx="254">
                  <c:v>9660</c:v>
                </c:pt>
                <c:pt idx="255">
                  <c:v>6832</c:v>
                </c:pt>
                <c:pt idx="256">
                  <c:v>6048</c:v>
                </c:pt>
                <c:pt idx="257">
                  <c:v>3059</c:v>
                </c:pt>
                <c:pt idx="258">
                  <c:v>2135</c:v>
                </c:pt>
                <c:pt idx="259">
                  <c:v>1561</c:v>
                </c:pt>
                <c:pt idx="260">
                  <c:v>4053</c:v>
                </c:pt>
                <c:pt idx="261">
                  <c:v>3829</c:v>
                </c:pt>
                <c:pt idx="262">
                  <c:v>8813</c:v>
                </c:pt>
                <c:pt idx="263">
                  <c:v>7693</c:v>
                </c:pt>
                <c:pt idx="264">
                  <c:v>6986</c:v>
                </c:pt>
                <c:pt idx="265">
                  <c:v>5075</c:v>
                </c:pt>
                <c:pt idx="266">
                  <c:v>2478</c:v>
                </c:pt>
                <c:pt idx="267">
                  <c:v>154</c:v>
                </c:pt>
                <c:pt idx="268">
                  <c:v>2583</c:v>
                </c:pt>
                <c:pt idx="269">
                  <c:v>1281</c:v>
                </c:pt>
                <c:pt idx="270">
                  <c:v>238</c:v>
                </c:pt>
                <c:pt idx="271">
                  <c:v>6314</c:v>
                </c:pt>
                <c:pt idx="272">
                  <c:v>2415</c:v>
                </c:pt>
                <c:pt idx="273">
                  <c:v>1442</c:v>
                </c:pt>
                <c:pt idx="274">
                  <c:v>553</c:v>
                </c:pt>
                <c:pt idx="275">
                  <c:v>5817</c:v>
                </c:pt>
                <c:pt idx="276">
                  <c:v>4991</c:v>
                </c:pt>
                <c:pt idx="277">
                  <c:v>6118</c:v>
                </c:pt>
                <c:pt idx="278">
                  <c:v>4991</c:v>
                </c:pt>
                <c:pt idx="279">
                  <c:v>2933</c:v>
                </c:pt>
                <c:pt idx="280">
                  <c:v>2744</c:v>
                </c:pt>
                <c:pt idx="281">
                  <c:v>2408</c:v>
                </c:pt>
                <c:pt idx="282">
                  <c:v>6818</c:v>
                </c:pt>
                <c:pt idx="283">
                  <c:v>2562</c:v>
                </c:pt>
                <c:pt idx="284">
                  <c:v>938</c:v>
                </c:pt>
                <c:pt idx="285">
                  <c:v>6111</c:v>
                </c:pt>
                <c:pt idx="286">
                  <c:v>5915</c:v>
                </c:pt>
                <c:pt idx="287">
                  <c:v>3549</c:v>
                </c:pt>
                <c:pt idx="288">
                  <c:v>2989</c:v>
                </c:pt>
                <c:pt idx="289">
                  <c:v>5306</c:v>
                </c:pt>
                <c:pt idx="290">
                  <c:v>15610</c:v>
                </c:pt>
                <c:pt idx="291">
                  <c:v>12348</c:v>
                </c:pt>
                <c:pt idx="292">
                  <c:v>10311</c:v>
                </c:pt>
                <c:pt idx="293">
                  <c:v>11522</c:v>
                </c:pt>
                <c:pt idx="294">
                  <c:v>13391</c:v>
                </c:pt>
                <c:pt idx="295">
                  <c:v>14329</c:v>
                </c:pt>
                <c:pt idx="296">
                  <c:v>11571</c:v>
                </c:pt>
                <c:pt idx="297">
                  <c:v>16184</c:v>
                </c:pt>
                <c:pt idx="298">
                  <c:v>12950</c:v>
                </c:pt>
                <c:pt idx="299">
                  <c:v>11417</c:v>
                </c:pt>
              </c:numCache>
            </c:numRef>
          </c:xVal>
          <c:yVal>
            <c:numRef>
              <c:f>anomalies!$E$5:$E$304</c:f>
              <c:numCache>
                <c:formatCode>#,##0</c:formatCode>
                <c:ptCount val="300"/>
                <c:pt idx="0">
                  <c:v>525</c:v>
                </c:pt>
                <c:pt idx="1">
                  <c:v>519</c:v>
                </c:pt>
                <c:pt idx="2">
                  <c:v>510</c:v>
                </c:pt>
                <c:pt idx="3">
                  <c:v>504</c:v>
                </c:pt>
                <c:pt idx="4">
                  <c:v>492</c:v>
                </c:pt>
                <c:pt idx="5">
                  <c:v>462</c:v>
                </c:pt>
                <c:pt idx="6">
                  <c:v>459</c:v>
                </c:pt>
                <c:pt idx="7">
                  <c:v>459</c:v>
                </c:pt>
                <c:pt idx="8">
                  <c:v>456</c:v>
                </c:pt>
                <c:pt idx="9">
                  <c:v>447</c:v>
                </c:pt>
                <c:pt idx="10">
                  <c:v>432</c:v>
                </c:pt>
                <c:pt idx="11">
                  <c:v>414</c:v>
                </c:pt>
                <c:pt idx="12">
                  <c:v>405</c:v>
                </c:pt>
                <c:pt idx="13">
                  <c:v>402</c:v>
                </c:pt>
                <c:pt idx="14">
                  <c:v>378</c:v>
                </c:pt>
                <c:pt idx="15">
                  <c:v>372</c:v>
                </c:pt>
                <c:pt idx="16">
                  <c:v>369</c:v>
                </c:pt>
                <c:pt idx="17">
                  <c:v>366</c:v>
                </c:pt>
                <c:pt idx="18">
                  <c:v>366</c:v>
                </c:pt>
                <c:pt idx="19">
                  <c:v>363</c:v>
                </c:pt>
                <c:pt idx="20">
                  <c:v>357</c:v>
                </c:pt>
                <c:pt idx="21">
                  <c:v>348</c:v>
                </c:pt>
                <c:pt idx="22">
                  <c:v>348</c:v>
                </c:pt>
                <c:pt idx="23">
                  <c:v>342</c:v>
                </c:pt>
                <c:pt idx="24">
                  <c:v>333</c:v>
                </c:pt>
                <c:pt idx="25">
                  <c:v>327</c:v>
                </c:pt>
                <c:pt idx="26">
                  <c:v>324</c:v>
                </c:pt>
                <c:pt idx="27">
                  <c:v>312</c:v>
                </c:pt>
                <c:pt idx="28">
                  <c:v>312</c:v>
                </c:pt>
                <c:pt idx="29">
                  <c:v>309</c:v>
                </c:pt>
                <c:pt idx="30">
                  <c:v>306</c:v>
                </c:pt>
                <c:pt idx="31">
                  <c:v>306</c:v>
                </c:pt>
                <c:pt idx="32">
                  <c:v>306</c:v>
                </c:pt>
                <c:pt idx="33">
                  <c:v>303</c:v>
                </c:pt>
                <c:pt idx="34">
                  <c:v>303</c:v>
                </c:pt>
                <c:pt idx="35">
                  <c:v>303</c:v>
                </c:pt>
                <c:pt idx="36">
                  <c:v>300</c:v>
                </c:pt>
                <c:pt idx="37">
                  <c:v>300</c:v>
                </c:pt>
                <c:pt idx="38">
                  <c:v>297</c:v>
                </c:pt>
                <c:pt idx="39">
                  <c:v>288</c:v>
                </c:pt>
                <c:pt idx="40">
                  <c:v>288</c:v>
                </c:pt>
                <c:pt idx="41">
                  <c:v>288</c:v>
                </c:pt>
                <c:pt idx="42">
                  <c:v>288</c:v>
                </c:pt>
                <c:pt idx="43">
                  <c:v>282</c:v>
                </c:pt>
                <c:pt idx="44">
                  <c:v>279</c:v>
                </c:pt>
                <c:pt idx="45">
                  <c:v>279</c:v>
                </c:pt>
                <c:pt idx="46">
                  <c:v>276</c:v>
                </c:pt>
                <c:pt idx="47">
                  <c:v>276</c:v>
                </c:pt>
                <c:pt idx="48">
                  <c:v>273</c:v>
                </c:pt>
                <c:pt idx="49">
                  <c:v>270</c:v>
                </c:pt>
                <c:pt idx="50">
                  <c:v>270</c:v>
                </c:pt>
                <c:pt idx="51">
                  <c:v>261</c:v>
                </c:pt>
                <c:pt idx="52">
                  <c:v>258</c:v>
                </c:pt>
                <c:pt idx="53">
                  <c:v>255</c:v>
                </c:pt>
                <c:pt idx="54">
                  <c:v>252</c:v>
                </c:pt>
                <c:pt idx="55">
                  <c:v>252</c:v>
                </c:pt>
                <c:pt idx="56">
                  <c:v>249</c:v>
                </c:pt>
                <c:pt idx="57">
                  <c:v>246</c:v>
                </c:pt>
                <c:pt idx="58">
                  <c:v>246</c:v>
                </c:pt>
                <c:pt idx="59">
                  <c:v>246</c:v>
                </c:pt>
                <c:pt idx="60">
                  <c:v>246</c:v>
                </c:pt>
                <c:pt idx="61">
                  <c:v>243</c:v>
                </c:pt>
                <c:pt idx="62">
                  <c:v>240</c:v>
                </c:pt>
                <c:pt idx="63">
                  <c:v>240</c:v>
                </c:pt>
                <c:pt idx="64">
                  <c:v>237</c:v>
                </c:pt>
                <c:pt idx="65">
                  <c:v>234</c:v>
                </c:pt>
                <c:pt idx="66">
                  <c:v>234</c:v>
                </c:pt>
                <c:pt idx="67">
                  <c:v>231</c:v>
                </c:pt>
                <c:pt idx="68">
                  <c:v>228</c:v>
                </c:pt>
                <c:pt idx="69">
                  <c:v>225</c:v>
                </c:pt>
                <c:pt idx="70">
                  <c:v>225</c:v>
                </c:pt>
                <c:pt idx="71">
                  <c:v>225</c:v>
                </c:pt>
                <c:pt idx="72">
                  <c:v>219</c:v>
                </c:pt>
                <c:pt idx="73">
                  <c:v>216</c:v>
                </c:pt>
                <c:pt idx="74">
                  <c:v>213</c:v>
                </c:pt>
                <c:pt idx="75">
                  <c:v>213</c:v>
                </c:pt>
                <c:pt idx="76">
                  <c:v>210</c:v>
                </c:pt>
                <c:pt idx="77">
                  <c:v>210</c:v>
                </c:pt>
                <c:pt idx="78">
                  <c:v>207</c:v>
                </c:pt>
                <c:pt idx="79">
                  <c:v>207</c:v>
                </c:pt>
                <c:pt idx="80">
                  <c:v>207</c:v>
                </c:pt>
                <c:pt idx="81">
                  <c:v>204</c:v>
                </c:pt>
                <c:pt idx="82">
                  <c:v>204</c:v>
                </c:pt>
                <c:pt idx="83">
                  <c:v>204</c:v>
                </c:pt>
                <c:pt idx="84">
                  <c:v>204</c:v>
                </c:pt>
                <c:pt idx="85">
                  <c:v>201</c:v>
                </c:pt>
                <c:pt idx="86">
                  <c:v>201</c:v>
                </c:pt>
                <c:pt idx="87">
                  <c:v>201</c:v>
                </c:pt>
                <c:pt idx="88">
                  <c:v>198</c:v>
                </c:pt>
                <c:pt idx="89">
                  <c:v>195</c:v>
                </c:pt>
                <c:pt idx="90">
                  <c:v>195</c:v>
                </c:pt>
                <c:pt idx="91">
                  <c:v>195</c:v>
                </c:pt>
                <c:pt idx="92">
                  <c:v>192</c:v>
                </c:pt>
                <c:pt idx="93">
                  <c:v>189</c:v>
                </c:pt>
                <c:pt idx="94">
                  <c:v>189</c:v>
                </c:pt>
                <c:pt idx="95">
                  <c:v>189</c:v>
                </c:pt>
                <c:pt idx="96">
                  <c:v>189</c:v>
                </c:pt>
                <c:pt idx="97">
                  <c:v>186</c:v>
                </c:pt>
                <c:pt idx="98">
                  <c:v>183</c:v>
                </c:pt>
                <c:pt idx="99">
                  <c:v>183</c:v>
                </c:pt>
                <c:pt idx="100">
                  <c:v>177</c:v>
                </c:pt>
                <c:pt idx="101">
                  <c:v>177</c:v>
                </c:pt>
                <c:pt idx="102">
                  <c:v>177</c:v>
                </c:pt>
                <c:pt idx="103">
                  <c:v>174</c:v>
                </c:pt>
                <c:pt idx="104">
                  <c:v>174</c:v>
                </c:pt>
                <c:pt idx="105">
                  <c:v>174</c:v>
                </c:pt>
                <c:pt idx="106">
                  <c:v>174</c:v>
                </c:pt>
                <c:pt idx="107">
                  <c:v>171</c:v>
                </c:pt>
                <c:pt idx="108">
                  <c:v>171</c:v>
                </c:pt>
                <c:pt idx="109">
                  <c:v>168</c:v>
                </c:pt>
                <c:pt idx="110">
                  <c:v>168</c:v>
                </c:pt>
                <c:pt idx="111">
                  <c:v>168</c:v>
                </c:pt>
                <c:pt idx="112">
                  <c:v>165</c:v>
                </c:pt>
                <c:pt idx="113">
                  <c:v>162</c:v>
                </c:pt>
                <c:pt idx="114">
                  <c:v>162</c:v>
                </c:pt>
                <c:pt idx="115">
                  <c:v>162</c:v>
                </c:pt>
                <c:pt idx="116">
                  <c:v>159</c:v>
                </c:pt>
                <c:pt idx="117">
                  <c:v>159</c:v>
                </c:pt>
                <c:pt idx="118">
                  <c:v>156</c:v>
                </c:pt>
                <c:pt idx="119">
                  <c:v>156</c:v>
                </c:pt>
                <c:pt idx="120">
                  <c:v>156</c:v>
                </c:pt>
                <c:pt idx="121">
                  <c:v>153</c:v>
                </c:pt>
                <c:pt idx="122">
                  <c:v>150</c:v>
                </c:pt>
                <c:pt idx="123">
                  <c:v>150</c:v>
                </c:pt>
                <c:pt idx="124">
                  <c:v>150</c:v>
                </c:pt>
                <c:pt idx="125">
                  <c:v>147</c:v>
                </c:pt>
                <c:pt idx="126">
                  <c:v>144</c:v>
                </c:pt>
                <c:pt idx="127">
                  <c:v>144</c:v>
                </c:pt>
                <c:pt idx="128">
                  <c:v>144</c:v>
                </c:pt>
                <c:pt idx="129">
                  <c:v>144</c:v>
                </c:pt>
                <c:pt idx="130">
                  <c:v>141</c:v>
                </c:pt>
                <c:pt idx="131">
                  <c:v>141</c:v>
                </c:pt>
                <c:pt idx="132">
                  <c:v>138</c:v>
                </c:pt>
                <c:pt idx="133">
                  <c:v>135</c:v>
                </c:pt>
                <c:pt idx="134">
                  <c:v>135</c:v>
                </c:pt>
                <c:pt idx="135">
                  <c:v>135</c:v>
                </c:pt>
                <c:pt idx="136">
                  <c:v>135</c:v>
                </c:pt>
                <c:pt idx="137">
                  <c:v>129</c:v>
                </c:pt>
                <c:pt idx="138">
                  <c:v>126</c:v>
                </c:pt>
                <c:pt idx="139">
                  <c:v>126</c:v>
                </c:pt>
                <c:pt idx="140">
                  <c:v>126</c:v>
                </c:pt>
                <c:pt idx="141">
                  <c:v>126</c:v>
                </c:pt>
                <c:pt idx="142">
                  <c:v>126</c:v>
                </c:pt>
                <c:pt idx="143">
                  <c:v>123</c:v>
                </c:pt>
                <c:pt idx="144">
                  <c:v>123</c:v>
                </c:pt>
                <c:pt idx="145">
                  <c:v>123</c:v>
                </c:pt>
                <c:pt idx="146">
                  <c:v>123</c:v>
                </c:pt>
                <c:pt idx="147">
                  <c:v>123</c:v>
                </c:pt>
                <c:pt idx="148">
                  <c:v>120</c:v>
                </c:pt>
                <c:pt idx="149">
                  <c:v>120</c:v>
                </c:pt>
                <c:pt idx="150">
                  <c:v>120</c:v>
                </c:pt>
                <c:pt idx="151">
                  <c:v>117</c:v>
                </c:pt>
                <c:pt idx="152">
                  <c:v>117</c:v>
                </c:pt>
                <c:pt idx="153">
                  <c:v>117</c:v>
                </c:pt>
                <c:pt idx="154">
                  <c:v>114</c:v>
                </c:pt>
                <c:pt idx="155">
                  <c:v>114</c:v>
                </c:pt>
                <c:pt idx="156">
                  <c:v>114</c:v>
                </c:pt>
                <c:pt idx="157">
                  <c:v>111</c:v>
                </c:pt>
                <c:pt idx="158">
                  <c:v>105</c:v>
                </c:pt>
                <c:pt idx="159">
                  <c:v>102</c:v>
                </c:pt>
                <c:pt idx="160">
                  <c:v>102</c:v>
                </c:pt>
                <c:pt idx="161">
                  <c:v>102</c:v>
                </c:pt>
                <c:pt idx="162">
                  <c:v>102</c:v>
                </c:pt>
                <c:pt idx="163">
                  <c:v>102</c:v>
                </c:pt>
                <c:pt idx="164">
                  <c:v>102</c:v>
                </c:pt>
                <c:pt idx="165">
                  <c:v>99</c:v>
                </c:pt>
                <c:pt idx="166">
                  <c:v>99</c:v>
                </c:pt>
                <c:pt idx="167">
                  <c:v>96</c:v>
                </c:pt>
                <c:pt idx="168">
                  <c:v>96</c:v>
                </c:pt>
                <c:pt idx="169">
                  <c:v>96</c:v>
                </c:pt>
                <c:pt idx="170">
                  <c:v>93</c:v>
                </c:pt>
                <c:pt idx="171">
                  <c:v>93</c:v>
                </c:pt>
                <c:pt idx="172">
                  <c:v>93</c:v>
                </c:pt>
                <c:pt idx="173">
                  <c:v>93</c:v>
                </c:pt>
                <c:pt idx="174">
                  <c:v>93</c:v>
                </c:pt>
                <c:pt idx="175">
                  <c:v>90</c:v>
                </c:pt>
                <c:pt idx="176">
                  <c:v>90</c:v>
                </c:pt>
                <c:pt idx="177">
                  <c:v>90</c:v>
                </c:pt>
                <c:pt idx="178">
                  <c:v>87</c:v>
                </c:pt>
                <c:pt idx="179">
                  <c:v>87</c:v>
                </c:pt>
                <c:pt idx="180">
                  <c:v>87</c:v>
                </c:pt>
                <c:pt idx="181">
                  <c:v>87</c:v>
                </c:pt>
                <c:pt idx="182">
                  <c:v>87</c:v>
                </c:pt>
                <c:pt idx="183">
                  <c:v>87</c:v>
                </c:pt>
                <c:pt idx="184">
                  <c:v>84</c:v>
                </c:pt>
                <c:pt idx="185">
                  <c:v>84</c:v>
                </c:pt>
                <c:pt idx="186">
                  <c:v>84</c:v>
                </c:pt>
                <c:pt idx="187">
                  <c:v>81</c:v>
                </c:pt>
                <c:pt idx="188">
                  <c:v>81</c:v>
                </c:pt>
                <c:pt idx="189">
                  <c:v>81</c:v>
                </c:pt>
                <c:pt idx="190">
                  <c:v>81</c:v>
                </c:pt>
                <c:pt idx="191">
                  <c:v>78</c:v>
                </c:pt>
                <c:pt idx="192">
                  <c:v>78</c:v>
                </c:pt>
                <c:pt idx="193">
                  <c:v>75</c:v>
                </c:pt>
                <c:pt idx="194">
                  <c:v>75</c:v>
                </c:pt>
                <c:pt idx="195">
                  <c:v>75</c:v>
                </c:pt>
                <c:pt idx="196">
                  <c:v>75</c:v>
                </c:pt>
                <c:pt idx="197">
                  <c:v>75</c:v>
                </c:pt>
                <c:pt idx="198">
                  <c:v>75</c:v>
                </c:pt>
                <c:pt idx="199">
                  <c:v>75</c:v>
                </c:pt>
                <c:pt idx="200">
                  <c:v>75</c:v>
                </c:pt>
                <c:pt idx="201">
                  <c:v>75</c:v>
                </c:pt>
                <c:pt idx="202">
                  <c:v>72</c:v>
                </c:pt>
                <c:pt idx="203">
                  <c:v>72</c:v>
                </c:pt>
                <c:pt idx="204">
                  <c:v>72</c:v>
                </c:pt>
                <c:pt idx="205">
                  <c:v>72</c:v>
                </c:pt>
                <c:pt idx="206">
                  <c:v>69</c:v>
                </c:pt>
                <c:pt idx="207">
                  <c:v>66</c:v>
                </c:pt>
                <c:pt idx="208">
                  <c:v>63</c:v>
                </c:pt>
                <c:pt idx="209">
                  <c:v>63</c:v>
                </c:pt>
                <c:pt idx="210">
                  <c:v>63</c:v>
                </c:pt>
                <c:pt idx="211">
                  <c:v>63</c:v>
                </c:pt>
                <c:pt idx="212">
                  <c:v>63</c:v>
                </c:pt>
                <c:pt idx="213">
                  <c:v>60</c:v>
                </c:pt>
                <c:pt idx="214">
                  <c:v>57</c:v>
                </c:pt>
                <c:pt idx="215">
                  <c:v>54</c:v>
                </c:pt>
                <c:pt idx="216">
                  <c:v>54</c:v>
                </c:pt>
                <c:pt idx="217">
                  <c:v>54</c:v>
                </c:pt>
                <c:pt idx="218">
                  <c:v>54</c:v>
                </c:pt>
                <c:pt idx="219">
                  <c:v>54</c:v>
                </c:pt>
                <c:pt idx="220">
                  <c:v>54</c:v>
                </c:pt>
                <c:pt idx="221">
                  <c:v>51</c:v>
                </c:pt>
                <c:pt idx="222">
                  <c:v>51</c:v>
                </c:pt>
                <c:pt idx="223">
                  <c:v>51</c:v>
                </c:pt>
                <c:pt idx="224">
                  <c:v>51</c:v>
                </c:pt>
                <c:pt idx="225">
                  <c:v>48</c:v>
                </c:pt>
                <c:pt idx="226">
                  <c:v>48</c:v>
                </c:pt>
                <c:pt idx="227">
                  <c:v>48</c:v>
                </c:pt>
                <c:pt idx="228">
                  <c:v>48</c:v>
                </c:pt>
                <c:pt idx="229">
                  <c:v>48</c:v>
                </c:pt>
                <c:pt idx="230">
                  <c:v>48</c:v>
                </c:pt>
                <c:pt idx="231">
                  <c:v>48</c:v>
                </c:pt>
                <c:pt idx="232">
                  <c:v>45</c:v>
                </c:pt>
                <c:pt idx="233">
                  <c:v>45</c:v>
                </c:pt>
                <c:pt idx="234">
                  <c:v>45</c:v>
                </c:pt>
                <c:pt idx="235">
                  <c:v>45</c:v>
                </c:pt>
                <c:pt idx="236">
                  <c:v>42</c:v>
                </c:pt>
                <c:pt idx="237">
                  <c:v>42</c:v>
                </c:pt>
                <c:pt idx="238">
                  <c:v>42</c:v>
                </c:pt>
                <c:pt idx="239">
                  <c:v>42</c:v>
                </c:pt>
                <c:pt idx="240">
                  <c:v>39</c:v>
                </c:pt>
                <c:pt idx="241">
                  <c:v>39</c:v>
                </c:pt>
                <c:pt idx="242">
                  <c:v>39</c:v>
                </c:pt>
                <c:pt idx="243">
                  <c:v>39</c:v>
                </c:pt>
                <c:pt idx="244">
                  <c:v>36</c:v>
                </c:pt>
                <c:pt idx="245">
                  <c:v>36</c:v>
                </c:pt>
                <c:pt idx="246">
                  <c:v>36</c:v>
                </c:pt>
                <c:pt idx="247">
                  <c:v>36</c:v>
                </c:pt>
                <c:pt idx="248">
                  <c:v>36</c:v>
                </c:pt>
                <c:pt idx="249">
                  <c:v>30</c:v>
                </c:pt>
                <c:pt idx="250">
                  <c:v>30</c:v>
                </c:pt>
                <c:pt idx="251">
                  <c:v>30</c:v>
                </c:pt>
                <c:pt idx="252">
                  <c:v>30</c:v>
                </c:pt>
                <c:pt idx="253">
                  <c:v>30</c:v>
                </c:pt>
                <c:pt idx="254">
                  <c:v>27</c:v>
                </c:pt>
                <c:pt idx="255">
                  <c:v>27</c:v>
                </c:pt>
                <c:pt idx="256">
                  <c:v>27</c:v>
                </c:pt>
                <c:pt idx="257">
                  <c:v>27</c:v>
                </c:pt>
                <c:pt idx="258">
                  <c:v>27</c:v>
                </c:pt>
                <c:pt idx="259">
                  <c:v>27</c:v>
                </c:pt>
                <c:pt idx="260">
                  <c:v>24</c:v>
                </c:pt>
                <c:pt idx="261">
                  <c:v>24</c:v>
                </c:pt>
                <c:pt idx="262">
                  <c:v>21</c:v>
                </c:pt>
                <c:pt idx="263">
                  <c:v>21</c:v>
                </c:pt>
                <c:pt idx="264">
                  <c:v>21</c:v>
                </c:pt>
                <c:pt idx="265">
                  <c:v>21</c:v>
                </c:pt>
                <c:pt idx="266">
                  <c:v>21</c:v>
                </c:pt>
                <c:pt idx="267">
                  <c:v>21</c:v>
                </c:pt>
                <c:pt idx="268">
                  <c:v>18</c:v>
                </c:pt>
                <c:pt idx="269">
                  <c:v>18</c:v>
                </c:pt>
                <c:pt idx="270">
                  <c:v>18</c:v>
                </c:pt>
                <c:pt idx="271">
                  <c:v>15</c:v>
                </c:pt>
                <c:pt idx="272">
                  <c:v>15</c:v>
                </c:pt>
                <c:pt idx="273">
                  <c:v>15</c:v>
                </c:pt>
                <c:pt idx="274">
                  <c:v>15</c:v>
                </c:pt>
                <c:pt idx="275">
                  <c:v>12</c:v>
                </c:pt>
                <c:pt idx="276">
                  <c:v>12</c:v>
                </c:pt>
                <c:pt idx="277">
                  <c:v>9</c:v>
                </c:pt>
                <c:pt idx="278">
                  <c:v>9</c:v>
                </c:pt>
                <c:pt idx="279">
                  <c:v>9</c:v>
                </c:pt>
                <c:pt idx="280">
                  <c:v>9</c:v>
                </c:pt>
                <c:pt idx="281">
                  <c:v>9</c:v>
                </c:pt>
                <c:pt idx="282">
                  <c:v>6</c:v>
                </c:pt>
                <c:pt idx="283">
                  <c:v>6</c:v>
                </c:pt>
                <c:pt idx="284">
                  <c:v>6</c:v>
                </c:pt>
                <c:pt idx="285">
                  <c:v>3</c:v>
                </c:pt>
                <c:pt idx="286">
                  <c:v>3</c:v>
                </c:pt>
                <c:pt idx="287">
                  <c:v>3</c:v>
                </c:pt>
                <c:pt idx="288">
                  <c:v>3</c:v>
                </c:pt>
                <c:pt idx="289">
                  <c:v>0</c:v>
                </c:pt>
                <c:pt idx="290">
                  <c:v>339</c:v>
                </c:pt>
                <c:pt idx="291">
                  <c:v>234</c:v>
                </c:pt>
                <c:pt idx="292">
                  <c:v>231</c:v>
                </c:pt>
                <c:pt idx="293">
                  <c:v>204</c:v>
                </c:pt>
                <c:pt idx="294">
                  <c:v>201</c:v>
                </c:pt>
                <c:pt idx="295">
                  <c:v>150</c:v>
                </c:pt>
                <c:pt idx="296">
                  <c:v>138</c:v>
                </c:pt>
                <c:pt idx="297">
                  <c:v>39</c:v>
                </c:pt>
                <c:pt idx="298">
                  <c:v>30</c:v>
                </c:pt>
                <c:pt idx="299">
                  <c:v>21</c:v>
                </c:pt>
              </c:numCache>
            </c:numRef>
          </c:yVal>
          <c:smooth val="0"/>
          <c:extLst>
            <c:ext xmlns:c16="http://schemas.microsoft.com/office/drawing/2014/chart" uri="{C3380CC4-5D6E-409C-BE32-E72D297353CC}">
              <c16:uniqueId val="{00000000-04C0-48C5-BFD0-17DB9E53033D}"/>
            </c:ext>
          </c:extLst>
        </c:ser>
        <c:dLbls>
          <c:showLegendKey val="0"/>
          <c:showVal val="0"/>
          <c:showCatName val="0"/>
          <c:showSerName val="0"/>
          <c:showPercent val="0"/>
          <c:showBubbleSize val="0"/>
        </c:dLbls>
        <c:axId val="186192448"/>
        <c:axId val="186208672"/>
      </c:scatterChart>
      <c:valAx>
        <c:axId val="1861924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08672"/>
        <c:crosses val="autoZero"/>
        <c:crossBetween val="midCat"/>
      </c:valAx>
      <c:valAx>
        <c:axId val="18620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924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plotArea>
      <cx:plotAreaRegion>
        <cx:series layoutId="boxWhisker" uniqueId="{AD2417E2-7166-4ED0-826D-73168C33D504}">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A0C253F1-68B5-449D-B747-3B81F14F3AC4}">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0</xdr:row>
      <xdr:rowOff>76201</xdr:rowOff>
    </xdr:from>
    <xdr:to>
      <xdr:col>2</xdr:col>
      <xdr:colOff>466725</xdr:colOff>
      <xdr:row>5</xdr:row>
      <xdr:rowOff>65201</xdr:rowOff>
    </xdr:to>
    <xdr:pic>
      <xdr:nvPicPr>
        <xdr:cNvPr id="2" name="Picture 1">
          <a:extLst>
            <a:ext uri="{FF2B5EF4-FFF2-40B4-BE49-F238E27FC236}">
              <a16:creationId xmlns:a16="http://schemas.microsoft.com/office/drawing/2014/main" id="{D8FFDBE2-ECC4-4CD7-9BAE-27206D19CDA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742950" y="76201"/>
          <a:ext cx="942975" cy="941500"/>
        </a:xfrm>
        <a:prstGeom prst="ellipse">
          <a:avLst/>
        </a:prstGeom>
      </xdr:spPr>
    </xdr:pic>
    <xdr:clientData/>
  </xdr:twoCellAnchor>
  <xdr:twoCellAnchor>
    <xdr:from>
      <xdr:col>2</xdr:col>
      <xdr:colOff>590550</xdr:colOff>
      <xdr:row>0</xdr:row>
      <xdr:rowOff>28575</xdr:rowOff>
    </xdr:from>
    <xdr:to>
      <xdr:col>18</xdr:col>
      <xdr:colOff>518584</xdr:colOff>
      <xdr:row>5</xdr:row>
      <xdr:rowOff>180975</xdr:rowOff>
    </xdr:to>
    <xdr:sp macro="" textlink="">
      <xdr:nvSpPr>
        <xdr:cNvPr id="3" name="TextBox 2">
          <a:extLst>
            <a:ext uri="{FF2B5EF4-FFF2-40B4-BE49-F238E27FC236}">
              <a16:creationId xmlns:a16="http://schemas.microsoft.com/office/drawing/2014/main" id="{27745BB0-318B-4CF2-AF1A-6C2C6D1DF85D}"/>
            </a:ext>
          </a:extLst>
        </xdr:cNvPr>
        <xdr:cNvSpPr txBox="1"/>
      </xdr:nvSpPr>
      <xdr:spPr>
        <a:xfrm>
          <a:off x="1818217" y="28575"/>
          <a:ext cx="11156950" cy="11049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2800">
              <a:solidFill>
                <a:schemeClr val="tx1">
                  <a:lumMod val="95000"/>
                  <a:lumOff val="5000"/>
                </a:schemeClr>
              </a:solidFill>
              <a:latin typeface="Cambria Math" panose="02040503050406030204" pitchFamily="18" charset="0"/>
              <a:ea typeface="Cambria Math" panose="02040503050406030204" pitchFamily="18" charset="0"/>
            </a:rPr>
            <a:t>Awesome Chocolates</a:t>
          </a:r>
          <a:r>
            <a:rPr lang="en-MY" sz="2800" baseline="0">
              <a:solidFill>
                <a:schemeClr val="tx1">
                  <a:lumMod val="95000"/>
                  <a:lumOff val="5000"/>
                </a:schemeClr>
              </a:solidFill>
              <a:latin typeface="Cambria Math" panose="02040503050406030204" pitchFamily="18" charset="0"/>
              <a:ea typeface="Cambria Math" panose="02040503050406030204" pitchFamily="18" charset="0"/>
            </a:rPr>
            <a:t> Sales Performance Dashboard</a:t>
          </a:r>
          <a:endParaRPr lang="en-MY" sz="2800">
            <a:solidFill>
              <a:schemeClr val="tx1">
                <a:lumMod val="95000"/>
                <a:lumOff val="5000"/>
              </a:schemeClr>
            </a:solidFill>
            <a:latin typeface="Cambria Math" panose="02040503050406030204" pitchFamily="18" charset="0"/>
            <a:ea typeface="Cambria Math" panose="02040503050406030204" pitchFamily="18" charset="0"/>
          </a:endParaRPr>
        </a:p>
      </xdr:txBody>
    </xdr:sp>
    <xdr:clientData/>
  </xdr:twoCellAnchor>
  <xdr:twoCellAnchor>
    <xdr:from>
      <xdr:col>9</xdr:col>
      <xdr:colOff>25402</xdr:colOff>
      <xdr:row>25</xdr:row>
      <xdr:rowOff>125941</xdr:rowOff>
    </xdr:from>
    <xdr:to>
      <xdr:col>19</xdr:col>
      <xdr:colOff>25401</xdr:colOff>
      <xdr:row>47</xdr:row>
      <xdr:rowOff>21167</xdr:rowOff>
    </xdr:to>
    <xdr:graphicFrame macro="">
      <xdr:nvGraphicFramePr>
        <xdr:cNvPr id="4" name="Chart 3">
          <a:extLst>
            <a:ext uri="{FF2B5EF4-FFF2-40B4-BE49-F238E27FC236}">
              <a16:creationId xmlns:a16="http://schemas.microsoft.com/office/drawing/2014/main" id="{6F6D38E7-A128-461C-8A85-799A78F7D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15877</xdr:colOff>
      <xdr:row>6</xdr:row>
      <xdr:rowOff>180975</xdr:rowOff>
    </xdr:from>
    <xdr:to>
      <xdr:col>19</xdr:col>
      <xdr:colOff>25401</xdr:colOff>
      <xdr:row>25</xdr:row>
      <xdr:rowOff>9525</xdr:rowOff>
    </xdr:to>
    <xdr:graphicFrame macro="">
      <xdr:nvGraphicFramePr>
        <xdr:cNvPr id="5" name="Chart 4">
          <a:extLst>
            <a:ext uri="{FF2B5EF4-FFF2-40B4-BE49-F238E27FC236}">
              <a16:creationId xmlns:a16="http://schemas.microsoft.com/office/drawing/2014/main" id="{25F75D11-BAC0-450A-90FD-8827B6560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xdr:col>
      <xdr:colOff>3463</xdr:colOff>
      <xdr:row>6</xdr:row>
      <xdr:rowOff>171451</xdr:rowOff>
    </xdr:from>
    <xdr:to>
      <xdr:col>5</xdr:col>
      <xdr:colOff>398318</xdr:colOff>
      <xdr:row>14</xdr:row>
      <xdr:rowOff>155864</xdr:rowOff>
    </xdr:to>
    <mc:AlternateContent xmlns:mc="http://schemas.openxmlformats.org/markup-compatibility/2006">
      <mc:Choice xmlns:a14="http://schemas.microsoft.com/office/drawing/2010/main" Requires="a14">
        <xdr:graphicFrame macro="">
          <xdr:nvGraphicFramePr>
            <xdr:cNvPr id="15" name="Market">
              <a:extLst>
                <a:ext uri="{FF2B5EF4-FFF2-40B4-BE49-F238E27FC236}">
                  <a16:creationId xmlns:a16="http://schemas.microsoft.com/office/drawing/2014/main" id="{DCAF2901-E305-4713-A483-1A1580EFD84A}"/>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dr:sp macro="" textlink="">
          <xdr:nvSpPr>
            <xdr:cNvPr id="0" name=""/>
            <xdr:cNvSpPr>
              <a:spLocks noTextEdit="1"/>
            </xdr:cNvSpPr>
          </xdr:nvSpPr>
          <xdr:spPr>
            <a:xfrm>
              <a:off x="606713" y="1314451"/>
              <a:ext cx="2807855" cy="1508413"/>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0</xdr:colOff>
      <xdr:row>22</xdr:row>
      <xdr:rowOff>180975</xdr:rowOff>
    </xdr:from>
    <xdr:to>
      <xdr:col>6</xdr:col>
      <xdr:colOff>84667</xdr:colOff>
      <xdr:row>47</xdr:row>
      <xdr:rowOff>9525</xdr:rowOff>
    </xdr:to>
    <xdr:graphicFrame macro="">
      <xdr:nvGraphicFramePr>
        <xdr:cNvPr id="16" name="Chart 15">
          <a:extLst>
            <a:ext uri="{FF2B5EF4-FFF2-40B4-BE49-F238E27FC236}">
              <a16:creationId xmlns:a16="http://schemas.microsoft.com/office/drawing/2014/main" id="{7C8C996D-4D46-47D1-BC3D-CBCCA1B4B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21167</xdr:colOff>
      <xdr:row>22</xdr:row>
      <xdr:rowOff>180974</xdr:rowOff>
    </xdr:from>
    <xdr:to>
      <xdr:col>8</xdr:col>
      <xdr:colOff>518583</xdr:colOff>
      <xdr:row>46</xdr:row>
      <xdr:rowOff>190499</xdr:rowOff>
    </xdr:to>
    <xdr:graphicFrame macro="">
      <xdr:nvGraphicFramePr>
        <xdr:cNvPr id="17" name="Chart 16">
          <a:extLst>
            <a:ext uri="{FF2B5EF4-FFF2-40B4-BE49-F238E27FC236}">
              <a16:creationId xmlns:a16="http://schemas.microsoft.com/office/drawing/2014/main" id="{C0701D11-BE60-486A-998A-615D5957F6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6061</xdr:colOff>
      <xdr:row>14</xdr:row>
      <xdr:rowOff>170585</xdr:rowOff>
    </xdr:from>
    <xdr:to>
      <xdr:col>5</xdr:col>
      <xdr:colOff>372340</xdr:colOff>
      <xdr:row>22</xdr:row>
      <xdr:rowOff>1</xdr:rowOff>
    </xdr:to>
    <mc:AlternateContent xmlns:mc="http://schemas.openxmlformats.org/markup-compatibility/2006">
      <mc:Choice xmlns:a14="http://schemas.microsoft.com/office/drawing/2010/main" Requires="a14">
        <xdr:graphicFrame macro="">
          <xdr:nvGraphicFramePr>
            <xdr:cNvPr id="6" name="Sales Person 1">
              <a:extLst>
                <a:ext uri="{FF2B5EF4-FFF2-40B4-BE49-F238E27FC236}">
                  <a16:creationId xmlns:a16="http://schemas.microsoft.com/office/drawing/2014/main" id="{1F8168C2-D6F1-42B5-95F5-90F9FBF49298}"/>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609311" y="2837585"/>
              <a:ext cx="2779279" cy="135341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76201</xdr:rowOff>
    </xdr:from>
    <xdr:to>
      <xdr:col>1</xdr:col>
      <xdr:colOff>215493</xdr:colOff>
      <xdr:row>3</xdr:row>
      <xdr:rowOff>142875</xdr:rowOff>
    </xdr:to>
    <xdr:pic>
      <xdr:nvPicPr>
        <xdr:cNvPr id="8" name="Picture 7">
          <a:extLst>
            <a:ext uri="{FF2B5EF4-FFF2-40B4-BE49-F238E27FC236}">
              <a16:creationId xmlns:a16="http://schemas.microsoft.com/office/drawing/2014/main" id="{B789B562-5FA5-4B8C-8FBC-503985E2F95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990" t="19990" r="19990" b="19990"/>
        <a:stretch/>
      </xdr:blipFill>
      <xdr:spPr>
        <a:xfrm>
          <a:off x="190500" y="76201"/>
          <a:ext cx="634593" cy="638174"/>
        </a:xfrm>
        <a:prstGeom prst="ellipse">
          <a:avLst/>
        </a:prstGeom>
      </xdr:spPr>
    </xdr:pic>
    <xdr:clientData/>
  </xdr:twoCellAnchor>
  <xdr:twoCellAnchor>
    <xdr:from>
      <xdr:col>2</xdr:col>
      <xdr:colOff>73820</xdr:colOff>
      <xdr:row>0</xdr:row>
      <xdr:rowOff>123826</xdr:rowOff>
    </xdr:from>
    <xdr:to>
      <xdr:col>18</xdr:col>
      <xdr:colOff>57151</xdr:colOff>
      <xdr:row>3</xdr:row>
      <xdr:rowOff>9526</xdr:rowOff>
    </xdr:to>
    <xdr:sp macro="" textlink="">
      <xdr:nvSpPr>
        <xdr:cNvPr id="9" name="TextBox 8">
          <a:extLst>
            <a:ext uri="{FF2B5EF4-FFF2-40B4-BE49-F238E27FC236}">
              <a16:creationId xmlns:a16="http://schemas.microsoft.com/office/drawing/2014/main" id="{4DD9197C-A6C2-46BA-BCB8-C0A31A2EE8FA}"/>
            </a:ext>
          </a:extLst>
        </xdr:cNvPr>
        <xdr:cNvSpPr txBox="1"/>
      </xdr:nvSpPr>
      <xdr:spPr>
        <a:xfrm>
          <a:off x="1293020" y="123826"/>
          <a:ext cx="10737056" cy="4572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2800" baseline="0">
              <a:solidFill>
                <a:schemeClr val="tx1">
                  <a:lumMod val="95000"/>
                  <a:lumOff val="5000"/>
                </a:schemeClr>
              </a:solidFill>
              <a:latin typeface="Cambria Math" panose="02040503050406030204" pitchFamily="18" charset="0"/>
              <a:ea typeface="Cambria Math" panose="02040503050406030204" pitchFamily="18" charset="0"/>
            </a:rPr>
            <a:t>Quick Sales Report</a:t>
          </a:r>
          <a:endParaRPr lang="en-MY" sz="2800">
            <a:solidFill>
              <a:schemeClr val="tx1">
                <a:lumMod val="95000"/>
                <a:lumOff val="5000"/>
              </a:schemeClr>
            </a:solidFill>
            <a:latin typeface="Cambria Math" panose="02040503050406030204" pitchFamily="18" charset="0"/>
            <a:ea typeface="Cambria Math" panose="020405030504060302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85724</xdr:colOff>
      <xdr:row>3</xdr:row>
      <xdr:rowOff>9526</xdr:rowOff>
    </xdr:from>
    <xdr:to>
      <xdr:col>8</xdr:col>
      <xdr:colOff>180975</xdr:colOff>
      <xdr:row>11</xdr:row>
      <xdr:rowOff>180975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B8D4C29-6C3C-47C5-B2A0-5BBF3F53007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219699" y="581026"/>
              <a:ext cx="2371726" cy="169544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38099</xdr:colOff>
      <xdr:row>2</xdr:row>
      <xdr:rowOff>185736</xdr:rowOff>
    </xdr:from>
    <xdr:to>
      <xdr:col>15</xdr:col>
      <xdr:colOff>9524</xdr:colOff>
      <xdr:row>22</xdr:row>
      <xdr:rowOff>57149</xdr:rowOff>
    </xdr:to>
    <xdr:graphicFrame macro="">
      <xdr:nvGraphicFramePr>
        <xdr:cNvPr id="2" name="Chart 1">
          <a:extLst>
            <a:ext uri="{FF2B5EF4-FFF2-40B4-BE49-F238E27FC236}">
              <a16:creationId xmlns:a16="http://schemas.microsoft.com/office/drawing/2014/main" id="{95F96989-F860-447A-BBCC-857C8D791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42862</xdr:colOff>
      <xdr:row>23</xdr:row>
      <xdr:rowOff>119062</xdr:rowOff>
    </xdr:from>
    <xdr:to>
      <xdr:col>15</xdr:col>
      <xdr:colOff>0</xdr:colOff>
      <xdr:row>43</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9CC03C7-1604-4C7D-ACEE-B6780F8FD3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995862" y="4500562"/>
              <a:ext cx="5443538" cy="3709988"/>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14287</xdr:colOff>
      <xdr:row>45</xdr:row>
      <xdr:rowOff>14287</xdr:rowOff>
    </xdr:from>
    <xdr:to>
      <xdr:col>15</xdr:col>
      <xdr:colOff>9525</xdr:colOff>
      <xdr:row>64</xdr:row>
      <xdr:rowOff>85725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4D0D02E-B01D-468B-95B9-6D4C89D9F4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67287" y="8586787"/>
              <a:ext cx="5481638" cy="3690938"/>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i" refreshedDate="44508.99000810185" createdVersion="7" refreshedVersion="7" minRefreshableVersion="3" recordCount="300" xr:uid="{BB352227-7E2B-4310-9997-E5CDBCE19805}">
  <cacheSource type="worksheet">
    <worksheetSource name="data"/>
  </cacheSource>
  <cacheFields count="7">
    <cacheField name="Sales Person" numFmtId="0">
      <sharedItems count="10">
        <s v="Gigi Bohling"/>
        <s v="Husein Augar"/>
        <s v="Oby Sorrel"/>
        <s v="Ram Mahesh"/>
        <s v="Barr Faughny"/>
        <s v="Carla Molina"/>
        <s v="Ches Bonnell"/>
        <s v="Curtice Advani"/>
        <s v="Brien Boise"/>
        <s v="Gunar Cockshoot"/>
      </sharedItems>
    </cacheField>
    <cacheField name="Geography" numFmtId="0">
      <sharedItems count="6">
        <s v="Canada"/>
        <s v="India"/>
        <s v="USA"/>
        <s v="UK"/>
        <s v="New Zealand"/>
        <s v="Australia"/>
      </sharedItems>
    </cacheField>
    <cacheField name="Product" numFmtId="0">
      <sharedItems count="22">
        <s v="Mint Chip Choco"/>
        <s v="Orange Choco"/>
        <s v="Caramel Stuffed Bars"/>
        <s v="Raspberry Choco"/>
        <s v="Peanut Butter Cubes"/>
        <s v="Choco Coated Almonds"/>
        <s v="Drinking Coco"/>
        <s v="Organic Choco Syrup"/>
        <s v="Milk Bars"/>
        <s v="70% Dark Bites"/>
        <s v="Almond Choco"/>
        <s v="Eclairs"/>
        <s v="After Nines"/>
        <s v="Manuka Honey Choco"/>
        <s v="Smooth Sliky Salty"/>
        <s v="85% Dark Bars"/>
        <s v="Baker's Choco Chips"/>
        <s v="White Choc"/>
        <s v="Fruit &amp; Nut Bars"/>
        <s v="99% Dark &amp; Pure"/>
        <s v="Spicy Special Slims"/>
        <s v="50% Dark Bite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6">
      <sharedItems containsSemiMixedTypes="0" containsString="0" containsNumber="1" minValue="3.11" maxValue="16.73"/>
    </cacheField>
    <cacheField name="Total 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5178895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08796297" backgroundQuery="1" createdVersion="7" refreshedVersion="7" minRefreshableVersion="3" recordCount="0" supportSubquery="1" supportAdvancedDrill="1" xr:uid="{AA03F352-7BBF-472A-8EAC-98A22C4C7EED}">
  <cacheSource type="external" connectionId="1"/>
  <cacheFields count="2">
    <cacheField name="[data].[Product].[Product]" caption="Product" numFmtId="0" hierarchy="2" level="1">
      <sharedItems count="10">
        <s v="85% Dark Bars"/>
        <s v="After Nines"/>
        <s v="Baker's Choco Chips"/>
        <s v="Choco Coated Almonds"/>
        <s v="Drinking Coco"/>
        <s v="Fruit &amp; Nut Bars"/>
        <s v="Mint Chip Choco"/>
        <s v="Peanut Butter Cubes"/>
        <s v="Raspberry Choco"/>
        <s v="Spicy Special Slims"/>
      </sharedItems>
    </cacheField>
    <cacheField name="[Measures].[Sum of Amount]" caption="Sum of Amount" numFmtId="0" hierarchy="8"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10185183" backgroundQuery="1" createdVersion="7" refreshedVersion="7" minRefreshableVersion="3" recordCount="0" supportSubquery="1" supportAdvancedDrill="1" xr:uid="{62A5674B-9C8E-4D12-B5BB-D7A5FA234F62}">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Total cost]" caption="Sum of Total cost" numFmtId="0" hierarchy="10" level="32767"/>
    <cacheField name="[Measures].[Total profit]" caption="Total profit" numFmtId="0" hierarchy="12"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1145833" backgroundQuery="1" createdVersion="7" refreshedVersion="7" minRefreshableVersion="3" recordCount="0" supportSubquery="1" supportAdvancedDrill="1" xr:uid="{08AD8369-B587-42F1-BC87-ACC03830FBDD}">
  <cacheSource type="external" connectionId="1"/>
  <cacheFields count="2">
    <cacheField name="[data].[Product].[Product]" caption="Product" numFmtId="0" hierarchy="2" level="1">
      <sharedItems count="10">
        <s v="85% Dark Bars"/>
        <s v="After Nines"/>
        <s v="Baker's Choco Chips"/>
        <s v="Choco Coated Almonds"/>
        <s v="Drinking Coco"/>
        <s v="Fruit &amp; Nut Bars"/>
        <s v="Mint Chip Choco"/>
        <s v="Peanut Butter Cubes"/>
        <s v="Raspberry Choco"/>
        <s v="Spicy Special Slims"/>
      </sharedItems>
    </cacheField>
    <cacheField name="[Measures].[Sum of Units]" caption="Sum of Units" numFmtId="0" hierarchy="9"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12731484" backgroundQuery="1" createdVersion="7" refreshedVersion="7" minRefreshableVersion="3" recordCount="0" supportSubquery="1" supportAdvancedDrill="1" xr:uid="{BF5C9637-FD5D-4322-B9EB-BAA1A312FD5E}">
  <cacheSource type="external" connectionId="1"/>
  <cacheFields count="2">
    <cacheField name="[data].[Product].[Product]" caption="Product" numFmtId="0" hierarchy="2" level="1">
      <sharedItems count="5">
        <s v="Caramel Stuffed Bars"/>
        <s v="Choco Coated Almonds"/>
        <s v="Orange Choco"/>
        <s v="Peanut Butter Cubes"/>
        <s v="Raspberry Choco"/>
      </sharedItems>
    </cacheField>
    <cacheField name="[Measures].[Average sales]" caption="Average sales" numFmtId="0" hierarchy="14"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oneField="1">
      <fieldsUsage count="1">
        <fieldUsage x="1"/>
      </fieldsUsage>
    </cacheHierarchy>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13888885" backgroundQuery="1" createdVersion="7" refreshedVersion="7" minRefreshableVersion="3" recordCount="0" supportSubquery="1" supportAdvancedDrill="1" xr:uid="{94655CCC-BEA2-4632-BD09-710C2AFF19F6}">
  <cacheSource type="external" connectionId="1"/>
  <cacheFields count="2">
    <cacheField name="[data].[Product].[Product]" caption="Product" numFmtId="0" hierarchy="2" level="1">
      <sharedItems count="5">
        <s v="50% Dark Bites"/>
        <s v="70% Dark Bites"/>
        <s v="Caramel Stuffed Bars"/>
        <s v="Choco Coated Almonds"/>
        <s v="Orange Choco"/>
      </sharedItems>
    </cacheField>
    <cacheField name="[Measures].[Average units sold]" caption="Average units sold" numFmtId="0" hierarchy="15"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6944441" backgroundQuery="1" createdVersion="7" refreshedVersion="7" minRefreshableVersion="3" recordCount="0" supportSubquery="1" supportAdvancedDrill="1" xr:uid="{A28C4E11-F70E-42C7-8D60-B319811595E8}">
  <cacheSource type="external" connectionId="1"/>
  <cacheFields count="3">
    <cacheField name="[data].[Product].[Product]" caption="Product" numFmtId="0" hierarchy="2" level="1">
      <sharedItems count="5">
        <s v="Caramel Stuffed Bars"/>
        <s v="Choco Coated Almonds"/>
        <s v="Orange Choco"/>
        <s v="Peanut Butter Cubes"/>
        <s v="Raspberry Choco"/>
      </sharedItems>
    </cacheField>
    <cacheField name="[Measures].[Average sales]" caption="Average sales" numFmtId="0" hierarchy="14"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oneField="1">
      <fieldsUsage count="1">
        <fieldUsage x="1"/>
      </fieldsUsage>
    </cacheHierarchy>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7523149" backgroundQuery="1" createdVersion="7" refreshedVersion="7" minRefreshableVersion="3" recordCount="0" supportSubquery="1" supportAdvancedDrill="1" xr:uid="{49898C73-87F5-4FF9-BFFB-A0BC524FC34D}">
  <cacheSource type="external" connectionId="1"/>
  <cacheFields count="3">
    <cacheField name="[data].[Product].[Product]" caption="Product" numFmtId="0" hierarchy="2" level="1">
      <sharedItems count="5">
        <s v="50% Dark Bites"/>
        <s v="70% Dark Bites"/>
        <s v="Caramel Stuffed Bars"/>
        <s v="Choco Coated Almonds"/>
        <s v="Orange Choco"/>
      </sharedItems>
    </cacheField>
    <cacheField name="[Measures].[Average units sold]" caption="Average units sold" numFmtId="0" hierarchy="15"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8101849" backgroundQuery="1" createdVersion="7" refreshedVersion="7" minRefreshableVersion="3" recordCount="0" supportSubquery="1" supportAdvancedDrill="1" xr:uid="{61867156-46EE-4E59-AF7A-01AA86B24C4F}">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2" level="32767"/>
    <cacheField name="[Measures].[Sum of Total cost]" caption="Sum of Total cost" numFmtId="0" hierarchy="10"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8912034" backgroundQuery="1" createdVersion="7" refreshedVersion="7" minRefreshableVersion="3" recordCount="0" supportSubquery="1" supportAdvancedDrill="1" xr:uid="{2EDA9F10-2EA3-41C0-82BA-9491BC64F498}">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9374996" backgroundQuery="1" createdVersion="7" refreshedVersion="7" minRefreshableVersion="3" recordCount="0" supportSubquery="1" supportAdvancedDrill="1" xr:uid="{353A17DD-AF21-4816-8CF8-84E3A2282350}">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Units]" caption="Sum of Units" numFmtId="0" hierarchy="9"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09953704" backgroundQuery="1" createdVersion="7" refreshedVersion="7" minRefreshableVersion="3" recordCount="0" supportSubquery="1" supportAdvancedDrill="1" xr:uid="{8CF693B8-0288-4D74-A4FF-EED4CC7C0207}">
  <cacheSource type="external" connectionId="1"/>
  <cacheFields count="4">
    <cacheField name="[data].[Sales Person].[Sales Person]" caption="Sales Person" numFmtId="0" level="1">
      <sharedItems count="10">
        <s v="Barr Faughny"/>
        <s v="Brien Boise"/>
        <s v="Carla Molina"/>
        <s v="Ches Bonnell"/>
        <s v="Curtice Advani"/>
        <s v="Gigi Bohling"/>
        <s v="Gunar Cockshoot"/>
        <s v="Husein Augar"/>
        <s v="Oby Sorrel"/>
        <s v="Ram Mahesh"/>
      </sharedItems>
    </cacheField>
    <cacheField name="[Measures].[Sum of Amount]" caption="Sum of Amount" numFmtId="0" hierarchy="8" level="32767"/>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8">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3"/>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2"/>
      </fieldsUsage>
    </cacheHierarchy>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4810532405" backgroundQuery="1" createdVersion="7" refreshedVersion="7" minRefreshableVersion="3" recordCount="0" supportSubquery="1" supportAdvancedDrill="1" xr:uid="{020155F9-4E22-45B6-A158-A544415C8E8C}">
  <cacheSource type="external" connectionId="1"/>
  <cacheFields count="4">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Units]" caption="Sum of Units" numFmtId="0" hierarchy="9" level="32767"/>
    <cacheField name="[data].[Geography].[Geography]" caption="Geography" numFmtId="0" hierarchy="1" level="1">
      <sharedItems containsSemiMixedTypes="0" containsNonDate="0" containsString="0"/>
    </cacheField>
    <cacheField name="[Measures].[Sum of Amount]" caption="Sum of Amount" numFmtId="0" hierarchy="8" level="32767"/>
  </cacheFields>
  <cacheHierarchies count="18">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oneField="1">
      <fieldsUsage count="1">
        <fieldUsage x="3"/>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ani" refreshedDate="44509.623614930555" backgroundQuery="1" createdVersion="3" refreshedVersion="7" minRefreshableVersion="3" recordCount="0" supportSubquery="1" supportAdvancedDrill="1" xr:uid="{B9CFD72D-D824-4C5C-8BF0-FFBFA930D704}">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Average sales]" caption="Average sales" measure="1" displayFolder="" measureGroup="data" count="0"/>
    <cacheHierarchy uniqueName="[Measures].[Average units sold]" caption="Average units sold"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7911119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184"/>
    <n v="39"/>
    <n v="8.7899999999999991"/>
    <n v="342.80999999999995"/>
  </r>
  <r>
    <x v="0"/>
    <x v="1"/>
    <x v="1"/>
    <n v="15610"/>
    <n v="339"/>
    <n v="10.62"/>
    <n v="3600.18"/>
  </r>
  <r>
    <x v="1"/>
    <x v="1"/>
    <x v="2"/>
    <n v="14329"/>
    <n v="150"/>
    <n v="10.38"/>
    <n v="1557.0000000000002"/>
  </r>
  <r>
    <x v="0"/>
    <x v="2"/>
    <x v="3"/>
    <n v="13391"/>
    <n v="201"/>
    <n v="11.73"/>
    <n v="2357.73"/>
  </r>
  <r>
    <x v="2"/>
    <x v="3"/>
    <x v="4"/>
    <n v="12950"/>
    <n v="30"/>
    <n v="12.37"/>
    <n v="371.09999999999997"/>
  </r>
  <r>
    <x v="3"/>
    <x v="2"/>
    <x v="5"/>
    <n v="12348"/>
    <n v="234"/>
    <n v="8.65"/>
    <n v="2024.1000000000001"/>
  </r>
  <r>
    <x v="4"/>
    <x v="4"/>
    <x v="6"/>
    <n v="11571"/>
    <n v="138"/>
    <n v="6.47"/>
    <n v="892.86"/>
  </r>
  <r>
    <x v="1"/>
    <x v="0"/>
    <x v="7"/>
    <n v="11522"/>
    <n v="204"/>
    <n v="16.73"/>
    <n v="3412.92"/>
  </r>
  <r>
    <x v="4"/>
    <x v="0"/>
    <x v="0"/>
    <n v="11417"/>
    <n v="21"/>
    <n v="8.7899999999999991"/>
    <n v="184.58999999999997"/>
  </r>
  <r>
    <x v="5"/>
    <x v="0"/>
    <x v="8"/>
    <n v="10311"/>
    <n v="231"/>
    <n v="9.33"/>
    <n v="2155.23"/>
  </r>
  <r>
    <x v="5"/>
    <x v="0"/>
    <x v="5"/>
    <n v="10304"/>
    <n v="84"/>
    <n v="8.65"/>
    <n v="726.6"/>
  </r>
  <r>
    <x v="6"/>
    <x v="5"/>
    <x v="9"/>
    <n v="10129"/>
    <n v="312"/>
    <n v="14.49"/>
    <n v="4520.88"/>
  </r>
  <r>
    <x v="7"/>
    <x v="0"/>
    <x v="10"/>
    <n v="10073"/>
    <n v="120"/>
    <n v="11.88"/>
    <n v="1425.6000000000001"/>
  </r>
  <r>
    <x v="4"/>
    <x v="4"/>
    <x v="11"/>
    <n v="9926"/>
    <n v="201"/>
    <n v="3.11"/>
    <n v="625.11"/>
  </r>
  <r>
    <x v="6"/>
    <x v="4"/>
    <x v="12"/>
    <n v="9835"/>
    <n v="207"/>
    <n v="9.77"/>
    <n v="2022.3899999999999"/>
  </r>
  <r>
    <x v="3"/>
    <x v="0"/>
    <x v="4"/>
    <n v="9772"/>
    <n v="90"/>
    <n v="12.37"/>
    <n v="1113.3"/>
  </r>
  <r>
    <x v="8"/>
    <x v="4"/>
    <x v="3"/>
    <n v="9709"/>
    <n v="30"/>
    <n v="11.73"/>
    <n v="351.90000000000003"/>
  </r>
  <r>
    <x v="8"/>
    <x v="3"/>
    <x v="6"/>
    <n v="9660"/>
    <n v="27"/>
    <n v="6.47"/>
    <n v="174.69"/>
  </r>
  <r>
    <x v="5"/>
    <x v="0"/>
    <x v="6"/>
    <n v="9632"/>
    <n v="288"/>
    <n v="6.47"/>
    <n v="1863.36"/>
  </r>
  <r>
    <x v="1"/>
    <x v="5"/>
    <x v="4"/>
    <n v="9506"/>
    <n v="87"/>
    <n v="12.37"/>
    <n v="1076.1899999999998"/>
  </r>
  <r>
    <x v="4"/>
    <x v="3"/>
    <x v="1"/>
    <n v="9443"/>
    <n v="162"/>
    <n v="10.62"/>
    <n v="1720.4399999999998"/>
  </r>
  <r>
    <x v="9"/>
    <x v="0"/>
    <x v="0"/>
    <n v="9198"/>
    <n v="36"/>
    <n v="8.7899999999999991"/>
    <n v="316.43999999999994"/>
  </r>
  <r>
    <x v="1"/>
    <x v="0"/>
    <x v="9"/>
    <n v="9051"/>
    <n v="57"/>
    <n v="14.49"/>
    <n v="825.93000000000006"/>
  </r>
  <r>
    <x v="3"/>
    <x v="4"/>
    <x v="13"/>
    <n v="9002"/>
    <n v="72"/>
    <n v="7.16"/>
    <n v="515.52"/>
  </r>
  <r>
    <x v="8"/>
    <x v="3"/>
    <x v="14"/>
    <n v="8890"/>
    <n v="210"/>
    <n v="5.79"/>
    <n v="1215.9000000000001"/>
  </r>
  <r>
    <x v="3"/>
    <x v="2"/>
    <x v="4"/>
    <n v="8869"/>
    <n v="432"/>
    <n v="12.37"/>
    <n v="5343.8399999999992"/>
  </r>
  <r>
    <x v="6"/>
    <x v="1"/>
    <x v="15"/>
    <n v="8862"/>
    <n v="189"/>
    <n v="4.97"/>
    <n v="939.32999999999993"/>
  </r>
  <r>
    <x v="9"/>
    <x v="5"/>
    <x v="16"/>
    <n v="8841"/>
    <n v="303"/>
    <n v="5.6"/>
    <n v="1696.8"/>
  </r>
  <r>
    <x v="0"/>
    <x v="4"/>
    <x v="17"/>
    <n v="8813"/>
    <n v="21"/>
    <n v="13.15"/>
    <n v="276.15000000000003"/>
  </r>
  <r>
    <x v="1"/>
    <x v="1"/>
    <x v="1"/>
    <n v="8463"/>
    <n v="492"/>
    <n v="10.62"/>
    <n v="5225.04"/>
  </r>
  <r>
    <x v="6"/>
    <x v="0"/>
    <x v="12"/>
    <n v="8435"/>
    <n v="42"/>
    <n v="9.77"/>
    <n v="410.34"/>
  </r>
  <r>
    <x v="4"/>
    <x v="0"/>
    <x v="13"/>
    <n v="8211"/>
    <n v="75"/>
    <n v="7.16"/>
    <n v="537"/>
  </r>
  <r>
    <x v="1"/>
    <x v="1"/>
    <x v="18"/>
    <n v="8155"/>
    <n v="90"/>
    <n v="6.49"/>
    <n v="584.1"/>
  </r>
  <r>
    <x v="7"/>
    <x v="1"/>
    <x v="16"/>
    <n v="8008"/>
    <n v="456"/>
    <n v="5.6"/>
    <n v="2553.6"/>
  </r>
  <r>
    <x v="5"/>
    <x v="1"/>
    <x v="4"/>
    <n v="7847"/>
    <n v="174"/>
    <n v="12.37"/>
    <n v="2152.3799999999997"/>
  </r>
  <r>
    <x v="1"/>
    <x v="2"/>
    <x v="3"/>
    <n v="7833"/>
    <n v="243"/>
    <n v="11.73"/>
    <n v="2850.3900000000003"/>
  </r>
  <r>
    <x v="4"/>
    <x v="3"/>
    <x v="7"/>
    <n v="7812"/>
    <n v="81"/>
    <n v="16.73"/>
    <n v="1355.13"/>
  </r>
  <r>
    <x v="9"/>
    <x v="1"/>
    <x v="5"/>
    <n v="7777"/>
    <n v="504"/>
    <n v="8.65"/>
    <n v="4359.6000000000004"/>
  </r>
  <r>
    <x v="6"/>
    <x v="1"/>
    <x v="11"/>
    <n v="7777"/>
    <n v="39"/>
    <n v="3.11"/>
    <n v="121.28999999999999"/>
  </r>
  <r>
    <x v="7"/>
    <x v="4"/>
    <x v="14"/>
    <n v="7693"/>
    <n v="87"/>
    <n v="5.79"/>
    <n v="503.73"/>
  </r>
  <r>
    <x v="3"/>
    <x v="4"/>
    <x v="19"/>
    <n v="7693"/>
    <n v="21"/>
    <n v="7.64"/>
    <n v="160.44"/>
  </r>
  <r>
    <x v="4"/>
    <x v="3"/>
    <x v="20"/>
    <n v="7651"/>
    <n v="213"/>
    <n v="9"/>
    <n v="1917"/>
  </r>
  <r>
    <x v="4"/>
    <x v="1"/>
    <x v="19"/>
    <n v="7511"/>
    <n v="120"/>
    <n v="7.64"/>
    <n v="916.8"/>
  </r>
  <r>
    <x v="0"/>
    <x v="5"/>
    <x v="17"/>
    <n v="7483"/>
    <n v="45"/>
    <n v="13.15"/>
    <n v="591.75"/>
  </r>
  <r>
    <x v="5"/>
    <x v="2"/>
    <x v="2"/>
    <n v="7455"/>
    <n v="216"/>
    <n v="10.38"/>
    <n v="2242.0800000000004"/>
  </r>
  <r>
    <x v="7"/>
    <x v="5"/>
    <x v="20"/>
    <n v="7322"/>
    <n v="36"/>
    <n v="9"/>
    <n v="324"/>
  </r>
  <r>
    <x v="9"/>
    <x v="4"/>
    <x v="2"/>
    <n v="7308"/>
    <n v="327"/>
    <n v="10.38"/>
    <n v="3394.26"/>
  </r>
  <r>
    <x v="0"/>
    <x v="1"/>
    <x v="3"/>
    <n v="7280"/>
    <n v="201"/>
    <n v="11.73"/>
    <n v="2357.73"/>
  </r>
  <r>
    <x v="1"/>
    <x v="4"/>
    <x v="1"/>
    <n v="7273"/>
    <n v="96"/>
    <n v="10.62"/>
    <n v="1019.52"/>
  </r>
  <r>
    <x v="9"/>
    <x v="1"/>
    <x v="21"/>
    <n v="7259"/>
    <n v="276"/>
    <n v="11.7"/>
    <n v="3229.2"/>
  </r>
  <r>
    <x v="0"/>
    <x v="5"/>
    <x v="8"/>
    <n v="7189"/>
    <n v="54"/>
    <n v="9.33"/>
    <n v="503.82"/>
  </r>
  <r>
    <x v="8"/>
    <x v="3"/>
    <x v="9"/>
    <n v="7021"/>
    <n v="183"/>
    <n v="14.49"/>
    <n v="2651.67"/>
  </r>
  <r>
    <x v="0"/>
    <x v="1"/>
    <x v="7"/>
    <n v="6986"/>
    <n v="21"/>
    <n v="16.73"/>
    <n v="351.33"/>
  </r>
  <r>
    <x v="0"/>
    <x v="3"/>
    <x v="12"/>
    <n v="6909"/>
    <n v="81"/>
    <n v="9.77"/>
    <n v="791.37"/>
  </r>
  <r>
    <x v="2"/>
    <x v="5"/>
    <x v="10"/>
    <n v="6860"/>
    <n v="126"/>
    <n v="11.88"/>
    <n v="1496.88"/>
  </r>
  <r>
    <x v="3"/>
    <x v="2"/>
    <x v="12"/>
    <n v="6853"/>
    <n v="372"/>
    <n v="9.77"/>
    <n v="3634.44"/>
  </r>
  <r>
    <x v="1"/>
    <x v="1"/>
    <x v="20"/>
    <n v="6832"/>
    <n v="27"/>
    <n v="9"/>
    <n v="243"/>
  </r>
  <r>
    <x v="7"/>
    <x v="4"/>
    <x v="16"/>
    <n v="6818"/>
    <n v="6"/>
    <n v="5.6"/>
    <n v="33.599999999999994"/>
  </r>
  <r>
    <x v="6"/>
    <x v="2"/>
    <x v="9"/>
    <n v="6755"/>
    <n v="252"/>
    <n v="14.49"/>
    <n v="3651.48"/>
  </r>
  <r>
    <x v="3"/>
    <x v="1"/>
    <x v="16"/>
    <n v="6748"/>
    <n v="48"/>
    <n v="5.6"/>
    <n v="268.79999999999995"/>
  </r>
  <r>
    <x v="7"/>
    <x v="1"/>
    <x v="5"/>
    <n v="6734"/>
    <n v="123"/>
    <n v="8.65"/>
    <n v="1063.95"/>
  </r>
  <r>
    <x v="8"/>
    <x v="2"/>
    <x v="5"/>
    <n v="6706"/>
    <n v="459"/>
    <n v="8.65"/>
    <n v="3970.3500000000004"/>
  </r>
  <r>
    <x v="2"/>
    <x v="0"/>
    <x v="5"/>
    <n v="6657"/>
    <n v="303"/>
    <n v="8.65"/>
    <n v="2620.9500000000003"/>
  </r>
  <r>
    <x v="9"/>
    <x v="2"/>
    <x v="3"/>
    <n v="6657"/>
    <n v="276"/>
    <n v="11.73"/>
    <n v="3237.48"/>
  </r>
  <r>
    <x v="6"/>
    <x v="4"/>
    <x v="21"/>
    <n v="6608"/>
    <n v="225"/>
    <n v="11.7"/>
    <n v="2632.5"/>
  </r>
  <r>
    <x v="4"/>
    <x v="5"/>
    <x v="2"/>
    <n v="6580"/>
    <n v="183"/>
    <n v="10.38"/>
    <n v="1899.5400000000002"/>
  </r>
  <r>
    <x v="6"/>
    <x v="4"/>
    <x v="9"/>
    <n v="6454"/>
    <n v="54"/>
    <n v="14.49"/>
    <n v="782.46"/>
  </r>
  <r>
    <x v="8"/>
    <x v="5"/>
    <x v="20"/>
    <n v="6433"/>
    <n v="78"/>
    <n v="9"/>
    <n v="702"/>
  </r>
  <r>
    <x v="5"/>
    <x v="4"/>
    <x v="15"/>
    <n v="6398"/>
    <n v="102"/>
    <n v="4.97"/>
    <n v="506.94"/>
  </r>
  <r>
    <x v="6"/>
    <x v="4"/>
    <x v="4"/>
    <n v="6391"/>
    <n v="48"/>
    <n v="12.37"/>
    <n v="593.76"/>
  </r>
  <r>
    <x v="3"/>
    <x v="3"/>
    <x v="7"/>
    <n v="6370"/>
    <n v="30"/>
    <n v="16.73"/>
    <n v="501.90000000000003"/>
  </r>
  <r>
    <x v="0"/>
    <x v="0"/>
    <x v="18"/>
    <n v="6314"/>
    <n v="15"/>
    <n v="6.49"/>
    <n v="97.350000000000009"/>
  </r>
  <r>
    <x v="9"/>
    <x v="1"/>
    <x v="17"/>
    <n v="6300"/>
    <n v="42"/>
    <n v="13.15"/>
    <n v="552.30000000000007"/>
  </r>
  <r>
    <x v="0"/>
    <x v="1"/>
    <x v="12"/>
    <n v="6279"/>
    <n v="237"/>
    <n v="9.77"/>
    <n v="2315.4899999999998"/>
  </r>
  <r>
    <x v="8"/>
    <x v="4"/>
    <x v="16"/>
    <n v="6279"/>
    <n v="45"/>
    <n v="5.6"/>
    <n v="251.99999999999997"/>
  </r>
  <r>
    <x v="0"/>
    <x v="0"/>
    <x v="8"/>
    <n v="6146"/>
    <n v="63"/>
    <n v="9.33"/>
    <n v="587.79"/>
  </r>
  <r>
    <x v="3"/>
    <x v="4"/>
    <x v="7"/>
    <n v="6132"/>
    <n v="93"/>
    <n v="16.73"/>
    <n v="1555.89"/>
  </r>
  <r>
    <x v="3"/>
    <x v="5"/>
    <x v="10"/>
    <n v="6125"/>
    <n v="102"/>
    <n v="11.88"/>
    <n v="1211.76"/>
  </r>
  <r>
    <x v="5"/>
    <x v="0"/>
    <x v="9"/>
    <n v="6118"/>
    <n v="174"/>
    <n v="14.49"/>
    <n v="2521.2600000000002"/>
  </r>
  <r>
    <x v="7"/>
    <x v="0"/>
    <x v="5"/>
    <n v="6118"/>
    <n v="9"/>
    <n v="8.65"/>
    <n v="77.850000000000009"/>
  </r>
  <r>
    <x v="0"/>
    <x v="0"/>
    <x v="6"/>
    <n v="6111"/>
    <n v="3"/>
    <n v="6.47"/>
    <n v="19.41"/>
  </r>
  <r>
    <x v="7"/>
    <x v="3"/>
    <x v="11"/>
    <n v="6048"/>
    <n v="27"/>
    <n v="3.11"/>
    <n v="83.97"/>
  </r>
  <r>
    <x v="4"/>
    <x v="3"/>
    <x v="2"/>
    <n v="6027"/>
    <n v="144"/>
    <n v="10.38"/>
    <n v="1494.72"/>
  </r>
  <r>
    <x v="5"/>
    <x v="5"/>
    <x v="12"/>
    <n v="5915"/>
    <n v="3"/>
    <n v="9.77"/>
    <n v="29.31"/>
  </r>
  <r>
    <x v="3"/>
    <x v="3"/>
    <x v="12"/>
    <n v="5817"/>
    <n v="12"/>
    <n v="9.77"/>
    <n v="117.24"/>
  </r>
  <r>
    <x v="3"/>
    <x v="3"/>
    <x v="3"/>
    <n v="5775"/>
    <n v="42"/>
    <n v="11.73"/>
    <n v="492.66"/>
  </r>
  <r>
    <x v="6"/>
    <x v="5"/>
    <x v="2"/>
    <n v="5677"/>
    <n v="258"/>
    <n v="10.38"/>
    <n v="2678.0400000000004"/>
  </r>
  <r>
    <x v="3"/>
    <x v="5"/>
    <x v="8"/>
    <n v="5670"/>
    <n v="297"/>
    <n v="9.33"/>
    <n v="2771.01"/>
  </r>
  <r>
    <x v="2"/>
    <x v="5"/>
    <x v="21"/>
    <n v="5586"/>
    <n v="525"/>
    <n v="11.7"/>
    <n v="6142.5"/>
  </r>
  <r>
    <x v="6"/>
    <x v="0"/>
    <x v="13"/>
    <n v="5551"/>
    <n v="252"/>
    <n v="7.16"/>
    <n v="1804.32"/>
  </r>
  <r>
    <x v="0"/>
    <x v="5"/>
    <x v="19"/>
    <n v="5474"/>
    <n v="168"/>
    <n v="7.64"/>
    <n v="1283.52"/>
  </r>
  <r>
    <x v="3"/>
    <x v="0"/>
    <x v="17"/>
    <n v="5439"/>
    <n v="30"/>
    <n v="13.15"/>
    <n v="394.5"/>
  </r>
  <r>
    <x v="2"/>
    <x v="1"/>
    <x v="19"/>
    <n v="5355"/>
    <n v="204"/>
    <n v="7.64"/>
    <n v="1558.56"/>
  </r>
  <r>
    <x v="6"/>
    <x v="4"/>
    <x v="16"/>
    <n v="5306"/>
    <n v="0"/>
    <n v="5.6"/>
    <n v="0"/>
  </r>
  <r>
    <x v="0"/>
    <x v="3"/>
    <x v="16"/>
    <n v="5236"/>
    <n v="51"/>
    <n v="5.6"/>
    <n v="285.59999999999997"/>
  </r>
  <r>
    <x v="6"/>
    <x v="2"/>
    <x v="2"/>
    <n v="5194"/>
    <n v="288"/>
    <n v="10.38"/>
    <n v="2989.44"/>
  </r>
  <r>
    <x v="0"/>
    <x v="5"/>
    <x v="5"/>
    <n v="5075"/>
    <n v="21"/>
    <n v="8.65"/>
    <n v="181.65"/>
  </r>
  <r>
    <x v="3"/>
    <x v="1"/>
    <x v="11"/>
    <n v="5019"/>
    <n v="156"/>
    <n v="3.11"/>
    <n v="485.15999999999997"/>
  </r>
  <r>
    <x v="8"/>
    <x v="0"/>
    <x v="18"/>
    <n v="5019"/>
    <n v="150"/>
    <n v="6.49"/>
    <n v="973.5"/>
  </r>
  <r>
    <x v="8"/>
    <x v="2"/>
    <x v="12"/>
    <n v="5012"/>
    <n v="210"/>
    <n v="9.77"/>
    <n v="2051.6999999999998"/>
  </r>
  <r>
    <x v="0"/>
    <x v="4"/>
    <x v="21"/>
    <n v="4991"/>
    <n v="12"/>
    <n v="11.7"/>
    <n v="140.39999999999998"/>
  </r>
  <r>
    <x v="2"/>
    <x v="1"/>
    <x v="16"/>
    <n v="4991"/>
    <n v="9"/>
    <n v="5.6"/>
    <n v="50.4"/>
  </r>
  <r>
    <x v="7"/>
    <x v="0"/>
    <x v="11"/>
    <n v="4970"/>
    <n v="156"/>
    <n v="3.11"/>
    <n v="485.15999999999997"/>
  </r>
  <r>
    <x v="9"/>
    <x v="3"/>
    <x v="16"/>
    <n v="4956"/>
    <n v="171"/>
    <n v="5.6"/>
    <n v="957.59999999999991"/>
  </r>
  <r>
    <x v="7"/>
    <x v="4"/>
    <x v="18"/>
    <n v="4949"/>
    <n v="189"/>
    <n v="6.49"/>
    <n v="1226.6100000000001"/>
  </r>
  <r>
    <x v="5"/>
    <x v="1"/>
    <x v="18"/>
    <n v="4935"/>
    <n v="126"/>
    <n v="6.49"/>
    <n v="817.74"/>
  </r>
  <r>
    <x v="2"/>
    <x v="3"/>
    <x v="20"/>
    <n v="4858"/>
    <n v="279"/>
    <n v="9"/>
    <n v="2511"/>
  </r>
  <r>
    <x v="4"/>
    <x v="3"/>
    <x v="3"/>
    <n v="4802"/>
    <n v="36"/>
    <n v="11.73"/>
    <n v="422.28000000000003"/>
  </r>
  <r>
    <x v="7"/>
    <x v="2"/>
    <x v="9"/>
    <n v="4781"/>
    <n v="123"/>
    <n v="14.49"/>
    <n v="1782.27"/>
  </r>
  <r>
    <x v="5"/>
    <x v="2"/>
    <x v="8"/>
    <n v="4760"/>
    <n v="69"/>
    <n v="9.33"/>
    <n v="643.77"/>
  </r>
  <r>
    <x v="8"/>
    <x v="2"/>
    <x v="7"/>
    <n v="4753"/>
    <n v="300"/>
    <n v="16.73"/>
    <n v="5019"/>
  </r>
  <r>
    <x v="0"/>
    <x v="2"/>
    <x v="14"/>
    <n v="4753"/>
    <n v="246"/>
    <n v="5.79"/>
    <n v="1424.34"/>
  </r>
  <r>
    <x v="3"/>
    <x v="2"/>
    <x v="0"/>
    <n v="4725"/>
    <n v="174"/>
    <n v="8.7899999999999991"/>
    <n v="1529.4599999999998"/>
  </r>
  <r>
    <x v="2"/>
    <x v="4"/>
    <x v="18"/>
    <n v="4683"/>
    <n v="30"/>
    <n v="6.49"/>
    <n v="194.70000000000002"/>
  </r>
  <r>
    <x v="6"/>
    <x v="2"/>
    <x v="21"/>
    <n v="4606"/>
    <n v="63"/>
    <n v="11.7"/>
    <n v="737.09999999999991"/>
  </r>
  <r>
    <x v="9"/>
    <x v="4"/>
    <x v="13"/>
    <n v="4592"/>
    <n v="324"/>
    <n v="7.16"/>
    <n v="2319.84"/>
  </r>
  <r>
    <x v="6"/>
    <x v="2"/>
    <x v="19"/>
    <n v="4585"/>
    <n v="240"/>
    <n v="7.64"/>
    <n v="1833.6"/>
  </r>
  <r>
    <x v="6"/>
    <x v="4"/>
    <x v="0"/>
    <n v="4487"/>
    <n v="333"/>
    <n v="8.7899999999999991"/>
    <n v="2927.0699999999997"/>
  </r>
  <r>
    <x v="6"/>
    <x v="4"/>
    <x v="11"/>
    <n v="4487"/>
    <n v="111"/>
    <n v="3.11"/>
    <n v="345.21"/>
  </r>
  <r>
    <x v="0"/>
    <x v="2"/>
    <x v="13"/>
    <n v="4480"/>
    <n v="357"/>
    <n v="7.16"/>
    <n v="2556.12"/>
  </r>
  <r>
    <x v="6"/>
    <x v="3"/>
    <x v="11"/>
    <n v="4438"/>
    <n v="246"/>
    <n v="3.11"/>
    <n v="765.06"/>
  </r>
  <r>
    <x v="3"/>
    <x v="0"/>
    <x v="8"/>
    <n v="4424"/>
    <n v="201"/>
    <n v="9.33"/>
    <n v="1875.33"/>
  </r>
  <r>
    <x v="4"/>
    <x v="5"/>
    <x v="18"/>
    <n v="4417"/>
    <n v="153"/>
    <n v="6.49"/>
    <n v="992.97"/>
  </r>
  <r>
    <x v="4"/>
    <x v="5"/>
    <x v="14"/>
    <n v="4326"/>
    <n v="348"/>
    <n v="5.79"/>
    <n v="2014.92"/>
  </r>
  <r>
    <x v="7"/>
    <x v="0"/>
    <x v="8"/>
    <n v="4319"/>
    <n v="30"/>
    <n v="9.33"/>
    <n v="279.89999999999998"/>
  </r>
  <r>
    <x v="1"/>
    <x v="4"/>
    <x v="17"/>
    <n v="4305"/>
    <n v="156"/>
    <n v="13.15"/>
    <n v="2051.4"/>
  </r>
  <r>
    <x v="7"/>
    <x v="1"/>
    <x v="7"/>
    <n v="4242"/>
    <n v="207"/>
    <n v="16.73"/>
    <n v="3463.11"/>
  </r>
  <r>
    <x v="1"/>
    <x v="5"/>
    <x v="15"/>
    <n v="4137"/>
    <n v="60"/>
    <n v="4.97"/>
    <n v="298.2"/>
  </r>
  <r>
    <x v="2"/>
    <x v="1"/>
    <x v="12"/>
    <n v="4053"/>
    <n v="24"/>
    <n v="9.77"/>
    <n v="234.48"/>
  </r>
  <r>
    <x v="0"/>
    <x v="3"/>
    <x v="15"/>
    <n v="4018"/>
    <n v="171"/>
    <n v="4.97"/>
    <n v="849.87"/>
  </r>
  <r>
    <x v="3"/>
    <x v="1"/>
    <x v="19"/>
    <n v="4018"/>
    <n v="162"/>
    <n v="7.64"/>
    <n v="1237.6799999999998"/>
  </r>
  <r>
    <x v="4"/>
    <x v="3"/>
    <x v="4"/>
    <n v="4018"/>
    <n v="126"/>
    <n v="12.37"/>
    <n v="1558.62"/>
  </r>
  <r>
    <x v="9"/>
    <x v="4"/>
    <x v="11"/>
    <n v="3983"/>
    <n v="144"/>
    <n v="3.11"/>
    <n v="447.84"/>
  </r>
  <r>
    <x v="5"/>
    <x v="3"/>
    <x v="21"/>
    <n v="3976"/>
    <n v="72"/>
    <n v="11.7"/>
    <n v="842.4"/>
  </r>
  <r>
    <x v="1"/>
    <x v="3"/>
    <x v="15"/>
    <n v="3920"/>
    <n v="306"/>
    <n v="4.97"/>
    <n v="1520.82"/>
  </r>
  <r>
    <x v="7"/>
    <x v="2"/>
    <x v="7"/>
    <n v="3864"/>
    <n v="177"/>
    <n v="16.73"/>
    <n v="2961.21"/>
  </r>
  <r>
    <x v="1"/>
    <x v="5"/>
    <x v="17"/>
    <n v="3850"/>
    <n v="102"/>
    <n v="13.15"/>
    <n v="1341.3"/>
  </r>
  <r>
    <x v="6"/>
    <x v="1"/>
    <x v="3"/>
    <n v="3829"/>
    <n v="24"/>
    <n v="11.73"/>
    <n v="281.52"/>
  </r>
  <r>
    <x v="2"/>
    <x v="2"/>
    <x v="6"/>
    <n v="3808"/>
    <n v="279"/>
    <n v="6.47"/>
    <n v="1805.1299999999999"/>
  </r>
  <r>
    <x v="3"/>
    <x v="1"/>
    <x v="4"/>
    <n v="3794"/>
    <n v="159"/>
    <n v="12.37"/>
    <n v="1966.83"/>
  </r>
  <r>
    <x v="9"/>
    <x v="0"/>
    <x v="18"/>
    <n v="3773"/>
    <n v="165"/>
    <n v="6.49"/>
    <n v="1070.8500000000001"/>
  </r>
  <r>
    <x v="7"/>
    <x v="1"/>
    <x v="11"/>
    <n v="3759"/>
    <n v="150"/>
    <n v="3.11"/>
    <n v="466.5"/>
  </r>
  <r>
    <x v="8"/>
    <x v="5"/>
    <x v="5"/>
    <n v="3752"/>
    <n v="213"/>
    <n v="8.65"/>
    <n v="1842.45"/>
  </r>
  <r>
    <x v="9"/>
    <x v="1"/>
    <x v="2"/>
    <n v="3689"/>
    <n v="312"/>
    <n v="10.38"/>
    <n v="3238.5600000000004"/>
  </r>
  <r>
    <x v="9"/>
    <x v="3"/>
    <x v="13"/>
    <n v="3640"/>
    <n v="51"/>
    <n v="7.16"/>
    <n v="365.16"/>
  </r>
  <r>
    <x v="8"/>
    <x v="2"/>
    <x v="9"/>
    <n v="3598"/>
    <n v="81"/>
    <n v="14.49"/>
    <n v="1173.69"/>
  </r>
  <r>
    <x v="7"/>
    <x v="4"/>
    <x v="2"/>
    <n v="3556"/>
    <n v="459"/>
    <n v="10.38"/>
    <n v="4764.42"/>
  </r>
  <r>
    <x v="4"/>
    <x v="5"/>
    <x v="10"/>
    <n v="3549"/>
    <n v="3"/>
    <n v="11.88"/>
    <n v="35.64"/>
  </r>
  <r>
    <x v="8"/>
    <x v="1"/>
    <x v="14"/>
    <n v="3507"/>
    <n v="288"/>
    <n v="5.79"/>
    <n v="1667.52"/>
  </r>
  <r>
    <x v="2"/>
    <x v="2"/>
    <x v="21"/>
    <n v="3472"/>
    <n v="96"/>
    <n v="11.7"/>
    <n v="1123.1999999999998"/>
  </r>
  <r>
    <x v="7"/>
    <x v="1"/>
    <x v="9"/>
    <n v="3402"/>
    <n v="366"/>
    <n v="14.49"/>
    <n v="5303.34"/>
  </r>
  <r>
    <x v="5"/>
    <x v="4"/>
    <x v="1"/>
    <n v="3388"/>
    <n v="123"/>
    <n v="10.62"/>
    <n v="1306.26"/>
  </r>
  <r>
    <x v="0"/>
    <x v="0"/>
    <x v="11"/>
    <n v="3339"/>
    <n v="348"/>
    <n v="3.11"/>
    <n v="1082.28"/>
  </r>
  <r>
    <x v="7"/>
    <x v="1"/>
    <x v="13"/>
    <n v="3339"/>
    <n v="75"/>
    <n v="7.16"/>
    <n v="537"/>
  </r>
  <r>
    <x v="9"/>
    <x v="0"/>
    <x v="17"/>
    <n v="3339"/>
    <n v="39"/>
    <n v="13.15"/>
    <n v="512.85"/>
  </r>
  <r>
    <x v="6"/>
    <x v="1"/>
    <x v="5"/>
    <n v="3262"/>
    <n v="75"/>
    <n v="8.65"/>
    <n v="648.75"/>
  </r>
  <r>
    <x v="1"/>
    <x v="3"/>
    <x v="17"/>
    <n v="3192"/>
    <n v="72"/>
    <n v="13.15"/>
    <n v="946.80000000000007"/>
  </r>
  <r>
    <x v="3"/>
    <x v="0"/>
    <x v="7"/>
    <n v="3164"/>
    <n v="306"/>
    <n v="16.73"/>
    <n v="5119.38"/>
  </r>
  <r>
    <x v="9"/>
    <x v="1"/>
    <x v="16"/>
    <n v="3108"/>
    <n v="54"/>
    <n v="5.6"/>
    <n v="302.39999999999998"/>
  </r>
  <r>
    <x v="3"/>
    <x v="3"/>
    <x v="2"/>
    <n v="3101"/>
    <n v="225"/>
    <n v="10.38"/>
    <n v="2335.5"/>
  </r>
  <r>
    <x v="4"/>
    <x v="0"/>
    <x v="14"/>
    <n v="3094"/>
    <n v="246"/>
    <n v="5.79"/>
    <n v="1424.34"/>
  </r>
  <r>
    <x v="2"/>
    <x v="4"/>
    <x v="2"/>
    <n v="3059"/>
    <n v="27"/>
    <n v="10.38"/>
    <n v="280.26000000000005"/>
  </r>
  <r>
    <x v="7"/>
    <x v="3"/>
    <x v="13"/>
    <n v="3052"/>
    <n v="378"/>
    <n v="7.16"/>
    <n v="2706.48"/>
  </r>
  <r>
    <x v="7"/>
    <x v="3"/>
    <x v="15"/>
    <n v="2989"/>
    <n v="3"/>
    <n v="4.97"/>
    <n v="14.91"/>
  </r>
  <r>
    <x v="1"/>
    <x v="0"/>
    <x v="5"/>
    <n v="2954"/>
    <n v="189"/>
    <n v="8.65"/>
    <n v="1634.8500000000001"/>
  </r>
  <r>
    <x v="5"/>
    <x v="4"/>
    <x v="20"/>
    <n v="2933"/>
    <n v="9"/>
    <n v="9"/>
    <n v="81"/>
  </r>
  <r>
    <x v="9"/>
    <x v="1"/>
    <x v="11"/>
    <n v="2919"/>
    <n v="93"/>
    <n v="3.11"/>
    <n v="289.22999999999996"/>
  </r>
  <r>
    <x v="1"/>
    <x v="4"/>
    <x v="2"/>
    <n v="2919"/>
    <n v="45"/>
    <n v="10.38"/>
    <n v="467.1"/>
  </r>
  <r>
    <x v="0"/>
    <x v="1"/>
    <x v="13"/>
    <n v="2891"/>
    <n v="102"/>
    <n v="7.16"/>
    <n v="730.32"/>
  </r>
  <r>
    <x v="6"/>
    <x v="0"/>
    <x v="19"/>
    <n v="2870"/>
    <n v="300"/>
    <n v="7.64"/>
    <n v="2292"/>
  </r>
  <r>
    <x v="4"/>
    <x v="4"/>
    <x v="3"/>
    <n v="2863"/>
    <n v="42"/>
    <n v="11.73"/>
    <n v="492.66"/>
  </r>
  <r>
    <x v="1"/>
    <x v="4"/>
    <x v="16"/>
    <n v="2856"/>
    <n v="246"/>
    <n v="5.6"/>
    <n v="1377.6"/>
  </r>
  <r>
    <x v="6"/>
    <x v="2"/>
    <x v="15"/>
    <n v="2793"/>
    <n v="114"/>
    <n v="4.97"/>
    <n v="566.57999999999993"/>
  </r>
  <r>
    <x v="3"/>
    <x v="1"/>
    <x v="18"/>
    <n v="2779"/>
    <n v="75"/>
    <n v="6.49"/>
    <n v="486.75"/>
  </r>
  <r>
    <x v="0"/>
    <x v="2"/>
    <x v="10"/>
    <n v="2744"/>
    <n v="9"/>
    <n v="11.88"/>
    <n v="106.92"/>
  </r>
  <r>
    <x v="1"/>
    <x v="4"/>
    <x v="18"/>
    <n v="2737"/>
    <n v="93"/>
    <n v="6.49"/>
    <n v="603.57000000000005"/>
  </r>
  <r>
    <x v="8"/>
    <x v="2"/>
    <x v="1"/>
    <n v="2702"/>
    <n v="363"/>
    <n v="10.62"/>
    <n v="3855.0599999999995"/>
  </r>
  <r>
    <x v="7"/>
    <x v="5"/>
    <x v="14"/>
    <n v="2681"/>
    <n v="54"/>
    <n v="5.79"/>
    <n v="312.66000000000003"/>
  </r>
  <r>
    <x v="6"/>
    <x v="0"/>
    <x v="6"/>
    <n v="2646"/>
    <n v="177"/>
    <n v="6.47"/>
    <n v="1145.19"/>
  </r>
  <r>
    <x v="1"/>
    <x v="5"/>
    <x v="0"/>
    <n v="2646"/>
    <n v="120"/>
    <n v="8.7899999999999991"/>
    <n v="1054.8"/>
  </r>
  <r>
    <x v="1"/>
    <x v="3"/>
    <x v="6"/>
    <n v="2639"/>
    <n v="204"/>
    <n v="6.47"/>
    <n v="1319.8799999999999"/>
  </r>
  <r>
    <x v="9"/>
    <x v="1"/>
    <x v="1"/>
    <n v="2583"/>
    <n v="18"/>
    <n v="10.62"/>
    <n v="191.16"/>
  </r>
  <r>
    <x v="2"/>
    <x v="2"/>
    <x v="3"/>
    <n v="2562"/>
    <n v="6"/>
    <n v="11.73"/>
    <n v="70.38"/>
  </r>
  <r>
    <x v="3"/>
    <x v="5"/>
    <x v="17"/>
    <n v="2541"/>
    <n v="90"/>
    <n v="13.15"/>
    <n v="1183.5"/>
  </r>
  <r>
    <x v="3"/>
    <x v="5"/>
    <x v="13"/>
    <n v="2541"/>
    <n v="45"/>
    <n v="7.16"/>
    <n v="322.2"/>
  </r>
  <r>
    <x v="6"/>
    <x v="2"/>
    <x v="7"/>
    <n v="2478"/>
    <n v="21"/>
    <n v="16.73"/>
    <n v="351.33"/>
  </r>
  <r>
    <x v="2"/>
    <x v="0"/>
    <x v="13"/>
    <n v="2471"/>
    <n v="342"/>
    <n v="7.16"/>
    <n v="2448.7200000000003"/>
  </r>
  <r>
    <x v="9"/>
    <x v="2"/>
    <x v="17"/>
    <n v="2464"/>
    <n v="234"/>
    <n v="13.15"/>
    <n v="3077.1"/>
  </r>
  <r>
    <x v="1"/>
    <x v="5"/>
    <x v="16"/>
    <n v="2436"/>
    <n v="99"/>
    <n v="5.6"/>
    <n v="554.4"/>
  </r>
  <r>
    <x v="1"/>
    <x v="2"/>
    <x v="7"/>
    <n v="2429"/>
    <n v="144"/>
    <n v="16.73"/>
    <n v="2409.12"/>
  </r>
  <r>
    <x v="9"/>
    <x v="2"/>
    <x v="21"/>
    <n v="2415"/>
    <n v="255"/>
    <n v="11.7"/>
    <n v="2983.5"/>
  </r>
  <r>
    <x v="0"/>
    <x v="2"/>
    <x v="6"/>
    <n v="2415"/>
    <n v="15"/>
    <n v="6.47"/>
    <n v="97.05"/>
  </r>
  <r>
    <x v="1"/>
    <x v="5"/>
    <x v="11"/>
    <n v="2408"/>
    <n v="9"/>
    <n v="3.11"/>
    <n v="27.99"/>
  </r>
  <r>
    <x v="5"/>
    <x v="4"/>
    <x v="16"/>
    <n v="2324"/>
    <n v="177"/>
    <n v="5.6"/>
    <n v="991.19999999999993"/>
  </r>
  <r>
    <x v="2"/>
    <x v="0"/>
    <x v="18"/>
    <n v="2317"/>
    <n v="261"/>
    <n v="6.49"/>
    <n v="1693.89"/>
  </r>
  <r>
    <x v="7"/>
    <x v="5"/>
    <x v="8"/>
    <n v="2317"/>
    <n v="123"/>
    <n v="9.33"/>
    <n v="1147.5899999999999"/>
  </r>
  <r>
    <x v="3"/>
    <x v="1"/>
    <x v="7"/>
    <n v="2289"/>
    <n v="135"/>
    <n v="16.73"/>
    <n v="2258.5500000000002"/>
  </r>
  <r>
    <x v="3"/>
    <x v="2"/>
    <x v="9"/>
    <n v="2275"/>
    <n v="447"/>
    <n v="14.49"/>
    <n v="6477.03"/>
  </r>
  <r>
    <x v="8"/>
    <x v="5"/>
    <x v="7"/>
    <n v="2268"/>
    <n v="63"/>
    <n v="16.73"/>
    <n v="1053.99"/>
  </r>
  <r>
    <x v="6"/>
    <x v="1"/>
    <x v="4"/>
    <n v="2226"/>
    <n v="48"/>
    <n v="12.37"/>
    <n v="593.76"/>
  </r>
  <r>
    <x v="7"/>
    <x v="1"/>
    <x v="0"/>
    <n v="2219"/>
    <n v="75"/>
    <n v="8.7899999999999991"/>
    <n v="659.24999999999989"/>
  </r>
  <r>
    <x v="9"/>
    <x v="1"/>
    <x v="18"/>
    <n v="2212"/>
    <n v="117"/>
    <n v="6.49"/>
    <n v="759.33"/>
  </r>
  <r>
    <x v="2"/>
    <x v="5"/>
    <x v="12"/>
    <n v="2205"/>
    <n v="141"/>
    <n v="9.77"/>
    <n v="1377.57"/>
  </r>
  <r>
    <x v="6"/>
    <x v="1"/>
    <x v="1"/>
    <n v="2205"/>
    <n v="138"/>
    <n v="10.62"/>
    <n v="1465.56"/>
  </r>
  <r>
    <x v="6"/>
    <x v="0"/>
    <x v="14"/>
    <n v="2149"/>
    <n v="117"/>
    <n v="5.79"/>
    <n v="677.43"/>
  </r>
  <r>
    <x v="1"/>
    <x v="0"/>
    <x v="17"/>
    <n v="2142"/>
    <n v="114"/>
    <n v="13.15"/>
    <n v="1499.1000000000001"/>
  </r>
  <r>
    <x v="6"/>
    <x v="2"/>
    <x v="0"/>
    <n v="2135"/>
    <n v="27"/>
    <n v="8.7899999999999991"/>
    <n v="237.32999999999998"/>
  </r>
  <r>
    <x v="5"/>
    <x v="2"/>
    <x v="3"/>
    <n v="2114"/>
    <n v="186"/>
    <n v="11.73"/>
    <n v="2181.7800000000002"/>
  </r>
  <r>
    <x v="9"/>
    <x v="2"/>
    <x v="13"/>
    <n v="2114"/>
    <n v="66"/>
    <n v="7.16"/>
    <n v="472.56"/>
  </r>
  <r>
    <x v="7"/>
    <x v="3"/>
    <x v="17"/>
    <n v="2100"/>
    <n v="414"/>
    <n v="13.15"/>
    <n v="5444.1"/>
  </r>
  <r>
    <x v="8"/>
    <x v="2"/>
    <x v="13"/>
    <n v="2023"/>
    <n v="168"/>
    <n v="7.16"/>
    <n v="1202.8800000000001"/>
  </r>
  <r>
    <x v="9"/>
    <x v="2"/>
    <x v="18"/>
    <n v="2023"/>
    <n v="78"/>
    <n v="6.49"/>
    <n v="506.22"/>
  </r>
  <r>
    <x v="4"/>
    <x v="3"/>
    <x v="0"/>
    <n v="2016"/>
    <n v="117"/>
    <n v="8.7899999999999991"/>
    <n v="1028.4299999999998"/>
  </r>
  <r>
    <x v="8"/>
    <x v="1"/>
    <x v="0"/>
    <n v="2009"/>
    <n v="219"/>
    <n v="8.7899999999999991"/>
    <n v="1925.0099999999998"/>
  </r>
  <r>
    <x v="3"/>
    <x v="5"/>
    <x v="14"/>
    <n v="1988"/>
    <n v="39"/>
    <n v="5.79"/>
    <n v="225.81"/>
  </r>
  <r>
    <x v="2"/>
    <x v="2"/>
    <x v="1"/>
    <n v="1974"/>
    <n v="195"/>
    <n v="10.62"/>
    <n v="2070.8999999999996"/>
  </r>
  <r>
    <x v="6"/>
    <x v="1"/>
    <x v="21"/>
    <n v="1932"/>
    <n v="369"/>
    <n v="11.7"/>
    <n v="4317.3"/>
  </r>
  <r>
    <x v="5"/>
    <x v="0"/>
    <x v="19"/>
    <n v="1925"/>
    <n v="192"/>
    <n v="7.64"/>
    <n v="1466.8799999999999"/>
  </r>
  <r>
    <x v="7"/>
    <x v="4"/>
    <x v="0"/>
    <n v="1904"/>
    <n v="405"/>
    <n v="8.7899999999999991"/>
    <n v="3559.95"/>
  </r>
  <r>
    <x v="8"/>
    <x v="4"/>
    <x v="12"/>
    <n v="1890"/>
    <n v="195"/>
    <n v="9.77"/>
    <n v="1905.1499999999999"/>
  </r>
  <r>
    <x v="4"/>
    <x v="3"/>
    <x v="17"/>
    <n v="1785"/>
    <n v="462"/>
    <n v="13.15"/>
    <n v="6075.3"/>
  </r>
  <r>
    <x v="6"/>
    <x v="5"/>
    <x v="6"/>
    <n v="1778"/>
    <n v="270"/>
    <n v="6.47"/>
    <n v="1746.8999999999999"/>
  </r>
  <r>
    <x v="8"/>
    <x v="4"/>
    <x v="19"/>
    <n v="1771"/>
    <n v="204"/>
    <n v="7.64"/>
    <n v="1558.56"/>
  </r>
  <r>
    <x v="8"/>
    <x v="5"/>
    <x v="18"/>
    <n v="1701"/>
    <n v="234"/>
    <n v="6.49"/>
    <n v="1518.66"/>
  </r>
  <r>
    <x v="9"/>
    <x v="3"/>
    <x v="2"/>
    <n v="1652"/>
    <n v="102"/>
    <n v="10.38"/>
    <n v="1058.76"/>
  </r>
  <r>
    <x v="0"/>
    <x v="1"/>
    <x v="4"/>
    <n v="1652"/>
    <n v="93"/>
    <n v="12.37"/>
    <n v="1150.4099999999999"/>
  </r>
  <r>
    <x v="7"/>
    <x v="3"/>
    <x v="9"/>
    <n v="1638"/>
    <n v="63"/>
    <n v="14.49"/>
    <n v="912.87"/>
  </r>
  <r>
    <x v="3"/>
    <x v="2"/>
    <x v="15"/>
    <n v="1638"/>
    <n v="48"/>
    <n v="4.97"/>
    <n v="238.56"/>
  </r>
  <r>
    <x v="3"/>
    <x v="4"/>
    <x v="9"/>
    <n v="1624"/>
    <n v="114"/>
    <n v="14.49"/>
    <n v="1651.8600000000001"/>
  </r>
  <r>
    <x v="3"/>
    <x v="2"/>
    <x v="13"/>
    <n v="1617"/>
    <n v="126"/>
    <n v="7.16"/>
    <n v="902.16"/>
  </r>
  <r>
    <x v="4"/>
    <x v="2"/>
    <x v="11"/>
    <n v="1589"/>
    <n v="303"/>
    <n v="3.11"/>
    <n v="942.32999999999993"/>
  </r>
  <r>
    <x v="4"/>
    <x v="3"/>
    <x v="12"/>
    <n v="1568"/>
    <n v="141"/>
    <n v="9.77"/>
    <n v="1377.57"/>
  </r>
  <r>
    <x v="6"/>
    <x v="1"/>
    <x v="17"/>
    <n v="1568"/>
    <n v="96"/>
    <n v="13.15"/>
    <n v="1262.4000000000001"/>
  </r>
  <r>
    <x v="8"/>
    <x v="3"/>
    <x v="16"/>
    <n v="1561"/>
    <n v="27"/>
    <n v="5.6"/>
    <n v="151.19999999999999"/>
  </r>
  <r>
    <x v="5"/>
    <x v="4"/>
    <x v="9"/>
    <n v="1526"/>
    <n v="240"/>
    <n v="14.49"/>
    <n v="3477.6"/>
  </r>
  <r>
    <x v="0"/>
    <x v="0"/>
    <x v="9"/>
    <n v="1526"/>
    <n v="105"/>
    <n v="14.49"/>
    <n v="1521.45"/>
  </r>
  <r>
    <x v="7"/>
    <x v="4"/>
    <x v="6"/>
    <n v="1505"/>
    <n v="102"/>
    <n v="6.47"/>
    <n v="659.93999999999994"/>
  </r>
  <r>
    <x v="5"/>
    <x v="1"/>
    <x v="11"/>
    <n v="1463"/>
    <n v="39"/>
    <n v="3.11"/>
    <n v="121.28999999999999"/>
  </r>
  <r>
    <x v="7"/>
    <x v="1"/>
    <x v="3"/>
    <n v="1442"/>
    <n v="15"/>
    <n v="11.73"/>
    <n v="175.95000000000002"/>
  </r>
  <r>
    <x v="2"/>
    <x v="1"/>
    <x v="17"/>
    <n v="1428"/>
    <n v="93"/>
    <n v="13.15"/>
    <n v="1222.95"/>
  </r>
  <r>
    <x v="2"/>
    <x v="0"/>
    <x v="7"/>
    <n v="1407"/>
    <n v="72"/>
    <n v="16.73"/>
    <n v="1204.56"/>
  </r>
  <r>
    <x v="7"/>
    <x v="0"/>
    <x v="13"/>
    <n v="1400"/>
    <n v="135"/>
    <n v="7.16"/>
    <n v="966.6"/>
  </r>
  <r>
    <x v="7"/>
    <x v="2"/>
    <x v="10"/>
    <n v="1302"/>
    <n v="402"/>
    <n v="11.88"/>
    <n v="4775.76"/>
  </r>
  <r>
    <x v="6"/>
    <x v="5"/>
    <x v="21"/>
    <n v="1281"/>
    <n v="75"/>
    <n v="11.7"/>
    <n v="877.5"/>
  </r>
  <r>
    <x v="9"/>
    <x v="0"/>
    <x v="19"/>
    <n v="1281"/>
    <n v="18"/>
    <n v="7.64"/>
    <n v="137.51999999999998"/>
  </r>
  <r>
    <x v="5"/>
    <x v="1"/>
    <x v="0"/>
    <n v="1274"/>
    <n v="225"/>
    <n v="8.7899999999999991"/>
    <n v="1977.7499999999998"/>
  </r>
  <r>
    <x v="7"/>
    <x v="5"/>
    <x v="7"/>
    <n v="1134"/>
    <n v="282"/>
    <n v="16.73"/>
    <n v="4717.8599999999997"/>
  </r>
  <r>
    <x v="1"/>
    <x v="4"/>
    <x v="13"/>
    <n v="1085"/>
    <n v="273"/>
    <n v="7.16"/>
    <n v="1954.68"/>
  </r>
  <r>
    <x v="7"/>
    <x v="2"/>
    <x v="1"/>
    <n v="1071"/>
    <n v="270"/>
    <n v="10.62"/>
    <n v="2867.3999999999996"/>
  </r>
  <r>
    <x v="4"/>
    <x v="4"/>
    <x v="21"/>
    <n v="1057"/>
    <n v="54"/>
    <n v="11.7"/>
    <n v="631.79999999999995"/>
  </r>
  <r>
    <x v="9"/>
    <x v="0"/>
    <x v="2"/>
    <n v="973"/>
    <n v="162"/>
    <n v="10.38"/>
    <n v="1681.5600000000002"/>
  </r>
  <r>
    <x v="6"/>
    <x v="3"/>
    <x v="7"/>
    <n v="966"/>
    <n v="198"/>
    <n v="16.73"/>
    <n v="3312.54"/>
  </r>
  <r>
    <x v="1"/>
    <x v="2"/>
    <x v="10"/>
    <n v="959"/>
    <n v="147"/>
    <n v="11.88"/>
    <n v="1746.3600000000001"/>
  </r>
  <r>
    <x v="7"/>
    <x v="5"/>
    <x v="4"/>
    <n v="959"/>
    <n v="135"/>
    <n v="12.37"/>
    <n v="1669.9499999999998"/>
  </r>
  <r>
    <x v="2"/>
    <x v="0"/>
    <x v="8"/>
    <n v="945"/>
    <n v="75"/>
    <n v="9.33"/>
    <n v="699.75"/>
  </r>
  <r>
    <x v="9"/>
    <x v="4"/>
    <x v="10"/>
    <n v="938"/>
    <n v="366"/>
    <n v="11.88"/>
    <n v="4348.08"/>
  </r>
  <r>
    <x v="1"/>
    <x v="1"/>
    <x v="0"/>
    <n v="938"/>
    <n v="189"/>
    <n v="8.7899999999999991"/>
    <n v="1661.31"/>
  </r>
  <r>
    <x v="7"/>
    <x v="5"/>
    <x v="0"/>
    <n v="938"/>
    <n v="6"/>
    <n v="8.7899999999999991"/>
    <n v="52.739999999999995"/>
  </r>
  <r>
    <x v="0"/>
    <x v="1"/>
    <x v="19"/>
    <n v="861"/>
    <n v="195"/>
    <n v="7.64"/>
    <n v="1489.8"/>
  </r>
  <r>
    <x v="5"/>
    <x v="0"/>
    <x v="2"/>
    <n v="854"/>
    <n v="309"/>
    <n v="10.38"/>
    <n v="3207.42"/>
  </r>
  <r>
    <x v="5"/>
    <x v="2"/>
    <x v="7"/>
    <n v="847"/>
    <n v="129"/>
    <n v="16.73"/>
    <n v="2158.17"/>
  </r>
  <r>
    <x v="8"/>
    <x v="5"/>
    <x v="8"/>
    <n v="819"/>
    <n v="510"/>
    <n v="9.33"/>
    <n v="4758.3"/>
  </r>
  <r>
    <x v="9"/>
    <x v="2"/>
    <x v="4"/>
    <n v="819"/>
    <n v="306"/>
    <n v="12.37"/>
    <n v="3785.22"/>
  </r>
  <r>
    <x v="4"/>
    <x v="0"/>
    <x v="7"/>
    <n v="798"/>
    <n v="519"/>
    <n v="16.73"/>
    <n v="8682.8700000000008"/>
  </r>
  <r>
    <x v="5"/>
    <x v="4"/>
    <x v="3"/>
    <n v="714"/>
    <n v="231"/>
    <n v="11.73"/>
    <n v="2709.63"/>
  </r>
  <r>
    <x v="1"/>
    <x v="1"/>
    <x v="11"/>
    <n v="707"/>
    <n v="174"/>
    <n v="3.11"/>
    <n v="541.14"/>
  </r>
  <r>
    <x v="2"/>
    <x v="1"/>
    <x v="11"/>
    <n v="700"/>
    <n v="87"/>
    <n v="3.11"/>
    <n v="270.57"/>
  </r>
  <r>
    <x v="4"/>
    <x v="3"/>
    <x v="18"/>
    <n v="630"/>
    <n v="36"/>
    <n v="6.49"/>
    <n v="233.64000000000001"/>
  </r>
  <r>
    <x v="3"/>
    <x v="5"/>
    <x v="15"/>
    <n v="623"/>
    <n v="51"/>
    <n v="4.97"/>
    <n v="253.47"/>
  </r>
  <r>
    <x v="5"/>
    <x v="2"/>
    <x v="19"/>
    <n v="609"/>
    <n v="99"/>
    <n v="7.64"/>
    <n v="756.36"/>
  </r>
  <r>
    <x v="3"/>
    <x v="5"/>
    <x v="16"/>
    <n v="609"/>
    <n v="87"/>
    <n v="5.6"/>
    <n v="487.2"/>
  </r>
  <r>
    <x v="2"/>
    <x v="2"/>
    <x v="20"/>
    <n v="567"/>
    <n v="228"/>
    <n v="9"/>
    <n v="2052"/>
  </r>
  <r>
    <x v="7"/>
    <x v="4"/>
    <x v="9"/>
    <n v="560"/>
    <n v="81"/>
    <n v="14.49"/>
    <n v="1173.69"/>
  </r>
  <r>
    <x v="4"/>
    <x v="2"/>
    <x v="19"/>
    <n v="553"/>
    <n v="15"/>
    <n v="7.64"/>
    <n v="114.6"/>
  </r>
  <r>
    <x v="7"/>
    <x v="1"/>
    <x v="10"/>
    <n v="525"/>
    <n v="48"/>
    <n v="11.88"/>
    <n v="570.24"/>
  </r>
  <r>
    <x v="0"/>
    <x v="4"/>
    <x v="12"/>
    <n v="518"/>
    <n v="75"/>
    <n v="9.77"/>
    <n v="732.75"/>
  </r>
  <r>
    <x v="7"/>
    <x v="0"/>
    <x v="20"/>
    <n v="497"/>
    <n v="63"/>
    <n v="9"/>
    <n v="567"/>
  </r>
  <r>
    <x v="0"/>
    <x v="2"/>
    <x v="12"/>
    <n v="490"/>
    <n v="84"/>
    <n v="9.77"/>
    <n v="820.68"/>
  </r>
  <r>
    <x v="7"/>
    <x v="5"/>
    <x v="17"/>
    <n v="469"/>
    <n v="75"/>
    <n v="13.15"/>
    <n v="986.25"/>
  </r>
  <r>
    <x v="8"/>
    <x v="4"/>
    <x v="20"/>
    <n v="434"/>
    <n v="87"/>
    <n v="9"/>
    <n v="783"/>
  </r>
  <r>
    <x v="0"/>
    <x v="3"/>
    <x v="6"/>
    <n v="385"/>
    <n v="249"/>
    <n v="6.47"/>
    <n v="1611.03"/>
  </r>
  <r>
    <x v="8"/>
    <x v="2"/>
    <x v="4"/>
    <n v="357"/>
    <n v="126"/>
    <n v="12.37"/>
    <n v="1558.62"/>
  </r>
  <r>
    <x v="5"/>
    <x v="1"/>
    <x v="12"/>
    <n v="336"/>
    <n v="144"/>
    <n v="9.77"/>
    <n v="1406.8799999999999"/>
  </r>
  <r>
    <x v="6"/>
    <x v="0"/>
    <x v="5"/>
    <n v="280"/>
    <n v="87"/>
    <n v="8.65"/>
    <n v="752.55000000000007"/>
  </r>
  <r>
    <x v="1"/>
    <x v="4"/>
    <x v="10"/>
    <n v="259"/>
    <n v="207"/>
    <n v="11.88"/>
    <n v="2459.1600000000003"/>
  </r>
  <r>
    <x v="4"/>
    <x v="1"/>
    <x v="8"/>
    <n v="252"/>
    <n v="54"/>
    <n v="9.33"/>
    <n v="503.82"/>
  </r>
  <r>
    <x v="2"/>
    <x v="4"/>
    <x v="20"/>
    <n v="245"/>
    <n v="288"/>
    <n v="9"/>
    <n v="2592"/>
  </r>
  <r>
    <x v="4"/>
    <x v="4"/>
    <x v="19"/>
    <n v="238"/>
    <n v="18"/>
    <n v="7.64"/>
    <n v="137.51999999999998"/>
  </r>
  <r>
    <x v="3"/>
    <x v="0"/>
    <x v="10"/>
    <n v="217"/>
    <n v="36"/>
    <n v="11.88"/>
    <n v="427.68"/>
  </r>
  <r>
    <x v="4"/>
    <x v="0"/>
    <x v="11"/>
    <n v="189"/>
    <n v="48"/>
    <n v="3.11"/>
    <n v="149.28"/>
  </r>
  <r>
    <x v="0"/>
    <x v="4"/>
    <x v="14"/>
    <n v="182"/>
    <n v="48"/>
    <n v="5.79"/>
    <n v="277.92"/>
  </r>
  <r>
    <x v="8"/>
    <x v="5"/>
    <x v="12"/>
    <n v="168"/>
    <n v="84"/>
    <n v="9.77"/>
    <n v="820.68"/>
  </r>
  <r>
    <x v="5"/>
    <x v="5"/>
    <x v="17"/>
    <n v="154"/>
    <n v="21"/>
    <n v="13.15"/>
    <n v="276.15000000000003"/>
  </r>
  <r>
    <x v="5"/>
    <x v="0"/>
    <x v="16"/>
    <n v="98"/>
    <n v="204"/>
    <n v="5.6"/>
    <n v="1142.3999999999999"/>
  </r>
  <r>
    <x v="1"/>
    <x v="2"/>
    <x v="16"/>
    <n v="98"/>
    <n v="159"/>
    <n v="5.6"/>
    <n v="890.4"/>
  </r>
  <r>
    <x v="2"/>
    <x v="5"/>
    <x v="8"/>
    <n v="63"/>
    <n v="123"/>
    <n v="9.33"/>
    <n v="1147.5899999999999"/>
  </r>
  <r>
    <x v="4"/>
    <x v="5"/>
    <x v="8"/>
    <n v="56"/>
    <n v="51"/>
    <n v="9.33"/>
    <n v="475.83"/>
  </r>
  <r>
    <x v="8"/>
    <x v="4"/>
    <x v="9"/>
    <n v="42"/>
    <n v="150"/>
    <n v="14.49"/>
    <n v="2173.5"/>
  </r>
  <r>
    <x v="9"/>
    <x v="3"/>
    <x v="0"/>
    <n v="21"/>
    <n v="168"/>
    <n v="8.7899999999999991"/>
    <n v="1476.7199999999998"/>
  </r>
  <r>
    <x v="3"/>
    <x v="3"/>
    <x v="13"/>
    <n v="0"/>
    <n v="135"/>
    <n v="7.16"/>
    <n v="96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D4765B-CE18-4D4A-8C62-DE8009013515}" name="PivotTable17" cacheId="558" applyNumberFormats="0" applyBorderFormats="0" applyFontFormats="0" applyPatternFormats="0" applyAlignmentFormats="0" applyWidthHeightFormats="1" dataCaption="Values" updatedVersion="7" minRefreshableVersion="3" subtotalHiddenItems="1" rowGrandTotals="0" colGrandTotals="0" itemPrintTitles="1" createdVersion="7" indent="0" outline="1" outlineData="1" multipleFieldFilters="0" rowHeaderCaption="Top 5 Products">
  <location ref="G9:H14" firstHeaderRow="1" firstDataRow="1" firstDataCol="1"/>
  <pivotFields count="3">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fld="1" subtotal="count" baseField="0" baseItem="0"/>
  </dataFields>
  <formats count="6">
    <format dxfId="27">
      <pivotArea dataOnly="0" labelOnly="1" outline="0" axis="axisValues" fieldPosition="0"/>
    </format>
    <format dxfId="28">
      <pivotArea type="all" dataOnly="0" outline="0" fieldPosition="0"/>
    </format>
    <format dxfId="29">
      <pivotArea outline="0" collapsedLevelsAreSubtotals="1" fieldPosition="0"/>
    </format>
    <format dxfId="30">
      <pivotArea field="0" type="button" dataOnly="0" labelOnly="1" outline="0" axis="axisRow" fieldPosition="0"/>
    </format>
    <format dxfId="31">
      <pivotArea dataOnly="0" labelOnly="1" outline="0" axis="axisValues" fieldPosition="0"/>
    </format>
    <format dxfId="32">
      <pivotArea dataOnly="0" labelOnly="1" fieldPosition="0">
        <references count="1">
          <reference field="0" count="0"/>
        </references>
      </pivotArea>
    </format>
  </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 showRowHeaders="1" showColHeaders="1" showRowStripes="0" showColStripes="0" showLastColumn="1"/>
  <filters count="1">
    <filter fld="0" type="count" id="1" iMeasureHier="14">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AD99A-75C9-4375-8FB4-5585BE7353E6}" name="PivotTable19" cacheId="561" applyNumberFormats="0" applyBorderFormats="0" applyFontFormats="0" applyPatternFormats="0" applyAlignmentFormats="0" applyWidthHeightFormats="1" dataCaption="Values" updatedVersion="7" minRefreshableVersion="3" subtotalHiddenItems="1" rowGrandTotals="0" colGrandTotals="0" itemPrintTitles="1" createdVersion="7" indent="0" outline="1" outlineData="1" multipleFieldFilters="0" rowHeaderCaption="Top 5 Products">
  <location ref="G17:H22" firstHeaderRow="1" firstDataRow="1" firstDataCol="1"/>
  <pivotFields count="3">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fld="1" subtotal="count" baseField="0" baseItem="0"/>
  </dataFields>
  <formats count="6">
    <format dxfId="21">
      <pivotArea dataOnly="0" labelOnly="1" outline="0" axis="axisValues" fieldPosition="0"/>
    </format>
    <format dxfId="22">
      <pivotArea type="all" dataOnly="0" outline="0" fieldPosition="0"/>
    </format>
    <format dxfId="23">
      <pivotArea outline="0" collapsedLevelsAreSubtotals="1" fieldPosition="0"/>
    </format>
    <format dxfId="24">
      <pivotArea field="0" type="button" dataOnly="0" labelOnly="1" outline="0" axis="axisRow" fieldPosition="0"/>
    </format>
    <format dxfId="25">
      <pivotArea dataOnly="0" labelOnly="1" outline="0" axis="axisValues" fieldPosition="0"/>
    </format>
    <format dxfId="26">
      <pivotArea dataOnly="0" labelOnly="1" fieldPosition="0">
        <references count="1">
          <reference field="0" count="0"/>
        </references>
      </pivotArea>
    </format>
  </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2"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08DB5D-5E76-4151-BFC5-9457545940E6}" name="PivotTable4" cacheId="57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H30:J41" firstHeaderRow="0" firstDataRow="1" firstDataCol="1"/>
  <pivotFields count="4">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Profits made" fld="2" subtotal="count" baseField="0" baseItem="0"/>
    <dataField name="Total sales" fld="1" baseField="0" baseItem="0" numFmtId="166"/>
  </dataFields>
  <formats count="2">
    <format dxfId="55">
      <pivotArea outline="0" collapsedLevelsAreSubtotals="1" fieldPosition="0"/>
    </format>
    <format dxfId="54">
      <pivotArea dataOnly="0" labelOnly="1" outline="0" fieldPosition="0">
        <references count="1">
          <reference field="4294967294" count="2">
            <x v="0"/>
            <x v="1"/>
          </reference>
        </references>
      </pivotArea>
    </format>
  </format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Row="0" dragToCol="0" dragToPage="0" dragToData="1"/>
    <pivotHierarchy dragToRow="0" dragToCol="0" dragToPage="0" dragToData="1" caption="Profits mad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BD4C37-61ED-47AC-BB1E-2B3511FE1155}" name="PivotTable24" cacheId="56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8">
  <location ref="A75:B98" firstHeaderRow="1" firstDataRow="1" firstDataCol="1"/>
  <pivotFields count="3">
    <pivotField axis="axisRow" allDrilled="1" subtotalTop="0" showAll="0" defaultSubtotal="0" defaultAttributeDrillState="1">
      <items count="22">
        <item x="5"/>
        <item x="10"/>
        <item x="12"/>
        <item x="20"/>
        <item x="1"/>
        <item x="6"/>
        <item x="7"/>
        <item x="9"/>
        <item x="11"/>
        <item x="14"/>
        <item x="16"/>
        <item x="17"/>
        <item x="19"/>
        <item x="21"/>
        <item x="3"/>
        <item x="4"/>
        <item x="0"/>
        <item x="2"/>
        <item x="15"/>
        <item x="18"/>
        <item x="8"/>
        <item x="13"/>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Amount" fld="1" baseField="0" baseItem="0"/>
  </dataFields>
  <formats count="1">
    <format dxfId="37">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Total cost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89A8C3-3835-4ADA-8026-C8342C503CFB}"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0:B43" firstHeaderRow="1" firstDataRow="1" firstDataCol="1"/>
  <pivotFields count="7">
    <pivotField axis="axisRow" showAll="0" measureFilter="1" sortType="descending">
      <items count="11">
        <item x="4"/>
        <item x="8"/>
        <item x="5"/>
        <item x="6"/>
        <item x="7"/>
        <item x="0"/>
        <item x="9"/>
        <item x="1"/>
        <item x="2"/>
        <item x="3"/>
        <item t="default"/>
      </items>
      <autoSortScope>
        <pivotArea dataOnly="0" outline="0" fieldPosition="0">
          <references count="1">
            <reference field="4294967294" count="1" selected="0">
              <x v="0"/>
            </reference>
          </references>
        </pivotArea>
      </autoSortScope>
    </pivotField>
    <pivotField axis="axisRow" showAll="0">
      <items count="7">
        <item x="5"/>
        <item x="0"/>
        <item x="1"/>
        <item x="4"/>
        <item x="3"/>
        <item x="2"/>
        <item t="default"/>
      </items>
    </pivotField>
    <pivotField showAll="0"/>
    <pivotField dataField="1" numFmtId="164" showAll="0"/>
    <pivotField numFmtId="3" showAll="0"/>
    <pivotField numFmtId="166"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99A117-5516-4755-876F-A70A1E5143CC}" name="PivotTable22" cacheId="56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49:C72" firstHeaderRow="0" firstDataRow="1" firstDataCol="1"/>
  <pivotFields count="4">
    <pivotField axis="axisRow" allDrilled="1" subtotalTop="0" showAll="0" defaultSubtotal="0" defaultAttributeDrillState="1">
      <items count="22">
        <item x="5"/>
        <item x="10"/>
        <item x="12"/>
        <item x="20"/>
        <item x="1"/>
        <item x="6"/>
        <item x="7"/>
        <item x="9"/>
        <item x="11"/>
        <item x="14"/>
        <item x="16"/>
        <item x="17"/>
        <item x="19"/>
        <item x="21"/>
        <item x="3"/>
        <item x="4"/>
        <item x="0"/>
        <item x="2"/>
        <item x="15"/>
        <item x="18"/>
        <item x="8"/>
        <item x="1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fld="1" subtotal="count" baseField="0" baseItem="0"/>
    <dataField name="Total costs" fld="2" baseField="0" baseItem="0"/>
  </dataFields>
  <formats count="2">
    <format dxfId="35">
      <pivotArea outline="0" collapsedLevelsAreSubtotals="1" fieldPosition="0"/>
    </format>
    <format dxfId="36">
      <pivotArea dataOnly="0" labelOnly="1" outline="0" fieldPosition="0">
        <references count="1">
          <reference field="4294967294" count="2">
            <x v="0"/>
            <x v="1"/>
          </reference>
        </references>
      </pivotArea>
    </format>
  </format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Total cost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DD6CE8-CB13-4C00-9D59-3978A8553AAF}" name="PivotTable10" cacheId="467"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rowHeaderCaption="Product">
  <location ref="E49:F54"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fld="1" subtotal="count" baseField="0" baseItem="0"/>
  </dataFields>
  <formats count="1">
    <format dxfId="56">
      <pivotArea dataOnly="0" labelOnly="1" outline="0" axis="axisValues"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4">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184CBB-8565-4F04-AFC6-A8DC9FB29646}"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5:D11" firstHeaderRow="0" firstDataRow="1" firstDataCol="1"/>
  <pivotFields count="7">
    <pivotField showAll="0">
      <items count="11">
        <item x="4"/>
        <item x="8"/>
        <item x="5"/>
        <item x="6"/>
        <item x="7"/>
        <item x="0"/>
        <item x="9"/>
        <item x="1"/>
        <item x="2"/>
        <item x="3"/>
        <item t="default"/>
      </items>
    </pivotField>
    <pivotField axis="axisRow" showAll="0" sortType="descending">
      <items count="7">
        <item x="5"/>
        <item x="0"/>
        <item x="1"/>
        <item x="4"/>
        <item x="3"/>
        <item x="2"/>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numFmtId="166" showAll="0"/>
    <pivotField numFmtId="166"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dataFields>
  <conditionalFormats count="1">
    <conditionalFormat priority="2">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643AE9-6502-42D5-8168-516880652B47}" name="PivotTable21" cacheId="46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4:P27" firstHeaderRow="0" firstDataRow="1" firstDataCol="1"/>
  <pivotFields count="4">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Total cost" fld="2" baseField="0" baseItem="0"/>
    <dataField fld="3" subtotal="count" baseField="0" baseItem="0"/>
  </dataField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8EEF6-69F2-471B-A919-971EA5EC56EA}" name="PivotTable5" cacheId="46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D15:E26" firstHeaderRow="1" firstDataRow="1" firstDataCol="1"/>
  <pivotFields count="2">
    <pivotField axis="axisRow" allDrilled="1" subtotalTop="0" showAll="0" measureFilter="1" defaultSubtotal="0" defaultAttributeDrillState="1">
      <items count="10">
        <item x="7"/>
        <item x="1"/>
        <item x="3"/>
        <item x="0"/>
        <item x="9"/>
        <item x="2"/>
        <item x="4"/>
        <item x="5"/>
        <item x="6"/>
        <item x="8"/>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Sum of Units" fld="1" baseField="0" baseItem="0" numFmtId="3"/>
  </dataFields>
  <formats count="1">
    <format dxfId="57">
      <pivotArea outline="0" collapsedLevelsAreSubtotals="1"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A3B939-AAC3-4031-AD59-0C6430888776}" name="PivotTable20"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0:E43" firstHeaderRow="1" firstDataRow="1" firstDataCol="1"/>
  <pivotFields count="7">
    <pivotField axis="axisRow" showAll="0" measureFilter="1">
      <items count="11">
        <item x="4"/>
        <item x="8"/>
        <item x="5"/>
        <item x="6"/>
        <item x="7"/>
        <item x="0"/>
        <item x="9"/>
        <item x="1"/>
        <item x="2"/>
        <item x="3"/>
        <item t="default"/>
      </items>
    </pivotField>
    <pivotField axis="axisRow" showAll="0">
      <items count="7">
        <item x="5"/>
        <item x="0"/>
        <item x="1"/>
        <item x="4"/>
        <item x="3"/>
        <item x="2"/>
        <item t="default"/>
      </items>
    </pivotField>
    <pivotField showAll="0"/>
    <pivotField dataField="1" numFmtId="164" showAll="0"/>
    <pivotField numFmtId="3" showAll="0"/>
    <pivotField numFmtId="166"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B2149B6-43D8-4DF9-B42F-2DBE16814F67}" name="PivotTable11" cacheId="470"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rowHeaderCaption="Product">
  <location ref="H49:I54"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fld="1" subtotal="count" baseField="0" baseItem="0"/>
  </dataFields>
  <formats count="1">
    <format dxfId="58">
      <pivotArea dataOnly="0" labelOnly="1" outline="0" axis="axisValues"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58D6EE0-EC10-4BDF-90BC-7A8A10E26B06}" name="PivotTable6" cacheId="57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8">
  <location ref="G75:I98" firstHeaderRow="0" firstDataRow="1" firstDataCol="1"/>
  <pivotFields count="4">
    <pivotField axis="axisRow" allDrilled="1" subtotalTop="0" showAll="0" defaultSubtotal="0" defaultAttributeDrillState="1">
      <items count="22">
        <item x="1"/>
        <item x="4"/>
        <item x="6"/>
        <item x="7"/>
        <item x="10"/>
        <item x="11"/>
        <item x="12"/>
        <item x="14"/>
        <item x="16"/>
        <item x="17"/>
        <item x="19"/>
        <item x="20"/>
        <item x="21"/>
        <item x="3"/>
        <item x="5"/>
        <item x="9"/>
        <item x="0"/>
        <item x="2"/>
        <item x="15"/>
        <item x="18"/>
        <item x="8"/>
        <item x="13"/>
      </items>
    </pivotField>
    <pivotField dataField="1" subtotalTop="0" showAll="0" defaultSubtotal="0"/>
    <pivotField allDrilled="1" subtotalTop="0" showAll="0" dataSourceSort="1" defaultSubtotal="0" defaultAttributeDrillState="1"/>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Sum of Units" fld="1" baseField="0" baseItem="0"/>
    <dataField name="Sum of Amount" fld="3" baseField="0" baseItem="0"/>
  </dataFields>
  <formats count="2">
    <format dxfId="60">
      <pivotArea outline="0" collapsedLevelsAreSubtotals="1" fieldPosition="0"/>
    </format>
    <format dxfId="59">
      <pivotArea collapsedLevelsAreSubtotals="1" fieldPosition="0">
        <references count="1">
          <reference field="0" count="0"/>
        </references>
      </pivotArea>
    </format>
  </formats>
  <chartFormats count="3">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Total cost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27F1DAF-7A34-4754-A143-A309FED75DF1}" name="PivotTable25" cacheId="57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8">
  <location ref="D75:E98" firstHeaderRow="1" firstDataRow="1" firstDataCol="1"/>
  <pivotFields count="3">
    <pivotField axis="axisRow" allDrilled="1" subtotalTop="0" showAll="0" defaultSubtotal="0" defaultAttributeDrillState="1">
      <items count="22">
        <item x="5"/>
        <item x="10"/>
        <item x="12"/>
        <item x="20"/>
        <item x="1"/>
        <item x="6"/>
        <item x="7"/>
        <item x="9"/>
        <item x="11"/>
        <item x="14"/>
        <item x="16"/>
        <item x="17"/>
        <item x="19"/>
        <item x="21"/>
        <item x="3"/>
        <item x="4"/>
        <item x="0"/>
        <item x="2"/>
        <item x="15"/>
        <item x="18"/>
        <item x="8"/>
        <item x="13"/>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Units" fld="1" baseField="0" baseItem="0"/>
  </dataFields>
  <formats count="2">
    <format dxfId="33">
      <pivotArea outline="0" collapsedLevelsAreSubtotals="1" fieldPosition="0"/>
    </format>
    <format dxfId="34">
      <pivotArea collapsedLevelsAreSubtotals="1" fieldPosition="0">
        <references count="1">
          <reference field="0" count="0"/>
        </references>
      </pivotArea>
    </format>
  </formats>
  <chartFormats count="3">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18">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caption="Total cost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08072C3-B9C9-4D37-A95C-CFA3D3B45696}" name="PivotTable2" cacheId="45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3">
  <location ref="A15:B26" firstHeaderRow="1" firstDataRow="1" firstDataCol="1"/>
  <pivotFields count="2">
    <pivotField axis="axisRow" allDrilled="1" subtotalTop="0" showAll="0" measureFilter="1" defaultSubtotal="0" defaultAttributeDrillState="1">
      <items count="10">
        <item x="7"/>
        <item x="1"/>
        <item x="3"/>
        <item x="0"/>
        <item x="9"/>
        <item x="2"/>
        <item x="4"/>
        <item x="5"/>
        <item x="6"/>
        <item x="8"/>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Total sales" fld="1" baseField="0" baseItem="0" numFmtId="167"/>
  </dataFields>
  <formats count="1">
    <format dxfId="61">
      <pivotArea outline="0" collapsedLevelsAreSubtotals="1"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Total sales"/>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CB60E66-FA2C-4648-8453-F7830BC274AE}" sourceName="Sales Person">
  <pivotTables>
    <pivotTable tabId="3" name="PivotTable1"/>
  </pivotTables>
  <data>
    <tabular pivotCacheId="517889516">
      <items count="10">
        <i x="4" s="1"/>
        <i x="8" s="1"/>
        <i x="5" s="1"/>
        <i x="6" s="1"/>
        <i x="7" s="1"/>
        <i x="0" s="1"/>
        <i x="9"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9B6A5A1-5240-4AED-9A3C-7169192E2839}" sourceName="[data].[Geography]">
  <pivotTables>
    <pivotTable tabId="5" name="PivotTable17"/>
    <pivotTable tabId="5" name="PivotTable19"/>
    <pivotTable tabId="3" name="PivotTable22"/>
    <pivotTable tabId="3" name="PivotTable24"/>
    <pivotTable tabId="3" name="PivotTable25"/>
    <pivotTable tabId="3" name="PivotTable4"/>
    <pivotTable tabId="3" name="PivotTable6"/>
  </pivotTables>
  <data>
    <olap pivotCacheId="47911119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909DB6F0-E8B0-49F1-9375-1B81BD2F56BA}" sourceName="[data].[Sales Person]">
  <pivotTables>
    <pivotTable tabId="3" name="PivotTable24"/>
    <pivotTable tabId="3" name="PivotTable22"/>
    <pivotTable tabId="3" name="PivotTable25"/>
    <pivotTable tabId="5" name="PivotTable17"/>
    <pivotTable tabId="5" name="PivotTable19"/>
  </pivotTables>
  <data>
    <olap pivotCacheId="479111196">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F2811ADA-5D81-44DE-9301-51F7FD45C3C0}" cache="Slicer_Geography" caption="Geography" level="1" rowHeight="241300"/>
  <slicer name="Sales Person 1" xr10:uid="{1D042D74-E198-46CA-80BB-47AFD6CE43DD}" cache="Slicer_Sales_Person1" caption="Sales Person" startItem="4"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74B46A3-F2B0-49AB-8713-5EE56A000661}" cache="Slicer_Sales_Person" caption="Sales Person"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9FF4F0-2D72-4ABC-BAE3-12E3314F2C36}" name="Table4" displayName="Table4" ref="C14:F18" totalsRowShown="0" tableBorderDxfId="50">
  <tableColumns count="4">
    <tableColumn id="1" xr3:uid="{84B77D09-075D-4625-A3DE-C6B9092D1603}" name=" " dataDxfId="49"/>
    <tableColumn id="2" xr3:uid="{D353996F-92BA-4519-BE4B-B96EA9BC31DB}" name="  " dataDxfId="48"/>
    <tableColumn id="3" xr3:uid="{3D51BCD7-07A2-4762-948B-3FEE105108A4}" name="Total" dataDxfId="47"/>
    <tableColumn id="4" xr3:uid="{C664E287-C1E1-43A1-864C-BAFACA7F85AA}" name="Average" dataDxfId="46"/>
  </tableColumns>
  <tableStyleInfo name="TableStyleDark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933F3A7-1E3A-44AA-A03F-447906E4208A}" name="Table6" displayName="Table6" ref="I14:L18" totalsRowShown="0" tableBorderDxfId="45">
  <tableColumns count="4">
    <tableColumn id="1" xr3:uid="{66316C70-31A6-4E51-A5FD-C229E05F7DB9}" name="  " dataDxfId="44"/>
    <tableColumn id="2" xr3:uid="{88377A91-C2E0-4EAB-8663-0275D98F6DC3}" name=" " dataDxfId="43"/>
    <tableColumn id="3" xr3:uid="{1D78F59C-DBD2-43A7-99F2-3F851A958223}" name="Total" dataDxfId="42"/>
    <tableColumn id="4" xr3:uid="{A41898B8-6E3C-4678-9554-85BCCAD1F7AC}" name="Average" dataDxfId="41"/>
  </tableColumns>
  <tableStyleInfo name="TableStyleDark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D4B330-7CF0-49E9-BDD5-3AE654BD82AA}" name="Table7" displayName="Table7" ref="O14:R18" totalsRowShown="0" tableBorderDxfId="40">
  <tableColumns count="4">
    <tableColumn id="1" xr3:uid="{319B7978-83ED-4AA3-AA49-6F1254746FA5}" name=" "/>
    <tableColumn id="2" xr3:uid="{5FD1B585-BBC4-41AD-BEF8-625AC912BC00}" name="     "/>
    <tableColumn id="3" xr3:uid="{805F08C2-E98A-4A3A-B2A1-6BABE4C6FAD3}" name="Total" dataDxfId="39"/>
    <tableColumn id="4" xr3:uid="{8E3B5A47-CA51-4636-A7D2-9F0995C2E59B}" name="Average" dataDxfId="38"/>
  </tableColumns>
  <tableStyleInfo name="TableStyleDark9"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594BDE-CBD0-4237-AB95-02EAF33C0B4F}" name="products" displayName="products" ref="O1:P23" totalsRowShown="0">
  <autoFilter ref="O1:P23" xr:uid="{02594BDE-CBD0-4237-AB95-02EAF33C0B4F}"/>
  <tableColumns count="2">
    <tableColumn id="1" xr3:uid="{B1FDF250-786C-4440-9DBB-1FEC5B0B1CEB}" name="Product"/>
    <tableColumn id="2" xr3:uid="{4EB3FA5E-3090-4D95-86CE-5F5A240FA5BC}" name="Cost per unit" dataDxfId="6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4E99E-BFF5-457E-8500-8BDF63335759}" name="data" displayName="data" ref="A1:H301" totalsRowShown="0" headerRowDxfId="66">
  <autoFilter ref="A1:H301" xr:uid="{3714E99E-BFF5-457E-8500-8BDF63335759}"/>
  <sortState xmlns:xlrd2="http://schemas.microsoft.com/office/spreadsheetml/2017/richdata2" ref="A2:G301">
    <sortCondition descending="1" ref="D1:D301"/>
  </sortState>
  <tableColumns count="8">
    <tableColumn id="1" xr3:uid="{193823C7-B379-47C1-9074-192B562751FC}" name="Sales Person"/>
    <tableColumn id="2" xr3:uid="{8C21AE3B-E8BA-49CF-9222-92FEE372F0F9}" name="Geography"/>
    <tableColumn id="3" xr3:uid="{CD770E84-8DAA-4A26-B527-5CDE0E27E42C}" name="Product"/>
    <tableColumn id="4" xr3:uid="{4081088A-10AD-415A-B941-F3642EA324E8}" name="Amount" dataDxfId="65"/>
    <tableColumn id="5" xr3:uid="{ED4D8EF0-E607-4BE4-A3F2-4A3D79057DA3}" name="Units" dataDxfId="64"/>
    <tableColumn id="9" xr3:uid="{19A6D904-7A6F-47A3-BF23-17FC4825516E}" name="Cost per unit" dataDxfId="63">
      <calculatedColumnFormula>_xlfn.XLOOKUP(data[[#This Row],[Product]],products[Product],products[Cost per unit])</calculatedColumnFormula>
    </tableColumn>
    <tableColumn id="11" xr3:uid="{C5BD771E-2A9A-4DCC-86AD-BF3A37BC03B6}" name="Total cost" dataDxfId="62">
      <calculatedColumnFormula>data[[#This Row],[Cost per unit]]*data[[#This Row],[Units]]</calculatedColumnFormula>
    </tableColumn>
    <tableColumn id="8" xr3:uid="{7AE924C3-F19B-468A-8E77-3FCEFE2D7844}" name=" profit" dataDxfId="53">
      <calculatedColumnFormula>(data[[#This Row],[Amount]])-(data[[#This Row],[Total 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0.xml"/><Relationship Id="rId13" Type="http://schemas.openxmlformats.org/officeDocument/2006/relationships/pivotTable" Target="../pivotTables/pivotTable15.xml"/><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pivotTable" Target="../pivotTables/pivotTable14.xml"/><Relationship Id="rId2" Type="http://schemas.openxmlformats.org/officeDocument/2006/relationships/pivotTable" Target="../pivotTables/pivotTable4.xml"/><Relationship Id="rId16" Type="http://schemas.microsoft.com/office/2007/relationships/slicer" Target="../slicers/slicer2.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5" Type="http://schemas.openxmlformats.org/officeDocument/2006/relationships/drawing" Target="../drawings/drawing3.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 Id="rId1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0DC49-4350-4A53-A868-10389A6B4E37}">
  <dimension ref="B1:V22"/>
  <sheetViews>
    <sheetView showGridLines="0" zoomScale="60" zoomScaleNormal="60" workbookViewId="0">
      <selection activeCell="H20" sqref="H20"/>
    </sheetView>
  </sheetViews>
  <sheetFormatPr defaultRowHeight="15" x14ac:dyDescent="0.25"/>
  <cols>
    <col min="7" max="7" width="23.85546875" bestFit="1" customWidth="1"/>
    <col min="8" max="8" width="19.5703125" bestFit="1" customWidth="1"/>
    <col min="9" max="10" width="9.140625" customWidth="1"/>
  </cols>
  <sheetData>
    <row r="1" spans="2:22" ht="15" customHeight="1" x14ac:dyDescent="0.25">
      <c r="B1" s="43"/>
      <c r="C1" s="44"/>
      <c r="D1" s="44"/>
      <c r="E1" s="44"/>
      <c r="F1" s="44"/>
      <c r="G1" s="44"/>
      <c r="H1" s="44"/>
      <c r="I1" s="44"/>
      <c r="J1" s="44"/>
      <c r="K1" s="44"/>
      <c r="L1" s="44"/>
      <c r="M1" s="44"/>
      <c r="N1" s="44"/>
      <c r="O1" s="44"/>
      <c r="P1" s="44"/>
      <c r="Q1" s="44"/>
      <c r="R1" s="44"/>
      <c r="S1" s="44"/>
      <c r="T1" s="42"/>
      <c r="U1" s="42"/>
      <c r="V1" s="42"/>
    </row>
    <row r="2" spans="2:22" x14ac:dyDescent="0.25">
      <c r="B2" s="44"/>
      <c r="C2" s="44"/>
      <c r="D2" s="44"/>
      <c r="E2" s="44"/>
      <c r="F2" s="44"/>
      <c r="G2" s="44"/>
      <c r="H2" s="44"/>
      <c r="I2" s="44"/>
      <c r="J2" s="44"/>
      <c r="K2" s="44"/>
      <c r="L2" s="44"/>
      <c r="M2" s="44"/>
      <c r="N2" s="44"/>
      <c r="O2" s="44"/>
      <c r="P2" s="44"/>
      <c r="Q2" s="44"/>
      <c r="R2" s="44"/>
      <c r="S2" s="44"/>
      <c r="T2" s="42"/>
      <c r="U2" s="42"/>
      <c r="V2" s="42"/>
    </row>
    <row r="3" spans="2:22" x14ac:dyDescent="0.25">
      <c r="B3" s="44"/>
      <c r="C3" s="44"/>
      <c r="D3" s="44"/>
      <c r="E3" s="44"/>
      <c r="F3" s="44"/>
      <c r="G3" s="44"/>
      <c r="H3" s="44"/>
      <c r="I3" s="44"/>
      <c r="J3" s="44"/>
      <c r="K3" s="44"/>
      <c r="L3" s="44"/>
      <c r="M3" s="44"/>
      <c r="N3" s="44"/>
      <c r="O3" s="44"/>
      <c r="P3" s="44"/>
      <c r="Q3" s="44"/>
      <c r="R3" s="44"/>
      <c r="S3" s="44"/>
      <c r="T3" s="42"/>
      <c r="U3" s="42"/>
      <c r="V3" s="42"/>
    </row>
    <row r="4" spans="2:22" x14ac:dyDescent="0.25">
      <c r="B4" s="44"/>
      <c r="C4" s="44"/>
      <c r="D4" s="44"/>
      <c r="E4" s="44"/>
      <c r="F4" s="44"/>
      <c r="G4" s="44"/>
      <c r="H4" s="44"/>
      <c r="I4" s="44"/>
      <c r="J4" s="44"/>
      <c r="K4" s="44"/>
      <c r="L4" s="44"/>
      <c r="M4" s="44"/>
      <c r="N4" s="44"/>
      <c r="O4" s="44"/>
      <c r="P4" s="44"/>
      <c r="Q4" s="44"/>
      <c r="R4" s="44"/>
      <c r="S4" s="44"/>
      <c r="T4" s="42"/>
      <c r="U4" s="42"/>
      <c r="V4" s="42"/>
    </row>
    <row r="5" spans="2:22" x14ac:dyDescent="0.25">
      <c r="B5" s="44"/>
      <c r="C5" s="44"/>
      <c r="D5" s="44"/>
      <c r="E5" s="44"/>
      <c r="F5" s="44"/>
      <c r="G5" s="44"/>
      <c r="H5" s="44"/>
      <c r="I5" s="44"/>
      <c r="J5" s="44"/>
      <c r="K5" s="44"/>
      <c r="L5" s="44"/>
      <c r="M5" s="44"/>
      <c r="N5" s="44"/>
      <c r="O5" s="44"/>
      <c r="P5" s="44"/>
      <c r="Q5" s="44"/>
      <c r="R5" s="44"/>
      <c r="S5" s="44"/>
      <c r="T5" s="42"/>
      <c r="U5" s="42"/>
      <c r="V5" s="42"/>
    </row>
    <row r="6" spans="2:22" x14ac:dyDescent="0.25">
      <c r="B6" s="44"/>
      <c r="C6" s="44"/>
      <c r="D6" s="44"/>
      <c r="E6" s="44"/>
      <c r="F6" s="44"/>
      <c r="G6" s="44"/>
      <c r="H6" s="44"/>
      <c r="I6" s="44"/>
      <c r="J6" s="44"/>
      <c r="K6" s="44"/>
      <c r="L6" s="44"/>
      <c r="M6" s="44"/>
      <c r="N6" s="44"/>
      <c r="O6" s="44"/>
      <c r="P6" s="44"/>
      <c r="Q6" s="44"/>
      <c r="R6" s="44"/>
      <c r="S6" s="44"/>
      <c r="T6" s="42"/>
      <c r="U6" s="42"/>
      <c r="V6" s="42"/>
    </row>
    <row r="8" spans="2:22" x14ac:dyDescent="0.25">
      <c r="G8" s="41"/>
      <c r="H8" s="41"/>
    </row>
    <row r="9" spans="2:22" x14ac:dyDescent="0.25">
      <c r="G9" s="35" t="s">
        <v>82</v>
      </c>
      <c r="H9" s="36" t="s">
        <v>80</v>
      </c>
      <c r="I9" s="34"/>
      <c r="J9" s="34"/>
      <c r="K9" s="34"/>
    </row>
    <row r="10" spans="2:22" x14ac:dyDescent="0.25">
      <c r="G10" s="40" t="s">
        <v>53</v>
      </c>
      <c r="H10" s="37">
        <v>4824.8666666666668</v>
      </c>
      <c r="I10" s="34"/>
      <c r="J10" s="34"/>
      <c r="K10" s="34"/>
    </row>
    <row r="11" spans="2:22" x14ac:dyDescent="0.25">
      <c r="G11" s="40" t="s">
        <v>14</v>
      </c>
      <c r="H11" s="37">
        <v>5997.25</v>
      </c>
      <c r="I11" s="34"/>
      <c r="J11" s="34"/>
      <c r="K11" s="34"/>
    </row>
    <row r="12" spans="2:22" x14ac:dyDescent="0.25">
      <c r="G12" s="40" t="s">
        <v>41</v>
      </c>
      <c r="H12" s="37">
        <v>5471.2</v>
      </c>
      <c r="I12" s="34"/>
      <c r="J12" s="34"/>
      <c r="K12" s="34"/>
    </row>
    <row r="13" spans="2:22" x14ac:dyDescent="0.25">
      <c r="G13" s="40" t="s">
        <v>30</v>
      </c>
      <c r="H13" s="37">
        <v>5320</v>
      </c>
      <c r="I13" s="34"/>
      <c r="J13" s="34"/>
      <c r="K13" s="34"/>
    </row>
    <row r="14" spans="2:22" x14ac:dyDescent="0.25">
      <c r="G14" s="40" t="s">
        <v>24</v>
      </c>
      <c r="H14" s="37">
        <v>5305.4615384615381</v>
      </c>
      <c r="I14" s="34"/>
      <c r="J14" s="34"/>
      <c r="K14" s="34"/>
    </row>
    <row r="15" spans="2:22" x14ac:dyDescent="0.25">
      <c r="G15" s="38"/>
      <c r="H15" s="38"/>
      <c r="I15" s="34"/>
      <c r="J15" s="34"/>
      <c r="K15" s="34"/>
    </row>
    <row r="16" spans="2:22" x14ac:dyDescent="0.25">
      <c r="G16" s="45"/>
      <c r="H16" s="45"/>
      <c r="I16" s="34"/>
      <c r="J16" s="34"/>
      <c r="K16" s="34"/>
    </row>
    <row r="17" spans="7:11" x14ac:dyDescent="0.25">
      <c r="G17" s="35" t="s">
        <v>82</v>
      </c>
      <c r="H17" s="36" t="s">
        <v>81</v>
      </c>
      <c r="I17" s="34"/>
      <c r="J17" s="34"/>
      <c r="K17" s="34"/>
    </row>
    <row r="18" spans="7:11" x14ac:dyDescent="0.25">
      <c r="G18" s="40" t="s">
        <v>16</v>
      </c>
      <c r="H18" s="39">
        <v>183.81818181818181</v>
      </c>
      <c r="I18" s="34"/>
      <c r="J18" s="34"/>
      <c r="K18" s="34"/>
    </row>
    <row r="19" spans="7:11" x14ac:dyDescent="0.25">
      <c r="G19" s="40" t="s">
        <v>9</v>
      </c>
      <c r="H19" s="39">
        <v>175.125</v>
      </c>
      <c r="I19" s="34"/>
      <c r="J19" s="34"/>
      <c r="K19" s="34"/>
    </row>
    <row r="20" spans="7:11" x14ac:dyDescent="0.25">
      <c r="G20" s="40" t="s">
        <v>53</v>
      </c>
      <c r="H20" s="39">
        <v>213.8</v>
      </c>
      <c r="I20" s="34"/>
      <c r="J20" s="34"/>
      <c r="K20" s="34"/>
    </row>
    <row r="21" spans="7:11" x14ac:dyDescent="0.25">
      <c r="G21" s="40" t="s">
        <v>14</v>
      </c>
      <c r="H21" s="39">
        <v>191.75</v>
      </c>
    </row>
    <row r="22" spans="7:11" x14ac:dyDescent="0.25">
      <c r="G22" s="40" t="s">
        <v>41</v>
      </c>
      <c r="H22" s="39">
        <v>219.6</v>
      </c>
    </row>
  </sheetData>
  <sheetProtection sheet="1" objects="1" scenarios="1" selectLockedCells="1" pivotTables="0"/>
  <mergeCells count="1">
    <mergeCell ref="G16:H16"/>
  </mergeCells>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78F3-0169-4EE9-B3B5-04694518D203}">
  <dimension ref="A1:Y24"/>
  <sheetViews>
    <sheetView showGridLines="0" tabSelected="1" zoomScale="80" zoomScaleNormal="80" workbookViewId="0">
      <selection activeCell="Q8" sqref="Q8:S8"/>
    </sheetView>
  </sheetViews>
  <sheetFormatPr defaultRowHeight="15" x14ac:dyDescent="0.25"/>
  <cols>
    <col min="3" max="4" width="11" customWidth="1"/>
    <col min="6" max="6" width="10.42578125" customWidth="1"/>
    <col min="9" max="10" width="11" customWidth="1"/>
    <col min="12" max="12" width="10.42578125" customWidth="1"/>
    <col min="15" max="16" width="11" customWidth="1"/>
    <col min="18" max="18" width="10.42578125" customWidth="1"/>
    <col min="20" max="20" width="9.140625" style="55"/>
  </cols>
  <sheetData>
    <row r="1" spans="1:25" x14ac:dyDescent="0.25">
      <c r="A1" s="48"/>
      <c r="B1" s="48"/>
      <c r="C1" s="48"/>
      <c r="D1" s="48"/>
      <c r="E1" s="48"/>
      <c r="F1" s="48"/>
      <c r="G1" s="48"/>
      <c r="H1" s="48"/>
      <c r="I1" s="48"/>
      <c r="J1" s="48"/>
      <c r="K1" s="48"/>
      <c r="L1" s="48"/>
      <c r="M1" s="48"/>
      <c r="N1" s="48"/>
      <c r="O1" s="48"/>
      <c r="P1" s="48"/>
      <c r="Q1" s="48"/>
      <c r="R1" s="48"/>
      <c r="S1" s="48"/>
    </row>
    <row r="2" spans="1:25" x14ac:dyDescent="0.25">
      <c r="A2" s="48"/>
      <c r="B2" s="48"/>
      <c r="C2" s="48"/>
      <c r="D2" s="48"/>
      <c r="E2" s="48"/>
      <c r="F2" s="48"/>
      <c r="G2" s="48"/>
      <c r="H2" s="48"/>
      <c r="I2" s="48"/>
      <c r="J2" s="48"/>
      <c r="K2" s="48"/>
      <c r="L2" s="48"/>
      <c r="M2" s="48"/>
      <c r="N2" s="48"/>
      <c r="O2" s="48"/>
      <c r="P2" s="48"/>
      <c r="Q2" s="48"/>
      <c r="R2" s="48"/>
      <c r="S2" s="48"/>
      <c r="T2" s="56" t="s">
        <v>49</v>
      </c>
    </row>
    <row r="3" spans="1:25" x14ac:dyDescent="0.25">
      <c r="A3" s="48"/>
      <c r="B3" s="48"/>
      <c r="C3" s="48"/>
      <c r="D3" s="48"/>
      <c r="E3" s="48"/>
      <c r="F3" s="48"/>
      <c r="G3" s="48"/>
      <c r="H3" s="48"/>
      <c r="I3" s="48"/>
      <c r="J3" s="48"/>
      <c r="K3" s="48"/>
      <c r="L3" s="48"/>
      <c r="M3" s="48"/>
      <c r="N3" s="48"/>
      <c r="O3" s="48"/>
      <c r="P3" s="48"/>
      <c r="Q3" s="48"/>
      <c r="R3" s="48"/>
      <c r="S3" s="48"/>
      <c r="T3" s="56" t="s">
        <v>21</v>
      </c>
      <c r="U3" s="51" t="s">
        <v>14</v>
      </c>
      <c r="Y3" s="51" t="s">
        <v>45</v>
      </c>
    </row>
    <row r="4" spans="1:25" x14ac:dyDescent="0.25">
      <c r="A4" s="48"/>
      <c r="B4" s="48"/>
      <c r="C4" s="48"/>
      <c r="D4" s="48"/>
      <c r="E4" s="48"/>
      <c r="F4" s="48"/>
      <c r="G4" s="48"/>
      <c r="H4" s="48"/>
      <c r="I4" s="48"/>
      <c r="J4" s="48"/>
      <c r="K4" s="48"/>
      <c r="L4" s="48"/>
      <c r="M4" s="48"/>
      <c r="N4" s="48"/>
      <c r="O4" s="48"/>
      <c r="P4" s="48"/>
      <c r="Q4" s="48"/>
      <c r="R4" s="48"/>
      <c r="S4" s="48"/>
      <c r="T4" s="56" t="s">
        <v>8</v>
      </c>
      <c r="U4" s="51" t="s">
        <v>50</v>
      </c>
      <c r="Y4" s="51" t="s">
        <v>12</v>
      </c>
    </row>
    <row r="5" spans="1:25" x14ac:dyDescent="0.25">
      <c r="A5" s="55"/>
      <c r="B5" s="55"/>
      <c r="C5" s="55"/>
      <c r="D5" s="55"/>
      <c r="E5" s="55"/>
      <c r="F5" s="55"/>
      <c r="G5" s="55"/>
      <c r="H5" s="55"/>
      <c r="I5" s="55"/>
      <c r="J5" s="55"/>
      <c r="K5" s="55"/>
      <c r="L5" s="55"/>
      <c r="M5" s="55"/>
      <c r="N5" s="55"/>
      <c r="O5" s="55"/>
      <c r="P5" s="55"/>
      <c r="Q5" s="55"/>
      <c r="T5" s="56" t="s">
        <v>13</v>
      </c>
      <c r="U5" s="51" t="s">
        <v>30</v>
      </c>
      <c r="Y5" s="51" t="s">
        <v>20</v>
      </c>
    </row>
    <row r="6" spans="1:25" x14ac:dyDescent="0.25">
      <c r="T6" s="56" t="s">
        <v>26</v>
      </c>
      <c r="U6" s="51" t="s">
        <v>51</v>
      </c>
      <c r="Y6" s="51" t="s">
        <v>39</v>
      </c>
    </row>
    <row r="7" spans="1:25" x14ac:dyDescent="0.25">
      <c r="T7" s="56" t="s">
        <v>33</v>
      </c>
      <c r="U7" s="51" t="s">
        <v>32</v>
      </c>
      <c r="Y7" s="51" t="s">
        <v>25</v>
      </c>
    </row>
    <row r="8" spans="1:25" x14ac:dyDescent="0.25">
      <c r="B8" s="57" t="s">
        <v>83</v>
      </c>
      <c r="C8" s="57"/>
      <c r="D8" s="68" t="s">
        <v>8</v>
      </c>
      <c r="H8" s="57" t="s">
        <v>92</v>
      </c>
      <c r="I8" s="57"/>
      <c r="J8" s="69" t="s">
        <v>16</v>
      </c>
      <c r="K8" s="69"/>
      <c r="L8" s="69"/>
      <c r="N8" s="57" t="s">
        <v>93</v>
      </c>
      <c r="O8" s="57"/>
      <c r="P8" s="57"/>
      <c r="Q8" s="69" t="s">
        <v>7</v>
      </c>
      <c r="R8" s="69"/>
      <c r="S8" s="69"/>
      <c r="U8" s="51" t="s">
        <v>27</v>
      </c>
      <c r="Y8" s="51" t="s">
        <v>42</v>
      </c>
    </row>
    <row r="9" spans="1:25" x14ac:dyDescent="0.25">
      <c r="U9" s="51" t="s">
        <v>24</v>
      </c>
      <c r="Y9" s="51" t="s">
        <v>46</v>
      </c>
    </row>
    <row r="10" spans="1:25" ht="15.75" x14ac:dyDescent="0.25">
      <c r="B10" s="52" t="s">
        <v>84</v>
      </c>
      <c r="C10" s="53"/>
      <c r="D10" s="53"/>
      <c r="E10" s="53"/>
      <c r="F10" s="53"/>
      <c r="H10" s="52" t="s">
        <v>84</v>
      </c>
      <c r="I10" s="54"/>
      <c r="J10" s="54"/>
      <c r="K10" s="54"/>
      <c r="L10" s="54"/>
      <c r="N10" s="50" t="s">
        <v>84</v>
      </c>
      <c r="O10" s="49"/>
      <c r="P10" s="49"/>
      <c r="Q10" s="49"/>
      <c r="R10" s="49"/>
      <c r="S10" s="49"/>
      <c r="U10" s="51" t="s">
        <v>41</v>
      </c>
      <c r="Y10" s="51" t="s">
        <v>17</v>
      </c>
    </row>
    <row r="11" spans="1:25" x14ac:dyDescent="0.25">
      <c r="U11" s="51" t="s">
        <v>29</v>
      </c>
      <c r="Y11" s="51" t="s">
        <v>54</v>
      </c>
    </row>
    <row r="12" spans="1:25" x14ac:dyDescent="0.25">
      <c r="C12" s="57" t="s">
        <v>85</v>
      </c>
      <c r="D12" s="57"/>
      <c r="E12" s="57"/>
      <c r="F12" s="58">
        <f>COUNTIF(data[Geography],D$8)</f>
        <v>53</v>
      </c>
      <c r="I12" s="58" t="s">
        <v>85</v>
      </c>
      <c r="J12" s="58"/>
      <c r="K12" s="58"/>
      <c r="L12" s="58">
        <f>COUNTIF(data[Product],J$8)</f>
        <v>11</v>
      </c>
      <c r="O12" s="59" t="s">
        <v>94</v>
      </c>
      <c r="P12" s="59"/>
      <c r="Q12" s="59"/>
      <c r="R12" s="58">
        <f>COUNTIF(data[Sales Person],Q$8)</f>
        <v>34</v>
      </c>
      <c r="U12" s="51" t="s">
        <v>9</v>
      </c>
      <c r="Y12" s="51" t="s">
        <v>7</v>
      </c>
    </row>
    <row r="13" spans="1:25" x14ac:dyDescent="0.25">
      <c r="U13" s="51" t="s">
        <v>48</v>
      </c>
    </row>
    <row r="14" spans="1:25" ht="15.75" x14ac:dyDescent="0.25">
      <c r="C14" s="60" t="s">
        <v>72</v>
      </c>
      <c r="D14" s="60" t="s">
        <v>95</v>
      </c>
      <c r="E14" s="61" t="s">
        <v>86</v>
      </c>
      <c r="F14" s="61" t="s">
        <v>87</v>
      </c>
      <c r="I14" s="60" t="s">
        <v>95</v>
      </c>
      <c r="J14" s="60" t="s">
        <v>72</v>
      </c>
      <c r="K14" s="61" t="s">
        <v>86</v>
      </c>
      <c r="L14" s="61" t="s">
        <v>87</v>
      </c>
      <c r="O14" s="65" t="s">
        <v>72</v>
      </c>
      <c r="P14" s="65" t="s">
        <v>96</v>
      </c>
      <c r="Q14" s="61" t="s">
        <v>86</v>
      </c>
      <c r="R14" s="61" t="s">
        <v>87</v>
      </c>
      <c r="U14" s="51" t="s">
        <v>22</v>
      </c>
    </row>
    <row r="15" spans="1:25" x14ac:dyDescent="0.25">
      <c r="C15" s="62" t="s">
        <v>88</v>
      </c>
      <c r="D15" s="62"/>
      <c r="E15" s="63">
        <f>SUMIFS(data[Amount], data[Geography],D$8)</f>
        <v>218813</v>
      </c>
      <c r="F15" s="63">
        <f>AVERAGEIFS(data[Amount],data[Geography],D$8)</f>
        <v>4128.5471698113206</v>
      </c>
      <c r="I15" s="62" t="s">
        <v>88</v>
      </c>
      <c r="J15" s="62"/>
      <c r="K15" s="66">
        <f>SUMIFS(data[Amount],data[Product],J$8)</f>
        <v>43183</v>
      </c>
      <c r="L15" s="66">
        <f>AVERAGEIFS(data[Amount],data[Product],J$8)</f>
        <v>3925.7272727272725</v>
      </c>
      <c r="O15" s="65" t="s">
        <v>88</v>
      </c>
      <c r="P15" s="65"/>
      <c r="Q15" s="66">
        <f>SUMIFS(data[Amount],data[Sales Person],Q$8)</f>
        <v>151599</v>
      </c>
      <c r="R15" s="66">
        <f>AVERAGEIFS(data[Amount],data[Sales Person],Q$8)</f>
        <v>4458.7941176470586</v>
      </c>
      <c r="U15" s="51" t="s">
        <v>52</v>
      </c>
    </row>
    <row r="16" spans="1:25" x14ac:dyDescent="0.25">
      <c r="C16" s="62" t="s">
        <v>89</v>
      </c>
      <c r="D16" s="62"/>
      <c r="E16" s="63">
        <f>SUMIFS(data[Total cost], data[Geography],D$8)</f>
        <v>68922.960000000006</v>
      </c>
      <c r="F16" s="63">
        <f>AVERAGEIFS(data[Total cost],data[Geography],D$8)</f>
        <v>1300.43320754717</v>
      </c>
      <c r="I16" s="62" t="s">
        <v>89</v>
      </c>
      <c r="J16" s="62"/>
      <c r="K16" s="66">
        <f>SUMIFS(data[Total cost],data[Product],J$8)</f>
        <v>23657.399999999998</v>
      </c>
      <c r="L16" s="66">
        <f>AVERAGEIFS(data[Total cost],data[Product],J$8)</f>
        <v>2150.6727272727271</v>
      </c>
      <c r="O16" s="65" t="s">
        <v>89</v>
      </c>
      <c r="P16" s="65"/>
      <c r="Q16" s="66">
        <f>SUMIFS(data[Total cost],data[Sales Person],Q$8)</f>
        <v>50536.11</v>
      </c>
      <c r="R16" s="66">
        <f>AVERAGEIFS(data[Total cost],data[Sales Person],Q$8)</f>
        <v>1486.3561764705883</v>
      </c>
      <c r="U16" s="51" t="s">
        <v>34</v>
      </c>
    </row>
    <row r="17" spans="3:21" x14ac:dyDescent="0.25">
      <c r="C17" s="62" t="s">
        <v>90</v>
      </c>
      <c r="D17" s="62"/>
      <c r="E17" s="63">
        <f>SUMIFS(data[[ profit]], data[Geography],D$8)</f>
        <v>149890.03999999995</v>
      </c>
      <c r="F17" s="63">
        <f>AVERAGEIFS(data[[ profit]],data[Geography],D$8)</f>
        <v>2828.1139622641499</v>
      </c>
      <c r="I17" s="62" t="s">
        <v>90</v>
      </c>
      <c r="J17" s="62"/>
      <c r="K17" s="66">
        <f>SUMIFS(data[[ profit]],data[Product],J$8)</f>
        <v>19525.600000000002</v>
      </c>
      <c r="L17" s="66">
        <f>AVERAGEIFS(data[[ profit]],data[Product],J$8)</f>
        <v>1775.0545454545456</v>
      </c>
      <c r="O17" s="65" t="s">
        <v>90</v>
      </c>
      <c r="P17" s="65"/>
      <c r="Q17" s="66">
        <f>SUMIFS(data[[ profit]],data[Sales Person],Q$8)</f>
        <v>101062.88999999998</v>
      </c>
      <c r="R17" s="66">
        <f>AVERAGEIFS(data[[ profit]],data[Sales Person],Q$8)</f>
        <v>2972.4379411764703</v>
      </c>
      <c r="U17" s="51" t="s">
        <v>53</v>
      </c>
    </row>
    <row r="18" spans="3:21" x14ac:dyDescent="0.25">
      <c r="C18" s="62" t="s">
        <v>91</v>
      </c>
      <c r="D18" s="62"/>
      <c r="E18" s="64">
        <f>SUMIFS(data[Units], data[Geography],D$8)</f>
        <v>7431</v>
      </c>
      <c r="F18" s="64">
        <f>AVERAGEIFS(data[Units],data[Geography],D$8)</f>
        <v>140.20754716981133</v>
      </c>
      <c r="I18" s="62" t="s">
        <v>91</v>
      </c>
      <c r="J18" s="62"/>
      <c r="K18" s="67">
        <f>SUMIFS(data[Units],data[Product],J$8)</f>
        <v>2022</v>
      </c>
      <c r="L18" s="67">
        <f>AVERAGEIFS(data[Units],data[Product],J$8)</f>
        <v>183.81818181818181</v>
      </c>
      <c r="O18" s="65" t="s">
        <v>91</v>
      </c>
      <c r="P18" s="65"/>
      <c r="Q18" s="67">
        <f>SUMIFS(data[Units],data[Sales Person],Q$8)</f>
        <v>4686</v>
      </c>
      <c r="R18" s="67">
        <f>AVERAGEIFS(data[Units],data[Sales Person],Q$8)</f>
        <v>137.8235294117647</v>
      </c>
      <c r="U18" s="51" t="s">
        <v>16</v>
      </c>
    </row>
    <row r="19" spans="3:21" x14ac:dyDescent="0.25">
      <c r="U19" s="51" t="s">
        <v>38</v>
      </c>
    </row>
    <row r="20" spans="3:21" x14ac:dyDescent="0.25">
      <c r="U20" s="51" t="s">
        <v>36</v>
      </c>
    </row>
    <row r="21" spans="3:21" x14ac:dyDescent="0.25">
      <c r="U21" s="51" t="s">
        <v>18</v>
      </c>
    </row>
    <row r="22" spans="3:21" x14ac:dyDescent="0.25">
      <c r="U22" s="51" t="s">
        <v>47</v>
      </c>
    </row>
    <row r="23" spans="3:21" x14ac:dyDescent="0.25">
      <c r="U23" s="51" t="s">
        <v>11</v>
      </c>
    </row>
    <row r="24" spans="3:21" x14ac:dyDescent="0.25">
      <c r="U24" s="51" t="s">
        <v>44</v>
      </c>
    </row>
  </sheetData>
  <sheetProtection sheet="1" objects="1" scenarios="1"/>
  <mergeCells count="10">
    <mergeCell ref="N8:P8"/>
    <mergeCell ref="Q8:S8"/>
    <mergeCell ref="N10:S10"/>
    <mergeCell ref="O12:Q12"/>
    <mergeCell ref="H8:I8"/>
    <mergeCell ref="J8:L8"/>
    <mergeCell ref="H10:L10"/>
    <mergeCell ref="B8:C8"/>
    <mergeCell ref="B10:F10"/>
    <mergeCell ref="C12:E12"/>
  </mergeCells>
  <dataValidations count="3">
    <dataValidation type="list" allowBlank="1" showInputMessage="1" showErrorMessage="1" sqref="D8" xr:uid="{B2450020-5145-44D4-8CF6-A899D630C7BB}">
      <formula1>$T$2:$T$7</formula1>
    </dataValidation>
    <dataValidation type="list" allowBlank="1" showInputMessage="1" showErrorMessage="1" sqref="J8:L8" xr:uid="{B3E22C07-9B16-46B8-BA0A-5847FC210266}">
      <formula1>$U$3:$U$24</formula1>
    </dataValidation>
    <dataValidation type="list" allowBlank="1" showInputMessage="1" showErrorMessage="1" sqref="Q8:S8" xr:uid="{96E9F003-9A99-40E8-9B06-3954747FB507}">
      <formula1>$Y$3:$Y$12</formula1>
    </dataValidation>
  </dataValidations>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FEB3-5554-4B6D-93FD-828558C73E03}">
  <dimension ref="A1:P301"/>
  <sheetViews>
    <sheetView zoomScale="98" zoomScaleNormal="98" workbookViewId="0">
      <selection activeCell="H2" sqref="H2"/>
    </sheetView>
  </sheetViews>
  <sheetFormatPr defaultRowHeight="15" x14ac:dyDescent="0.25"/>
  <cols>
    <col min="1" max="1" width="16" bestFit="1" customWidth="1"/>
    <col min="2" max="2" width="12.85546875" customWidth="1"/>
    <col min="3" max="3" width="21.85546875" bestFit="1" customWidth="1"/>
    <col min="4" max="4" width="10.28515625" customWidth="1"/>
    <col min="5" max="6" width="14.7109375" customWidth="1"/>
    <col min="8" max="8" width="10.28515625" bestFit="1" customWidth="1"/>
    <col min="10" max="10" width="51.140625" bestFit="1" customWidth="1"/>
    <col min="12" max="12" width="21.85546875" bestFit="1" customWidth="1"/>
    <col min="13" max="13" width="14.5703125" bestFit="1" customWidth="1"/>
  </cols>
  <sheetData>
    <row r="1" spans="1:16" x14ac:dyDescent="0.25">
      <c r="A1" s="1" t="s">
        <v>0</v>
      </c>
      <c r="B1" s="1" t="s">
        <v>1</v>
      </c>
      <c r="C1" s="1" t="s">
        <v>2</v>
      </c>
      <c r="D1" s="2" t="s">
        <v>3</v>
      </c>
      <c r="E1" s="2" t="s">
        <v>4</v>
      </c>
      <c r="F1" s="2" t="s">
        <v>6</v>
      </c>
      <c r="G1" s="2" t="s">
        <v>74</v>
      </c>
      <c r="H1" s="2" t="s">
        <v>97</v>
      </c>
      <c r="I1" s="2"/>
      <c r="L1" s="46" t="s">
        <v>5</v>
      </c>
      <c r="M1" s="46"/>
      <c r="O1" t="s">
        <v>2</v>
      </c>
      <c r="P1" t="s">
        <v>6</v>
      </c>
    </row>
    <row r="2" spans="1:16" x14ac:dyDescent="0.25">
      <c r="A2" t="s">
        <v>42</v>
      </c>
      <c r="B2" t="s">
        <v>21</v>
      </c>
      <c r="C2" t="s">
        <v>29</v>
      </c>
      <c r="D2" s="3">
        <v>16184</v>
      </c>
      <c r="E2" s="4">
        <v>39</v>
      </c>
      <c r="F2" s="13">
        <f>_xlfn.XLOOKUP(data[[#This Row],[Product]],products[Product],products[Cost per unit])</f>
        <v>8.7899999999999991</v>
      </c>
      <c r="G2" s="13">
        <f>data[[#This Row],[Cost per unit]]*data[[#This Row],[Units]]</f>
        <v>342.80999999999995</v>
      </c>
      <c r="H2" s="13">
        <f>(data[[#This Row],[Amount]])-(data[[#This Row],[Total cost]])</f>
        <v>15841.19</v>
      </c>
      <c r="I2" s="4"/>
      <c r="L2" s="5">
        <v>1</v>
      </c>
      <c r="M2" s="6" t="s">
        <v>10</v>
      </c>
      <c r="O2" t="s">
        <v>11</v>
      </c>
      <c r="P2" s="7">
        <v>9.33</v>
      </c>
    </row>
    <row r="3" spans="1:16" x14ac:dyDescent="0.25">
      <c r="A3" t="s">
        <v>42</v>
      </c>
      <c r="B3" t="s">
        <v>49</v>
      </c>
      <c r="C3" t="s">
        <v>41</v>
      </c>
      <c r="D3" s="3">
        <v>15610</v>
      </c>
      <c r="E3" s="4">
        <v>339</v>
      </c>
      <c r="F3" s="13">
        <f>_xlfn.XLOOKUP(data[[#This Row],[Product]],products[Product],products[Cost per unit])</f>
        <v>10.62</v>
      </c>
      <c r="G3" s="13">
        <f>data[[#This Row],[Cost per unit]]*data[[#This Row],[Units]]</f>
        <v>3600.18</v>
      </c>
      <c r="H3" s="13">
        <f>(data[[#This Row],[Amount]])-(data[[#This Row],[Total cost]])</f>
        <v>12009.82</v>
      </c>
      <c r="I3" s="4"/>
      <c r="L3" s="5">
        <v>2</v>
      </c>
      <c r="M3" s="6" t="s">
        <v>15</v>
      </c>
      <c r="O3" t="s">
        <v>16</v>
      </c>
      <c r="P3" s="7">
        <v>11.7</v>
      </c>
    </row>
    <row r="4" spans="1:16" x14ac:dyDescent="0.25">
      <c r="A4" t="s">
        <v>17</v>
      </c>
      <c r="B4" t="s">
        <v>49</v>
      </c>
      <c r="C4" t="s">
        <v>53</v>
      </c>
      <c r="D4" s="3">
        <v>14329</v>
      </c>
      <c r="E4" s="4">
        <v>150</v>
      </c>
      <c r="F4" s="13">
        <f>_xlfn.XLOOKUP(data[[#This Row],[Product]],products[Product],products[Cost per unit])</f>
        <v>10.38</v>
      </c>
      <c r="G4" s="13">
        <f>data[[#This Row],[Cost per unit]]*data[[#This Row],[Units]]</f>
        <v>1557.0000000000002</v>
      </c>
      <c r="H4" s="13">
        <f>(data[[#This Row],[Amount]])-(data[[#This Row],[Total cost]])</f>
        <v>12772</v>
      </c>
      <c r="I4" s="4"/>
      <c r="L4" s="5">
        <v>3</v>
      </c>
      <c r="M4" s="6" t="s">
        <v>19</v>
      </c>
      <c r="O4" t="s">
        <v>18</v>
      </c>
      <c r="P4" s="7">
        <v>11.88</v>
      </c>
    </row>
    <row r="5" spans="1:16" x14ac:dyDescent="0.25">
      <c r="A5" t="s">
        <v>42</v>
      </c>
      <c r="B5" t="s">
        <v>13</v>
      </c>
      <c r="C5" t="s">
        <v>24</v>
      </c>
      <c r="D5" s="3">
        <v>13391</v>
      </c>
      <c r="E5" s="4">
        <v>201</v>
      </c>
      <c r="F5" s="13">
        <f>_xlfn.XLOOKUP(data[[#This Row],[Product]],products[Product],products[Cost per unit])</f>
        <v>11.73</v>
      </c>
      <c r="G5" s="13">
        <f>data[[#This Row],[Cost per unit]]*data[[#This Row],[Units]]</f>
        <v>2357.73</v>
      </c>
      <c r="H5" s="13">
        <f>(data[[#This Row],[Amount]])-(data[[#This Row],[Total cost]])</f>
        <v>11033.27</v>
      </c>
      <c r="I5" s="4"/>
      <c r="L5" s="5">
        <v>4</v>
      </c>
      <c r="M5" s="6" t="s">
        <v>23</v>
      </c>
      <c r="O5" t="s">
        <v>24</v>
      </c>
      <c r="P5" s="7">
        <v>11.73</v>
      </c>
    </row>
    <row r="6" spans="1:16" x14ac:dyDescent="0.25">
      <c r="A6" t="s">
        <v>54</v>
      </c>
      <c r="B6" t="s">
        <v>26</v>
      </c>
      <c r="C6" t="s">
        <v>30</v>
      </c>
      <c r="D6" s="3">
        <v>12950</v>
      </c>
      <c r="E6" s="4">
        <v>30</v>
      </c>
      <c r="F6" s="13">
        <f>_xlfn.XLOOKUP(data[[#This Row],[Product]],products[Product],products[Cost per unit])</f>
        <v>12.37</v>
      </c>
      <c r="G6" s="13">
        <f>data[[#This Row],[Cost per unit]]*data[[#This Row],[Units]]</f>
        <v>371.09999999999997</v>
      </c>
      <c r="H6" s="13">
        <f>(data[[#This Row],[Amount]])-(data[[#This Row],[Total cost]])</f>
        <v>12578.9</v>
      </c>
      <c r="I6" s="4"/>
      <c r="L6" s="5">
        <v>5</v>
      </c>
      <c r="M6" s="6" t="s">
        <v>28</v>
      </c>
      <c r="O6" t="s">
        <v>29</v>
      </c>
      <c r="P6" s="7">
        <v>8.7899999999999991</v>
      </c>
    </row>
    <row r="7" spans="1:16" x14ac:dyDescent="0.25">
      <c r="A7" t="s">
        <v>7</v>
      </c>
      <c r="B7" t="s">
        <v>13</v>
      </c>
      <c r="C7" t="s">
        <v>14</v>
      </c>
      <c r="D7" s="3">
        <v>12348</v>
      </c>
      <c r="E7" s="4">
        <v>234</v>
      </c>
      <c r="F7" s="13">
        <f>_xlfn.XLOOKUP(data[[#This Row],[Product]],products[Product],products[Cost per unit])</f>
        <v>8.65</v>
      </c>
      <c r="G7" s="13">
        <f>data[[#This Row],[Cost per unit]]*data[[#This Row],[Units]]</f>
        <v>2024.1000000000001</v>
      </c>
      <c r="H7" s="13">
        <f>(data[[#This Row],[Amount]])-(data[[#This Row],[Total cost]])</f>
        <v>10323.9</v>
      </c>
      <c r="I7" s="4"/>
      <c r="L7" s="5">
        <v>6</v>
      </c>
      <c r="M7" s="6" t="s">
        <v>31</v>
      </c>
      <c r="O7" t="s">
        <v>32</v>
      </c>
      <c r="P7" s="7">
        <v>3.11</v>
      </c>
    </row>
    <row r="8" spans="1:16" x14ac:dyDescent="0.25">
      <c r="A8" t="s">
        <v>45</v>
      </c>
      <c r="B8" t="s">
        <v>8</v>
      </c>
      <c r="C8" t="s">
        <v>22</v>
      </c>
      <c r="D8" s="3">
        <v>11571</v>
      </c>
      <c r="E8" s="4">
        <v>138</v>
      </c>
      <c r="F8" s="13">
        <f>_xlfn.XLOOKUP(data[[#This Row],[Product]],products[Product],products[Cost per unit])</f>
        <v>6.47</v>
      </c>
      <c r="G8" s="13">
        <f>data[[#This Row],[Cost per unit]]*data[[#This Row],[Units]]</f>
        <v>892.86</v>
      </c>
      <c r="H8" s="13">
        <f>(data[[#This Row],[Amount]])-(data[[#This Row],[Total cost]])</f>
        <v>10678.14</v>
      </c>
      <c r="I8" s="4"/>
      <c r="L8" s="5">
        <v>7</v>
      </c>
      <c r="M8" s="6" t="s">
        <v>35</v>
      </c>
      <c r="O8" t="s">
        <v>22</v>
      </c>
      <c r="P8" s="7">
        <v>6.47</v>
      </c>
    </row>
    <row r="9" spans="1:16" x14ac:dyDescent="0.25">
      <c r="A9" t="s">
        <v>17</v>
      </c>
      <c r="B9" t="s">
        <v>21</v>
      </c>
      <c r="C9" t="s">
        <v>52</v>
      </c>
      <c r="D9" s="3">
        <v>11522</v>
      </c>
      <c r="E9" s="4">
        <v>204</v>
      </c>
      <c r="F9" s="13">
        <f>_xlfn.XLOOKUP(data[[#This Row],[Product]],products[Product],products[Cost per unit])</f>
        <v>16.73</v>
      </c>
      <c r="G9" s="13">
        <f>data[[#This Row],[Cost per unit]]*data[[#This Row],[Units]]</f>
        <v>3412.92</v>
      </c>
      <c r="H9" s="13">
        <f>(data[[#This Row],[Amount]])-(data[[#This Row],[Total cost]])</f>
        <v>8109.08</v>
      </c>
      <c r="I9" s="4"/>
      <c r="L9" s="5">
        <v>8</v>
      </c>
      <c r="M9" s="6" t="s">
        <v>37</v>
      </c>
      <c r="O9" t="s">
        <v>38</v>
      </c>
      <c r="P9" s="7">
        <v>7.64</v>
      </c>
    </row>
    <row r="10" spans="1:16" x14ac:dyDescent="0.25">
      <c r="A10" t="s">
        <v>45</v>
      </c>
      <c r="B10" t="s">
        <v>21</v>
      </c>
      <c r="C10" t="s">
        <v>29</v>
      </c>
      <c r="D10" s="3">
        <v>11417</v>
      </c>
      <c r="E10" s="4">
        <v>21</v>
      </c>
      <c r="F10" s="13">
        <f>_xlfn.XLOOKUP(data[[#This Row],[Product]],products[Product],products[Cost per unit])</f>
        <v>8.7899999999999991</v>
      </c>
      <c r="G10" s="13">
        <f>data[[#This Row],[Cost per unit]]*data[[#This Row],[Units]]</f>
        <v>184.58999999999997</v>
      </c>
      <c r="H10" s="13">
        <f>(data[[#This Row],[Amount]])-(data[[#This Row],[Total cost]])</f>
        <v>11232.41</v>
      </c>
      <c r="I10" s="4"/>
      <c r="L10" s="5">
        <v>9</v>
      </c>
      <c r="M10" s="6" t="s">
        <v>40</v>
      </c>
      <c r="O10" t="s">
        <v>41</v>
      </c>
      <c r="P10" s="7">
        <v>10.62</v>
      </c>
    </row>
    <row r="11" spans="1:16" x14ac:dyDescent="0.25">
      <c r="A11" t="s">
        <v>20</v>
      </c>
      <c r="B11" t="s">
        <v>21</v>
      </c>
      <c r="C11" t="s">
        <v>11</v>
      </c>
      <c r="D11" s="3">
        <v>10311</v>
      </c>
      <c r="E11" s="4">
        <v>231</v>
      </c>
      <c r="F11" s="13">
        <f>_xlfn.XLOOKUP(data[[#This Row],[Product]],products[Product],products[Cost per unit])</f>
        <v>9.33</v>
      </c>
      <c r="G11" s="13">
        <f>data[[#This Row],[Cost per unit]]*data[[#This Row],[Units]]</f>
        <v>2155.23</v>
      </c>
      <c r="H11" s="13">
        <f>(data[[#This Row],[Amount]])-(data[[#This Row],[Total cost]])</f>
        <v>8155.77</v>
      </c>
      <c r="I11" s="4"/>
      <c r="L11" s="5">
        <v>10</v>
      </c>
      <c r="M11" s="6" t="s">
        <v>43</v>
      </c>
      <c r="O11" t="s">
        <v>44</v>
      </c>
      <c r="P11" s="7">
        <v>9</v>
      </c>
    </row>
    <row r="12" spans="1:16" x14ac:dyDescent="0.25">
      <c r="A12" t="s">
        <v>20</v>
      </c>
      <c r="B12" t="s">
        <v>21</v>
      </c>
      <c r="C12" t="s">
        <v>14</v>
      </c>
      <c r="D12" s="3">
        <v>10304</v>
      </c>
      <c r="E12" s="4">
        <v>84</v>
      </c>
      <c r="F12" s="13">
        <f>_xlfn.XLOOKUP(data[[#This Row],[Product]],products[Product],products[Cost per unit])</f>
        <v>8.65</v>
      </c>
      <c r="G12" s="13">
        <f>data[[#This Row],[Cost per unit]]*data[[#This Row],[Units]]</f>
        <v>726.6</v>
      </c>
      <c r="H12" s="13">
        <f>(data[[#This Row],[Amount]])-(data[[#This Row],[Total cost]])</f>
        <v>9577.4</v>
      </c>
      <c r="I12" s="4"/>
      <c r="O12" t="s">
        <v>36</v>
      </c>
      <c r="P12" s="7">
        <v>9.77</v>
      </c>
    </row>
    <row r="13" spans="1:16" x14ac:dyDescent="0.25">
      <c r="A13" t="s">
        <v>39</v>
      </c>
      <c r="B13" t="s">
        <v>33</v>
      </c>
      <c r="C13" t="s">
        <v>9</v>
      </c>
      <c r="D13" s="3">
        <v>10129</v>
      </c>
      <c r="E13" s="4">
        <v>312</v>
      </c>
      <c r="F13" s="13">
        <f>_xlfn.XLOOKUP(data[[#This Row],[Product]],products[Product],products[Cost per unit])</f>
        <v>14.49</v>
      </c>
      <c r="G13" s="13">
        <f>data[[#This Row],[Cost per unit]]*data[[#This Row],[Units]]</f>
        <v>4520.88</v>
      </c>
      <c r="H13" s="13">
        <f>(data[[#This Row],[Amount]])-(data[[#This Row],[Total cost]])</f>
        <v>5608.12</v>
      </c>
      <c r="I13" s="4"/>
      <c r="O13" t="s">
        <v>47</v>
      </c>
      <c r="P13" s="7">
        <v>6.49</v>
      </c>
    </row>
    <row r="14" spans="1:16" x14ac:dyDescent="0.25">
      <c r="A14" t="s">
        <v>25</v>
      </c>
      <c r="B14" t="s">
        <v>21</v>
      </c>
      <c r="C14" t="s">
        <v>18</v>
      </c>
      <c r="D14" s="3">
        <v>10073</v>
      </c>
      <c r="E14" s="4">
        <v>120</v>
      </c>
      <c r="F14" s="13">
        <f>_xlfn.XLOOKUP(data[[#This Row],[Product]],products[Product],products[Cost per unit])</f>
        <v>11.88</v>
      </c>
      <c r="G14" s="13">
        <f>data[[#This Row],[Cost per unit]]*data[[#This Row],[Units]]</f>
        <v>1425.6000000000001</v>
      </c>
      <c r="H14" s="13">
        <f>(data[[#This Row],[Amount]])-(data[[#This Row],[Total cost]])</f>
        <v>8647.4</v>
      </c>
      <c r="I14" s="4"/>
      <c r="O14" t="s">
        <v>48</v>
      </c>
      <c r="P14" s="7">
        <v>4.97</v>
      </c>
    </row>
    <row r="15" spans="1:16" x14ac:dyDescent="0.25">
      <c r="A15" t="s">
        <v>45</v>
      </c>
      <c r="B15" t="s">
        <v>8</v>
      </c>
      <c r="C15" t="s">
        <v>32</v>
      </c>
      <c r="D15" s="3">
        <v>9926</v>
      </c>
      <c r="E15" s="4">
        <v>201</v>
      </c>
      <c r="F15" s="13">
        <f>_xlfn.XLOOKUP(data[[#This Row],[Product]],products[Product],products[Cost per unit])</f>
        <v>3.11</v>
      </c>
      <c r="G15" s="13">
        <f>data[[#This Row],[Cost per unit]]*data[[#This Row],[Units]]</f>
        <v>625.11</v>
      </c>
      <c r="H15" s="13">
        <f>(data[[#This Row],[Amount]])-(data[[#This Row],[Total cost]])</f>
        <v>9300.89</v>
      </c>
      <c r="I15" s="4"/>
      <c r="O15" t="s">
        <v>27</v>
      </c>
      <c r="P15" s="7">
        <v>13.15</v>
      </c>
    </row>
    <row r="16" spans="1:16" x14ac:dyDescent="0.25">
      <c r="A16" t="s">
        <v>39</v>
      </c>
      <c r="B16" t="s">
        <v>8</v>
      </c>
      <c r="C16" t="s">
        <v>36</v>
      </c>
      <c r="D16" s="3">
        <v>9835</v>
      </c>
      <c r="E16" s="4">
        <v>207</v>
      </c>
      <c r="F16" s="13">
        <f>_xlfn.XLOOKUP(data[[#This Row],[Product]],products[Product],products[Cost per unit])</f>
        <v>9.77</v>
      </c>
      <c r="G16" s="13">
        <f>data[[#This Row],[Cost per unit]]*data[[#This Row],[Units]]</f>
        <v>2022.3899999999999</v>
      </c>
      <c r="H16" s="13">
        <f>(data[[#This Row],[Amount]])-(data[[#This Row],[Total cost]])</f>
        <v>7812.6100000000006</v>
      </c>
      <c r="I16" s="4"/>
      <c r="O16" t="s">
        <v>50</v>
      </c>
      <c r="P16" s="7">
        <v>5.6</v>
      </c>
    </row>
    <row r="17" spans="1:16" x14ac:dyDescent="0.25">
      <c r="A17" t="s">
        <v>7</v>
      </c>
      <c r="B17" t="s">
        <v>21</v>
      </c>
      <c r="C17" t="s">
        <v>30</v>
      </c>
      <c r="D17" s="3">
        <v>9772</v>
      </c>
      <c r="E17" s="4">
        <v>90</v>
      </c>
      <c r="F17" s="13">
        <f>_xlfn.XLOOKUP(data[[#This Row],[Product]],products[Product],products[Cost per unit])</f>
        <v>12.37</v>
      </c>
      <c r="G17" s="13">
        <f>data[[#This Row],[Cost per unit]]*data[[#This Row],[Units]]</f>
        <v>1113.3</v>
      </c>
      <c r="H17" s="13">
        <f>(data[[#This Row],[Amount]])-(data[[#This Row],[Total cost]])</f>
        <v>8658.7000000000007</v>
      </c>
      <c r="I17" s="4"/>
      <c r="O17" t="s">
        <v>52</v>
      </c>
      <c r="P17" s="7">
        <v>16.73</v>
      </c>
    </row>
    <row r="18" spans="1:16" x14ac:dyDescent="0.25">
      <c r="A18" t="s">
        <v>12</v>
      </c>
      <c r="B18" t="s">
        <v>8</v>
      </c>
      <c r="C18" t="s">
        <v>24</v>
      </c>
      <c r="D18" s="3">
        <v>9709</v>
      </c>
      <c r="E18" s="4">
        <v>30</v>
      </c>
      <c r="F18" s="13">
        <f>_xlfn.XLOOKUP(data[[#This Row],[Product]],products[Product],products[Cost per unit])</f>
        <v>11.73</v>
      </c>
      <c r="G18" s="13">
        <f>data[[#This Row],[Cost per unit]]*data[[#This Row],[Units]]</f>
        <v>351.90000000000003</v>
      </c>
      <c r="H18" s="13">
        <f>(data[[#This Row],[Amount]])-(data[[#This Row],[Total cost]])</f>
        <v>9357.1</v>
      </c>
      <c r="I18" s="4"/>
      <c r="O18" t="s">
        <v>53</v>
      </c>
      <c r="P18" s="7">
        <v>10.38</v>
      </c>
    </row>
    <row r="19" spans="1:16" x14ac:dyDescent="0.25">
      <c r="A19" t="s">
        <v>12</v>
      </c>
      <c r="B19" t="s">
        <v>26</v>
      </c>
      <c r="C19" t="s">
        <v>22</v>
      </c>
      <c r="D19" s="3">
        <v>9660</v>
      </c>
      <c r="E19" s="4">
        <v>27</v>
      </c>
      <c r="F19" s="13">
        <f>_xlfn.XLOOKUP(data[[#This Row],[Product]],products[Product],products[Cost per unit])</f>
        <v>6.47</v>
      </c>
      <c r="G19" s="13">
        <f>data[[#This Row],[Cost per unit]]*data[[#This Row],[Units]]</f>
        <v>174.69</v>
      </c>
      <c r="H19" s="13">
        <f>(data[[#This Row],[Amount]])-(data[[#This Row],[Total cost]])</f>
        <v>9485.31</v>
      </c>
      <c r="I19" s="4"/>
      <c r="O19" t="s">
        <v>51</v>
      </c>
      <c r="P19" s="7">
        <v>7.16</v>
      </c>
    </row>
    <row r="20" spans="1:16" x14ac:dyDescent="0.25">
      <c r="A20" t="s">
        <v>20</v>
      </c>
      <c r="B20" t="s">
        <v>21</v>
      </c>
      <c r="C20" t="s">
        <v>22</v>
      </c>
      <c r="D20" s="3">
        <v>9632</v>
      </c>
      <c r="E20" s="4">
        <v>288</v>
      </c>
      <c r="F20" s="13">
        <f>_xlfn.XLOOKUP(data[[#This Row],[Product]],products[Product],products[Cost per unit])</f>
        <v>6.47</v>
      </c>
      <c r="G20" s="13">
        <f>data[[#This Row],[Cost per unit]]*data[[#This Row],[Units]]</f>
        <v>1863.36</v>
      </c>
      <c r="H20" s="13">
        <f>(data[[#This Row],[Amount]])-(data[[#This Row],[Total cost]])</f>
        <v>7768.64</v>
      </c>
      <c r="I20" s="4"/>
      <c r="O20" t="s">
        <v>9</v>
      </c>
      <c r="P20" s="7">
        <v>14.49</v>
      </c>
    </row>
    <row r="21" spans="1:16" x14ac:dyDescent="0.25">
      <c r="A21" t="s">
        <v>17</v>
      </c>
      <c r="B21" t="s">
        <v>33</v>
      </c>
      <c r="C21" t="s">
        <v>30</v>
      </c>
      <c r="D21" s="3">
        <v>9506</v>
      </c>
      <c r="E21" s="4">
        <v>87</v>
      </c>
      <c r="F21" s="13">
        <f>_xlfn.XLOOKUP(data[[#This Row],[Product]],products[Product],products[Cost per unit])</f>
        <v>12.37</v>
      </c>
      <c r="G21" s="13">
        <f>data[[#This Row],[Cost per unit]]*data[[#This Row],[Units]]</f>
        <v>1076.1899999999998</v>
      </c>
      <c r="H21" s="13">
        <f>(data[[#This Row],[Amount]])-(data[[#This Row],[Total cost]])</f>
        <v>8429.81</v>
      </c>
      <c r="I21" s="4"/>
      <c r="O21" t="s">
        <v>34</v>
      </c>
      <c r="P21" s="7">
        <v>5.79</v>
      </c>
    </row>
    <row r="22" spans="1:16" x14ac:dyDescent="0.25">
      <c r="A22" t="s">
        <v>45</v>
      </c>
      <c r="B22" t="s">
        <v>26</v>
      </c>
      <c r="C22" t="s">
        <v>41</v>
      </c>
      <c r="D22" s="3">
        <v>9443</v>
      </c>
      <c r="E22" s="4">
        <v>162</v>
      </c>
      <c r="F22" s="13">
        <f>_xlfn.XLOOKUP(data[[#This Row],[Product]],products[Product],products[Cost per unit])</f>
        <v>10.62</v>
      </c>
      <c r="G22" s="13">
        <f>data[[#This Row],[Cost per unit]]*data[[#This Row],[Units]]</f>
        <v>1720.4399999999998</v>
      </c>
      <c r="H22" s="13">
        <f>(data[[#This Row],[Amount]])-(data[[#This Row],[Total cost]])</f>
        <v>7722.56</v>
      </c>
      <c r="I22" s="4"/>
      <c r="O22" t="s">
        <v>14</v>
      </c>
      <c r="P22" s="7">
        <v>8.65</v>
      </c>
    </row>
    <row r="23" spans="1:16" x14ac:dyDescent="0.25">
      <c r="A23" t="s">
        <v>46</v>
      </c>
      <c r="B23" t="s">
        <v>21</v>
      </c>
      <c r="C23" t="s">
        <v>29</v>
      </c>
      <c r="D23" s="3">
        <v>9198</v>
      </c>
      <c r="E23" s="4">
        <v>36</v>
      </c>
      <c r="F23" s="13">
        <f>_xlfn.XLOOKUP(data[[#This Row],[Product]],products[Product],products[Cost per unit])</f>
        <v>8.7899999999999991</v>
      </c>
      <c r="G23" s="13">
        <f>data[[#This Row],[Cost per unit]]*data[[#This Row],[Units]]</f>
        <v>316.43999999999994</v>
      </c>
      <c r="H23" s="13">
        <f>(data[[#This Row],[Amount]])-(data[[#This Row],[Total cost]])</f>
        <v>8881.56</v>
      </c>
      <c r="I23" s="4"/>
      <c r="O23" t="s">
        <v>30</v>
      </c>
      <c r="P23" s="7">
        <v>12.37</v>
      </c>
    </row>
    <row r="24" spans="1:16" x14ac:dyDescent="0.25">
      <c r="A24" t="s">
        <v>17</v>
      </c>
      <c r="B24" t="s">
        <v>21</v>
      </c>
      <c r="C24" t="s">
        <v>9</v>
      </c>
      <c r="D24" s="3">
        <v>9051</v>
      </c>
      <c r="E24" s="4">
        <v>57</v>
      </c>
      <c r="F24" s="13">
        <f>_xlfn.XLOOKUP(data[[#This Row],[Product]],products[Product],products[Cost per unit])</f>
        <v>14.49</v>
      </c>
      <c r="G24" s="13">
        <f>data[[#This Row],[Cost per unit]]*data[[#This Row],[Units]]</f>
        <v>825.93000000000006</v>
      </c>
      <c r="H24" s="13">
        <f>(data[[#This Row],[Amount]])-(data[[#This Row],[Total cost]])</f>
        <v>8225.07</v>
      </c>
      <c r="I24" s="4"/>
    </row>
    <row r="25" spans="1:16" x14ac:dyDescent="0.25">
      <c r="A25" t="s">
        <v>7</v>
      </c>
      <c r="B25" t="s">
        <v>8</v>
      </c>
      <c r="C25" t="s">
        <v>51</v>
      </c>
      <c r="D25" s="3">
        <v>9002</v>
      </c>
      <c r="E25" s="4">
        <v>72</v>
      </c>
      <c r="F25" s="13">
        <f>_xlfn.XLOOKUP(data[[#This Row],[Product]],products[Product],products[Cost per unit])</f>
        <v>7.16</v>
      </c>
      <c r="G25" s="13">
        <f>data[[#This Row],[Cost per unit]]*data[[#This Row],[Units]]</f>
        <v>515.52</v>
      </c>
      <c r="H25" s="13">
        <f>(data[[#This Row],[Amount]])-(data[[#This Row],[Total cost]])</f>
        <v>8486.48</v>
      </c>
      <c r="I25" s="4"/>
    </row>
    <row r="26" spans="1:16" x14ac:dyDescent="0.25">
      <c r="A26" t="s">
        <v>12</v>
      </c>
      <c r="B26" t="s">
        <v>26</v>
      </c>
      <c r="C26" t="s">
        <v>34</v>
      </c>
      <c r="D26" s="3">
        <v>8890</v>
      </c>
      <c r="E26" s="4">
        <v>210</v>
      </c>
      <c r="F26" s="13">
        <f>_xlfn.XLOOKUP(data[[#This Row],[Product]],products[Product],products[Cost per unit])</f>
        <v>5.79</v>
      </c>
      <c r="G26" s="13">
        <f>data[[#This Row],[Cost per unit]]*data[[#This Row],[Units]]</f>
        <v>1215.9000000000001</v>
      </c>
      <c r="H26" s="13">
        <f>(data[[#This Row],[Amount]])-(data[[#This Row],[Total cost]])</f>
        <v>7674.1</v>
      </c>
      <c r="I26" s="4"/>
    </row>
    <row r="27" spans="1:16" x14ac:dyDescent="0.25">
      <c r="A27" t="s">
        <v>7</v>
      </c>
      <c r="B27" t="s">
        <v>13</v>
      </c>
      <c r="C27" t="s">
        <v>30</v>
      </c>
      <c r="D27" s="3">
        <v>8869</v>
      </c>
      <c r="E27" s="4">
        <v>432</v>
      </c>
      <c r="F27" s="13">
        <f>_xlfn.XLOOKUP(data[[#This Row],[Product]],products[Product],products[Cost per unit])</f>
        <v>12.37</v>
      </c>
      <c r="G27" s="13">
        <f>data[[#This Row],[Cost per unit]]*data[[#This Row],[Units]]</f>
        <v>5343.8399999999992</v>
      </c>
      <c r="H27" s="13">
        <f>(data[[#This Row],[Amount]])-(data[[#This Row],[Total cost]])</f>
        <v>3525.1600000000008</v>
      </c>
      <c r="I27" s="4"/>
    </row>
    <row r="28" spans="1:16" x14ac:dyDescent="0.25">
      <c r="A28" t="s">
        <v>39</v>
      </c>
      <c r="B28" t="s">
        <v>49</v>
      </c>
      <c r="C28" t="s">
        <v>48</v>
      </c>
      <c r="D28" s="3">
        <v>8862</v>
      </c>
      <c r="E28" s="4">
        <v>189</v>
      </c>
      <c r="F28" s="13">
        <f>_xlfn.XLOOKUP(data[[#This Row],[Product]],products[Product],products[Cost per unit])</f>
        <v>4.97</v>
      </c>
      <c r="G28" s="13">
        <f>data[[#This Row],[Cost per unit]]*data[[#This Row],[Units]]</f>
        <v>939.32999999999993</v>
      </c>
      <c r="H28" s="13">
        <f>(data[[#This Row],[Amount]])-(data[[#This Row],[Total cost]])</f>
        <v>7922.67</v>
      </c>
      <c r="I28" s="4"/>
    </row>
    <row r="29" spans="1:16" x14ac:dyDescent="0.25">
      <c r="A29" t="s">
        <v>46</v>
      </c>
      <c r="B29" t="s">
        <v>33</v>
      </c>
      <c r="C29" t="s">
        <v>50</v>
      </c>
      <c r="D29" s="3">
        <v>8841</v>
      </c>
      <c r="E29" s="4">
        <v>303</v>
      </c>
      <c r="F29" s="13">
        <f>_xlfn.XLOOKUP(data[[#This Row],[Product]],products[Product],products[Cost per unit])</f>
        <v>5.6</v>
      </c>
      <c r="G29" s="13">
        <f>data[[#This Row],[Cost per unit]]*data[[#This Row],[Units]]</f>
        <v>1696.8</v>
      </c>
      <c r="H29" s="13">
        <f>(data[[#This Row],[Amount]])-(data[[#This Row],[Total cost]])</f>
        <v>7144.2</v>
      </c>
      <c r="I29" s="4"/>
    </row>
    <row r="30" spans="1:16" x14ac:dyDescent="0.25">
      <c r="A30" t="s">
        <v>42</v>
      </c>
      <c r="B30" t="s">
        <v>8</v>
      </c>
      <c r="C30" t="s">
        <v>27</v>
      </c>
      <c r="D30" s="3">
        <v>8813</v>
      </c>
      <c r="E30" s="4">
        <v>21</v>
      </c>
      <c r="F30" s="13">
        <f>_xlfn.XLOOKUP(data[[#This Row],[Product]],products[Product],products[Cost per unit])</f>
        <v>13.15</v>
      </c>
      <c r="G30" s="13">
        <f>data[[#This Row],[Cost per unit]]*data[[#This Row],[Units]]</f>
        <v>276.15000000000003</v>
      </c>
      <c r="H30" s="13">
        <f>(data[[#This Row],[Amount]])-(data[[#This Row],[Total cost]])</f>
        <v>8536.85</v>
      </c>
      <c r="I30" s="4"/>
    </row>
    <row r="31" spans="1:16" x14ac:dyDescent="0.25">
      <c r="A31" t="s">
        <v>17</v>
      </c>
      <c r="B31" t="s">
        <v>49</v>
      </c>
      <c r="C31" t="s">
        <v>41</v>
      </c>
      <c r="D31" s="3">
        <v>8463</v>
      </c>
      <c r="E31" s="4">
        <v>492</v>
      </c>
      <c r="F31" s="13">
        <f>_xlfn.XLOOKUP(data[[#This Row],[Product]],products[Product],products[Cost per unit])</f>
        <v>10.62</v>
      </c>
      <c r="G31" s="13">
        <f>data[[#This Row],[Cost per unit]]*data[[#This Row],[Units]]</f>
        <v>5225.04</v>
      </c>
      <c r="H31" s="13">
        <f>(data[[#This Row],[Amount]])-(data[[#This Row],[Total cost]])</f>
        <v>3237.96</v>
      </c>
      <c r="I31" s="4"/>
    </row>
    <row r="32" spans="1:16" x14ac:dyDescent="0.25">
      <c r="A32" t="s">
        <v>39</v>
      </c>
      <c r="B32" t="s">
        <v>21</v>
      </c>
      <c r="C32" t="s">
        <v>36</v>
      </c>
      <c r="D32" s="3">
        <v>8435</v>
      </c>
      <c r="E32" s="4">
        <v>42</v>
      </c>
      <c r="F32" s="13">
        <f>_xlfn.XLOOKUP(data[[#This Row],[Product]],products[Product],products[Cost per unit])</f>
        <v>9.77</v>
      </c>
      <c r="G32" s="13">
        <f>data[[#This Row],[Cost per unit]]*data[[#This Row],[Units]]</f>
        <v>410.34</v>
      </c>
      <c r="H32" s="13">
        <f>(data[[#This Row],[Amount]])-(data[[#This Row],[Total cost]])</f>
        <v>8024.66</v>
      </c>
      <c r="I32" s="4"/>
    </row>
    <row r="33" spans="1:9" x14ac:dyDescent="0.25">
      <c r="A33" t="s">
        <v>45</v>
      </c>
      <c r="B33" t="s">
        <v>21</v>
      </c>
      <c r="C33" t="s">
        <v>51</v>
      </c>
      <c r="D33" s="3">
        <v>8211</v>
      </c>
      <c r="E33" s="4">
        <v>75</v>
      </c>
      <c r="F33" s="13">
        <f>_xlfn.XLOOKUP(data[[#This Row],[Product]],products[Product],products[Cost per unit])</f>
        <v>7.16</v>
      </c>
      <c r="G33" s="13">
        <f>data[[#This Row],[Cost per unit]]*data[[#This Row],[Units]]</f>
        <v>537</v>
      </c>
      <c r="H33" s="13">
        <f>(data[[#This Row],[Amount]])-(data[[#This Row],[Total cost]])</f>
        <v>7674</v>
      </c>
      <c r="I33" s="4"/>
    </row>
    <row r="34" spans="1:9" x14ac:dyDescent="0.25">
      <c r="A34" t="s">
        <v>17</v>
      </c>
      <c r="B34" t="s">
        <v>49</v>
      </c>
      <c r="C34" t="s">
        <v>47</v>
      </c>
      <c r="D34" s="3">
        <v>8155</v>
      </c>
      <c r="E34" s="4">
        <v>90</v>
      </c>
      <c r="F34" s="13">
        <f>_xlfn.XLOOKUP(data[[#This Row],[Product]],products[Product],products[Cost per unit])</f>
        <v>6.49</v>
      </c>
      <c r="G34" s="13">
        <f>data[[#This Row],[Cost per unit]]*data[[#This Row],[Units]]</f>
        <v>584.1</v>
      </c>
      <c r="H34" s="13">
        <f>(data[[#This Row],[Amount]])-(data[[#This Row],[Total cost]])</f>
        <v>7570.9</v>
      </c>
      <c r="I34" s="4"/>
    </row>
    <row r="35" spans="1:9" x14ac:dyDescent="0.25">
      <c r="A35" t="s">
        <v>25</v>
      </c>
      <c r="B35" t="s">
        <v>49</v>
      </c>
      <c r="C35" t="s">
        <v>50</v>
      </c>
      <c r="D35" s="3">
        <v>8008</v>
      </c>
      <c r="E35" s="4">
        <v>456</v>
      </c>
      <c r="F35" s="13">
        <f>_xlfn.XLOOKUP(data[[#This Row],[Product]],products[Product],products[Cost per unit])</f>
        <v>5.6</v>
      </c>
      <c r="G35" s="13">
        <f>data[[#This Row],[Cost per unit]]*data[[#This Row],[Units]]</f>
        <v>2553.6</v>
      </c>
      <c r="H35" s="13">
        <f>(data[[#This Row],[Amount]])-(data[[#This Row],[Total cost]])</f>
        <v>5454.4</v>
      </c>
      <c r="I35" s="4"/>
    </row>
    <row r="36" spans="1:9" x14ac:dyDescent="0.25">
      <c r="A36" t="s">
        <v>20</v>
      </c>
      <c r="B36" t="s">
        <v>49</v>
      </c>
      <c r="C36" t="s">
        <v>30</v>
      </c>
      <c r="D36" s="3">
        <v>7847</v>
      </c>
      <c r="E36" s="4">
        <v>174</v>
      </c>
      <c r="F36" s="13">
        <f>_xlfn.XLOOKUP(data[[#This Row],[Product]],products[Product],products[Cost per unit])</f>
        <v>12.37</v>
      </c>
      <c r="G36" s="13">
        <f>data[[#This Row],[Cost per unit]]*data[[#This Row],[Units]]</f>
        <v>2152.3799999999997</v>
      </c>
      <c r="H36" s="13">
        <f>(data[[#This Row],[Amount]])-(data[[#This Row],[Total cost]])</f>
        <v>5694.6200000000008</v>
      </c>
      <c r="I36" s="4"/>
    </row>
    <row r="37" spans="1:9" x14ac:dyDescent="0.25">
      <c r="A37" t="s">
        <v>17</v>
      </c>
      <c r="B37" t="s">
        <v>13</v>
      </c>
      <c r="C37" t="s">
        <v>24</v>
      </c>
      <c r="D37" s="3">
        <v>7833</v>
      </c>
      <c r="E37" s="4">
        <v>243</v>
      </c>
      <c r="F37" s="13">
        <f>_xlfn.XLOOKUP(data[[#This Row],[Product]],products[Product],products[Cost per unit])</f>
        <v>11.73</v>
      </c>
      <c r="G37" s="13">
        <f>data[[#This Row],[Cost per unit]]*data[[#This Row],[Units]]</f>
        <v>2850.3900000000003</v>
      </c>
      <c r="H37" s="13">
        <f>(data[[#This Row],[Amount]])-(data[[#This Row],[Total cost]])</f>
        <v>4982.6099999999997</v>
      </c>
      <c r="I37" s="4"/>
    </row>
    <row r="38" spans="1:9" x14ac:dyDescent="0.25">
      <c r="A38" t="s">
        <v>45</v>
      </c>
      <c r="B38" t="s">
        <v>26</v>
      </c>
      <c r="C38" t="s">
        <v>52</v>
      </c>
      <c r="D38" s="3">
        <v>7812</v>
      </c>
      <c r="E38" s="4">
        <v>81</v>
      </c>
      <c r="F38" s="13">
        <f>_xlfn.XLOOKUP(data[[#This Row],[Product]],products[Product],products[Cost per unit])</f>
        <v>16.73</v>
      </c>
      <c r="G38" s="13">
        <f>data[[#This Row],[Cost per unit]]*data[[#This Row],[Units]]</f>
        <v>1355.13</v>
      </c>
      <c r="H38" s="13">
        <f>(data[[#This Row],[Amount]])-(data[[#This Row],[Total cost]])</f>
        <v>6456.87</v>
      </c>
      <c r="I38" s="4"/>
    </row>
    <row r="39" spans="1:9" x14ac:dyDescent="0.25">
      <c r="A39" t="s">
        <v>46</v>
      </c>
      <c r="B39" t="s">
        <v>49</v>
      </c>
      <c r="C39" t="s">
        <v>14</v>
      </c>
      <c r="D39" s="3">
        <v>7777</v>
      </c>
      <c r="E39" s="4">
        <v>504</v>
      </c>
      <c r="F39" s="13">
        <f>_xlfn.XLOOKUP(data[[#This Row],[Product]],products[Product],products[Cost per unit])</f>
        <v>8.65</v>
      </c>
      <c r="G39" s="13">
        <f>data[[#This Row],[Cost per unit]]*data[[#This Row],[Units]]</f>
        <v>4359.6000000000004</v>
      </c>
      <c r="H39" s="13">
        <f>(data[[#This Row],[Amount]])-(data[[#This Row],[Total cost]])</f>
        <v>3417.3999999999996</v>
      </c>
      <c r="I39" s="4"/>
    </row>
    <row r="40" spans="1:9" x14ac:dyDescent="0.25">
      <c r="A40" t="s">
        <v>39</v>
      </c>
      <c r="B40" t="s">
        <v>49</v>
      </c>
      <c r="C40" t="s">
        <v>32</v>
      </c>
      <c r="D40" s="3">
        <v>7777</v>
      </c>
      <c r="E40" s="4">
        <v>39</v>
      </c>
      <c r="F40" s="13">
        <f>_xlfn.XLOOKUP(data[[#This Row],[Product]],products[Product],products[Cost per unit])</f>
        <v>3.11</v>
      </c>
      <c r="G40" s="13">
        <f>data[[#This Row],[Cost per unit]]*data[[#This Row],[Units]]</f>
        <v>121.28999999999999</v>
      </c>
      <c r="H40" s="13">
        <f>(data[[#This Row],[Amount]])-(data[[#This Row],[Total cost]])</f>
        <v>7655.71</v>
      </c>
      <c r="I40" s="4"/>
    </row>
    <row r="41" spans="1:9" x14ac:dyDescent="0.25">
      <c r="A41" t="s">
        <v>25</v>
      </c>
      <c r="B41" t="s">
        <v>8</v>
      </c>
      <c r="C41" t="s">
        <v>34</v>
      </c>
      <c r="D41" s="3">
        <v>7693</v>
      </c>
      <c r="E41" s="4">
        <v>87</v>
      </c>
      <c r="F41" s="13">
        <f>_xlfn.XLOOKUP(data[[#This Row],[Product]],products[Product],products[Cost per unit])</f>
        <v>5.79</v>
      </c>
      <c r="G41" s="13">
        <f>data[[#This Row],[Cost per unit]]*data[[#This Row],[Units]]</f>
        <v>503.73</v>
      </c>
      <c r="H41" s="13">
        <f>(data[[#This Row],[Amount]])-(data[[#This Row],[Total cost]])</f>
        <v>7189.27</v>
      </c>
      <c r="I41" s="4"/>
    </row>
    <row r="42" spans="1:9" x14ac:dyDescent="0.25">
      <c r="A42" t="s">
        <v>7</v>
      </c>
      <c r="B42" t="s">
        <v>8</v>
      </c>
      <c r="C42" t="s">
        <v>38</v>
      </c>
      <c r="D42" s="3">
        <v>7693</v>
      </c>
      <c r="E42" s="4">
        <v>21</v>
      </c>
      <c r="F42" s="13">
        <f>_xlfn.XLOOKUP(data[[#This Row],[Product]],products[Product],products[Cost per unit])</f>
        <v>7.64</v>
      </c>
      <c r="G42" s="13">
        <f>data[[#This Row],[Cost per unit]]*data[[#This Row],[Units]]</f>
        <v>160.44</v>
      </c>
      <c r="H42" s="13">
        <f>(data[[#This Row],[Amount]])-(data[[#This Row],[Total cost]])</f>
        <v>7532.56</v>
      </c>
      <c r="I42" s="4"/>
    </row>
    <row r="43" spans="1:9" x14ac:dyDescent="0.25">
      <c r="A43" t="s">
        <v>45</v>
      </c>
      <c r="B43" t="s">
        <v>26</v>
      </c>
      <c r="C43" t="s">
        <v>44</v>
      </c>
      <c r="D43" s="3">
        <v>7651</v>
      </c>
      <c r="E43" s="4">
        <v>213</v>
      </c>
      <c r="F43" s="13">
        <f>_xlfn.XLOOKUP(data[[#This Row],[Product]],products[Product],products[Cost per unit])</f>
        <v>9</v>
      </c>
      <c r="G43" s="13">
        <f>data[[#This Row],[Cost per unit]]*data[[#This Row],[Units]]</f>
        <v>1917</v>
      </c>
      <c r="H43" s="13">
        <f>(data[[#This Row],[Amount]])-(data[[#This Row],[Total cost]])</f>
        <v>5734</v>
      </c>
      <c r="I43" s="4"/>
    </row>
    <row r="44" spans="1:9" x14ac:dyDescent="0.25">
      <c r="A44" t="s">
        <v>45</v>
      </c>
      <c r="B44" t="s">
        <v>49</v>
      </c>
      <c r="C44" t="s">
        <v>38</v>
      </c>
      <c r="D44" s="3">
        <v>7511</v>
      </c>
      <c r="E44" s="4">
        <v>120</v>
      </c>
      <c r="F44" s="13">
        <f>_xlfn.XLOOKUP(data[[#This Row],[Product]],products[Product],products[Cost per unit])</f>
        <v>7.64</v>
      </c>
      <c r="G44" s="13">
        <f>data[[#This Row],[Cost per unit]]*data[[#This Row],[Units]]</f>
        <v>916.8</v>
      </c>
      <c r="H44" s="13">
        <f>(data[[#This Row],[Amount]])-(data[[#This Row],[Total cost]])</f>
        <v>6594.2</v>
      </c>
      <c r="I44" s="4"/>
    </row>
    <row r="45" spans="1:9" x14ac:dyDescent="0.25">
      <c r="A45" t="s">
        <v>42</v>
      </c>
      <c r="B45" t="s">
        <v>33</v>
      </c>
      <c r="C45" t="s">
        <v>27</v>
      </c>
      <c r="D45" s="3">
        <v>7483</v>
      </c>
      <c r="E45" s="4">
        <v>45</v>
      </c>
      <c r="F45" s="13">
        <f>_xlfn.XLOOKUP(data[[#This Row],[Product]],products[Product],products[Cost per unit])</f>
        <v>13.15</v>
      </c>
      <c r="G45" s="13">
        <f>data[[#This Row],[Cost per unit]]*data[[#This Row],[Units]]</f>
        <v>591.75</v>
      </c>
      <c r="H45" s="13">
        <f>(data[[#This Row],[Amount]])-(data[[#This Row],[Total cost]])</f>
        <v>6891.25</v>
      </c>
      <c r="I45" s="4"/>
    </row>
    <row r="46" spans="1:9" x14ac:dyDescent="0.25">
      <c r="A46" t="s">
        <v>20</v>
      </c>
      <c r="B46" t="s">
        <v>13</v>
      </c>
      <c r="C46" t="s">
        <v>53</v>
      </c>
      <c r="D46" s="3">
        <v>7455</v>
      </c>
      <c r="E46" s="4">
        <v>216</v>
      </c>
      <c r="F46" s="13">
        <f>_xlfn.XLOOKUP(data[[#This Row],[Product]],products[Product],products[Cost per unit])</f>
        <v>10.38</v>
      </c>
      <c r="G46" s="13">
        <f>data[[#This Row],[Cost per unit]]*data[[#This Row],[Units]]</f>
        <v>2242.0800000000004</v>
      </c>
      <c r="H46" s="13">
        <f>(data[[#This Row],[Amount]])-(data[[#This Row],[Total cost]])</f>
        <v>5212.92</v>
      </c>
      <c r="I46" s="4"/>
    </row>
    <row r="47" spans="1:9" x14ac:dyDescent="0.25">
      <c r="A47" t="s">
        <v>25</v>
      </c>
      <c r="B47" t="s">
        <v>33</v>
      </c>
      <c r="C47" t="s">
        <v>44</v>
      </c>
      <c r="D47" s="3">
        <v>7322</v>
      </c>
      <c r="E47" s="4">
        <v>36</v>
      </c>
      <c r="F47" s="13">
        <f>_xlfn.XLOOKUP(data[[#This Row],[Product]],products[Product],products[Cost per unit])</f>
        <v>9</v>
      </c>
      <c r="G47" s="13">
        <f>data[[#This Row],[Cost per unit]]*data[[#This Row],[Units]]</f>
        <v>324</v>
      </c>
      <c r="H47" s="13">
        <f>(data[[#This Row],[Amount]])-(data[[#This Row],[Total cost]])</f>
        <v>6998</v>
      </c>
      <c r="I47" s="4"/>
    </row>
    <row r="48" spans="1:9" x14ac:dyDescent="0.25">
      <c r="A48" t="s">
        <v>46</v>
      </c>
      <c r="B48" t="s">
        <v>8</v>
      </c>
      <c r="C48" t="s">
        <v>53</v>
      </c>
      <c r="D48" s="3">
        <v>7308</v>
      </c>
      <c r="E48" s="4">
        <v>327</v>
      </c>
      <c r="F48" s="13">
        <f>_xlfn.XLOOKUP(data[[#This Row],[Product]],products[Product],products[Cost per unit])</f>
        <v>10.38</v>
      </c>
      <c r="G48" s="13">
        <f>data[[#This Row],[Cost per unit]]*data[[#This Row],[Units]]</f>
        <v>3394.26</v>
      </c>
      <c r="H48" s="13">
        <f>(data[[#This Row],[Amount]])-(data[[#This Row],[Total cost]])</f>
        <v>3913.74</v>
      </c>
      <c r="I48" s="4"/>
    </row>
    <row r="49" spans="1:9" x14ac:dyDescent="0.25">
      <c r="A49" t="s">
        <v>42</v>
      </c>
      <c r="B49" t="s">
        <v>49</v>
      </c>
      <c r="C49" t="s">
        <v>24</v>
      </c>
      <c r="D49" s="3">
        <v>7280</v>
      </c>
      <c r="E49" s="4">
        <v>201</v>
      </c>
      <c r="F49" s="13">
        <f>_xlfn.XLOOKUP(data[[#This Row],[Product]],products[Product],products[Cost per unit])</f>
        <v>11.73</v>
      </c>
      <c r="G49" s="13">
        <f>data[[#This Row],[Cost per unit]]*data[[#This Row],[Units]]</f>
        <v>2357.73</v>
      </c>
      <c r="H49" s="13">
        <f>(data[[#This Row],[Amount]])-(data[[#This Row],[Total cost]])</f>
        <v>4922.2700000000004</v>
      </c>
      <c r="I49" s="4"/>
    </row>
    <row r="50" spans="1:9" x14ac:dyDescent="0.25">
      <c r="A50" t="s">
        <v>17</v>
      </c>
      <c r="B50" t="s">
        <v>8</v>
      </c>
      <c r="C50" t="s">
        <v>41</v>
      </c>
      <c r="D50" s="3">
        <v>7273</v>
      </c>
      <c r="E50" s="4">
        <v>96</v>
      </c>
      <c r="F50" s="13">
        <f>_xlfn.XLOOKUP(data[[#This Row],[Product]],products[Product],products[Cost per unit])</f>
        <v>10.62</v>
      </c>
      <c r="G50" s="13">
        <f>data[[#This Row],[Cost per unit]]*data[[#This Row],[Units]]</f>
        <v>1019.52</v>
      </c>
      <c r="H50" s="13">
        <f>(data[[#This Row],[Amount]])-(data[[#This Row],[Total cost]])</f>
        <v>6253.48</v>
      </c>
      <c r="I50" s="4"/>
    </row>
    <row r="51" spans="1:9" x14ac:dyDescent="0.25">
      <c r="A51" t="s">
        <v>46</v>
      </c>
      <c r="B51" t="s">
        <v>49</v>
      </c>
      <c r="C51" t="s">
        <v>16</v>
      </c>
      <c r="D51" s="3">
        <v>7259</v>
      </c>
      <c r="E51" s="4">
        <v>276</v>
      </c>
      <c r="F51" s="13">
        <f>_xlfn.XLOOKUP(data[[#This Row],[Product]],products[Product],products[Cost per unit])</f>
        <v>11.7</v>
      </c>
      <c r="G51" s="13">
        <f>data[[#This Row],[Cost per unit]]*data[[#This Row],[Units]]</f>
        <v>3229.2</v>
      </c>
      <c r="H51" s="13">
        <f>(data[[#This Row],[Amount]])-(data[[#This Row],[Total cost]])</f>
        <v>4029.8</v>
      </c>
      <c r="I51" s="4"/>
    </row>
    <row r="52" spans="1:9" x14ac:dyDescent="0.25">
      <c r="A52" t="s">
        <v>42</v>
      </c>
      <c r="B52" t="s">
        <v>33</v>
      </c>
      <c r="C52" t="s">
        <v>11</v>
      </c>
      <c r="D52" s="3">
        <v>7189</v>
      </c>
      <c r="E52" s="4">
        <v>54</v>
      </c>
      <c r="F52" s="13">
        <f>_xlfn.XLOOKUP(data[[#This Row],[Product]],products[Product],products[Cost per unit])</f>
        <v>9.33</v>
      </c>
      <c r="G52" s="13">
        <f>data[[#This Row],[Cost per unit]]*data[[#This Row],[Units]]</f>
        <v>503.82</v>
      </c>
      <c r="H52" s="13">
        <f>(data[[#This Row],[Amount]])-(data[[#This Row],[Total cost]])</f>
        <v>6685.18</v>
      </c>
      <c r="I52" s="4"/>
    </row>
    <row r="53" spans="1:9" x14ac:dyDescent="0.25">
      <c r="A53" t="s">
        <v>12</v>
      </c>
      <c r="B53" t="s">
        <v>26</v>
      </c>
      <c r="C53" t="s">
        <v>9</v>
      </c>
      <c r="D53" s="3">
        <v>7021</v>
      </c>
      <c r="E53" s="4">
        <v>183</v>
      </c>
      <c r="F53" s="13">
        <f>_xlfn.XLOOKUP(data[[#This Row],[Product]],products[Product],products[Cost per unit])</f>
        <v>14.49</v>
      </c>
      <c r="G53" s="13">
        <f>data[[#This Row],[Cost per unit]]*data[[#This Row],[Units]]</f>
        <v>2651.67</v>
      </c>
      <c r="H53" s="13">
        <f>(data[[#This Row],[Amount]])-(data[[#This Row],[Total cost]])</f>
        <v>4369.33</v>
      </c>
      <c r="I53" s="4"/>
    </row>
    <row r="54" spans="1:9" x14ac:dyDescent="0.25">
      <c r="A54" t="s">
        <v>42</v>
      </c>
      <c r="B54" t="s">
        <v>49</v>
      </c>
      <c r="C54" t="s">
        <v>52</v>
      </c>
      <c r="D54" s="3">
        <v>6986</v>
      </c>
      <c r="E54" s="4">
        <v>21</v>
      </c>
      <c r="F54" s="13">
        <f>_xlfn.XLOOKUP(data[[#This Row],[Product]],products[Product],products[Cost per unit])</f>
        <v>16.73</v>
      </c>
      <c r="G54" s="13">
        <f>data[[#This Row],[Cost per unit]]*data[[#This Row],[Units]]</f>
        <v>351.33</v>
      </c>
      <c r="H54" s="13">
        <f>(data[[#This Row],[Amount]])-(data[[#This Row],[Total cost]])</f>
        <v>6634.67</v>
      </c>
      <c r="I54" s="4"/>
    </row>
    <row r="55" spans="1:9" x14ac:dyDescent="0.25">
      <c r="A55" t="s">
        <v>42</v>
      </c>
      <c r="B55" t="s">
        <v>26</v>
      </c>
      <c r="C55" t="s">
        <v>36</v>
      </c>
      <c r="D55" s="3">
        <v>6909</v>
      </c>
      <c r="E55" s="4">
        <v>81</v>
      </c>
      <c r="F55" s="13">
        <f>_xlfn.XLOOKUP(data[[#This Row],[Product]],products[Product],products[Cost per unit])</f>
        <v>9.77</v>
      </c>
      <c r="G55" s="13">
        <f>data[[#This Row],[Cost per unit]]*data[[#This Row],[Units]]</f>
        <v>791.37</v>
      </c>
      <c r="H55" s="13">
        <f>(data[[#This Row],[Amount]])-(data[[#This Row],[Total cost]])</f>
        <v>6117.63</v>
      </c>
      <c r="I55" s="4"/>
    </row>
    <row r="56" spans="1:9" x14ac:dyDescent="0.25">
      <c r="A56" t="s">
        <v>54</v>
      </c>
      <c r="B56" t="s">
        <v>33</v>
      </c>
      <c r="C56" t="s">
        <v>18</v>
      </c>
      <c r="D56" s="3">
        <v>6860</v>
      </c>
      <c r="E56" s="4">
        <v>126</v>
      </c>
      <c r="F56" s="13">
        <f>_xlfn.XLOOKUP(data[[#This Row],[Product]],products[Product],products[Cost per unit])</f>
        <v>11.88</v>
      </c>
      <c r="G56" s="13">
        <f>data[[#This Row],[Cost per unit]]*data[[#This Row],[Units]]</f>
        <v>1496.88</v>
      </c>
      <c r="H56" s="13">
        <f>(data[[#This Row],[Amount]])-(data[[#This Row],[Total cost]])</f>
        <v>5363.12</v>
      </c>
      <c r="I56" s="4"/>
    </row>
    <row r="57" spans="1:9" x14ac:dyDescent="0.25">
      <c r="A57" t="s">
        <v>7</v>
      </c>
      <c r="B57" t="s">
        <v>13</v>
      </c>
      <c r="C57" t="s">
        <v>36</v>
      </c>
      <c r="D57" s="3">
        <v>6853</v>
      </c>
      <c r="E57" s="4">
        <v>372</v>
      </c>
      <c r="F57" s="13">
        <f>_xlfn.XLOOKUP(data[[#This Row],[Product]],products[Product],products[Cost per unit])</f>
        <v>9.77</v>
      </c>
      <c r="G57" s="13">
        <f>data[[#This Row],[Cost per unit]]*data[[#This Row],[Units]]</f>
        <v>3634.44</v>
      </c>
      <c r="H57" s="13">
        <f>(data[[#This Row],[Amount]])-(data[[#This Row],[Total cost]])</f>
        <v>3218.56</v>
      </c>
      <c r="I57" s="4"/>
    </row>
    <row r="58" spans="1:9" x14ac:dyDescent="0.25">
      <c r="A58" t="s">
        <v>17</v>
      </c>
      <c r="B58" t="s">
        <v>49</v>
      </c>
      <c r="C58" t="s">
        <v>44</v>
      </c>
      <c r="D58" s="3">
        <v>6832</v>
      </c>
      <c r="E58" s="4">
        <v>27</v>
      </c>
      <c r="F58" s="13">
        <f>_xlfn.XLOOKUP(data[[#This Row],[Product]],products[Product],products[Cost per unit])</f>
        <v>9</v>
      </c>
      <c r="G58" s="13">
        <f>data[[#This Row],[Cost per unit]]*data[[#This Row],[Units]]</f>
        <v>243</v>
      </c>
      <c r="H58" s="13">
        <f>(data[[#This Row],[Amount]])-(data[[#This Row],[Total cost]])</f>
        <v>6589</v>
      </c>
      <c r="I58" s="4"/>
    </row>
    <row r="59" spans="1:9" x14ac:dyDescent="0.25">
      <c r="A59" t="s">
        <v>25</v>
      </c>
      <c r="B59" t="s">
        <v>8</v>
      </c>
      <c r="C59" t="s">
        <v>50</v>
      </c>
      <c r="D59" s="3">
        <v>6818</v>
      </c>
      <c r="E59" s="4">
        <v>6</v>
      </c>
      <c r="F59" s="13">
        <f>_xlfn.XLOOKUP(data[[#This Row],[Product]],products[Product],products[Cost per unit])</f>
        <v>5.6</v>
      </c>
      <c r="G59" s="13">
        <f>data[[#This Row],[Cost per unit]]*data[[#This Row],[Units]]</f>
        <v>33.599999999999994</v>
      </c>
      <c r="H59" s="13">
        <f>(data[[#This Row],[Amount]])-(data[[#This Row],[Total cost]])</f>
        <v>6784.4</v>
      </c>
      <c r="I59" s="4"/>
    </row>
    <row r="60" spans="1:9" x14ac:dyDescent="0.25">
      <c r="A60" t="s">
        <v>39</v>
      </c>
      <c r="B60" t="s">
        <v>13</v>
      </c>
      <c r="C60" t="s">
        <v>9</v>
      </c>
      <c r="D60" s="3">
        <v>6755</v>
      </c>
      <c r="E60" s="4">
        <v>252</v>
      </c>
      <c r="F60" s="13">
        <f>_xlfn.XLOOKUP(data[[#This Row],[Product]],products[Product],products[Cost per unit])</f>
        <v>14.49</v>
      </c>
      <c r="G60" s="13">
        <f>data[[#This Row],[Cost per unit]]*data[[#This Row],[Units]]</f>
        <v>3651.48</v>
      </c>
      <c r="H60" s="13">
        <f>(data[[#This Row],[Amount]])-(data[[#This Row],[Total cost]])</f>
        <v>3103.52</v>
      </c>
      <c r="I60" s="4"/>
    </row>
    <row r="61" spans="1:9" x14ac:dyDescent="0.25">
      <c r="A61" t="s">
        <v>7</v>
      </c>
      <c r="B61" t="s">
        <v>49</v>
      </c>
      <c r="C61" t="s">
        <v>50</v>
      </c>
      <c r="D61" s="3">
        <v>6748</v>
      </c>
      <c r="E61" s="4">
        <v>48</v>
      </c>
      <c r="F61" s="13">
        <f>_xlfn.XLOOKUP(data[[#This Row],[Product]],products[Product],products[Cost per unit])</f>
        <v>5.6</v>
      </c>
      <c r="G61" s="13">
        <f>data[[#This Row],[Cost per unit]]*data[[#This Row],[Units]]</f>
        <v>268.79999999999995</v>
      </c>
      <c r="H61" s="13">
        <f>(data[[#This Row],[Amount]])-(data[[#This Row],[Total cost]])</f>
        <v>6479.2</v>
      </c>
      <c r="I61" s="4"/>
    </row>
    <row r="62" spans="1:9" x14ac:dyDescent="0.25">
      <c r="A62" t="s">
        <v>25</v>
      </c>
      <c r="B62" t="s">
        <v>49</v>
      </c>
      <c r="C62" t="s">
        <v>14</v>
      </c>
      <c r="D62" s="3">
        <v>6734</v>
      </c>
      <c r="E62" s="4">
        <v>123</v>
      </c>
      <c r="F62" s="13">
        <f>_xlfn.XLOOKUP(data[[#This Row],[Product]],products[Product],products[Cost per unit])</f>
        <v>8.65</v>
      </c>
      <c r="G62" s="13">
        <f>data[[#This Row],[Cost per unit]]*data[[#This Row],[Units]]</f>
        <v>1063.95</v>
      </c>
      <c r="H62" s="13">
        <f>(data[[#This Row],[Amount]])-(data[[#This Row],[Total cost]])</f>
        <v>5670.05</v>
      </c>
      <c r="I62" s="4"/>
    </row>
    <row r="63" spans="1:9" x14ac:dyDescent="0.25">
      <c r="A63" t="s">
        <v>12</v>
      </c>
      <c r="B63" t="s">
        <v>13</v>
      </c>
      <c r="C63" t="s">
        <v>14</v>
      </c>
      <c r="D63" s="3">
        <v>6706</v>
      </c>
      <c r="E63" s="4">
        <v>459</v>
      </c>
      <c r="F63" s="13">
        <f>_xlfn.XLOOKUP(data[[#This Row],[Product]],products[Product],products[Cost per unit])</f>
        <v>8.65</v>
      </c>
      <c r="G63" s="13">
        <f>data[[#This Row],[Cost per unit]]*data[[#This Row],[Units]]</f>
        <v>3970.3500000000004</v>
      </c>
      <c r="H63" s="13">
        <f>(data[[#This Row],[Amount]])-(data[[#This Row],[Total cost]])</f>
        <v>2735.6499999999996</v>
      </c>
      <c r="I63" s="4"/>
    </row>
    <row r="64" spans="1:9" x14ac:dyDescent="0.25">
      <c r="A64" t="s">
        <v>54</v>
      </c>
      <c r="B64" t="s">
        <v>21</v>
      </c>
      <c r="C64" t="s">
        <v>14</v>
      </c>
      <c r="D64" s="3">
        <v>6657</v>
      </c>
      <c r="E64" s="4">
        <v>303</v>
      </c>
      <c r="F64" s="13">
        <f>_xlfn.XLOOKUP(data[[#This Row],[Product]],products[Product],products[Cost per unit])</f>
        <v>8.65</v>
      </c>
      <c r="G64" s="13">
        <f>data[[#This Row],[Cost per unit]]*data[[#This Row],[Units]]</f>
        <v>2620.9500000000003</v>
      </c>
      <c r="H64" s="13">
        <f>(data[[#This Row],[Amount]])-(data[[#This Row],[Total cost]])</f>
        <v>4036.0499999999997</v>
      </c>
      <c r="I64" s="4"/>
    </row>
    <row r="65" spans="1:9" x14ac:dyDescent="0.25">
      <c r="A65" t="s">
        <v>46</v>
      </c>
      <c r="B65" t="s">
        <v>13</v>
      </c>
      <c r="C65" t="s">
        <v>24</v>
      </c>
      <c r="D65" s="3">
        <v>6657</v>
      </c>
      <c r="E65" s="4">
        <v>276</v>
      </c>
      <c r="F65" s="13">
        <f>_xlfn.XLOOKUP(data[[#This Row],[Product]],products[Product],products[Cost per unit])</f>
        <v>11.73</v>
      </c>
      <c r="G65" s="13">
        <f>data[[#This Row],[Cost per unit]]*data[[#This Row],[Units]]</f>
        <v>3237.48</v>
      </c>
      <c r="H65" s="13">
        <f>(data[[#This Row],[Amount]])-(data[[#This Row],[Total cost]])</f>
        <v>3419.52</v>
      </c>
      <c r="I65" s="4"/>
    </row>
    <row r="66" spans="1:9" x14ac:dyDescent="0.25">
      <c r="A66" t="s">
        <v>39</v>
      </c>
      <c r="B66" t="s">
        <v>8</v>
      </c>
      <c r="C66" t="s">
        <v>16</v>
      </c>
      <c r="D66" s="3">
        <v>6608</v>
      </c>
      <c r="E66" s="4">
        <v>225</v>
      </c>
      <c r="F66" s="13">
        <f>_xlfn.XLOOKUP(data[[#This Row],[Product]],products[Product],products[Cost per unit])</f>
        <v>11.7</v>
      </c>
      <c r="G66" s="13">
        <f>data[[#This Row],[Cost per unit]]*data[[#This Row],[Units]]</f>
        <v>2632.5</v>
      </c>
      <c r="H66" s="13">
        <f>(data[[#This Row],[Amount]])-(data[[#This Row],[Total cost]])</f>
        <v>3975.5</v>
      </c>
      <c r="I66" s="4"/>
    </row>
    <row r="67" spans="1:9" x14ac:dyDescent="0.25">
      <c r="A67" t="s">
        <v>45</v>
      </c>
      <c r="B67" t="s">
        <v>33</v>
      </c>
      <c r="C67" t="s">
        <v>53</v>
      </c>
      <c r="D67" s="3">
        <v>6580</v>
      </c>
      <c r="E67" s="4">
        <v>183</v>
      </c>
      <c r="F67" s="13">
        <f>_xlfn.XLOOKUP(data[[#This Row],[Product]],products[Product],products[Cost per unit])</f>
        <v>10.38</v>
      </c>
      <c r="G67" s="13">
        <f>data[[#This Row],[Cost per unit]]*data[[#This Row],[Units]]</f>
        <v>1899.5400000000002</v>
      </c>
      <c r="H67" s="13">
        <f>(data[[#This Row],[Amount]])-(data[[#This Row],[Total cost]])</f>
        <v>4680.46</v>
      </c>
      <c r="I67" s="4"/>
    </row>
    <row r="68" spans="1:9" x14ac:dyDescent="0.25">
      <c r="A68" t="s">
        <v>39</v>
      </c>
      <c r="B68" t="s">
        <v>8</v>
      </c>
      <c r="C68" t="s">
        <v>9</v>
      </c>
      <c r="D68" s="3">
        <v>6454</v>
      </c>
      <c r="E68" s="4">
        <v>54</v>
      </c>
      <c r="F68" s="13">
        <f>_xlfn.XLOOKUP(data[[#This Row],[Product]],products[Product],products[Cost per unit])</f>
        <v>14.49</v>
      </c>
      <c r="G68" s="13">
        <f>data[[#This Row],[Cost per unit]]*data[[#This Row],[Units]]</f>
        <v>782.46</v>
      </c>
      <c r="H68" s="13">
        <f>(data[[#This Row],[Amount]])-(data[[#This Row],[Total cost]])</f>
        <v>5671.54</v>
      </c>
      <c r="I68" s="4"/>
    </row>
    <row r="69" spans="1:9" x14ac:dyDescent="0.25">
      <c r="A69" t="s">
        <v>12</v>
      </c>
      <c r="B69" t="s">
        <v>33</v>
      </c>
      <c r="C69" t="s">
        <v>44</v>
      </c>
      <c r="D69" s="3">
        <v>6433</v>
      </c>
      <c r="E69" s="4">
        <v>78</v>
      </c>
      <c r="F69" s="13">
        <f>_xlfn.XLOOKUP(data[[#This Row],[Product]],products[Product],products[Cost per unit])</f>
        <v>9</v>
      </c>
      <c r="G69" s="13">
        <f>data[[#This Row],[Cost per unit]]*data[[#This Row],[Units]]</f>
        <v>702</v>
      </c>
      <c r="H69" s="13">
        <f>(data[[#This Row],[Amount]])-(data[[#This Row],[Total cost]])</f>
        <v>5731</v>
      </c>
      <c r="I69" s="4"/>
    </row>
    <row r="70" spans="1:9" x14ac:dyDescent="0.25">
      <c r="A70" t="s">
        <v>20</v>
      </c>
      <c r="B70" t="s">
        <v>8</v>
      </c>
      <c r="C70" t="s">
        <v>48</v>
      </c>
      <c r="D70" s="3">
        <v>6398</v>
      </c>
      <c r="E70" s="4">
        <v>102</v>
      </c>
      <c r="F70" s="13">
        <f>_xlfn.XLOOKUP(data[[#This Row],[Product]],products[Product],products[Cost per unit])</f>
        <v>4.97</v>
      </c>
      <c r="G70" s="13">
        <f>data[[#This Row],[Cost per unit]]*data[[#This Row],[Units]]</f>
        <v>506.94</v>
      </c>
      <c r="H70" s="13">
        <f>(data[[#This Row],[Amount]])-(data[[#This Row],[Total cost]])</f>
        <v>5891.06</v>
      </c>
      <c r="I70" s="4"/>
    </row>
    <row r="71" spans="1:9" x14ac:dyDescent="0.25">
      <c r="A71" t="s">
        <v>39</v>
      </c>
      <c r="B71" t="s">
        <v>8</v>
      </c>
      <c r="C71" t="s">
        <v>30</v>
      </c>
      <c r="D71" s="3">
        <v>6391</v>
      </c>
      <c r="E71" s="4">
        <v>48</v>
      </c>
      <c r="F71" s="13">
        <f>_xlfn.XLOOKUP(data[[#This Row],[Product]],products[Product],products[Cost per unit])</f>
        <v>12.37</v>
      </c>
      <c r="G71" s="13">
        <f>data[[#This Row],[Cost per unit]]*data[[#This Row],[Units]]</f>
        <v>593.76</v>
      </c>
      <c r="H71" s="13">
        <f>(data[[#This Row],[Amount]])-(data[[#This Row],[Total cost]])</f>
        <v>5797.24</v>
      </c>
      <c r="I71" s="4"/>
    </row>
    <row r="72" spans="1:9" x14ac:dyDescent="0.25">
      <c r="A72" t="s">
        <v>7</v>
      </c>
      <c r="B72" t="s">
        <v>26</v>
      </c>
      <c r="C72" t="s">
        <v>52</v>
      </c>
      <c r="D72" s="3">
        <v>6370</v>
      </c>
      <c r="E72" s="4">
        <v>30</v>
      </c>
      <c r="F72" s="13">
        <f>_xlfn.XLOOKUP(data[[#This Row],[Product]],products[Product],products[Cost per unit])</f>
        <v>16.73</v>
      </c>
      <c r="G72" s="13">
        <f>data[[#This Row],[Cost per unit]]*data[[#This Row],[Units]]</f>
        <v>501.90000000000003</v>
      </c>
      <c r="H72" s="13">
        <f>(data[[#This Row],[Amount]])-(data[[#This Row],[Total cost]])</f>
        <v>5868.1</v>
      </c>
      <c r="I72" s="4"/>
    </row>
    <row r="73" spans="1:9" x14ac:dyDescent="0.25">
      <c r="A73" t="s">
        <v>42</v>
      </c>
      <c r="B73" t="s">
        <v>21</v>
      </c>
      <c r="C73" t="s">
        <v>47</v>
      </c>
      <c r="D73" s="3">
        <v>6314</v>
      </c>
      <c r="E73" s="4">
        <v>15</v>
      </c>
      <c r="F73" s="13">
        <f>_xlfn.XLOOKUP(data[[#This Row],[Product]],products[Product],products[Cost per unit])</f>
        <v>6.49</v>
      </c>
      <c r="G73" s="13">
        <f>data[[#This Row],[Cost per unit]]*data[[#This Row],[Units]]</f>
        <v>97.350000000000009</v>
      </c>
      <c r="H73" s="13">
        <f>(data[[#This Row],[Amount]])-(data[[#This Row],[Total cost]])</f>
        <v>6216.65</v>
      </c>
      <c r="I73" s="4"/>
    </row>
    <row r="74" spans="1:9" x14ac:dyDescent="0.25">
      <c r="A74" t="s">
        <v>46</v>
      </c>
      <c r="B74" t="s">
        <v>49</v>
      </c>
      <c r="C74" t="s">
        <v>27</v>
      </c>
      <c r="D74" s="3">
        <v>6300</v>
      </c>
      <c r="E74" s="4">
        <v>42</v>
      </c>
      <c r="F74" s="13">
        <f>_xlfn.XLOOKUP(data[[#This Row],[Product]],products[Product],products[Cost per unit])</f>
        <v>13.15</v>
      </c>
      <c r="G74" s="13">
        <f>data[[#This Row],[Cost per unit]]*data[[#This Row],[Units]]</f>
        <v>552.30000000000007</v>
      </c>
      <c r="H74" s="13">
        <f>(data[[#This Row],[Amount]])-(data[[#This Row],[Total cost]])</f>
        <v>5747.7</v>
      </c>
      <c r="I74" s="4"/>
    </row>
    <row r="75" spans="1:9" x14ac:dyDescent="0.25">
      <c r="A75" t="s">
        <v>42</v>
      </c>
      <c r="B75" t="s">
        <v>49</v>
      </c>
      <c r="C75" t="s">
        <v>36</v>
      </c>
      <c r="D75" s="3">
        <v>6279</v>
      </c>
      <c r="E75" s="4">
        <v>237</v>
      </c>
      <c r="F75" s="13">
        <f>_xlfn.XLOOKUP(data[[#This Row],[Product]],products[Product],products[Cost per unit])</f>
        <v>9.77</v>
      </c>
      <c r="G75" s="13">
        <f>data[[#This Row],[Cost per unit]]*data[[#This Row],[Units]]</f>
        <v>2315.4899999999998</v>
      </c>
      <c r="H75" s="13">
        <f>(data[[#This Row],[Amount]])-(data[[#This Row],[Total cost]])</f>
        <v>3963.51</v>
      </c>
      <c r="I75" s="4"/>
    </row>
    <row r="76" spans="1:9" x14ac:dyDescent="0.25">
      <c r="A76" t="s">
        <v>12</v>
      </c>
      <c r="B76" t="s">
        <v>8</v>
      </c>
      <c r="C76" t="s">
        <v>50</v>
      </c>
      <c r="D76" s="3">
        <v>6279</v>
      </c>
      <c r="E76" s="4">
        <v>45</v>
      </c>
      <c r="F76" s="13">
        <f>_xlfn.XLOOKUP(data[[#This Row],[Product]],products[Product],products[Cost per unit])</f>
        <v>5.6</v>
      </c>
      <c r="G76" s="13">
        <f>data[[#This Row],[Cost per unit]]*data[[#This Row],[Units]]</f>
        <v>251.99999999999997</v>
      </c>
      <c r="H76" s="13">
        <f>(data[[#This Row],[Amount]])-(data[[#This Row],[Total cost]])</f>
        <v>6027</v>
      </c>
      <c r="I76" s="4"/>
    </row>
    <row r="77" spans="1:9" x14ac:dyDescent="0.25">
      <c r="A77" t="s">
        <v>42</v>
      </c>
      <c r="B77" t="s">
        <v>21</v>
      </c>
      <c r="C77" t="s">
        <v>11</v>
      </c>
      <c r="D77" s="3">
        <v>6146</v>
      </c>
      <c r="E77" s="4">
        <v>63</v>
      </c>
      <c r="F77" s="13">
        <f>_xlfn.XLOOKUP(data[[#This Row],[Product]],products[Product],products[Cost per unit])</f>
        <v>9.33</v>
      </c>
      <c r="G77" s="13">
        <f>data[[#This Row],[Cost per unit]]*data[[#This Row],[Units]]</f>
        <v>587.79</v>
      </c>
      <c r="H77" s="13">
        <f>(data[[#This Row],[Amount]])-(data[[#This Row],[Total cost]])</f>
        <v>5558.21</v>
      </c>
      <c r="I77" s="4"/>
    </row>
    <row r="78" spans="1:9" x14ac:dyDescent="0.25">
      <c r="A78" t="s">
        <v>7</v>
      </c>
      <c r="B78" t="s">
        <v>8</v>
      </c>
      <c r="C78" t="s">
        <v>52</v>
      </c>
      <c r="D78" s="3">
        <v>6132</v>
      </c>
      <c r="E78" s="4">
        <v>93</v>
      </c>
      <c r="F78" s="13">
        <f>_xlfn.XLOOKUP(data[[#This Row],[Product]],products[Product],products[Cost per unit])</f>
        <v>16.73</v>
      </c>
      <c r="G78" s="13">
        <f>data[[#This Row],[Cost per unit]]*data[[#This Row],[Units]]</f>
        <v>1555.89</v>
      </c>
      <c r="H78" s="13">
        <f>(data[[#This Row],[Amount]])-(data[[#This Row],[Total cost]])</f>
        <v>4576.1099999999997</v>
      </c>
      <c r="I78" s="4"/>
    </row>
    <row r="79" spans="1:9" x14ac:dyDescent="0.25">
      <c r="A79" t="s">
        <v>7</v>
      </c>
      <c r="B79" t="s">
        <v>33</v>
      </c>
      <c r="C79" t="s">
        <v>18</v>
      </c>
      <c r="D79" s="3">
        <v>6125</v>
      </c>
      <c r="E79" s="4">
        <v>102</v>
      </c>
      <c r="F79" s="13">
        <f>_xlfn.XLOOKUP(data[[#This Row],[Product]],products[Product],products[Cost per unit])</f>
        <v>11.88</v>
      </c>
      <c r="G79" s="13">
        <f>data[[#This Row],[Cost per unit]]*data[[#This Row],[Units]]</f>
        <v>1211.76</v>
      </c>
      <c r="H79" s="13">
        <f>(data[[#This Row],[Amount]])-(data[[#This Row],[Total cost]])</f>
        <v>4913.24</v>
      </c>
      <c r="I79" s="4"/>
    </row>
    <row r="80" spans="1:9" x14ac:dyDescent="0.25">
      <c r="A80" t="s">
        <v>20</v>
      </c>
      <c r="B80" t="s">
        <v>21</v>
      </c>
      <c r="C80" t="s">
        <v>9</v>
      </c>
      <c r="D80" s="3">
        <v>6118</v>
      </c>
      <c r="E80" s="4">
        <v>174</v>
      </c>
      <c r="F80" s="13">
        <f>_xlfn.XLOOKUP(data[[#This Row],[Product]],products[Product],products[Cost per unit])</f>
        <v>14.49</v>
      </c>
      <c r="G80" s="13">
        <f>data[[#This Row],[Cost per unit]]*data[[#This Row],[Units]]</f>
        <v>2521.2600000000002</v>
      </c>
      <c r="H80" s="13">
        <f>(data[[#This Row],[Amount]])-(data[[#This Row],[Total cost]])</f>
        <v>3596.74</v>
      </c>
      <c r="I80" s="4"/>
    </row>
    <row r="81" spans="1:9" x14ac:dyDescent="0.25">
      <c r="A81" t="s">
        <v>25</v>
      </c>
      <c r="B81" t="s">
        <v>21</v>
      </c>
      <c r="C81" t="s">
        <v>14</v>
      </c>
      <c r="D81" s="3">
        <v>6118</v>
      </c>
      <c r="E81" s="4">
        <v>9</v>
      </c>
      <c r="F81" s="13">
        <f>_xlfn.XLOOKUP(data[[#This Row],[Product]],products[Product],products[Cost per unit])</f>
        <v>8.65</v>
      </c>
      <c r="G81" s="13">
        <f>data[[#This Row],[Cost per unit]]*data[[#This Row],[Units]]</f>
        <v>77.850000000000009</v>
      </c>
      <c r="H81" s="13">
        <f>(data[[#This Row],[Amount]])-(data[[#This Row],[Total cost]])</f>
        <v>6040.15</v>
      </c>
      <c r="I81" s="4"/>
    </row>
    <row r="82" spans="1:9" x14ac:dyDescent="0.25">
      <c r="A82" t="s">
        <v>42</v>
      </c>
      <c r="B82" t="s">
        <v>21</v>
      </c>
      <c r="C82" t="s">
        <v>22</v>
      </c>
      <c r="D82" s="3">
        <v>6111</v>
      </c>
      <c r="E82" s="4">
        <v>3</v>
      </c>
      <c r="F82" s="13">
        <f>_xlfn.XLOOKUP(data[[#This Row],[Product]],products[Product],products[Cost per unit])</f>
        <v>6.47</v>
      </c>
      <c r="G82" s="13">
        <f>data[[#This Row],[Cost per unit]]*data[[#This Row],[Units]]</f>
        <v>19.41</v>
      </c>
      <c r="H82" s="13">
        <f>(data[[#This Row],[Amount]])-(data[[#This Row],[Total cost]])</f>
        <v>6091.59</v>
      </c>
      <c r="I82" s="4"/>
    </row>
    <row r="83" spans="1:9" x14ac:dyDescent="0.25">
      <c r="A83" t="s">
        <v>25</v>
      </c>
      <c r="B83" t="s">
        <v>26</v>
      </c>
      <c r="C83" t="s">
        <v>32</v>
      </c>
      <c r="D83" s="3">
        <v>6048</v>
      </c>
      <c r="E83" s="4">
        <v>27</v>
      </c>
      <c r="F83" s="13">
        <f>_xlfn.XLOOKUP(data[[#This Row],[Product]],products[Product],products[Cost per unit])</f>
        <v>3.11</v>
      </c>
      <c r="G83" s="13">
        <f>data[[#This Row],[Cost per unit]]*data[[#This Row],[Units]]</f>
        <v>83.97</v>
      </c>
      <c r="H83" s="13">
        <f>(data[[#This Row],[Amount]])-(data[[#This Row],[Total cost]])</f>
        <v>5964.03</v>
      </c>
      <c r="I83" s="4"/>
    </row>
    <row r="84" spans="1:9" x14ac:dyDescent="0.25">
      <c r="A84" t="s">
        <v>45</v>
      </c>
      <c r="B84" t="s">
        <v>26</v>
      </c>
      <c r="C84" t="s">
        <v>53</v>
      </c>
      <c r="D84" s="3">
        <v>6027</v>
      </c>
      <c r="E84" s="4">
        <v>144</v>
      </c>
      <c r="F84" s="13">
        <f>_xlfn.XLOOKUP(data[[#This Row],[Product]],products[Product],products[Cost per unit])</f>
        <v>10.38</v>
      </c>
      <c r="G84" s="13">
        <f>data[[#This Row],[Cost per unit]]*data[[#This Row],[Units]]</f>
        <v>1494.72</v>
      </c>
      <c r="H84" s="13">
        <f>(data[[#This Row],[Amount]])-(data[[#This Row],[Total cost]])</f>
        <v>4532.28</v>
      </c>
      <c r="I84" s="4"/>
    </row>
    <row r="85" spans="1:9" x14ac:dyDescent="0.25">
      <c r="A85" t="s">
        <v>20</v>
      </c>
      <c r="B85" t="s">
        <v>33</v>
      </c>
      <c r="C85" t="s">
        <v>36</v>
      </c>
      <c r="D85" s="3">
        <v>5915</v>
      </c>
      <c r="E85" s="4">
        <v>3</v>
      </c>
      <c r="F85" s="13">
        <f>_xlfn.XLOOKUP(data[[#This Row],[Product]],products[Product],products[Cost per unit])</f>
        <v>9.77</v>
      </c>
      <c r="G85" s="13">
        <f>data[[#This Row],[Cost per unit]]*data[[#This Row],[Units]]</f>
        <v>29.31</v>
      </c>
      <c r="H85" s="13">
        <f>(data[[#This Row],[Amount]])-(data[[#This Row],[Total cost]])</f>
        <v>5885.69</v>
      </c>
      <c r="I85" s="4"/>
    </row>
    <row r="86" spans="1:9" x14ac:dyDescent="0.25">
      <c r="A86" t="s">
        <v>7</v>
      </c>
      <c r="B86" t="s">
        <v>26</v>
      </c>
      <c r="C86" t="s">
        <v>36</v>
      </c>
      <c r="D86" s="3">
        <v>5817</v>
      </c>
      <c r="E86" s="4">
        <v>12</v>
      </c>
      <c r="F86" s="13">
        <f>_xlfn.XLOOKUP(data[[#This Row],[Product]],products[Product],products[Cost per unit])</f>
        <v>9.77</v>
      </c>
      <c r="G86" s="13">
        <f>data[[#This Row],[Cost per unit]]*data[[#This Row],[Units]]</f>
        <v>117.24</v>
      </c>
      <c r="H86" s="13">
        <f>(data[[#This Row],[Amount]])-(data[[#This Row],[Total cost]])</f>
        <v>5699.76</v>
      </c>
      <c r="I86" s="4"/>
    </row>
    <row r="87" spans="1:9" x14ac:dyDescent="0.25">
      <c r="A87" t="s">
        <v>7</v>
      </c>
      <c r="B87" t="s">
        <v>26</v>
      </c>
      <c r="C87" t="s">
        <v>24</v>
      </c>
      <c r="D87" s="3">
        <v>5775</v>
      </c>
      <c r="E87" s="4">
        <v>42</v>
      </c>
      <c r="F87" s="13">
        <f>_xlfn.XLOOKUP(data[[#This Row],[Product]],products[Product],products[Cost per unit])</f>
        <v>11.73</v>
      </c>
      <c r="G87" s="13">
        <f>data[[#This Row],[Cost per unit]]*data[[#This Row],[Units]]</f>
        <v>492.66</v>
      </c>
      <c r="H87" s="13">
        <f>(data[[#This Row],[Amount]])-(data[[#This Row],[Total cost]])</f>
        <v>5282.34</v>
      </c>
      <c r="I87" s="4"/>
    </row>
    <row r="88" spans="1:9" x14ac:dyDescent="0.25">
      <c r="A88" t="s">
        <v>39</v>
      </c>
      <c r="B88" t="s">
        <v>33</v>
      </c>
      <c r="C88" t="s">
        <v>53</v>
      </c>
      <c r="D88" s="3">
        <v>5677</v>
      </c>
      <c r="E88" s="4">
        <v>258</v>
      </c>
      <c r="F88" s="13">
        <f>_xlfn.XLOOKUP(data[[#This Row],[Product]],products[Product],products[Cost per unit])</f>
        <v>10.38</v>
      </c>
      <c r="G88" s="13">
        <f>data[[#This Row],[Cost per unit]]*data[[#This Row],[Units]]</f>
        <v>2678.0400000000004</v>
      </c>
      <c r="H88" s="13">
        <f>(data[[#This Row],[Amount]])-(data[[#This Row],[Total cost]])</f>
        <v>2998.9599999999996</v>
      </c>
      <c r="I88" s="4"/>
    </row>
    <row r="89" spans="1:9" x14ac:dyDescent="0.25">
      <c r="A89" t="s">
        <v>7</v>
      </c>
      <c r="B89" t="s">
        <v>33</v>
      </c>
      <c r="C89" t="s">
        <v>11</v>
      </c>
      <c r="D89" s="3">
        <v>5670</v>
      </c>
      <c r="E89" s="4">
        <v>297</v>
      </c>
      <c r="F89" s="13">
        <f>_xlfn.XLOOKUP(data[[#This Row],[Product]],products[Product],products[Cost per unit])</f>
        <v>9.33</v>
      </c>
      <c r="G89" s="13">
        <f>data[[#This Row],[Cost per unit]]*data[[#This Row],[Units]]</f>
        <v>2771.01</v>
      </c>
      <c r="H89" s="13">
        <f>(data[[#This Row],[Amount]])-(data[[#This Row],[Total cost]])</f>
        <v>2898.99</v>
      </c>
      <c r="I89" s="4"/>
    </row>
    <row r="90" spans="1:9" x14ac:dyDescent="0.25">
      <c r="A90" t="s">
        <v>54</v>
      </c>
      <c r="B90" t="s">
        <v>33</v>
      </c>
      <c r="C90" t="s">
        <v>16</v>
      </c>
      <c r="D90" s="3">
        <v>5586</v>
      </c>
      <c r="E90" s="4">
        <v>525</v>
      </c>
      <c r="F90" s="13">
        <f>_xlfn.XLOOKUP(data[[#This Row],[Product]],products[Product],products[Cost per unit])</f>
        <v>11.7</v>
      </c>
      <c r="G90" s="13">
        <f>data[[#This Row],[Cost per unit]]*data[[#This Row],[Units]]</f>
        <v>6142.5</v>
      </c>
      <c r="H90" s="13">
        <f>(data[[#This Row],[Amount]])-(data[[#This Row],[Total cost]])</f>
        <v>-556.5</v>
      </c>
      <c r="I90" s="4"/>
    </row>
    <row r="91" spans="1:9" x14ac:dyDescent="0.25">
      <c r="A91" t="s">
        <v>39</v>
      </c>
      <c r="B91" t="s">
        <v>21</v>
      </c>
      <c r="C91" t="s">
        <v>51</v>
      </c>
      <c r="D91" s="3">
        <v>5551</v>
      </c>
      <c r="E91" s="4">
        <v>252</v>
      </c>
      <c r="F91" s="13">
        <f>_xlfn.XLOOKUP(data[[#This Row],[Product]],products[Product],products[Cost per unit])</f>
        <v>7.16</v>
      </c>
      <c r="G91" s="13">
        <f>data[[#This Row],[Cost per unit]]*data[[#This Row],[Units]]</f>
        <v>1804.32</v>
      </c>
      <c r="H91" s="13">
        <f>(data[[#This Row],[Amount]])-(data[[#This Row],[Total cost]])</f>
        <v>3746.6800000000003</v>
      </c>
      <c r="I91" s="4"/>
    </row>
    <row r="92" spans="1:9" x14ac:dyDescent="0.25">
      <c r="A92" t="s">
        <v>42</v>
      </c>
      <c r="B92" t="s">
        <v>33</v>
      </c>
      <c r="C92" t="s">
        <v>38</v>
      </c>
      <c r="D92" s="3">
        <v>5474</v>
      </c>
      <c r="E92" s="4">
        <v>168</v>
      </c>
      <c r="F92" s="13">
        <f>_xlfn.XLOOKUP(data[[#This Row],[Product]],products[Product],products[Cost per unit])</f>
        <v>7.64</v>
      </c>
      <c r="G92" s="13">
        <f>data[[#This Row],[Cost per unit]]*data[[#This Row],[Units]]</f>
        <v>1283.52</v>
      </c>
      <c r="H92" s="13">
        <f>(data[[#This Row],[Amount]])-(data[[#This Row],[Total cost]])</f>
        <v>4190.4799999999996</v>
      </c>
      <c r="I92" s="4"/>
    </row>
    <row r="93" spans="1:9" x14ac:dyDescent="0.25">
      <c r="A93" t="s">
        <v>7</v>
      </c>
      <c r="B93" t="s">
        <v>21</v>
      </c>
      <c r="C93" t="s">
        <v>27</v>
      </c>
      <c r="D93" s="3">
        <v>5439</v>
      </c>
      <c r="E93" s="4">
        <v>30</v>
      </c>
      <c r="F93" s="13">
        <f>_xlfn.XLOOKUP(data[[#This Row],[Product]],products[Product],products[Cost per unit])</f>
        <v>13.15</v>
      </c>
      <c r="G93" s="13">
        <f>data[[#This Row],[Cost per unit]]*data[[#This Row],[Units]]</f>
        <v>394.5</v>
      </c>
      <c r="H93" s="13">
        <f>(data[[#This Row],[Amount]])-(data[[#This Row],[Total cost]])</f>
        <v>5044.5</v>
      </c>
      <c r="I93" s="4"/>
    </row>
    <row r="94" spans="1:9" x14ac:dyDescent="0.25">
      <c r="A94" t="s">
        <v>54</v>
      </c>
      <c r="B94" t="s">
        <v>49</v>
      </c>
      <c r="C94" t="s">
        <v>38</v>
      </c>
      <c r="D94" s="3">
        <v>5355</v>
      </c>
      <c r="E94" s="4">
        <v>204</v>
      </c>
      <c r="F94" s="13">
        <f>_xlfn.XLOOKUP(data[[#This Row],[Product]],products[Product],products[Cost per unit])</f>
        <v>7.64</v>
      </c>
      <c r="G94" s="13">
        <f>data[[#This Row],[Cost per unit]]*data[[#This Row],[Units]]</f>
        <v>1558.56</v>
      </c>
      <c r="H94" s="13">
        <f>(data[[#This Row],[Amount]])-(data[[#This Row],[Total cost]])</f>
        <v>3796.44</v>
      </c>
      <c r="I94" s="4"/>
    </row>
    <row r="95" spans="1:9" x14ac:dyDescent="0.25">
      <c r="A95" t="s">
        <v>39</v>
      </c>
      <c r="B95" t="s">
        <v>8</v>
      </c>
      <c r="C95" t="s">
        <v>50</v>
      </c>
      <c r="D95" s="3">
        <v>5306</v>
      </c>
      <c r="E95" s="4">
        <v>0</v>
      </c>
      <c r="F95" s="13">
        <f>_xlfn.XLOOKUP(data[[#This Row],[Product]],products[Product],products[Cost per unit])</f>
        <v>5.6</v>
      </c>
      <c r="G95" s="13">
        <f>data[[#This Row],[Cost per unit]]*data[[#This Row],[Units]]</f>
        <v>0</v>
      </c>
      <c r="H95" s="13">
        <f>(data[[#This Row],[Amount]])-(data[[#This Row],[Total cost]])</f>
        <v>5306</v>
      </c>
      <c r="I95" s="4"/>
    </row>
    <row r="96" spans="1:9" x14ac:dyDescent="0.25">
      <c r="A96" t="s">
        <v>42</v>
      </c>
      <c r="B96" t="s">
        <v>26</v>
      </c>
      <c r="C96" t="s">
        <v>50</v>
      </c>
      <c r="D96" s="3">
        <v>5236</v>
      </c>
      <c r="E96" s="4">
        <v>51</v>
      </c>
      <c r="F96" s="13">
        <f>_xlfn.XLOOKUP(data[[#This Row],[Product]],products[Product],products[Cost per unit])</f>
        <v>5.6</v>
      </c>
      <c r="G96" s="13">
        <f>data[[#This Row],[Cost per unit]]*data[[#This Row],[Units]]</f>
        <v>285.59999999999997</v>
      </c>
      <c r="H96" s="13">
        <f>(data[[#This Row],[Amount]])-(data[[#This Row],[Total cost]])</f>
        <v>4950.3999999999996</v>
      </c>
      <c r="I96" s="4"/>
    </row>
    <row r="97" spans="1:9" x14ac:dyDescent="0.25">
      <c r="A97" t="s">
        <v>39</v>
      </c>
      <c r="B97" t="s">
        <v>13</v>
      </c>
      <c r="C97" t="s">
        <v>53</v>
      </c>
      <c r="D97" s="3">
        <v>5194</v>
      </c>
      <c r="E97" s="4">
        <v>288</v>
      </c>
      <c r="F97" s="13">
        <f>_xlfn.XLOOKUP(data[[#This Row],[Product]],products[Product],products[Cost per unit])</f>
        <v>10.38</v>
      </c>
      <c r="G97" s="13">
        <f>data[[#This Row],[Cost per unit]]*data[[#This Row],[Units]]</f>
        <v>2989.44</v>
      </c>
      <c r="H97" s="13">
        <f>(data[[#This Row],[Amount]])-(data[[#This Row],[Total cost]])</f>
        <v>2204.56</v>
      </c>
      <c r="I97" s="4"/>
    </row>
    <row r="98" spans="1:9" x14ac:dyDescent="0.25">
      <c r="A98" t="s">
        <v>42</v>
      </c>
      <c r="B98" t="s">
        <v>33</v>
      </c>
      <c r="C98" t="s">
        <v>14</v>
      </c>
      <c r="D98" s="3">
        <v>5075</v>
      </c>
      <c r="E98" s="4">
        <v>21</v>
      </c>
      <c r="F98" s="13">
        <f>_xlfn.XLOOKUP(data[[#This Row],[Product]],products[Product],products[Cost per unit])</f>
        <v>8.65</v>
      </c>
      <c r="G98" s="13">
        <f>data[[#This Row],[Cost per unit]]*data[[#This Row],[Units]]</f>
        <v>181.65</v>
      </c>
      <c r="H98" s="13">
        <f>(data[[#This Row],[Amount]])-(data[[#This Row],[Total cost]])</f>
        <v>4893.3500000000004</v>
      </c>
      <c r="I98" s="4"/>
    </row>
    <row r="99" spans="1:9" x14ac:dyDescent="0.25">
      <c r="A99" t="s">
        <v>7</v>
      </c>
      <c r="B99" t="s">
        <v>49</v>
      </c>
      <c r="C99" t="s">
        <v>32</v>
      </c>
      <c r="D99" s="3">
        <v>5019</v>
      </c>
      <c r="E99" s="4">
        <v>156</v>
      </c>
      <c r="F99" s="13">
        <f>_xlfn.XLOOKUP(data[[#This Row],[Product]],products[Product],products[Cost per unit])</f>
        <v>3.11</v>
      </c>
      <c r="G99" s="13">
        <f>data[[#This Row],[Cost per unit]]*data[[#This Row],[Units]]</f>
        <v>485.15999999999997</v>
      </c>
      <c r="H99" s="13">
        <f>(data[[#This Row],[Amount]])-(data[[#This Row],[Total cost]])</f>
        <v>4533.84</v>
      </c>
      <c r="I99" s="4"/>
    </row>
    <row r="100" spans="1:9" x14ac:dyDescent="0.25">
      <c r="A100" t="s">
        <v>12</v>
      </c>
      <c r="B100" t="s">
        <v>21</v>
      </c>
      <c r="C100" t="s">
        <v>47</v>
      </c>
      <c r="D100" s="3">
        <v>5019</v>
      </c>
      <c r="E100" s="4">
        <v>150</v>
      </c>
      <c r="F100" s="13">
        <f>_xlfn.XLOOKUP(data[[#This Row],[Product]],products[Product],products[Cost per unit])</f>
        <v>6.49</v>
      </c>
      <c r="G100" s="13">
        <f>data[[#This Row],[Cost per unit]]*data[[#This Row],[Units]]</f>
        <v>973.5</v>
      </c>
      <c r="H100" s="13">
        <f>(data[[#This Row],[Amount]])-(data[[#This Row],[Total cost]])</f>
        <v>4045.5</v>
      </c>
      <c r="I100" s="4"/>
    </row>
    <row r="101" spans="1:9" x14ac:dyDescent="0.25">
      <c r="A101" t="s">
        <v>12</v>
      </c>
      <c r="B101" t="s">
        <v>13</v>
      </c>
      <c r="C101" t="s">
        <v>36</v>
      </c>
      <c r="D101" s="3">
        <v>5012</v>
      </c>
      <c r="E101" s="4">
        <v>210</v>
      </c>
      <c r="F101" s="13">
        <f>_xlfn.XLOOKUP(data[[#This Row],[Product]],products[Product],products[Cost per unit])</f>
        <v>9.77</v>
      </c>
      <c r="G101" s="13">
        <f>data[[#This Row],[Cost per unit]]*data[[#This Row],[Units]]</f>
        <v>2051.6999999999998</v>
      </c>
      <c r="H101" s="13">
        <f>(data[[#This Row],[Amount]])-(data[[#This Row],[Total cost]])</f>
        <v>2960.3</v>
      </c>
      <c r="I101" s="4"/>
    </row>
    <row r="102" spans="1:9" x14ac:dyDescent="0.25">
      <c r="A102" t="s">
        <v>42</v>
      </c>
      <c r="B102" t="s">
        <v>8</v>
      </c>
      <c r="C102" t="s">
        <v>16</v>
      </c>
      <c r="D102" s="3">
        <v>4991</v>
      </c>
      <c r="E102" s="4">
        <v>12</v>
      </c>
      <c r="F102" s="13">
        <f>_xlfn.XLOOKUP(data[[#This Row],[Product]],products[Product],products[Cost per unit])</f>
        <v>11.7</v>
      </c>
      <c r="G102" s="13">
        <f>data[[#This Row],[Cost per unit]]*data[[#This Row],[Units]]</f>
        <v>140.39999999999998</v>
      </c>
      <c r="H102" s="13">
        <f>(data[[#This Row],[Amount]])-(data[[#This Row],[Total cost]])</f>
        <v>4850.6000000000004</v>
      </c>
      <c r="I102" s="4"/>
    </row>
    <row r="103" spans="1:9" x14ac:dyDescent="0.25">
      <c r="A103" t="s">
        <v>54</v>
      </c>
      <c r="B103" t="s">
        <v>49</v>
      </c>
      <c r="C103" t="s">
        <v>50</v>
      </c>
      <c r="D103" s="3">
        <v>4991</v>
      </c>
      <c r="E103" s="4">
        <v>9</v>
      </c>
      <c r="F103" s="13">
        <f>_xlfn.XLOOKUP(data[[#This Row],[Product]],products[Product],products[Cost per unit])</f>
        <v>5.6</v>
      </c>
      <c r="G103" s="13">
        <f>data[[#This Row],[Cost per unit]]*data[[#This Row],[Units]]</f>
        <v>50.4</v>
      </c>
      <c r="H103" s="13">
        <f>(data[[#This Row],[Amount]])-(data[[#This Row],[Total cost]])</f>
        <v>4940.6000000000004</v>
      </c>
      <c r="I103" s="4"/>
    </row>
    <row r="104" spans="1:9" x14ac:dyDescent="0.25">
      <c r="A104" t="s">
        <v>25</v>
      </c>
      <c r="B104" t="s">
        <v>21</v>
      </c>
      <c r="C104" t="s">
        <v>32</v>
      </c>
      <c r="D104" s="3">
        <v>4970</v>
      </c>
      <c r="E104" s="4">
        <v>156</v>
      </c>
      <c r="F104" s="13">
        <f>_xlfn.XLOOKUP(data[[#This Row],[Product]],products[Product],products[Cost per unit])</f>
        <v>3.11</v>
      </c>
      <c r="G104" s="13">
        <f>data[[#This Row],[Cost per unit]]*data[[#This Row],[Units]]</f>
        <v>485.15999999999997</v>
      </c>
      <c r="H104" s="13">
        <f>(data[[#This Row],[Amount]])-(data[[#This Row],[Total cost]])</f>
        <v>4484.84</v>
      </c>
      <c r="I104" s="4"/>
    </row>
    <row r="105" spans="1:9" x14ac:dyDescent="0.25">
      <c r="A105" t="s">
        <v>46</v>
      </c>
      <c r="B105" t="s">
        <v>26</v>
      </c>
      <c r="C105" t="s">
        <v>50</v>
      </c>
      <c r="D105" s="3">
        <v>4956</v>
      </c>
      <c r="E105" s="4">
        <v>171</v>
      </c>
      <c r="F105" s="13">
        <f>_xlfn.XLOOKUP(data[[#This Row],[Product]],products[Product],products[Cost per unit])</f>
        <v>5.6</v>
      </c>
      <c r="G105" s="13">
        <f>data[[#This Row],[Cost per unit]]*data[[#This Row],[Units]]</f>
        <v>957.59999999999991</v>
      </c>
      <c r="H105" s="13">
        <f>(data[[#This Row],[Amount]])-(data[[#This Row],[Total cost]])</f>
        <v>3998.4</v>
      </c>
      <c r="I105" s="4"/>
    </row>
    <row r="106" spans="1:9" x14ac:dyDescent="0.25">
      <c r="A106" t="s">
        <v>25</v>
      </c>
      <c r="B106" t="s">
        <v>8</v>
      </c>
      <c r="C106" t="s">
        <v>47</v>
      </c>
      <c r="D106" s="3">
        <v>4949</v>
      </c>
      <c r="E106" s="4">
        <v>189</v>
      </c>
      <c r="F106" s="13">
        <f>_xlfn.XLOOKUP(data[[#This Row],[Product]],products[Product],products[Cost per unit])</f>
        <v>6.49</v>
      </c>
      <c r="G106" s="13">
        <f>data[[#This Row],[Cost per unit]]*data[[#This Row],[Units]]</f>
        <v>1226.6100000000001</v>
      </c>
      <c r="H106" s="13">
        <f>(data[[#This Row],[Amount]])-(data[[#This Row],[Total cost]])</f>
        <v>3722.39</v>
      </c>
      <c r="I106" s="4"/>
    </row>
    <row r="107" spans="1:9" x14ac:dyDescent="0.25">
      <c r="A107" t="s">
        <v>20</v>
      </c>
      <c r="B107" t="s">
        <v>49</v>
      </c>
      <c r="C107" t="s">
        <v>47</v>
      </c>
      <c r="D107" s="3">
        <v>4935</v>
      </c>
      <c r="E107" s="4">
        <v>126</v>
      </c>
      <c r="F107" s="13">
        <f>_xlfn.XLOOKUP(data[[#This Row],[Product]],products[Product],products[Cost per unit])</f>
        <v>6.49</v>
      </c>
      <c r="G107" s="13">
        <f>data[[#This Row],[Cost per unit]]*data[[#This Row],[Units]]</f>
        <v>817.74</v>
      </c>
      <c r="H107" s="13">
        <f>(data[[#This Row],[Amount]])-(data[[#This Row],[Total cost]])</f>
        <v>4117.26</v>
      </c>
      <c r="I107" s="4"/>
    </row>
    <row r="108" spans="1:9" x14ac:dyDescent="0.25">
      <c r="A108" t="s">
        <v>54</v>
      </c>
      <c r="B108" t="s">
        <v>26</v>
      </c>
      <c r="C108" t="s">
        <v>44</v>
      </c>
      <c r="D108" s="3">
        <v>4858</v>
      </c>
      <c r="E108" s="4">
        <v>279</v>
      </c>
      <c r="F108" s="13">
        <f>_xlfn.XLOOKUP(data[[#This Row],[Product]],products[Product],products[Cost per unit])</f>
        <v>9</v>
      </c>
      <c r="G108" s="13">
        <f>data[[#This Row],[Cost per unit]]*data[[#This Row],[Units]]</f>
        <v>2511</v>
      </c>
      <c r="H108" s="13">
        <f>(data[[#This Row],[Amount]])-(data[[#This Row],[Total cost]])</f>
        <v>2347</v>
      </c>
      <c r="I108" s="4"/>
    </row>
    <row r="109" spans="1:9" x14ac:dyDescent="0.25">
      <c r="A109" t="s">
        <v>45</v>
      </c>
      <c r="B109" t="s">
        <v>26</v>
      </c>
      <c r="C109" t="s">
        <v>24</v>
      </c>
      <c r="D109" s="3">
        <v>4802</v>
      </c>
      <c r="E109" s="4">
        <v>36</v>
      </c>
      <c r="F109" s="13">
        <f>_xlfn.XLOOKUP(data[[#This Row],[Product]],products[Product],products[Cost per unit])</f>
        <v>11.73</v>
      </c>
      <c r="G109" s="13">
        <f>data[[#This Row],[Cost per unit]]*data[[#This Row],[Units]]</f>
        <v>422.28000000000003</v>
      </c>
      <c r="H109" s="13">
        <f>(data[[#This Row],[Amount]])-(data[[#This Row],[Total cost]])</f>
        <v>4379.72</v>
      </c>
      <c r="I109" s="4"/>
    </row>
    <row r="110" spans="1:9" x14ac:dyDescent="0.25">
      <c r="A110" t="s">
        <v>25</v>
      </c>
      <c r="B110" t="s">
        <v>13</v>
      </c>
      <c r="C110" t="s">
        <v>9</v>
      </c>
      <c r="D110" s="3">
        <v>4781</v>
      </c>
      <c r="E110" s="4">
        <v>123</v>
      </c>
      <c r="F110" s="13">
        <f>_xlfn.XLOOKUP(data[[#This Row],[Product]],products[Product],products[Cost per unit])</f>
        <v>14.49</v>
      </c>
      <c r="G110" s="13">
        <f>data[[#This Row],[Cost per unit]]*data[[#This Row],[Units]]</f>
        <v>1782.27</v>
      </c>
      <c r="H110" s="13">
        <f>(data[[#This Row],[Amount]])-(data[[#This Row],[Total cost]])</f>
        <v>2998.73</v>
      </c>
      <c r="I110" s="4"/>
    </row>
    <row r="111" spans="1:9" x14ac:dyDescent="0.25">
      <c r="A111" t="s">
        <v>20</v>
      </c>
      <c r="B111" t="s">
        <v>13</v>
      </c>
      <c r="C111" t="s">
        <v>11</v>
      </c>
      <c r="D111" s="3">
        <v>4760</v>
      </c>
      <c r="E111" s="4">
        <v>69</v>
      </c>
      <c r="F111" s="13">
        <f>_xlfn.XLOOKUP(data[[#This Row],[Product]],products[Product],products[Cost per unit])</f>
        <v>9.33</v>
      </c>
      <c r="G111" s="13">
        <f>data[[#This Row],[Cost per unit]]*data[[#This Row],[Units]]</f>
        <v>643.77</v>
      </c>
      <c r="H111" s="13">
        <f>(data[[#This Row],[Amount]])-(data[[#This Row],[Total cost]])</f>
        <v>4116.2299999999996</v>
      </c>
      <c r="I111" s="4"/>
    </row>
    <row r="112" spans="1:9" x14ac:dyDescent="0.25">
      <c r="A112" t="s">
        <v>12</v>
      </c>
      <c r="B112" t="s">
        <v>13</v>
      </c>
      <c r="C112" t="s">
        <v>52</v>
      </c>
      <c r="D112" s="3">
        <v>4753</v>
      </c>
      <c r="E112" s="4">
        <v>300</v>
      </c>
      <c r="F112" s="13">
        <f>_xlfn.XLOOKUP(data[[#This Row],[Product]],products[Product],products[Cost per unit])</f>
        <v>16.73</v>
      </c>
      <c r="G112" s="13">
        <f>data[[#This Row],[Cost per unit]]*data[[#This Row],[Units]]</f>
        <v>5019</v>
      </c>
      <c r="H112" s="13">
        <f>(data[[#This Row],[Amount]])-(data[[#This Row],[Total cost]])</f>
        <v>-266</v>
      </c>
      <c r="I112" s="4"/>
    </row>
    <row r="113" spans="1:9" x14ac:dyDescent="0.25">
      <c r="A113" t="s">
        <v>42</v>
      </c>
      <c r="B113" t="s">
        <v>13</v>
      </c>
      <c r="C113" t="s">
        <v>34</v>
      </c>
      <c r="D113" s="3">
        <v>4753</v>
      </c>
      <c r="E113" s="4">
        <v>246</v>
      </c>
      <c r="F113" s="13">
        <f>_xlfn.XLOOKUP(data[[#This Row],[Product]],products[Product],products[Cost per unit])</f>
        <v>5.79</v>
      </c>
      <c r="G113" s="13">
        <f>data[[#This Row],[Cost per unit]]*data[[#This Row],[Units]]</f>
        <v>1424.34</v>
      </c>
      <c r="H113" s="13">
        <f>(data[[#This Row],[Amount]])-(data[[#This Row],[Total cost]])</f>
        <v>3328.66</v>
      </c>
      <c r="I113" s="4"/>
    </row>
    <row r="114" spans="1:9" x14ac:dyDescent="0.25">
      <c r="A114" t="s">
        <v>7</v>
      </c>
      <c r="B114" t="s">
        <v>13</v>
      </c>
      <c r="C114" t="s">
        <v>29</v>
      </c>
      <c r="D114" s="3">
        <v>4725</v>
      </c>
      <c r="E114" s="4">
        <v>174</v>
      </c>
      <c r="F114" s="13">
        <f>_xlfn.XLOOKUP(data[[#This Row],[Product]],products[Product],products[Cost per unit])</f>
        <v>8.7899999999999991</v>
      </c>
      <c r="G114" s="13">
        <f>data[[#This Row],[Cost per unit]]*data[[#This Row],[Units]]</f>
        <v>1529.4599999999998</v>
      </c>
      <c r="H114" s="13">
        <f>(data[[#This Row],[Amount]])-(data[[#This Row],[Total cost]])</f>
        <v>3195.54</v>
      </c>
      <c r="I114" s="4"/>
    </row>
    <row r="115" spans="1:9" x14ac:dyDescent="0.25">
      <c r="A115" t="s">
        <v>54</v>
      </c>
      <c r="B115" t="s">
        <v>8</v>
      </c>
      <c r="C115" t="s">
        <v>47</v>
      </c>
      <c r="D115" s="3">
        <v>4683</v>
      </c>
      <c r="E115" s="4">
        <v>30</v>
      </c>
      <c r="F115" s="13">
        <f>_xlfn.XLOOKUP(data[[#This Row],[Product]],products[Product],products[Cost per unit])</f>
        <v>6.49</v>
      </c>
      <c r="G115" s="13">
        <f>data[[#This Row],[Cost per unit]]*data[[#This Row],[Units]]</f>
        <v>194.70000000000002</v>
      </c>
      <c r="H115" s="13">
        <f>(data[[#This Row],[Amount]])-(data[[#This Row],[Total cost]])</f>
        <v>4488.3</v>
      </c>
      <c r="I115" s="4"/>
    </row>
    <row r="116" spans="1:9" x14ac:dyDescent="0.25">
      <c r="A116" t="s">
        <v>39</v>
      </c>
      <c r="B116" t="s">
        <v>13</v>
      </c>
      <c r="C116" t="s">
        <v>16</v>
      </c>
      <c r="D116" s="3">
        <v>4606</v>
      </c>
      <c r="E116" s="4">
        <v>63</v>
      </c>
      <c r="F116" s="13">
        <f>_xlfn.XLOOKUP(data[[#This Row],[Product]],products[Product],products[Cost per unit])</f>
        <v>11.7</v>
      </c>
      <c r="G116" s="13">
        <f>data[[#This Row],[Cost per unit]]*data[[#This Row],[Units]]</f>
        <v>737.09999999999991</v>
      </c>
      <c r="H116" s="13">
        <f>(data[[#This Row],[Amount]])-(data[[#This Row],[Total cost]])</f>
        <v>3868.9</v>
      </c>
      <c r="I116" s="4"/>
    </row>
    <row r="117" spans="1:9" x14ac:dyDescent="0.25">
      <c r="A117" t="s">
        <v>46</v>
      </c>
      <c r="B117" t="s">
        <v>8</v>
      </c>
      <c r="C117" t="s">
        <v>51</v>
      </c>
      <c r="D117" s="3">
        <v>4592</v>
      </c>
      <c r="E117" s="4">
        <v>324</v>
      </c>
      <c r="F117" s="13">
        <f>_xlfn.XLOOKUP(data[[#This Row],[Product]],products[Product],products[Cost per unit])</f>
        <v>7.16</v>
      </c>
      <c r="G117" s="13">
        <f>data[[#This Row],[Cost per unit]]*data[[#This Row],[Units]]</f>
        <v>2319.84</v>
      </c>
      <c r="H117" s="13">
        <f>(data[[#This Row],[Amount]])-(data[[#This Row],[Total cost]])</f>
        <v>2272.16</v>
      </c>
      <c r="I117" s="4"/>
    </row>
    <row r="118" spans="1:9" x14ac:dyDescent="0.25">
      <c r="A118" t="s">
        <v>39</v>
      </c>
      <c r="B118" t="s">
        <v>13</v>
      </c>
      <c r="C118" t="s">
        <v>38</v>
      </c>
      <c r="D118" s="3">
        <v>4585</v>
      </c>
      <c r="E118" s="4">
        <v>240</v>
      </c>
      <c r="F118" s="13">
        <f>_xlfn.XLOOKUP(data[[#This Row],[Product]],products[Product],products[Cost per unit])</f>
        <v>7.64</v>
      </c>
      <c r="G118" s="13">
        <f>data[[#This Row],[Cost per unit]]*data[[#This Row],[Units]]</f>
        <v>1833.6</v>
      </c>
      <c r="H118" s="13">
        <f>(data[[#This Row],[Amount]])-(data[[#This Row],[Total cost]])</f>
        <v>2751.4</v>
      </c>
      <c r="I118" s="4"/>
    </row>
    <row r="119" spans="1:9" x14ac:dyDescent="0.25">
      <c r="A119" t="s">
        <v>39</v>
      </c>
      <c r="B119" t="s">
        <v>8</v>
      </c>
      <c r="C119" t="s">
        <v>29</v>
      </c>
      <c r="D119" s="3">
        <v>4487</v>
      </c>
      <c r="E119" s="4">
        <v>333</v>
      </c>
      <c r="F119" s="13">
        <f>_xlfn.XLOOKUP(data[[#This Row],[Product]],products[Product],products[Cost per unit])</f>
        <v>8.7899999999999991</v>
      </c>
      <c r="G119" s="13">
        <f>data[[#This Row],[Cost per unit]]*data[[#This Row],[Units]]</f>
        <v>2927.0699999999997</v>
      </c>
      <c r="H119" s="13">
        <f>(data[[#This Row],[Amount]])-(data[[#This Row],[Total cost]])</f>
        <v>1559.9300000000003</v>
      </c>
      <c r="I119" s="4"/>
    </row>
    <row r="120" spans="1:9" x14ac:dyDescent="0.25">
      <c r="A120" t="s">
        <v>39</v>
      </c>
      <c r="B120" t="s">
        <v>8</v>
      </c>
      <c r="C120" t="s">
        <v>32</v>
      </c>
      <c r="D120" s="3">
        <v>4487</v>
      </c>
      <c r="E120" s="4">
        <v>111</v>
      </c>
      <c r="F120" s="13">
        <f>_xlfn.XLOOKUP(data[[#This Row],[Product]],products[Product],products[Cost per unit])</f>
        <v>3.11</v>
      </c>
      <c r="G120" s="13">
        <f>data[[#This Row],[Cost per unit]]*data[[#This Row],[Units]]</f>
        <v>345.21</v>
      </c>
      <c r="H120" s="13">
        <f>(data[[#This Row],[Amount]])-(data[[#This Row],[Total cost]])</f>
        <v>4141.79</v>
      </c>
      <c r="I120" s="4"/>
    </row>
    <row r="121" spans="1:9" x14ac:dyDescent="0.25">
      <c r="A121" t="s">
        <v>42</v>
      </c>
      <c r="B121" t="s">
        <v>13</v>
      </c>
      <c r="C121" t="s">
        <v>51</v>
      </c>
      <c r="D121" s="3">
        <v>4480</v>
      </c>
      <c r="E121" s="4">
        <v>357</v>
      </c>
      <c r="F121" s="13">
        <f>_xlfn.XLOOKUP(data[[#This Row],[Product]],products[Product],products[Cost per unit])</f>
        <v>7.16</v>
      </c>
      <c r="G121" s="13">
        <f>data[[#This Row],[Cost per unit]]*data[[#This Row],[Units]]</f>
        <v>2556.12</v>
      </c>
      <c r="H121" s="13">
        <f>(data[[#This Row],[Amount]])-(data[[#This Row],[Total cost]])</f>
        <v>1923.88</v>
      </c>
      <c r="I121" s="4"/>
    </row>
    <row r="122" spans="1:9" x14ac:dyDescent="0.25">
      <c r="A122" t="s">
        <v>39</v>
      </c>
      <c r="B122" t="s">
        <v>26</v>
      </c>
      <c r="C122" t="s">
        <v>32</v>
      </c>
      <c r="D122" s="3">
        <v>4438</v>
      </c>
      <c r="E122" s="4">
        <v>246</v>
      </c>
      <c r="F122" s="13">
        <f>_xlfn.XLOOKUP(data[[#This Row],[Product]],products[Product],products[Cost per unit])</f>
        <v>3.11</v>
      </c>
      <c r="G122" s="13">
        <f>data[[#This Row],[Cost per unit]]*data[[#This Row],[Units]]</f>
        <v>765.06</v>
      </c>
      <c r="H122" s="13">
        <f>(data[[#This Row],[Amount]])-(data[[#This Row],[Total cost]])</f>
        <v>3672.94</v>
      </c>
      <c r="I122" s="4"/>
    </row>
    <row r="123" spans="1:9" x14ac:dyDescent="0.25">
      <c r="A123" t="s">
        <v>7</v>
      </c>
      <c r="B123" t="s">
        <v>21</v>
      </c>
      <c r="C123" t="s">
        <v>11</v>
      </c>
      <c r="D123" s="3">
        <v>4424</v>
      </c>
      <c r="E123" s="4">
        <v>201</v>
      </c>
      <c r="F123" s="13">
        <f>_xlfn.XLOOKUP(data[[#This Row],[Product]],products[Product],products[Cost per unit])</f>
        <v>9.33</v>
      </c>
      <c r="G123" s="13">
        <f>data[[#This Row],[Cost per unit]]*data[[#This Row],[Units]]</f>
        <v>1875.33</v>
      </c>
      <c r="H123" s="13">
        <f>(data[[#This Row],[Amount]])-(data[[#This Row],[Total cost]])</f>
        <v>2548.67</v>
      </c>
      <c r="I123" s="4"/>
    </row>
    <row r="124" spans="1:9" x14ac:dyDescent="0.25">
      <c r="A124" t="s">
        <v>45</v>
      </c>
      <c r="B124" t="s">
        <v>33</v>
      </c>
      <c r="C124" t="s">
        <v>47</v>
      </c>
      <c r="D124" s="3">
        <v>4417</v>
      </c>
      <c r="E124" s="4">
        <v>153</v>
      </c>
      <c r="F124" s="13">
        <f>_xlfn.XLOOKUP(data[[#This Row],[Product]],products[Product],products[Cost per unit])</f>
        <v>6.49</v>
      </c>
      <c r="G124" s="13">
        <f>data[[#This Row],[Cost per unit]]*data[[#This Row],[Units]]</f>
        <v>992.97</v>
      </c>
      <c r="H124" s="13">
        <f>(data[[#This Row],[Amount]])-(data[[#This Row],[Total cost]])</f>
        <v>3424.0299999999997</v>
      </c>
      <c r="I124" s="4"/>
    </row>
    <row r="125" spans="1:9" x14ac:dyDescent="0.25">
      <c r="A125" t="s">
        <v>45</v>
      </c>
      <c r="B125" t="s">
        <v>33</v>
      </c>
      <c r="C125" t="s">
        <v>34</v>
      </c>
      <c r="D125" s="3">
        <v>4326</v>
      </c>
      <c r="E125" s="4">
        <v>348</v>
      </c>
      <c r="F125" s="13">
        <f>_xlfn.XLOOKUP(data[[#This Row],[Product]],products[Product],products[Cost per unit])</f>
        <v>5.79</v>
      </c>
      <c r="G125" s="13">
        <f>data[[#This Row],[Cost per unit]]*data[[#This Row],[Units]]</f>
        <v>2014.92</v>
      </c>
      <c r="H125" s="13">
        <f>(data[[#This Row],[Amount]])-(data[[#This Row],[Total cost]])</f>
        <v>2311.08</v>
      </c>
      <c r="I125" s="4"/>
    </row>
    <row r="126" spans="1:9" x14ac:dyDescent="0.25">
      <c r="A126" t="s">
        <v>25</v>
      </c>
      <c r="B126" t="s">
        <v>21</v>
      </c>
      <c r="C126" t="s">
        <v>11</v>
      </c>
      <c r="D126" s="3">
        <v>4319</v>
      </c>
      <c r="E126" s="4">
        <v>30</v>
      </c>
      <c r="F126" s="13">
        <f>_xlfn.XLOOKUP(data[[#This Row],[Product]],products[Product],products[Cost per unit])</f>
        <v>9.33</v>
      </c>
      <c r="G126" s="13">
        <f>data[[#This Row],[Cost per unit]]*data[[#This Row],[Units]]</f>
        <v>279.89999999999998</v>
      </c>
      <c r="H126" s="13">
        <f>(data[[#This Row],[Amount]])-(data[[#This Row],[Total cost]])</f>
        <v>4039.1</v>
      </c>
      <c r="I126" s="4"/>
    </row>
    <row r="127" spans="1:9" x14ac:dyDescent="0.25">
      <c r="A127" t="s">
        <v>17</v>
      </c>
      <c r="B127" t="s">
        <v>8</v>
      </c>
      <c r="C127" t="s">
        <v>27</v>
      </c>
      <c r="D127" s="3">
        <v>4305</v>
      </c>
      <c r="E127" s="4">
        <v>156</v>
      </c>
      <c r="F127" s="13">
        <f>_xlfn.XLOOKUP(data[[#This Row],[Product]],products[Product],products[Cost per unit])</f>
        <v>13.15</v>
      </c>
      <c r="G127" s="13">
        <f>data[[#This Row],[Cost per unit]]*data[[#This Row],[Units]]</f>
        <v>2051.4</v>
      </c>
      <c r="H127" s="13">
        <f>(data[[#This Row],[Amount]])-(data[[#This Row],[Total cost]])</f>
        <v>2253.6</v>
      </c>
      <c r="I127" s="4"/>
    </row>
    <row r="128" spans="1:9" x14ac:dyDescent="0.25">
      <c r="A128" t="s">
        <v>25</v>
      </c>
      <c r="B128" t="s">
        <v>49</v>
      </c>
      <c r="C128" t="s">
        <v>52</v>
      </c>
      <c r="D128" s="3">
        <v>4242</v>
      </c>
      <c r="E128" s="4">
        <v>207</v>
      </c>
      <c r="F128" s="13">
        <f>_xlfn.XLOOKUP(data[[#This Row],[Product]],products[Product],products[Cost per unit])</f>
        <v>16.73</v>
      </c>
      <c r="G128" s="13">
        <f>data[[#This Row],[Cost per unit]]*data[[#This Row],[Units]]</f>
        <v>3463.11</v>
      </c>
      <c r="H128" s="13">
        <f>(data[[#This Row],[Amount]])-(data[[#This Row],[Total cost]])</f>
        <v>778.88999999999987</v>
      </c>
      <c r="I128" s="4"/>
    </row>
    <row r="129" spans="1:9" x14ac:dyDescent="0.25">
      <c r="A129" t="s">
        <v>17</v>
      </c>
      <c r="B129" t="s">
        <v>33</v>
      </c>
      <c r="C129" t="s">
        <v>48</v>
      </c>
      <c r="D129" s="3">
        <v>4137</v>
      </c>
      <c r="E129" s="4">
        <v>60</v>
      </c>
      <c r="F129" s="13">
        <f>_xlfn.XLOOKUP(data[[#This Row],[Product]],products[Product],products[Cost per unit])</f>
        <v>4.97</v>
      </c>
      <c r="G129" s="13">
        <f>data[[#This Row],[Cost per unit]]*data[[#This Row],[Units]]</f>
        <v>298.2</v>
      </c>
      <c r="H129" s="13">
        <f>(data[[#This Row],[Amount]])-(data[[#This Row],[Total cost]])</f>
        <v>3838.8</v>
      </c>
      <c r="I129" s="4"/>
    </row>
    <row r="130" spans="1:9" x14ac:dyDescent="0.25">
      <c r="A130" t="s">
        <v>54</v>
      </c>
      <c r="B130" t="s">
        <v>49</v>
      </c>
      <c r="C130" t="s">
        <v>36</v>
      </c>
      <c r="D130" s="3">
        <v>4053</v>
      </c>
      <c r="E130" s="4">
        <v>24</v>
      </c>
      <c r="F130" s="13">
        <f>_xlfn.XLOOKUP(data[[#This Row],[Product]],products[Product],products[Cost per unit])</f>
        <v>9.77</v>
      </c>
      <c r="G130" s="13">
        <f>data[[#This Row],[Cost per unit]]*data[[#This Row],[Units]]</f>
        <v>234.48</v>
      </c>
      <c r="H130" s="13">
        <f>(data[[#This Row],[Amount]])-(data[[#This Row],[Total cost]])</f>
        <v>3818.52</v>
      </c>
      <c r="I130" s="4"/>
    </row>
    <row r="131" spans="1:9" x14ac:dyDescent="0.25">
      <c r="A131" t="s">
        <v>42</v>
      </c>
      <c r="B131" t="s">
        <v>26</v>
      </c>
      <c r="C131" t="s">
        <v>48</v>
      </c>
      <c r="D131" s="3">
        <v>4018</v>
      </c>
      <c r="E131" s="4">
        <v>171</v>
      </c>
      <c r="F131" s="13">
        <f>_xlfn.XLOOKUP(data[[#This Row],[Product]],products[Product],products[Cost per unit])</f>
        <v>4.97</v>
      </c>
      <c r="G131" s="13">
        <f>data[[#This Row],[Cost per unit]]*data[[#This Row],[Units]]</f>
        <v>849.87</v>
      </c>
      <c r="H131" s="13">
        <f>(data[[#This Row],[Amount]])-(data[[#This Row],[Total cost]])</f>
        <v>3168.13</v>
      </c>
      <c r="I131" s="4"/>
    </row>
    <row r="132" spans="1:9" x14ac:dyDescent="0.25">
      <c r="A132" t="s">
        <v>7</v>
      </c>
      <c r="B132" t="s">
        <v>49</v>
      </c>
      <c r="C132" t="s">
        <v>38</v>
      </c>
      <c r="D132" s="3">
        <v>4018</v>
      </c>
      <c r="E132" s="4">
        <v>162</v>
      </c>
      <c r="F132" s="13">
        <f>_xlfn.XLOOKUP(data[[#This Row],[Product]],products[Product],products[Cost per unit])</f>
        <v>7.64</v>
      </c>
      <c r="G132" s="13">
        <f>data[[#This Row],[Cost per unit]]*data[[#This Row],[Units]]</f>
        <v>1237.6799999999998</v>
      </c>
      <c r="H132" s="13">
        <f>(data[[#This Row],[Amount]])-(data[[#This Row],[Total cost]])</f>
        <v>2780.32</v>
      </c>
      <c r="I132" s="4"/>
    </row>
    <row r="133" spans="1:9" x14ac:dyDescent="0.25">
      <c r="A133" t="s">
        <v>45</v>
      </c>
      <c r="B133" t="s">
        <v>26</v>
      </c>
      <c r="C133" t="s">
        <v>30</v>
      </c>
      <c r="D133" s="3">
        <v>4018</v>
      </c>
      <c r="E133" s="4">
        <v>126</v>
      </c>
      <c r="F133" s="13">
        <f>_xlfn.XLOOKUP(data[[#This Row],[Product]],products[Product],products[Cost per unit])</f>
        <v>12.37</v>
      </c>
      <c r="G133" s="13">
        <f>data[[#This Row],[Cost per unit]]*data[[#This Row],[Units]]</f>
        <v>1558.62</v>
      </c>
      <c r="H133" s="13">
        <f>(data[[#This Row],[Amount]])-(data[[#This Row],[Total cost]])</f>
        <v>2459.38</v>
      </c>
      <c r="I133" s="4"/>
    </row>
    <row r="134" spans="1:9" x14ac:dyDescent="0.25">
      <c r="A134" t="s">
        <v>46</v>
      </c>
      <c r="B134" t="s">
        <v>8</v>
      </c>
      <c r="C134" t="s">
        <v>32</v>
      </c>
      <c r="D134" s="3">
        <v>3983</v>
      </c>
      <c r="E134" s="4">
        <v>144</v>
      </c>
      <c r="F134" s="13">
        <f>_xlfn.XLOOKUP(data[[#This Row],[Product]],products[Product],products[Cost per unit])</f>
        <v>3.11</v>
      </c>
      <c r="G134" s="13">
        <f>data[[#This Row],[Cost per unit]]*data[[#This Row],[Units]]</f>
        <v>447.84</v>
      </c>
      <c r="H134" s="13">
        <f>(data[[#This Row],[Amount]])-(data[[#This Row],[Total cost]])</f>
        <v>3535.16</v>
      </c>
      <c r="I134" s="4"/>
    </row>
    <row r="135" spans="1:9" x14ac:dyDescent="0.25">
      <c r="A135" t="s">
        <v>20</v>
      </c>
      <c r="B135" t="s">
        <v>26</v>
      </c>
      <c r="C135" t="s">
        <v>16</v>
      </c>
      <c r="D135" s="3">
        <v>3976</v>
      </c>
      <c r="E135" s="4">
        <v>72</v>
      </c>
      <c r="F135" s="13">
        <f>_xlfn.XLOOKUP(data[[#This Row],[Product]],products[Product],products[Cost per unit])</f>
        <v>11.7</v>
      </c>
      <c r="G135" s="13">
        <f>data[[#This Row],[Cost per unit]]*data[[#This Row],[Units]]</f>
        <v>842.4</v>
      </c>
      <c r="H135" s="13">
        <f>(data[[#This Row],[Amount]])-(data[[#This Row],[Total cost]])</f>
        <v>3133.6</v>
      </c>
      <c r="I135" s="4"/>
    </row>
    <row r="136" spans="1:9" x14ac:dyDescent="0.25">
      <c r="A136" t="s">
        <v>17</v>
      </c>
      <c r="B136" t="s">
        <v>26</v>
      </c>
      <c r="C136" t="s">
        <v>48</v>
      </c>
      <c r="D136" s="3">
        <v>3920</v>
      </c>
      <c r="E136" s="4">
        <v>306</v>
      </c>
      <c r="F136" s="13">
        <f>_xlfn.XLOOKUP(data[[#This Row],[Product]],products[Product],products[Cost per unit])</f>
        <v>4.97</v>
      </c>
      <c r="G136" s="13">
        <f>data[[#This Row],[Cost per unit]]*data[[#This Row],[Units]]</f>
        <v>1520.82</v>
      </c>
      <c r="H136" s="13">
        <f>(data[[#This Row],[Amount]])-(data[[#This Row],[Total cost]])</f>
        <v>2399.1800000000003</v>
      </c>
      <c r="I136" s="4"/>
    </row>
    <row r="137" spans="1:9" x14ac:dyDescent="0.25">
      <c r="A137" t="s">
        <v>25</v>
      </c>
      <c r="B137" t="s">
        <v>13</v>
      </c>
      <c r="C137" t="s">
        <v>52</v>
      </c>
      <c r="D137" s="3">
        <v>3864</v>
      </c>
      <c r="E137" s="4">
        <v>177</v>
      </c>
      <c r="F137" s="13">
        <f>_xlfn.XLOOKUP(data[[#This Row],[Product]],products[Product],products[Cost per unit])</f>
        <v>16.73</v>
      </c>
      <c r="G137" s="13">
        <f>data[[#This Row],[Cost per unit]]*data[[#This Row],[Units]]</f>
        <v>2961.21</v>
      </c>
      <c r="H137" s="13">
        <f>(data[[#This Row],[Amount]])-(data[[#This Row],[Total cost]])</f>
        <v>902.79</v>
      </c>
      <c r="I137" s="4"/>
    </row>
    <row r="138" spans="1:9" x14ac:dyDescent="0.25">
      <c r="A138" t="s">
        <v>17</v>
      </c>
      <c r="B138" t="s">
        <v>33</v>
      </c>
      <c r="C138" t="s">
        <v>27</v>
      </c>
      <c r="D138" s="3">
        <v>3850</v>
      </c>
      <c r="E138" s="4">
        <v>102</v>
      </c>
      <c r="F138" s="13">
        <f>_xlfn.XLOOKUP(data[[#This Row],[Product]],products[Product],products[Cost per unit])</f>
        <v>13.15</v>
      </c>
      <c r="G138" s="13">
        <f>data[[#This Row],[Cost per unit]]*data[[#This Row],[Units]]</f>
        <v>1341.3</v>
      </c>
      <c r="H138" s="13">
        <f>(data[[#This Row],[Amount]])-(data[[#This Row],[Total cost]])</f>
        <v>2508.6999999999998</v>
      </c>
      <c r="I138" s="4"/>
    </row>
    <row r="139" spans="1:9" x14ac:dyDescent="0.25">
      <c r="A139" t="s">
        <v>39</v>
      </c>
      <c r="B139" t="s">
        <v>49</v>
      </c>
      <c r="C139" t="s">
        <v>24</v>
      </c>
      <c r="D139" s="3">
        <v>3829</v>
      </c>
      <c r="E139" s="4">
        <v>24</v>
      </c>
      <c r="F139" s="13">
        <f>_xlfn.XLOOKUP(data[[#This Row],[Product]],products[Product],products[Cost per unit])</f>
        <v>11.73</v>
      </c>
      <c r="G139" s="13">
        <f>data[[#This Row],[Cost per unit]]*data[[#This Row],[Units]]</f>
        <v>281.52</v>
      </c>
      <c r="H139" s="13">
        <f>(data[[#This Row],[Amount]])-(data[[#This Row],[Total cost]])</f>
        <v>3547.48</v>
      </c>
      <c r="I139" s="4"/>
    </row>
    <row r="140" spans="1:9" x14ac:dyDescent="0.25">
      <c r="A140" t="s">
        <v>54</v>
      </c>
      <c r="B140" t="s">
        <v>13</v>
      </c>
      <c r="C140" t="s">
        <v>22</v>
      </c>
      <c r="D140" s="3">
        <v>3808</v>
      </c>
      <c r="E140" s="4">
        <v>279</v>
      </c>
      <c r="F140" s="13">
        <f>_xlfn.XLOOKUP(data[[#This Row],[Product]],products[Product],products[Cost per unit])</f>
        <v>6.47</v>
      </c>
      <c r="G140" s="13">
        <f>data[[#This Row],[Cost per unit]]*data[[#This Row],[Units]]</f>
        <v>1805.1299999999999</v>
      </c>
      <c r="H140" s="13">
        <f>(data[[#This Row],[Amount]])-(data[[#This Row],[Total cost]])</f>
        <v>2002.8700000000001</v>
      </c>
      <c r="I140" s="4"/>
    </row>
    <row r="141" spans="1:9" x14ac:dyDescent="0.25">
      <c r="A141" t="s">
        <v>7</v>
      </c>
      <c r="B141" t="s">
        <v>49</v>
      </c>
      <c r="C141" t="s">
        <v>30</v>
      </c>
      <c r="D141" s="3">
        <v>3794</v>
      </c>
      <c r="E141" s="4">
        <v>159</v>
      </c>
      <c r="F141" s="13">
        <f>_xlfn.XLOOKUP(data[[#This Row],[Product]],products[Product],products[Cost per unit])</f>
        <v>12.37</v>
      </c>
      <c r="G141" s="13">
        <f>data[[#This Row],[Cost per unit]]*data[[#This Row],[Units]]</f>
        <v>1966.83</v>
      </c>
      <c r="H141" s="13">
        <f>(data[[#This Row],[Amount]])-(data[[#This Row],[Total cost]])</f>
        <v>1827.17</v>
      </c>
      <c r="I141" s="4"/>
    </row>
    <row r="142" spans="1:9" x14ac:dyDescent="0.25">
      <c r="A142" t="s">
        <v>46</v>
      </c>
      <c r="B142" t="s">
        <v>21</v>
      </c>
      <c r="C142" t="s">
        <v>47</v>
      </c>
      <c r="D142" s="3">
        <v>3773</v>
      </c>
      <c r="E142" s="4">
        <v>165</v>
      </c>
      <c r="F142" s="13">
        <f>_xlfn.XLOOKUP(data[[#This Row],[Product]],products[Product],products[Cost per unit])</f>
        <v>6.49</v>
      </c>
      <c r="G142" s="13">
        <f>data[[#This Row],[Cost per unit]]*data[[#This Row],[Units]]</f>
        <v>1070.8500000000001</v>
      </c>
      <c r="H142" s="13">
        <f>(data[[#This Row],[Amount]])-(data[[#This Row],[Total cost]])</f>
        <v>2702.1499999999996</v>
      </c>
      <c r="I142" s="4"/>
    </row>
    <row r="143" spans="1:9" x14ac:dyDescent="0.25">
      <c r="A143" t="s">
        <v>25</v>
      </c>
      <c r="B143" t="s">
        <v>49</v>
      </c>
      <c r="C143" t="s">
        <v>32</v>
      </c>
      <c r="D143" s="3">
        <v>3759</v>
      </c>
      <c r="E143" s="4">
        <v>150</v>
      </c>
      <c r="F143" s="13">
        <f>_xlfn.XLOOKUP(data[[#This Row],[Product]],products[Product],products[Cost per unit])</f>
        <v>3.11</v>
      </c>
      <c r="G143" s="13">
        <f>data[[#This Row],[Cost per unit]]*data[[#This Row],[Units]]</f>
        <v>466.5</v>
      </c>
      <c r="H143" s="13">
        <f>(data[[#This Row],[Amount]])-(data[[#This Row],[Total cost]])</f>
        <v>3292.5</v>
      </c>
      <c r="I143" s="4"/>
    </row>
    <row r="144" spans="1:9" x14ac:dyDescent="0.25">
      <c r="A144" t="s">
        <v>12</v>
      </c>
      <c r="B144" t="s">
        <v>33</v>
      </c>
      <c r="C144" t="s">
        <v>14</v>
      </c>
      <c r="D144" s="3">
        <v>3752</v>
      </c>
      <c r="E144" s="4">
        <v>213</v>
      </c>
      <c r="F144" s="13">
        <f>_xlfn.XLOOKUP(data[[#This Row],[Product]],products[Product],products[Cost per unit])</f>
        <v>8.65</v>
      </c>
      <c r="G144" s="13">
        <f>data[[#This Row],[Cost per unit]]*data[[#This Row],[Units]]</f>
        <v>1842.45</v>
      </c>
      <c r="H144" s="13">
        <f>(data[[#This Row],[Amount]])-(data[[#This Row],[Total cost]])</f>
        <v>1909.55</v>
      </c>
      <c r="I144" s="4"/>
    </row>
    <row r="145" spans="1:9" x14ac:dyDescent="0.25">
      <c r="A145" t="s">
        <v>46</v>
      </c>
      <c r="B145" t="s">
        <v>49</v>
      </c>
      <c r="C145" t="s">
        <v>53</v>
      </c>
      <c r="D145" s="3">
        <v>3689</v>
      </c>
      <c r="E145" s="4">
        <v>312</v>
      </c>
      <c r="F145" s="13">
        <f>_xlfn.XLOOKUP(data[[#This Row],[Product]],products[Product],products[Cost per unit])</f>
        <v>10.38</v>
      </c>
      <c r="G145" s="13">
        <f>data[[#This Row],[Cost per unit]]*data[[#This Row],[Units]]</f>
        <v>3238.5600000000004</v>
      </c>
      <c r="H145" s="13">
        <f>(data[[#This Row],[Amount]])-(data[[#This Row],[Total cost]])</f>
        <v>450.4399999999996</v>
      </c>
      <c r="I145" s="4"/>
    </row>
    <row r="146" spans="1:9" x14ac:dyDescent="0.25">
      <c r="A146" t="s">
        <v>46</v>
      </c>
      <c r="B146" t="s">
        <v>26</v>
      </c>
      <c r="C146" t="s">
        <v>51</v>
      </c>
      <c r="D146" s="3">
        <v>3640</v>
      </c>
      <c r="E146" s="4">
        <v>51</v>
      </c>
      <c r="F146" s="13">
        <f>_xlfn.XLOOKUP(data[[#This Row],[Product]],products[Product],products[Cost per unit])</f>
        <v>7.16</v>
      </c>
      <c r="G146" s="13">
        <f>data[[#This Row],[Cost per unit]]*data[[#This Row],[Units]]</f>
        <v>365.16</v>
      </c>
      <c r="H146" s="13">
        <f>(data[[#This Row],[Amount]])-(data[[#This Row],[Total cost]])</f>
        <v>3274.84</v>
      </c>
      <c r="I146" s="4"/>
    </row>
    <row r="147" spans="1:9" x14ac:dyDescent="0.25">
      <c r="A147" t="s">
        <v>12</v>
      </c>
      <c r="B147" t="s">
        <v>13</v>
      </c>
      <c r="C147" t="s">
        <v>9</v>
      </c>
      <c r="D147" s="3">
        <v>3598</v>
      </c>
      <c r="E147" s="4">
        <v>81</v>
      </c>
      <c r="F147" s="13">
        <f>_xlfn.XLOOKUP(data[[#This Row],[Product]],products[Product],products[Cost per unit])</f>
        <v>14.49</v>
      </c>
      <c r="G147" s="13">
        <f>data[[#This Row],[Cost per unit]]*data[[#This Row],[Units]]</f>
        <v>1173.69</v>
      </c>
      <c r="H147" s="13">
        <f>(data[[#This Row],[Amount]])-(data[[#This Row],[Total cost]])</f>
        <v>2424.31</v>
      </c>
      <c r="I147" s="4"/>
    </row>
    <row r="148" spans="1:9" x14ac:dyDescent="0.25">
      <c r="A148" t="s">
        <v>25</v>
      </c>
      <c r="B148" t="s">
        <v>8</v>
      </c>
      <c r="C148" t="s">
        <v>53</v>
      </c>
      <c r="D148" s="3">
        <v>3556</v>
      </c>
      <c r="E148" s="4">
        <v>459</v>
      </c>
      <c r="F148" s="13">
        <f>_xlfn.XLOOKUP(data[[#This Row],[Product]],products[Product],products[Cost per unit])</f>
        <v>10.38</v>
      </c>
      <c r="G148" s="13">
        <f>data[[#This Row],[Cost per unit]]*data[[#This Row],[Units]]</f>
        <v>4764.42</v>
      </c>
      <c r="H148" s="13">
        <f>(data[[#This Row],[Amount]])-(data[[#This Row],[Total cost]])</f>
        <v>-1208.42</v>
      </c>
      <c r="I148" s="4"/>
    </row>
    <row r="149" spans="1:9" x14ac:dyDescent="0.25">
      <c r="A149" t="s">
        <v>45</v>
      </c>
      <c r="B149" t="s">
        <v>33</v>
      </c>
      <c r="C149" t="s">
        <v>18</v>
      </c>
      <c r="D149" s="3">
        <v>3549</v>
      </c>
      <c r="E149" s="4">
        <v>3</v>
      </c>
      <c r="F149" s="13">
        <f>_xlfn.XLOOKUP(data[[#This Row],[Product]],products[Product],products[Cost per unit])</f>
        <v>11.88</v>
      </c>
      <c r="G149" s="13">
        <f>data[[#This Row],[Cost per unit]]*data[[#This Row],[Units]]</f>
        <v>35.64</v>
      </c>
      <c r="H149" s="13">
        <f>(data[[#This Row],[Amount]])-(data[[#This Row],[Total cost]])</f>
        <v>3513.36</v>
      </c>
      <c r="I149" s="4"/>
    </row>
    <row r="150" spans="1:9" x14ac:dyDescent="0.25">
      <c r="A150" t="s">
        <v>12</v>
      </c>
      <c r="B150" t="s">
        <v>49</v>
      </c>
      <c r="C150" t="s">
        <v>34</v>
      </c>
      <c r="D150" s="3">
        <v>3507</v>
      </c>
      <c r="E150" s="4">
        <v>288</v>
      </c>
      <c r="F150" s="13">
        <f>_xlfn.XLOOKUP(data[[#This Row],[Product]],products[Product],products[Cost per unit])</f>
        <v>5.79</v>
      </c>
      <c r="G150" s="13">
        <f>data[[#This Row],[Cost per unit]]*data[[#This Row],[Units]]</f>
        <v>1667.52</v>
      </c>
      <c r="H150" s="13">
        <f>(data[[#This Row],[Amount]])-(data[[#This Row],[Total cost]])</f>
        <v>1839.48</v>
      </c>
      <c r="I150" s="4"/>
    </row>
    <row r="151" spans="1:9" x14ac:dyDescent="0.25">
      <c r="A151" t="s">
        <v>54</v>
      </c>
      <c r="B151" t="s">
        <v>13</v>
      </c>
      <c r="C151" t="s">
        <v>16</v>
      </c>
      <c r="D151" s="3">
        <v>3472</v>
      </c>
      <c r="E151" s="4">
        <v>96</v>
      </c>
      <c r="F151" s="13">
        <f>_xlfn.XLOOKUP(data[[#This Row],[Product]],products[Product],products[Cost per unit])</f>
        <v>11.7</v>
      </c>
      <c r="G151" s="13">
        <f>data[[#This Row],[Cost per unit]]*data[[#This Row],[Units]]</f>
        <v>1123.1999999999998</v>
      </c>
      <c r="H151" s="13">
        <f>(data[[#This Row],[Amount]])-(data[[#This Row],[Total cost]])</f>
        <v>2348.8000000000002</v>
      </c>
      <c r="I151" s="4"/>
    </row>
    <row r="152" spans="1:9" x14ac:dyDescent="0.25">
      <c r="A152" t="s">
        <v>25</v>
      </c>
      <c r="B152" t="s">
        <v>49</v>
      </c>
      <c r="C152" t="s">
        <v>9</v>
      </c>
      <c r="D152" s="3">
        <v>3402</v>
      </c>
      <c r="E152" s="4">
        <v>366</v>
      </c>
      <c r="F152" s="13">
        <f>_xlfn.XLOOKUP(data[[#This Row],[Product]],products[Product],products[Cost per unit])</f>
        <v>14.49</v>
      </c>
      <c r="G152" s="13">
        <f>data[[#This Row],[Cost per unit]]*data[[#This Row],[Units]]</f>
        <v>5303.34</v>
      </c>
      <c r="H152" s="13">
        <f>(data[[#This Row],[Amount]])-(data[[#This Row],[Total cost]])</f>
        <v>-1901.3400000000001</v>
      </c>
      <c r="I152" s="4"/>
    </row>
    <row r="153" spans="1:9" x14ac:dyDescent="0.25">
      <c r="A153" t="s">
        <v>20</v>
      </c>
      <c r="B153" t="s">
        <v>8</v>
      </c>
      <c r="C153" t="s">
        <v>41</v>
      </c>
      <c r="D153" s="3">
        <v>3388</v>
      </c>
      <c r="E153" s="4">
        <v>123</v>
      </c>
      <c r="F153" s="13">
        <f>_xlfn.XLOOKUP(data[[#This Row],[Product]],products[Product],products[Cost per unit])</f>
        <v>10.62</v>
      </c>
      <c r="G153" s="13">
        <f>data[[#This Row],[Cost per unit]]*data[[#This Row],[Units]]</f>
        <v>1306.26</v>
      </c>
      <c r="H153" s="13">
        <f>(data[[#This Row],[Amount]])-(data[[#This Row],[Total cost]])</f>
        <v>2081.7399999999998</v>
      </c>
      <c r="I153" s="4"/>
    </row>
    <row r="154" spans="1:9" x14ac:dyDescent="0.25">
      <c r="A154" t="s">
        <v>42</v>
      </c>
      <c r="B154" t="s">
        <v>21</v>
      </c>
      <c r="C154" t="s">
        <v>32</v>
      </c>
      <c r="D154" s="3">
        <v>3339</v>
      </c>
      <c r="E154" s="4">
        <v>348</v>
      </c>
      <c r="F154" s="13">
        <f>_xlfn.XLOOKUP(data[[#This Row],[Product]],products[Product],products[Cost per unit])</f>
        <v>3.11</v>
      </c>
      <c r="G154" s="13">
        <f>data[[#This Row],[Cost per unit]]*data[[#This Row],[Units]]</f>
        <v>1082.28</v>
      </c>
      <c r="H154" s="13">
        <f>(data[[#This Row],[Amount]])-(data[[#This Row],[Total cost]])</f>
        <v>2256.7200000000003</v>
      </c>
      <c r="I154" s="4"/>
    </row>
    <row r="155" spans="1:9" x14ac:dyDescent="0.25">
      <c r="A155" t="s">
        <v>25</v>
      </c>
      <c r="B155" t="s">
        <v>49</v>
      </c>
      <c r="C155" t="s">
        <v>51</v>
      </c>
      <c r="D155" s="3">
        <v>3339</v>
      </c>
      <c r="E155" s="4">
        <v>75</v>
      </c>
      <c r="F155" s="13">
        <f>_xlfn.XLOOKUP(data[[#This Row],[Product]],products[Product],products[Cost per unit])</f>
        <v>7.16</v>
      </c>
      <c r="G155" s="13">
        <f>data[[#This Row],[Cost per unit]]*data[[#This Row],[Units]]</f>
        <v>537</v>
      </c>
      <c r="H155" s="13">
        <f>(data[[#This Row],[Amount]])-(data[[#This Row],[Total cost]])</f>
        <v>2802</v>
      </c>
      <c r="I155" s="4"/>
    </row>
    <row r="156" spans="1:9" x14ac:dyDescent="0.25">
      <c r="A156" t="s">
        <v>46</v>
      </c>
      <c r="B156" t="s">
        <v>21</v>
      </c>
      <c r="C156" t="s">
        <v>27</v>
      </c>
      <c r="D156" s="3">
        <v>3339</v>
      </c>
      <c r="E156" s="4">
        <v>39</v>
      </c>
      <c r="F156" s="13">
        <f>_xlfn.XLOOKUP(data[[#This Row],[Product]],products[Product],products[Cost per unit])</f>
        <v>13.15</v>
      </c>
      <c r="G156" s="13">
        <f>data[[#This Row],[Cost per unit]]*data[[#This Row],[Units]]</f>
        <v>512.85</v>
      </c>
      <c r="H156" s="13">
        <f>(data[[#This Row],[Amount]])-(data[[#This Row],[Total cost]])</f>
        <v>2826.15</v>
      </c>
      <c r="I156" s="4"/>
    </row>
    <row r="157" spans="1:9" x14ac:dyDescent="0.25">
      <c r="A157" t="s">
        <v>39</v>
      </c>
      <c r="B157" t="s">
        <v>49</v>
      </c>
      <c r="C157" t="s">
        <v>14</v>
      </c>
      <c r="D157" s="3">
        <v>3262</v>
      </c>
      <c r="E157" s="4">
        <v>75</v>
      </c>
      <c r="F157" s="13">
        <f>_xlfn.XLOOKUP(data[[#This Row],[Product]],products[Product],products[Cost per unit])</f>
        <v>8.65</v>
      </c>
      <c r="G157" s="13">
        <f>data[[#This Row],[Cost per unit]]*data[[#This Row],[Units]]</f>
        <v>648.75</v>
      </c>
      <c r="H157" s="13">
        <f>(data[[#This Row],[Amount]])-(data[[#This Row],[Total cost]])</f>
        <v>2613.25</v>
      </c>
      <c r="I157" s="4"/>
    </row>
    <row r="158" spans="1:9" x14ac:dyDescent="0.25">
      <c r="A158" t="s">
        <v>17</v>
      </c>
      <c r="B158" t="s">
        <v>26</v>
      </c>
      <c r="C158" t="s">
        <v>27</v>
      </c>
      <c r="D158" s="3">
        <v>3192</v>
      </c>
      <c r="E158" s="4">
        <v>72</v>
      </c>
      <c r="F158" s="13">
        <f>_xlfn.XLOOKUP(data[[#This Row],[Product]],products[Product],products[Cost per unit])</f>
        <v>13.15</v>
      </c>
      <c r="G158" s="13">
        <f>data[[#This Row],[Cost per unit]]*data[[#This Row],[Units]]</f>
        <v>946.80000000000007</v>
      </c>
      <c r="H158" s="13">
        <f>(data[[#This Row],[Amount]])-(data[[#This Row],[Total cost]])</f>
        <v>2245.1999999999998</v>
      </c>
      <c r="I158" s="4"/>
    </row>
    <row r="159" spans="1:9" x14ac:dyDescent="0.25">
      <c r="A159" t="s">
        <v>7</v>
      </c>
      <c r="B159" t="s">
        <v>21</v>
      </c>
      <c r="C159" t="s">
        <v>52</v>
      </c>
      <c r="D159" s="3">
        <v>3164</v>
      </c>
      <c r="E159" s="4">
        <v>306</v>
      </c>
      <c r="F159" s="13">
        <f>_xlfn.XLOOKUP(data[[#This Row],[Product]],products[Product],products[Cost per unit])</f>
        <v>16.73</v>
      </c>
      <c r="G159" s="13">
        <f>data[[#This Row],[Cost per unit]]*data[[#This Row],[Units]]</f>
        <v>5119.38</v>
      </c>
      <c r="H159" s="13">
        <f>(data[[#This Row],[Amount]])-(data[[#This Row],[Total cost]])</f>
        <v>-1955.38</v>
      </c>
      <c r="I159" s="4"/>
    </row>
    <row r="160" spans="1:9" x14ac:dyDescent="0.25">
      <c r="A160" t="s">
        <v>46</v>
      </c>
      <c r="B160" t="s">
        <v>49</v>
      </c>
      <c r="C160" t="s">
        <v>50</v>
      </c>
      <c r="D160" s="3">
        <v>3108</v>
      </c>
      <c r="E160" s="4">
        <v>54</v>
      </c>
      <c r="F160" s="13">
        <f>_xlfn.XLOOKUP(data[[#This Row],[Product]],products[Product],products[Cost per unit])</f>
        <v>5.6</v>
      </c>
      <c r="G160" s="13">
        <f>data[[#This Row],[Cost per unit]]*data[[#This Row],[Units]]</f>
        <v>302.39999999999998</v>
      </c>
      <c r="H160" s="13">
        <f>(data[[#This Row],[Amount]])-(data[[#This Row],[Total cost]])</f>
        <v>2805.6</v>
      </c>
      <c r="I160" s="4"/>
    </row>
    <row r="161" spans="1:9" x14ac:dyDescent="0.25">
      <c r="A161" t="s">
        <v>7</v>
      </c>
      <c r="B161" t="s">
        <v>26</v>
      </c>
      <c r="C161" t="s">
        <v>53</v>
      </c>
      <c r="D161" s="3">
        <v>3101</v>
      </c>
      <c r="E161" s="4">
        <v>225</v>
      </c>
      <c r="F161" s="13">
        <f>_xlfn.XLOOKUP(data[[#This Row],[Product]],products[Product],products[Cost per unit])</f>
        <v>10.38</v>
      </c>
      <c r="G161" s="13">
        <f>data[[#This Row],[Cost per unit]]*data[[#This Row],[Units]]</f>
        <v>2335.5</v>
      </c>
      <c r="H161" s="13">
        <f>(data[[#This Row],[Amount]])-(data[[#This Row],[Total cost]])</f>
        <v>765.5</v>
      </c>
      <c r="I161" s="4"/>
    </row>
    <row r="162" spans="1:9" x14ac:dyDescent="0.25">
      <c r="A162" t="s">
        <v>45</v>
      </c>
      <c r="B162" t="s">
        <v>21</v>
      </c>
      <c r="C162" t="s">
        <v>34</v>
      </c>
      <c r="D162" s="3">
        <v>3094</v>
      </c>
      <c r="E162" s="4">
        <v>246</v>
      </c>
      <c r="F162" s="13">
        <f>_xlfn.XLOOKUP(data[[#This Row],[Product]],products[Product],products[Cost per unit])</f>
        <v>5.79</v>
      </c>
      <c r="G162" s="13">
        <f>data[[#This Row],[Cost per unit]]*data[[#This Row],[Units]]</f>
        <v>1424.34</v>
      </c>
      <c r="H162" s="13">
        <f>(data[[#This Row],[Amount]])-(data[[#This Row],[Total cost]])</f>
        <v>1669.66</v>
      </c>
      <c r="I162" s="4"/>
    </row>
    <row r="163" spans="1:9" x14ac:dyDescent="0.25">
      <c r="A163" t="s">
        <v>54</v>
      </c>
      <c r="B163" t="s">
        <v>8</v>
      </c>
      <c r="C163" t="s">
        <v>53</v>
      </c>
      <c r="D163" s="3">
        <v>3059</v>
      </c>
      <c r="E163" s="4">
        <v>27</v>
      </c>
      <c r="F163" s="13">
        <f>_xlfn.XLOOKUP(data[[#This Row],[Product]],products[Product],products[Cost per unit])</f>
        <v>10.38</v>
      </c>
      <c r="G163" s="13">
        <f>data[[#This Row],[Cost per unit]]*data[[#This Row],[Units]]</f>
        <v>280.26000000000005</v>
      </c>
      <c r="H163" s="13">
        <f>(data[[#This Row],[Amount]])-(data[[#This Row],[Total cost]])</f>
        <v>2778.74</v>
      </c>
      <c r="I163" s="4"/>
    </row>
    <row r="164" spans="1:9" x14ac:dyDescent="0.25">
      <c r="A164" t="s">
        <v>25</v>
      </c>
      <c r="B164" t="s">
        <v>26</v>
      </c>
      <c r="C164" t="s">
        <v>51</v>
      </c>
      <c r="D164" s="3">
        <v>3052</v>
      </c>
      <c r="E164" s="4">
        <v>378</v>
      </c>
      <c r="F164" s="13">
        <f>_xlfn.XLOOKUP(data[[#This Row],[Product]],products[Product],products[Cost per unit])</f>
        <v>7.16</v>
      </c>
      <c r="G164" s="13">
        <f>data[[#This Row],[Cost per unit]]*data[[#This Row],[Units]]</f>
        <v>2706.48</v>
      </c>
      <c r="H164" s="13">
        <f>(data[[#This Row],[Amount]])-(data[[#This Row],[Total cost]])</f>
        <v>345.52</v>
      </c>
      <c r="I164" s="4"/>
    </row>
    <row r="165" spans="1:9" x14ac:dyDescent="0.25">
      <c r="A165" t="s">
        <v>25</v>
      </c>
      <c r="B165" t="s">
        <v>26</v>
      </c>
      <c r="C165" t="s">
        <v>48</v>
      </c>
      <c r="D165" s="3">
        <v>2989</v>
      </c>
      <c r="E165" s="4">
        <v>3</v>
      </c>
      <c r="F165" s="13">
        <f>_xlfn.XLOOKUP(data[[#This Row],[Product]],products[Product],products[Cost per unit])</f>
        <v>4.97</v>
      </c>
      <c r="G165" s="13">
        <f>data[[#This Row],[Cost per unit]]*data[[#This Row],[Units]]</f>
        <v>14.91</v>
      </c>
      <c r="H165" s="13">
        <f>(data[[#This Row],[Amount]])-(data[[#This Row],[Total cost]])</f>
        <v>2974.09</v>
      </c>
      <c r="I165" s="4"/>
    </row>
    <row r="166" spans="1:9" x14ac:dyDescent="0.25">
      <c r="A166" t="s">
        <v>17</v>
      </c>
      <c r="B166" t="s">
        <v>21</v>
      </c>
      <c r="C166" t="s">
        <v>14</v>
      </c>
      <c r="D166" s="3">
        <v>2954</v>
      </c>
      <c r="E166" s="4">
        <v>189</v>
      </c>
      <c r="F166" s="13">
        <f>_xlfn.XLOOKUP(data[[#This Row],[Product]],products[Product],products[Cost per unit])</f>
        <v>8.65</v>
      </c>
      <c r="G166" s="13">
        <f>data[[#This Row],[Cost per unit]]*data[[#This Row],[Units]]</f>
        <v>1634.8500000000001</v>
      </c>
      <c r="H166" s="13">
        <f>(data[[#This Row],[Amount]])-(data[[#This Row],[Total cost]])</f>
        <v>1319.1499999999999</v>
      </c>
      <c r="I166" s="4"/>
    </row>
    <row r="167" spans="1:9" x14ac:dyDescent="0.25">
      <c r="A167" t="s">
        <v>20</v>
      </c>
      <c r="B167" t="s">
        <v>8</v>
      </c>
      <c r="C167" t="s">
        <v>44</v>
      </c>
      <c r="D167" s="3">
        <v>2933</v>
      </c>
      <c r="E167" s="4">
        <v>9</v>
      </c>
      <c r="F167" s="13">
        <f>_xlfn.XLOOKUP(data[[#This Row],[Product]],products[Product],products[Cost per unit])</f>
        <v>9</v>
      </c>
      <c r="G167" s="13">
        <f>data[[#This Row],[Cost per unit]]*data[[#This Row],[Units]]</f>
        <v>81</v>
      </c>
      <c r="H167" s="13">
        <f>(data[[#This Row],[Amount]])-(data[[#This Row],[Total cost]])</f>
        <v>2852</v>
      </c>
      <c r="I167" s="4"/>
    </row>
    <row r="168" spans="1:9" x14ac:dyDescent="0.25">
      <c r="A168" t="s">
        <v>46</v>
      </c>
      <c r="B168" t="s">
        <v>49</v>
      </c>
      <c r="C168" t="s">
        <v>32</v>
      </c>
      <c r="D168" s="3">
        <v>2919</v>
      </c>
      <c r="E168" s="4">
        <v>93</v>
      </c>
      <c r="F168" s="13">
        <f>_xlfn.XLOOKUP(data[[#This Row],[Product]],products[Product],products[Cost per unit])</f>
        <v>3.11</v>
      </c>
      <c r="G168" s="13">
        <f>data[[#This Row],[Cost per unit]]*data[[#This Row],[Units]]</f>
        <v>289.22999999999996</v>
      </c>
      <c r="H168" s="13">
        <f>(data[[#This Row],[Amount]])-(data[[#This Row],[Total cost]])</f>
        <v>2629.77</v>
      </c>
      <c r="I168" s="4"/>
    </row>
    <row r="169" spans="1:9" x14ac:dyDescent="0.25">
      <c r="A169" t="s">
        <v>17</v>
      </c>
      <c r="B169" t="s">
        <v>8</v>
      </c>
      <c r="C169" t="s">
        <v>53</v>
      </c>
      <c r="D169" s="3">
        <v>2919</v>
      </c>
      <c r="E169" s="4">
        <v>45</v>
      </c>
      <c r="F169" s="13">
        <f>_xlfn.XLOOKUP(data[[#This Row],[Product]],products[Product],products[Cost per unit])</f>
        <v>10.38</v>
      </c>
      <c r="G169" s="13">
        <f>data[[#This Row],[Cost per unit]]*data[[#This Row],[Units]]</f>
        <v>467.1</v>
      </c>
      <c r="H169" s="13">
        <f>(data[[#This Row],[Amount]])-(data[[#This Row],[Total cost]])</f>
        <v>2451.9</v>
      </c>
      <c r="I169" s="4"/>
    </row>
    <row r="170" spans="1:9" x14ac:dyDescent="0.25">
      <c r="A170" t="s">
        <v>42</v>
      </c>
      <c r="B170" t="s">
        <v>49</v>
      </c>
      <c r="C170" t="s">
        <v>51</v>
      </c>
      <c r="D170" s="3">
        <v>2891</v>
      </c>
      <c r="E170" s="4">
        <v>102</v>
      </c>
      <c r="F170" s="13">
        <f>_xlfn.XLOOKUP(data[[#This Row],[Product]],products[Product],products[Cost per unit])</f>
        <v>7.16</v>
      </c>
      <c r="G170" s="13">
        <f>data[[#This Row],[Cost per unit]]*data[[#This Row],[Units]]</f>
        <v>730.32</v>
      </c>
      <c r="H170" s="13">
        <f>(data[[#This Row],[Amount]])-(data[[#This Row],[Total cost]])</f>
        <v>2160.6799999999998</v>
      </c>
      <c r="I170" s="4"/>
    </row>
    <row r="171" spans="1:9" x14ac:dyDescent="0.25">
      <c r="A171" t="s">
        <v>39</v>
      </c>
      <c r="B171" t="s">
        <v>21</v>
      </c>
      <c r="C171" t="s">
        <v>38</v>
      </c>
      <c r="D171" s="3">
        <v>2870</v>
      </c>
      <c r="E171" s="4">
        <v>300</v>
      </c>
      <c r="F171" s="13">
        <f>_xlfn.XLOOKUP(data[[#This Row],[Product]],products[Product],products[Cost per unit])</f>
        <v>7.64</v>
      </c>
      <c r="G171" s="13">
        <f>data[[#This Row],[Cost per unit]]*data[[#This Row],[Units]]</f>
        <v>2292</v>
      </c>
      <c r="H171" s="13">
        <f>(data[[#This Row],[Amount]])-(data[[#This Row],[Total cost]])</f>
        <v>578</v>
      </c>
      <c r="I171" s="4"/>
    </row>
    <row r="172" spans="1:9" x14ac:dyDescent="0.25">
      <c r="A172" t="s">
        <v>45</v>
      </c>
      <c r="B172" t="s">
        <v>8</v>
      </c>
      <c r="C172" t="s">
        <v>24</v>
      </c>
      <c r="D172" s="3">
        <v>2863</v>
      </c>
      <c r="E172" s="4">
        <v>42</v>
      </c>
      <c r="F172" s="13">
        <f>_xlfn.XLOOKUP(data[[#This Row],[Product]],products[Product],products[Cost per unit])</f>
        <v>11.73</v>
      </c>
      <c r="G172" s="13">
        <f>data[[#This Row],[Cost per unit]]*data[[#This Row],[Units]]</f>
        <v>492.66</v>
      </c>
      <c r="H172" s="13">
        <f>(data[[#This Row],[Amount]])-(data[[#This Row],[Total cost]])</f>
        <v>2370.34</v>
      </c>
      <c r="I172" s="4"/>
    </row>
    <row r="173" spans="1:9" x14ac:dyDescent="0.25">
      <c r="A173" t="s">
        <v>17</v>
      </c>
      <c r="B173" t="s">
        <v>8</v>
      </c>
      <c r="C173" t="s">
        <v>50</v>
      </c>
      <c r="D173" s="3">
        <v>2856</v>
      </c>
      <c r="E173" s="4">
        <v>246</v>
      </c>
      <c r="F173" s="13">
        <f>_xlfn.XLOOKUP(data[[#This Row],[Product]],products[Product],products[Cost per unit])</f>
        <v>5.6</v>
      </c>
      <c r="G173" s="13">
        <f>data[[#This Row],[Cost per unit]]*data[[#This Row],[Units]]</f>
        <v>1377.6</v>
      </c>
      <c r="H173" s="13">
        <f>(data[[#This Row],[Amount]])-(data[[#This Row],[Total cost]])</f>
        <v>1478.4</v>
      </c>
      <c r="I173" s="4"/>
    </row>
    <row r="174" spans="1:9" x14ac:dyDescent="0.25">
      <c r="A174" t="s">
        <v>39</v>
      </c>
      <c r="B174" t="s">
        <v>13</v>
      </c>
      <c r="C174" t="s">
        <v>48</v>
      </c>
      <c r="D174" s="3">
        <v>2793</v>
      </c>
      <c r="E174" s="4">
        <v>114</v>
      </c>
      <c r="F174" s="13">
        <f>_xlfn.XLOOKUP(data[[#This Row],[Product]],products[Product],products[Cost per unit])</f>
        <v>4.97</v>
      </c>
      <c r="G174" s="13">
        <f>data[[#This Row],[Cost per unit]]*data[[#This Row],[Units]]</f>
        <v>566.57999999999993</v>
      </c>
      <c r="H174" s="13">
        <f>(data[[#This Row],[Amount]])-(data[[#This Row],[Total cost]])</f>
        <v>2226.42</v>
      </c>
      <c r="I174" s="4"/>
    </row>
    <row r="175" spans="1:9" x14ac:dyDescent="0.25">
      <c r="A175" t="s">
        <v>7</v>
      </c>
      <c r="B175" t="s">
        <v>49</v>
      </c>
      <c r="C175" t="s">
        <v>47</v>
      </c>
      <c r="D175" s="3">
        <v>2779</v>
      </c>
      <c r="E175" s="4">
        <v>75</v>
      </c>
      <c r="F175" s="13">
        <f>_xlfn.XLOOKUP(data[[#This Row],[Product]],products[Product],products[Cost per unit])</f>
        <v>6.49</v>
      </c>
      <c r="G175" s="13">
        <f>data[[#This Row],[Cost per unit]]*data[[#This Row],[Units]]</f>
        <v>486.75</v>
      </c>
      <c r="H175" s="13">
        <f>(data[[#This Row],[Amount]])-(data[[#This Row],[Total cost]])</f>
        <v>2292.25</v>
      </c>
      <c r="I175" s="4"/>
    </row>
    <row r="176" spans="1:9" x14ac:dyDescent="0.25">
      <c r="A176" t="s">
        <v>42</v>
      </c>
      <c r="B176" t="s">
        <v>13</v>
      </c>
      <c r="C176" t="s">
        <v>18</v>
      </c>
      <c r="D176" s="3">
        <v>2744</v>
      </c>
      <c r="E176" s="4">
        <v>9</v>
      </c>
      <c r="F176" s="13">
        <f>_xlfn.XLOOKUP(data[[#This Row],[Product]],products[Product],products[Cost per unit])</f>
        <v>11.88</v>
      </c>
      <c r="G176" s="13">
        <f>data[[#This Row],[Cost per unit]]*data[[#This Row],[Units]]</f>
        <v>106.92</v>
      </c>
      <c r="H176" s="13">
        <f>(data[[#This Row],[Amount]])-(data[[#This Row],[Total cost]])</f>
        <v>2637.08</v>
      </c>
      <c r="I176" s="4"/>
    </row>
    <row r="177" spans="1:9" x14ac:dyDescent="0.25">
      <c r="A177" t="s">
        <v>17</v>
      </c>
      <c r="B177" t="s">
        <v>8</v>
      </c>
      <c r="C177" t="s">
        <v>47</v>
      </c>
      <c r="D177" s="3">
        <v>2737</v>
      </c>
      <c r="E177" s="4">
        <v>93</v>
      </c>
      <c r="F177" s="13">
        <f>_xlfn.XLOOKUP(data[[#This Row],[Product]],products[Product],products[Cost per unit])</f>
        <v>6.49</v>
      </c>
      <c r="G177" s="13">
        <f>data[[#This Row],[Cost per unit]]*data[[#This Row],[Units]]</f>
        <v>603.57000000000005</v>
      </c>
      <c r="H177" s="13">
        <f>(data[[#This Row],[Amount]])-(data[[#This Row],[Total cost]])</f>
        <v>2133.4299999999998</v>
      </c>
      <c r="I177" s="4"/>
    </row>
    <row r="178" spans="1:9" x14ac:dyDescent="0.25">
      <c r="A178" t="s">
        <v>12</v>
      </c>
      <c r="B178" t="s">
        <v>13</v>
      </c>
      <c r="C178" t="s">
        <v>41</v>
      </c>
      <c r="D178" s="3">
        <v>2702</v>
      </c>
      <c r="E178" s="4">
        <v>363</v>
      </c>
      <c r="F178" s="13">
        <f>_xlfn.XLOOKUP(data[[#This Row],[Product]],products[Product],products[Cost per unit])</f>
        <v>10.62</v>
      </c>
      <c r="G178" s="13">
        <f>data[[#This Row],[Cost per unit]]*data[[#This Row],[Units]]</f>
        <v>3855.0599999999995</v>
      </c>
      <c r="H178" s="13">
        <f>(data[[#This Row],[Amount]])-(data[[#This Row],[Total cost]])</f>
        <v>-1153.0599999999995</v>
      </c>
      <c r="I178" s="4"/>
    </row>
    <row r="179" spans="1:9" x14ac:dyDescent="0.25">
      <c r="A179" t="s">
        <v>25</v>
      </c>
      <c r="B179" t="s">
        <v>33</v>
      </c>
      <c r="C179" t="s">
        <v>34</v>
      </c>
      <c r="D179" s="3">
        <v>2681</v>
      </c>
      <c r="E179" s="4">
        <v>54</v>
      </c>
      <c r="F179" s="13">
        <f>_xlfn.XLOOKUP(data[[#This Row],[Product]],products[Product],products[Cost per unit])</f>
        <v>5.79</v>
      </c>
      <c r="G179" s="13">
        <f>data[[#This Row],[Cost per unit]]*data[[#This Row],[Units]]</f>
        <v>312.66000000000003</v>
      </c>
      <c r="H179" s="13">
        <f>(data[[#This Row],[Amount]])-(data[[#This Row],[Total cost]])</f>
        <v>2368.34</v>
      </c>
      <c r="I179" s="4"/>
    </row>
    <row r="180" spans="1:9" x14ac:dyDescent="0.25">
      <c r="A180" t="s">
        <v>39</v>
      </c>
      <c r="B180" t="s">
        <v>21</v>
      </c>
      <c r="C180" t="s">
        <v>22</v>
      </c>
      <c r="D180" s="3">
        <v>2646</v>
      </c>
      <c r="E180" s="4">
        <v>177</v>
      </c>
      <c r="F180" s="13">
        <f>_xlfn.XLOOKUP(data[[#This Row],[Product]],products[Product],products[Cost per unit])</f>
        <v>6.47</v>
      </c>
      <c r="G180" s="13">
        <f>data[[#This Row],[Cost per unit]]*data[[#This Row],[Units]]</f>
        <v>1145.19</v>
      </c>
      <c r="H180" s="13">
        <f>(data[[#This Row],[Amount]])-(data[[#This Row],[Total cost]])</f>
        <v>1500.81</v>
      </c>
      <c r="I180" s="4"/>
    </row>
    <row r="181" spans="1:9" x14ac:dyDescent="0.25">
      <c r="A181" t="s">
        <v>17</v>
      </c>
      <c r="B181" t="s">
        <v>33</v>
      </c>
      <c r="C181" t="s">
        <v>29</v>
      </c>
      <c r="D181" s="3">
        <v>2646</v>
      </c>
      <c r="E181" s="4">
        <v>120</v>
      </c>
      <c r="F181" s="13">
        <f>_xlfn.XLOOKUP(data[[#This Row],[Product]],products[Product],products[Cost per unit])</f>
        <v>8.7899999999999991</v>
      </c>
      <c r="G181" s="13">
        <f>data[[#This Row],[Cost per unit]]*data[[#This Row],[Units]]</f>
        <v>1054.8</v>
      </c>
      <c r="H181" s="13">
        <f>(data[[#This Row],[Amount]])-(data[[#This Row],[Total cost]])</f>
        <v>1591.2</v>
      </c>
      <c r="I181" s="4"/>
    </row>
    <row r="182" spans="1:9" x14ac:dyDescent="0.25">
      <c r="A182" t="s">
        <v>17</v>
      </c>
      <c r="B182" t="s">
        <v>26</v>
      </c>
      <c r="C182" t="s">
        <v>22</v>
      </c>
      <c r="D182" s="3">
        <v>2639</v>
      </c>
      <c r="E182" s="4">
        <v>204</v>
      </c>
      <c r="F182" s="13">
        <f>_xlfn.XLOOKUP(data[[#This Row],[Product]],products[Product],products[Cost per unit])</f>
        <v>6.47</v>
      </c>
      <c r="G182" s="13">
        <f>data[[#This Row],[Cost per unit]]*data[[#This Row],[Units]]</f>
        <v>1319.8799999999999</v>
      </c>
      <c r="H182" s="13">
        <f>(data[[#This Row],[Amount]])-(data[[#This Row],[Total cost]])</f>
        <v>1319.1200000000001</v>
      </c>
      <c r="I182" s="4"/>
    </row>
    <row r="183" spans="1:9" x14ac:dyDescent="0.25">
      <c r="A183" t="s">
        <v>46</v>
      </c>
      <c r="B183" t="s">
        <v>49</v>
      </c>
      <c r="C183" t="s">
        <v>41</v>
      </c>
      <c r="D183" s="3">
        <v>2583</v>
      </c>
      <c r="E183" s="4">
        <v>18</v>
      </c>
      <c r="F183" s="13">
        <f>_xlfn.XLOOKUP(data[[#This Row],[Product]],products[Product],products[Cost per unit])</f>
        <v>10.62</v>
      </c>
      <c r="G183" s="13">
        <f>data[[#This Row],[Cost per unit]]*data[[#This Row],[Units]]</f>
        <v>191.16</v>
      </c>
      <c r="H183" s="13">
        <f>(data[[#This Row],[Amount]])-(data[[#This Row],[Total cost]])</f>
        <v>2391.84</v>
      </c>
      <c r="I183" s="4"/>
    </row>
    <row r="184" spans="1:9" x14ac:dyDescent="0.25">
      <c r="A184" t="s">
        <v>54</v>
      </c>
      <c r="B184" t="s">
        <v>13</v>
      </c>
      <c r="C184" t="s">
        <v>24</v>
      </c>
      <c r="D184" s="3">
        <v>2562</v>
      </c>
      <c r="E184" s="4">
        <v>6</v>
      </c>
      <c r="F184" s="13">
        <f>_xlfn.XLOOKUP(data[[#This Row],[Product]],products[Product],products[Cost per unit])</f>
        <v>11.73</v>
      </c>
      <c r="G184" s="13">
        <f>data[[#This Row],[Cost per unit]]*data[[#This Row],[Units]]</f>
        <v>70.38</v>
      </c>
      <c r="H184" s="13">
        <f>(data[[#This Row],[Amount]])-(data[[#This Row],[Total cost]])</f>
        <v>2491.62</v>
      </c>
      <c r="I184" s="4"/>
    </row>
    <row r="185" spans="1:9" x14ac:dyDescent="0.25">
      <c r="A185" t="s">
        <v>7</v>
      </c>
      <c r="B185" t="s">
        <v>33</v>
      </c>
      <c r="C185" t="s">
        <v>27</v>
      </c>
      <c r="D185" s="3">
        <v>2541</v>
      </c>
      <c r="E185" s="4">
        <v>90</v>
      </c>
      <c r="F185" s="13">
        <f>_xlfn.XLOOKUP(data[[#This Row],[Product]],products[Product],products[Cost per unit])</f>
        <v>13.15</v>
      </c>
      <c r="G185" s="13">
        <f>data[[#This Row],[Cost per unit]]*data[[#This Row],[Units]]</f>
        <v>1183.5</v>
      </c>
      <c r="H185" s="13">
        <f>(data[[#This Row],[Amount]])-(data[[#This Row],[Total cost]])</f>
        <v>1357.5</v>
      </c>
      <c r="I185" s="4"/>
    </row>
    <row r="186" spans="1:9" x14ac:dyDescent="0.25">
      <c r="A186" t="s">
        <v>7</v>
      </c>
      <c r="B186" t="s">
        <v>33</v>
      </c>
      <c r="C186" t="s">
        <v>51</v>
      </c>
      <c r="D186" s="3">
        <v>2541</v>
      </c>
      <c r="E186" s="4">
        <v>45</v>
      </c>
      <c r="F186" s="13">
        <f>_xlfn.XLOOKUP(data[[#This Row],[Product]],products[Product],products[Cost per unit])</f>
        <v>7.16</v>
      </c>
      <c r="G186" s="13">
        <f>data[[#This Row],[Cost per unit]]*data[[#This Row],[Units]]</f>
        <v>322.2</v>
      </c>
      <c r="H186" s="13">
        <f>(data[[#This Row],[Amount]])-(data[[#This Row],[Total cost]])</f>
        <v>2218.8000000000002</v>
      </c>
      <c r="I186" s="4"/>
    </row>
    <row r="187" spans="1:9" x14ac:dyDescent="0.25">
      <c r="A187" t="s">
        <v>39</v>
      </c>
      <c r="B187" t="s">
        <v>13</v>
      </c>
      <c r="C187" t="s">
        <v>52</v>
      </c>
      <c r="D187" s="3">
        <v>2478</v>
      </c>
      <c r="E187" s="4">
        <v>21</v>
      </c>
      <c r="F187" s="13">
        <f>_xlfn.XLOOKUP(data[[#This Row],[Product]],products[Product],products[Cost per unit])</f>
        <v>16.73</v>
      </c>
      <c r="G187" s="13">
        <f>data[[#This Row],[Cost per unit]]*data[[#This Row],[Units]]</f>
        <v>351.33</v>
      </c>
      <c r="H187" s="13">
        <f>(data[[#This Row],[Amount]])-(data[[#This Row],[Total cost]])</f>
        <v>2126.67</v>
      </c>
      <c r="I187" s="4"/>
    </row>
    <row r="188" spans="1:9" x14ac:dyDescent="0.25">
      <c r="A188" t="s">
        <v>54</v>
      </c>
      <c r="B188" t="s">
        <v>21</v>
      </c>
      <c r="C188" t="s">
        <v>51</v>
      </c>
      <c r="D188" s="3">
        <v>2471</v>
      </c>
      <c r="E188" s="4">
        <v>342</v>
      </c>
      <c r="F188" s="13">
        <f>_xlfn.XLOOKUP(data[[#This Row],[Product]],products[Product],products[Cost per unit])</f>
        <v>7.16</v>
      </c>
      <c r="G188" s="13">
        <f>data[[#This Row],[Cost per unit]]*data[[#This Row],[Units]]</f>
        <v>2448.7200000000003</v>
      </c>
      <c r="H188" s="13">
        <f>(data[[#This Row],[Amount]])-(data[[#This Row],[Total cost]])</f>
        <v>22.279999999999745</v>
      </c>
      <c r="I188" s="4"/>
    </row>
    <row r="189" spans="1:9" x14ac:dyDescent="0.25">
      <c r="A189" t="s">
        <v>46</v>
      </c>
      <c r="B189" t="s">
        <v>13</v>
      </c>
      <c r="C189" t="s">
        <v>27</v>
      </c>
      <c r="D189" s="3">
        <v>2464</v>
      </c>
      <c r="E189" s="4">
        <v>234</v>
      </c>
      <c r="F189" s="13">
        <f>_xlfn.XLOOKUP(data[[#This Row],[Product]],products[Product],products[Cost per unit])</f>
        <v>13.15</v>
      </c>
      <c r="G189" s="13">
        <f>data[[#This Row],[Cost per unit]]*data[[#This Row],[Units]]</f>
        <v>3077.1</v>
      </c>
      <c r="H189" s="13">
        <f>(data[[#This Row],[Amount]])-(data[[#This Row],[Total cost]])</f>
        <v>-613.09999999999991</v>
      </c>
      <c r="I189" s="4"/>
    </row>
    <row r="190" spans="1:9" x14ac:dyDescent="0.25">
      <c r="A190" t="s">
        <v>17</v>
      </c>
      <c r="B190" t="s">
        <v>33</v>
      </c>
      <c r="C190" t="s">
        <v>50</v>
      </c>
      <c r="D190" s="3">
        <v>2436</v>
      </c>
      <c r="E190" s="4">
        <v>99</v>
      </c>
      <c r="F190" s="13">
        <f>_xlfn.XLOOKUP(data[[#This Row],[Product]],products[Product],products[Cost per unit])</f>
        <v>5.6</v>
      </c>
      <c r="G190" s="13">
        <f>data[[#This Row],[Cost per unit]]*data[[#This Row],[Units]]</f>
        <v>554.4</v>
      </c>
      <c r="H190" s="13">
        <f>(data[[#This Row],[Amount]])-(data[[#This Row],[Total cost]])</f>
        <v>1881.6</v>
      </c>
      <c r="I190" s="4"/>
    </row>
    <row r="191" spans="1:9" x14ac:dyDescent="0.25">
      <c r="A191" t="s">
        <v>17</v>
      </c>
      <c r="B191" t="s">
        <v>13</v>
      </c>
      <c r="C191" t="s">
        <v>52</v>
      </c>
      <c r="D191" s="3">
        <v>2429</v>
      </c>
      <c r="E191" s="4">
        <v>144</v>
      </c>
      <c r="F191" s="13">
        <f>_xlfn.XLOOKUP(data[[#This Row],[Product]],products[Product],products[Cost per unit])</f>
        <v>16.73</v>
      </c>
      <c r="G191" s="13">
        <f>data[[#This Row],[Cost per unit]]*data[[#This Row],[Units]]</f>
        <v>2409.12</v>
      </c>
      <c r="H191" s="13">
        <f>(data[[#This Row],[Amount]])-(data[[#This Row],[Total cost]])</f>
        <v>19.880000000000109</v>
      </c>
      <c r="I191" s="4"/>
    </row>
    <row r="192" spans="1:9" x14ac:dyDescent="0.25">
      <c r="A192" t="s">
        <v>46</v>
      </c>
      <c r="B192" t="s">
        <v>13</v>
      </c>
      <c r="C192" t="s">
        <v>16</v>
      </c>
      <c r="D192" s="3">
        <v>2415</v>
      </c>
      <c r="E192" s="4">
        <v>255</v>
      </c>
      <c r="F192" s="13">
        <f>_xlfn.XLOOKUP(data[[#This Row],[Product]],products[Product],products[Cost per unit])</f>
        <v>11.7</v>
      </c>
      <c r="G192" s="13">
        <f>data[[#This Row],[Cost per unit]]*data[[#This Row],[Units]]</f>
        <v>2983.5</v>
      </c>
      <c r="H192" s="13">
        <f>(data[[#This Row],[Amount]])-(data[[#This Row],[Total cost]])</f>
        <v>-568.5</v>
      </c>
      <c r="I192" s="4"/>
    </row>
    <row r="193" spans="1:9" x14ac:dyDescent="0.25">
      <c r="A193" t="s">
        <v>42</v>
      </c>
      <c r="B193" t="s">
        <v>13</v>
      </c>
      <c r="C193" t="s">
        <v>22</v>
      </c>
      <c r="D193" s="3">
        <v>2415</v>
      </c>
      <c r="E193" s="4">
        <v>15</v>
      </c>
      <c r="F193" s="13">
        <f>_xlfn.XLOOKUP(data[[#This Row],[Product]],products[Product],products[Cost per unit])</f>
        <v>6.47</v>
      </c>
      <c r="G193" s="13">
        <f>data[[#This Row],[Cost per unit]]*data[[#This Row],[Units]]</f>
        <v>97.05</v>
      </c>
      <c r="H193" s="13">
        <f>(data[[#This Row],[Amount]])-(data[[#This Row],[Total cost]])</f>
        <v>2317.9499999999998</v>
      </c>
      <c r="I193" s="4"/>
    </row>
    <row r="194" spans="1:9" x14ac:dyDescent="0.25">
      <c r="A194" t="s">
        <v>17</v>
      </c>
      <c r="B194" t="s">
        <v>33</v>
      </c>
      <c r="C194" t="s">
        <v>32</v>
      </c>
      <c r="D194" s="3">
        <v>2408</v>
      </c>
      <c r="E194" s="4">
        <v>9</v>
      </c>
      <c r="F194" s="13">
        <f>_xlfn.XLOOKUP(data[[#This Row],[Product]],products[Product],products[Cost per unit])</f>
        <v>3.11</v>
      </c>
      <c r="G194" s="13">
        <f>data[[#This Row],[Cost per unit]]*data[[#This Row],[Units]]</f>
        <v>27.99</v>
      </c>
      <c r="H194" s="13">
        <f>(data[[#This Row],[Amount]])-(data[[#This Row],[Total cost]])</f>
        <v>2380.0100000000002</v>
      </c>
      <c r="I194" s="4"/>
    </row>
    <row r="195" spans="1:9" x14ac:dyDescent="0.25">
      <c r="A195" t="s">
        <v>20</v>
      </c>
      <c r="B195" t="s">
        <v>8</v>
      </c>
      <c r="C195" t="s">
        <v>50</v>
      </c>
      <c r="D195" s="3">
        <v>2324</v>
      </c>
      <c r="E195" s="4">
        <v>177</v>
      </c>
      <c r="F195" s="13">
        <f>_xlfn.XLOOKUP(data[[#This Row],[Product]],products[Product],products[Cost per unit])</f>
        <v>5.6</v>
      </c>
      <c r="G195" s="13">
        <f>data[[#This Row],[Cost per unit]]*data[[#This Row],[Units]]</f>
        <v>991.19999999999993</v>
      </c>
      <c r="H195" s="13">
        <f>(data[[#This Row],[Amount]])-(data[[#This Row],[Total cost]])</f>
        <v>1332.8000000000002</v>
      </c>
      <c r="I195" s="4"/>
    </row>
    <row r="196" spans="1:9" x14ac:dyDescent="0.25">
      <c r="A196" t="s">
        <v>54</v>
      </c>
      <c r="B196" t="s">
        <v>21</v>
      </c>
      <c r="C196" t="s">
        <v>47</v>
      </c>
      <c r="D196" s="3">
        <v>2317</v>
      </c>
      <c r="E196" s="4">
        <v>261</v>
      </c>
      <c r="F196" s="13">
        <f>_xlfn.XLOOKUP(data[[#This Row],[Product]],products[Product],products[Cost per unit])</f>
        <v>6.49</v>
      </c>
      <c r="G196" s="13">
        <f>data[[#This Row],[Cost per unit]]*data[[#This Row],[Units]]</f>
        <v>1693.89</v>
      </c>
      <c r="H196" s="13">
        <f>(data[[#This Row],[Amount]])-(data[[#This Row],[Total cost]])</f>
        <v>623.1099999999999</v>
      </c>
      <c r="I196" s="4"/>
    </row>
    <row r="197" spans="1:9" x14ac:dyDescent="0.25">
      <c r="A197" t="s">
        <v>25</v>
      </c>
      <c r="B197" t="s">
        <v>33</v>
      </c>
      <c r="C197" t="s">
        <v>11</v>
      </c>
      <c r="D197" s="3">
        <v>2317</v>
      </c>
      <c r="E197" s="4">
        <v>123</v>
      </c>
      <c r="F197" s="13">
        <f>_xlfn.XLOOKUP(data[[#This Row],[Product]],products[Product],products[Cost per unit])</f>
        <v>9.33</v>
      </c>
      <c r="G197" s="13">
        <f>data[[#This Row],[Cost per unit]]*data[[#This Row],[Units]]</f>
        <v>1147.5899999999999</v>
      </c>
      <c r="H197" s="13">
        <f>(data[[#This Row],[Amount]])-(data[[#This Row],[Total cost]])</f>
        <v>1169.4100000000001</v>
      </c>
      <c r="I197" s="4"/>
    </row>
    <row r="198" spans="1:9" x14ac:dyDescent="0.25">
      <c r="A198" t="s">
        <v>7</v>
      </c>
      <c r="B198" t="s">
        <v>49</v>
      </c>
      <c r="C198" t="s">
        <v>52</v>
      </c>
      <c r="D198" s="3">
        <v>2289</v>
      </c>
      <c r="E198" s="4">
        <v>135</v>
      </c>
      <c r="F198" s="13">
        <f>_xlfn.XLOOKUP(data[[#This Row],[Product]],products[Product],products[Cost per unit])</f>
        <v>16.73</v>
      </c>
      <c r="G198" s="13">
        <f>data[[#This Row],[Cost per unit]]*data[[#This Row],[Units]]</f>
        <v>2258.5500000000002</v>
      </c>
      <c r="H198" s="13">
        <f>(data[[#This Row],[Amount]])-(data[[#This Row],[Total cost]])</f>
        <v>30.449999999999818</v>
      </c>
      <c r="I198" s="4"/>
    </row>
    <row r="199" spans="1:9" x14ac:dyDescent="0.25">
      <c r="A199" t="s">
        <v>7</v>
      </c>
      <c r="B199" t="s">
        <v>13</v>
      </c>
      <c r="C199" t="s">
        <v>9</v>
      </c>
      <c r="D199" s="3">
        <v>2275</v>
      </c>
      <c r="E199" s="4">
        <v>447</v>
      </c>
      <c r="F199" s="13">
        <f>_xlfn.XLOOKUP(data[[#This Row],[Product]],products[Product],products[Cost per unit])</f>
        <v>14.49</v>
      </c>
      <c r="G199" s="13">
        <f>data[[#This Row],[Cost per unit]]*data[[#This Row],[Units]]</f>
        <v>6477.03</v>
      </c>
      <c r="H199" s="13">
        <f>(data[[#This Row],[Amount]])-(data[[#This Row],[Total cost]])</f>
        <v>-4202.03</v>
      </c>
      <c r="I199" s="4"/>
    </row>
    <row r="200" spans="1:9" x14ac:dyDescent="0.25">
      <c r="A200" t="s">
        <v>12</v>
      </c>
      <c r="B200" t="s">
        <v>33</v>
      </c>
      <c r="C200" t="s">
        <v>52</v>
      </c>
      <c r="D200" s="3">
        <v>2268</v>
      </c>
      <c r="E200" s="4">
        <v>63</v>
      </c>
      <c r="F200" s="13">
        <f>_xlfn.XLOOKUP(data[[#This Row],[Product]],products[Product],products[Cost per unit])</f>
        <v>16.73</v>
      </c>
      <c r="G200" s="13">
        <f>data[[#This Row],[Cost per unit]]*data[[#This Row],[Units]]</f>
        <v>1053.99</v>
      </c>
      <c r="H200" s="13">
        <f>(data[[#This Row],[Amount]])-(data[[#This Row],[Total cost]])</f>
        <v>1214.01</v>
      </c>
      <c r="I200" s="4"/>
    </row>
    <row r="201" spans="1:9" x14ac:dyDescent="0.25">
      <c r="A201" t="s">
        <v>39</v>
      </c>
      <c r="B201" t="s">
        <v>49</v>
      </c>
      <c r="C201" t="s">
        <v>30</v>
      </c>
      <c r="D201" s="3">
        <v>2226</v>
      </c>
      <c r="E201" s="4">
        <v>48</v>
      </c>
      <c r="F201" s="13">
        <f>_xlfn.XLOOKUP(data[[#This Row],[Product]],products[Product],products[Cost per unit])</f>
        <v>12.37</v>
      </c>
      <c r="G201" s="13">
        <f>data[[#This Row],[Cost per unit]]*data[[#This Row],[Units]]</f>
        <v>593.76</v>
      </c>
      <c r="H201" s="13">
        <f>(data[[#This Row],[Amount]])-(data[[#This Row],[Total cost]])</f>
        <v>1632.24</v>
      </c>
      <c r="I201" s="4"/>
    </row>
    <row r="202" spans="1:9" x14ac:dyDescent="0.25">
      <c r="A202" t="s">
        <v>25</v>
      </c>
      <c r="B202" t="s">
        <v>49</v>
      </c>
      <c r="C202" t="s">
        <v>29</v>
      </c>
      <c r="D202" s="3">
        <v>2219</v>
      </c>
      <c r="E202" s="4">
        <v>75</v>
      </c>
      <c r="F202" s="13">
        <f>_xlfn.XLOOKUP(data[[#This Row],[Product]],products[Product],products[Cost per unit])</f>
        <v>8.7899999999999991</v>
      </c>
      <c r="G202" s="13">
        <f>data[[#This Row],[Cost per unit]]*data[[#This Row],[Units]]</f>
        <v>659.24999999999989</v>
      </c>
      <c r="H202" s="13">
        <f>(data[[#This Row],[Amount]])-(data[[#This Row],[Total cost]])</f>
        <v>1559.75</v>
      </c>
      <c r="I202" s="4"/>
    </row>
    <row r="203" spans="1:9" x14ac:dyDescent="0.25">
      <c r="A203" t="s">
        <v>46</v>
      </c>
      <c r="B203" t="s">
        <v>49</v>
      </c>
      <c r="C203" t="s">
        <v>47</v>
      </c>
      <c r="D203" s="3">
        <v>2212</v>
      </c>
      <c r="E203" s="4">
        <v>117</v>
      </c>
      <c r="F203" s="13">
        <f>_xlfn.XLOOKUP(data[[#This Row],[Product]],products[Product],products[Cost per unit])</f>
        <v>6.49</v>
      </c>
      <c r="G203" s="13">
        <f>data[[#This Row],[Cost per unit]]*data[[#This Row],[Units]]</f>
        <v>759.33</v>
      </c>
      <c r="H203" s="13">
        <f>(data[[#This Row],[Amount]])-(data[[#This Row],[Total cost]])</f>
        <v>1452.67</v>
      </c>
      <c r="I203" s="4"/>
    </row>
    <row r="204" spans="1:9" x14ac:dyDescent="0.25">
      <c r="A204" t="s">
        <v>54</v>
      </c>
      <c r="B204" t="s">
        <v>33</v>
      </c>
      <c r="C204" t="s">
        <v>36</v>
      </c>
      <c r="D204" s="3">
        <v>2205</v>
      </c>
      <c r="E204" s="4">
        <v>141</v>
      </c>
      <c r="F204" s="13">
        <f>_xlfn.XLOOKUP(data[[#This Row],[Product]],products[Product],products[Cost per unit])</f>
        <v>9.77</v>
      </c>
      <c r="G204" s="13">
        <f>data[[#This Row],[Cost per unit]]*data[[#This Row],[Units]]</f>
        <v>1377.57</v>
      </c>
      <c r="H204" s="13">
        <f>(data[[#This Row],[Amount]])-(data[[#This Row],[Total cost]])</f>
        <v>827.43000000000006</v>
      </c>
      <c r="I204" s="4"/>
    </row>
    <row r="205" spans="1:9" x14ac:dyDescent="0.25">
      <c r="A205" t="s">
        <v>39</v>
      </c>
      <c r="B205" t="s">
        <v>49</v>
      </c>
      <c r="C205" t="s">
        <v>41</v>
      </c>
      <c r="D205" s="3">
        <v>2205</v>
      </c>
      <c r="E205" s="4">
        <v>138</v>
      </c>
      <c r="F205" s="13">
        <f>_xlfn.XLOOKUP(data[[#This Row],[Product]],products[Product],products[Cost per unit])</f>
        <v>10.62</v>
      </c>
      <c r="G205" s="13">
        <f>data[[#This Row],[Cost per unit]]*data[[#This Row],[Units]]</f>
        <v>1465.56</v>
      </c>
      <c r="H205" s="13">
        <f>(data[[#This Row],[Amount]])-(data[[#This Row],[Total cost]])</f>
        <v>739.44</v>
      </c>
      <c r="I205" s="4"/>
    </row>
    <row r="206" spans="1:9" x14ac:dyDescent="0.25">
      <c r="A206" t="s">
        <v>39</v>
      </c>
      <c r="B206" t="s">
        <v>21</v>
      </c>
      <c r="C206" t="s">
        <v>34</v>
      </c>
      <c r="D206" s="3">
        <v>2149</v>
      </c>
      <c r="E206" s="4">
        <v>117</v>
      </c>
      <c r="F206" s="13">
        <f>_xlfn.XLOOKUP(data[[#This Row],[Product]],products[Product],products[Cost per unit])</f>
        <v>5.79</v>
      </c>
      <c r="G206" s="13">
        <f>data[[#This Row],[Cost per unit]]*data[[#This Row],[Units]]</f>
        <v>677.43</v>
      </c>
      <c r="H206" s="13">
        <f>(data[[#This Row],[Amount]])-(data[[#This Row],[Total cost]])</f>
        <v>1471.5700000000002</v>
      </c>
      <c r="I206" s="4"/>
    </row>
    <row r="207" spans="1:9" x14ac:dyDescent="0.25">
      <c r="A207" t="s">
        <v>17</v>
      </c>
      <c r="B207" t="s">
        <v>21</v>
      </c>
      <c r="C207" t="s">
        <v>27</v>
      </c>
      <c r="D207" s="3">
        <v>2142</v>
      </c>
      <c r="E207" s="4">
        <v>114</v>
      </c>
      <c r="F207" s="13">
        <f>_xlfn.XLOOKUP(data[[#This Row],[Product]],products[Product],products[Cost per unit])</f>
        <v>13.15</v>
      </c>
      <c r="G207" s="13">
        <f>data[[#This Row],[Cost per unit]]*data[[#This Row],[Units]]</f>
        <v>1499.1000000000001</v>
      </c>
      <c r="H207" s="13">
        <f>(data[[#This Row],[Amount]])-(data[[#This Row],[Total cost]])</f>
        <v>642.89999999999986</v>
      </c>
      <c r="I207" s="4"/>
    </row>
    <row r="208" spans="1:9" x14ac:dyDescent="0.25">
      <c r="A208" t="s">
        <v>39</v>
      </c>
      <c r="B208" t="s">
        <v>13</v>
      </c>
      <c r="C208" t="s">
        <v>29</v>
      </c>
      <c r="D208" s="3">
        <v>2135</v>
      </c>
      <c r="E208" s="4">
        <v>27</v>
      </c>
      <c r="F208" s="13">
        <f>_xlfn.XLOOKUP(data[[#This Row],[Product]],products[Product],products[Cost per unit])</f>
        <v>8.7899999999999991</v>
      </c>
      <c r="G208" s="13">
        <f>data[[#This Row],[Cost per unit]]*data[[#This Row],[Units]]</f>
        <v>237.32999999999998</v>
      </c>
      <c r="H208" s="13">
        <f>(data[[#This Row],[Amount]])-(data[[#This Row],[Total cost]])</f>
        <v>1897.67</v>
      </c>
      <c r="I208" s="4"/>
    </row>
    <row r="209" spans="1:9" x14ac:dyDescent="0.25">
      <c r="A209" t="s">
        <v>20</v>
      </c>
      <c r="B209" t="s">
        <v>13</v>
      </c>
      <c r="C209" t="s">
        <v>24</v>
      </c>
      <c r="D209" s="3">
        <v>2114</v>
      </c>
      <c r="E209" s="4">
        <v>186</v>
      </c>
      <c r="F209" s="13">
        <f>_xlfn.XLOOKUP(data[[#This Row],[Product]],products[Product],products[Cost per unit])</f>
        <v>11.73</v>
      </c>
      <c r="G209" s="13">
        <f>data[[#This Row],[Cost per unit]]*data[[#This Row],[Units]]</f>
        <v>2181.7800000000002</v>
      </c>
      <c r="H209" s="13">
        <f>(data[[#This Row],[Amount]])-(data[[#This Row],[Total cost]])</f>
        <v>-67.7800000000002</v>
      </c>
      <c r="I209" s="4"/>
    </row>
    <row r="210" spans="1:9" x14ac:dyDescent="0.25">
      <c r="A210" t="s">
        <v>46</v>
      </c>
      <c r="B210" t="s">
        <v>13</v>
      </c>
      <c r="C210" t="s">
        <v>51</v>
      </c>
      <c r="D210" s="3">
        <v>2114</v>
      </c>
      <c r="E210" s="4">
        <v>66</v>
      </c>
      <c r="F210" s="13">
        <f>_xlfn.XLOOKUP(data[[#This Row],[Product]],products[Product],products[Cost per unit])</f>
        <v>7.16</v>
      </c>
      <c r="G210" s="13">
        <f>data[[#This Row],[Cost per unit]]*data[[#This Row],[Units]]</f>
        <v>472.56</v>
      </c>
      <c r="H210" s="13">
        <f>(data[[#This Row],[Amount]])-(data[[#This Row],[Total cost]])</f>
        <v>1641.44</v>
      </c>
      <c r="I210" s="4"/>
    </row>
    <row r="211" spans="1:9" x14ac:dyDescent="0.25">
      <c r="A211" t="s">
        <v>25</v>
      </c>
      <c r="B211" t="s">
        <v>26</v>
      </c>
      <c r="C211" t="s">
        <v>27</v>
      </c>
      <c r="D211" s="3">
        <v>2100</v>
      </c>
      <c r="E211" s="4">
        <v>414</v>
      </c>
      <c r="F211" s="13">
        <f>_xlfn.XLOOKUP(data[[#This Row],[Product]],products[Product],products[Cost per unit])</f>
        <v>13.15</v>
      </c>
      <c r="G211" s="13">
        <f>data[[#This Row],[Cost per unit]]*data[[#This Row],[Units]]</f>
        <v>5444.1</v>
      </c>
      <c r="H211" s="13">
        <f>(data[[#This Row],[Amount]])-(data[[#This Row],[Total cost]])</f>
        <v>-3344.1000000000004</v>
      </c>
      <c r="I211" s="4"/>
    </row>
    <row r="212" spans="1:9" x14ac:dyDescent="0.25">
      <c r="A212" t="s">
        <v>12</v>
      </c>
      <c r="B212" t="s">
        <v>13</v>
      </c>
      <c r="C212" t="s">
        <v>51</v>
      </c>
      <c r="D212" s="3">
        <v>2023</v>
      </c>
      <c r="E212" s="4">
        <v>168</v>
      </c>
      <c r="F212" s="13">
        <f>_xlfn.XLOOKUP(data[[#This Row],[Product]],products[Product],products[Cost per unit])</f>
        <v>7.16</v>
      </c>
      <c r="G212" s="13">
        <f>data[[#This Row],[Cost per unit]]*data[[#This Row],[Units]]</f>
        <v>1202.8800000000001</v>
      </c>
      <c r="H212" s="13">
        <f>(data[[#This Row],[Amount]])-(data[[#This Row],[Total cost]])</f>
        <v>820.11999999999989</v>
      </c>
      <c r="I212" s="4"/>
    </row>
    <row r="213" spans="1:9" x14ac:dyDescent="0.25">
      <c r="A213" t="s">
        <v>46</v>
      </c>
      <c r="B213" t="s">
        <v>13</v>
      </c>
      <c r="C213" t="s">
        <v>47</v>
      </c>
      <c r="D213" s="3">
        <v>2023</v>
      </c>
      <c r="E213" s="4">
        <v>78</v>
      </c>
      <c r="F213" s="13">
        <f>_xlfn.XLOOKUP(data[[#This Row],[Product]],products[Product],products[Cost per unit])</f>
        <v>6.49</v>
      </c>
      <c r="G213" s="13">
        <f>data[[#This Row],[Cost per unit]]*data[[#This Row],[Units]]</f>
        <v>506.22</v>
      </c>
      <c r="H213" s="13">
        <f>(data[[#This Row],[Amount]])-(data[[#This Row],[Total cost]])</f>
        <v>1516.78</v>
      </c>
      <c r="I213" s="4"/>
    </row>
    <row r="214" spans="1:9" x14ac:dyDescent="0.25">
      <c r="A214" t="s">
        <v>45</v>
      </c>
      <c r="B214" t="s">
        <v>26</v>
      </c>
      <c r="C214" t="s">
        <v>29</v>
      </c>
      <c r="D214" s="3">
        <v>2016</v>
      </c>
      <c r="E214" s="4">
        <v>117</v>
      </c>
      <c r="F214" s="13">
        <f>_xlfn.XLOOKUP(data[[#This Row],[Product]],products[Product],products[Cost per unit])</f>
        <v>8.7899999999999991</v>
      </c>
      <c r="G214" s="13">
        <f>data[[#This Row],[Cost per unit]]*data[[#This Row],[Units]]</f>
        <v>1028.4299999999998</v>
      </c>
      <c r="H214" s="13">
        <f>(data[[#This Row],[Amount]])-(data[[#This Row],[Total cost]])</f>
        <v>987.57000000000016</v>
      </c>
      <c r="I214" s="4"/>
    </row>
    <row r="215" spans="1:9" x14ac:dyDescent="0.25">
      <c r="A215" t="s">
        <v>12</v>
      </c>
      <c r="B215" t="s">
        <v>49</v>
      </c>
      <c r="C215" t="s">
        <v>29</v>
      </c>
      <c r="D215" s="3">
        <v>2009</v>
      </c>
      <c r="E215" s="4">
        <v>219</v>
      </c>
      <c r="F215" s="13">
        <f>_xlfn.XLOOKUP(data[[#This Row],[Product]],products[Product],products[Cost per unit])</f>
        <v>8.7899999999999991</v>
      </c>
      <c r="G215" s="13">
        <f>data[[#This Row],[Cost per unit]]*data[[#This Row],[Units]]</f>
        <v>1925.0099999999998</v>
      </c>
      <c r="H215" s="13">
        <f>(data[[#This Row],[Amount]])-(data[[#This Row],[Total cost]])</f>
        <v>83.990000000000236</v>
      </c>
      <c r="I215" s="4"/>
    </row>
    <row r="216" spans="1:9" x14ac:dyDescent="0.25">
      <c r="A216" t="s">
        <v>7</v>
      </c>
      <c r="B216" t="s">
        <v>33</v>
      </c>
      <c r="C216" t="s">
        <v>34</v>
      </c>
      <c r="D216" s="3">
        <v>1988</v>
      </c>
      <c r="E216" s="4">
        <v>39</v>
      </c>
      <c r="F216" s="13">
        <f>_xlfn.XLOOKUP(data[[#This Row],[Product]],products[Product],products[Cost per unit])</f>
        <v>5.79</v>
      </c>
      <c r="G216" s="13">
        <f>data[[#This Row],[Cost per unit]]*data[[#This Row],[Units]]</f>
        <v>225.81</v>
      </c>
      <c r="H216" s="13">
        <f>(data[[#This Row],[Amount]])-(data[[#This Row],[Total cost]])</f>
        <v>1762.19</v>
      </c>
      <c r="I216" s="4"/>
    </row>
    <row r="217" spans="1:9" x14ac:dyDescent="0.25">
      <c r="A217" t="s">
        <v>54</v>
      </c>
      <c r="B217" t="s">
        <v>13</v>
      </c>
      <c r="C217" t="s">
        <v>41</v>
      </c>
      <c r="D217" s="3">
        <v>1974</v>
      </c>
      <c r="E217" s="4">
        <v>195</v>
      </c>
      <c r="F217" s="13">
        <f>_xlfn.XLOOKUP(data[[#This Row],[Product]],products[Product],products[Cost per unit])</f>
        <v>10.62</v>
      </c>
      <c r="G217" s="13">
        <f>data[[#This Row],[Cost per unit]]*data[[#This Row],[Units]]</f>
        <v>2070.8999999999996</v>
      </c>
      <c r="H217" s="13">
        <f>(data[[#This Row],[Amount]])-(data[[#This Row],[Total cost]])</f>
        <v>-96.899999999999636</v>
      </c>
      <c r="I217" s="4"/>
    </row>
    <row r="218" spans="1:9" x14ac:dyDescent="0.25">
      <c r="A218" t="s">
        <v>39</v>
      </c>
      <c r="B218" t="s">
        <v>49</v>
      </c>
      <c r="C218" t="s">
        <v>16</v>
      </c>
      <c r="D218" s="3">
        <v>1932</v>
      </c>
      <c r="E218" s="4">
        <v>369</v>
      </c>
      <c r="F218" s="13">
        <f>_xlfn.XLOOKUP(data[[#This Row],[Product]],products[Product],products[Cost per unit])</f>
        <v>11.7</v>
      </c>
      <c r="G218" s="13">
        <f>data[[#This Row],[Cost per unit]]*data[[#This Row],[Units]]</f>
        <v>4317.3</v>
      </c>
      <c r="H218" s="13">
        <f>(data[[#This Row],[Amount]])-(data[[#This Row],[Total cost]])</f>
        <v>-2385.3000000000002</v>
      </c>
      <c r="I218" s="4"/>
    </row>
    <row r="219" spans="1:9" x14ac:dyDescent="0.25">
      <c r="A219" t="s">
        <v>20</v>
      </c>
      <c r="B219" t="s">
        <v>21</v>
      </c>
      <c r="C219" t="s">
        <v>38</v>
      </c>
      <c r="D219" s="3">
        <v>1925</v>
      </c>
      <c r="E219" s="4">
        <v>192</v>
      </c>
      <c r="F219" s="13">
        <f>_xlfn.XLOOKUP(data[[#This Row],[Product]],products[Product],products[Cost per unit])</f>
        <v>7.64</v>
      </c>
      <c r="G219" s="13">
        <f>data[[#This Row],[Cost per unit]]*data[[#This Row],[Units]]</f>
        <v>1466.8799999999999</v>
      </c>
      <c r="H219" s="13">
        <f>(data[[#This Row],[Amount]])-(data[[#This Row],[Total cost]])</f>
        <v>458.12000000000012</v>
      </c>
      <c r="I219" s="4"/>
    </row>
    <row r="220" spans="1:9" x14ac:dyDescent="0.25">
      <c r="A220" t="s">
        <v>25</v>
      </c>
      <c r="B220" t="s">
        <v>8</v>
      </c>
      <c r="C220" t="s">
        <v>29</v>
      </c>
      <c r="D220" s="3">
        <v>1904</v>
      </c>
      <c r="E220" s="4">
        <v>405</v>
      </c>
      <c r="F220" s="13">
        <f>_xlfn.XLOOKUP(data[[#This Row],[Product]],products[Product],products[Cost per unit])</f>
        <v>8.7899999999999991</v>
      </c>
      <c r="G220" s="13">
        <f>data[[#This Row],[Cost per unit]]*data[[#This Row],[Units]]</f>
        <v>3559.95</v>
      </c>
      <c r="H220" s="13">
        <f>(data[[#This Row],[Amount]])-(data[[#This Row],[Total cost]])</f>
        <v>-1655.9499999999998</v>
      </c>
      <c r="I220" s="4"/>
    </row>
    <row r="221" spans="1:9" x14ac:dyDescent="0.25">
      <c r="A221" t="s">
        <v>12</v>
      </c>
      <c r="B221" t="s">
        <v>8</v>
      </c>
      <c r="C221" t="s">
        <v>36</v>
      </c>
      <c r="D221" s="3">
        <v>1890</v>
      </c>
      <c r="E221" s="4">
        <v>195</v>
      </c>
      <c r="F221" s="13">
        <f>_xlfn.XLOOKUP(data[[#This Row],[Product]],products[Product],products[Cost per unit])</f>
        <v>9.77</v>
      </c>
      <c r="G221" s="13">
        <f>data[[#This Row],[Cost per unit]]*data[[#This Row],[Units]]</f>
        <v>1905.1499999999999</v>
      </c>
      <c r="H221" s="13">
        <f>(data[[#This Row],[Amount]])-(data[[#This Row],[Total cost]])</f>
        <v>-15.149999999999864</v>
      </c>
      <c r="I221" s="4"/>
    </row>
    <row r="222" spans="1:9" x14ac:dyDescent="0.25">
      <c r="A222" t="s">
        <v>45</v>
      </c>
      <c r="B222" t="s">
        <v>26</v>
      </c>
      <c r="C222" t="s">
        <v>27</v>
      </c>
      <c r="D222" s="3">
        <v>1785</v>
      </c>
      <c r="E222" s="4">
        <v>462</v>
      </c>
      <c r="F222" s="13">
        <f>_xlfn.XLOOKUP(data[[#This Row],[Product]],products[Product],products[Cost per unit])</f>
        <v>13.15</v>
      </c>
      <c r="G222" s="13">
        <f>data[[#This Row],[Cost per unit]]*data[[#This Row],[Units]]</f>
        <v>6075.3</v>
      </c>
      <c r="H222" s="13">
        <f>(data[[#This Row],[Amount]])-(data[[#This Row],[Total cost]])</f>
        <v>-4290.3</v>
      </c>
      <c r="I222" s="4"/>
    </row>
    <row r="223" spans="1:9" x14ac:dyDescent="0.25">
      <c r="A223" t="s">
        <v>39</v>
      </c>
      <c r="B223" t="s">
        <v>33</v>
      </c>
      <c r="C223" t="s">
        <v>22</v>
      </c>
      <c r="D223" s="3">
        <v>1778</v>
      </c>
      <c r="E223" s="4">
        <v>270</v>
      </c>
      <c r="F223" s="13">
        <f>_xlfn.XLOOKUP(data[[#This Row],[Product]],products[Product],products[Cost per unit])</f>
        <v>6.47</v>
      </c>
      <c r="G223" s="13">
        <f>data[[#This Row],[Cost per unit]]*data[[#This Row],[Units]]</f>
        <v>1746.8999999999999</v>
      </c>
      <c r="H223" s="13">
        <f>(data[[#This Row],[Amount]])-(data[[#This Row],[Total cost]])</f>
        <v>31.100000000000136</v>
      </c>
      <c r="I223" s="4"/>
    </row>
    <row r="224" spans="1:9" x14ac:dyDescent="0.25">
      <c r="A224" t="s">
        <v>12</v>
      </c>
      <c r="B224" t="s">
        <v>8</v>
      </c>
      <c r="C224" t="s">
        <v>38</v>
      </c>
      <c r="D224" s="3">
        <v>1771</v>
      </c>
      <c r="E224" s="4">
        <v>204</v>
      </c>
      <c r="F224" s="13">
        <f>_xlfn.XLOOKUP(data[[#This Row],[Product]],products[Product],products[Cost per unit])</f>
        <v>7.64</v>
      </c>
      <c r="G224" s="13">
        <f>data[[#This Row],[Cost per unit]]*data[[#This Row],[Units]]</f>
        <v>1558.56</v>
      </c>
      <c r="H224" s="13">
        <f>(data[[#This Row],[Amount]])-(data[[#This Row],[Total cost]])</f>
        <v>212.44000000000005</v>
      </c>
      <c r="I224" s="4"/>
    </row>
    <row r="225" spans="1:9" x14ac:dyDescent="0.25">
      <c r="A225" t="s">
        <v>12</v>
      </c>
      <c r="B225" t="s">
        <v>33</v>
      </c>
      <c r="C225" t="s">
        <v>47</v>
      </c>
      <c r="D225" s="3">
        <v>1701</v>
      </c>
      <c r="E225" s="4">
        <v>234</v>
      </c>
      <c r="F225" s="13">
        <f>_xlfn.XLOOKUP(data[[#This Row],[Product]],products[Product],products[Cost per unit])</f>
        <v>6.49</v>
      </c>
      <c r="G225" s="13">
        <f>data[[#This Row],[Cost per unit]]*data[[#This Row],[Units]]</f>
        <v>1518.66</v>
      </c>
      <c r="H225" s="13">
        <f>(data[[#This Row],[Amount]])-(data[[#This Row],[Total cost]])</f>
        <v>182.33999999999992</v>
      </c>
      <c r="I225" s="4"/>
    </row>
    <row r="226" spans="1:9" x14ac:dyDescent="0.25">
      <c r="A226" t="s">
        <v>46</v>
      </c>
      <c r="B226" t="s">
        <v>26</v>
      </c>
      <c r="C226" t="s">
        <v>53</v>
      </c>
      <c r="D226" s="3">
        <v>1652</v>
      </c>
      <c r="E226" s="4">
        <v>102</v>
      </c>
      <c r="F226" s="13">
        <f>_xlfn.XLOOKUP(data[[#This Row],[Product]],products[Product],products[Cost per unit])</f>
        <v>10.38</v>
      </c>
      <c r="G226" s="13">
        <f>data[[#This Row],[Cost per unit]]*data[[#This Row],[Units]]</f>
        <v>1058.76</v>
      </c>
      <c r="H226" s="13">
        <f>(data[[#This Row],[Amount]])-(data[[#This Row],[Total cost]])</f>
        <v>593.24</v>
      </c>
      <c r="I226" s="4"/>
    </row>
    <row r="227" spans="1:9" x14ac:dyDescent="0.25">
      <c r="A227" t="s">
        <v>42</v>
      </c>
      <c r="B227" t="s">
        <v>49</v>
      </c>
      <c r="C227" t="s">
        <v>30</v>
      </c>
      <c r="D227" s="3">
        <v>1652</v>
      </c>
      <c r="E227" s="4">
        <v>93</v>
      </c>
      <c r="F227" s="13">
        <f>_xlfn.XLOOKUP(data[[#This Row],[Product]],products[Product],products[Cost per unit])</f>
        <v>12.37</v>
      </c>
      <c r="G227" s="13">
        <f>data[[#This Row],[Cost per unit]]*data[[#This Row],[Units]]</f>
        <v>1150.4099999999999</v>
      </c>
      <c r="H227" s="13">
        <f>(data[[#This Row],[Amount]])-(data[[#This Row],[Total cost]])</f>
        <v>501.59000000000015</v>
      </c>
      <c r="I227" s="4"/>
    </row>
    <row r="228" spans="1:9" x14ac:dyDescent="0.25">
      <c r="A228" t="s">
        <v>25</v>
      </c>
      <c r="B228" t="s">
        <v>26</v>
      </c>
      <c r="C228" t="s">
        <v>9</v>
      </c>
      <c r="D228" s="3">
        <v>1638</v>
      </c>
      <c r="E228" s="4">
        <v>63</v>
      </c>
      <c r="F228" s="13">
        <f>_xlfn.XLOOKUP(data[[#This Row],[Product]],products[Product],products[Cost per unit])</f>
        <v>14.49</v>
      </c>
      <c r="G228" s="13">
        <f>data[[#This Row],[Cost per unit]]*data[[#This Row],[Units]]</f>
        <v>912.87</v>
      </c>
      <c r="H228" s="13">
        <f>(data[[#This Row],[Amount]])-(data[[#This Row],[Total cost]])</f>
        <v>725.13</v>
      </c>
      <c r="I228" s="4"/>
    </row>
    <row r="229" spans="1:9" x14ac:dyDescent="0.25">
      <c r="A229" t="s">
        <v>7</v>
      </c>
      <c r="B229" t="s">
        <v>13</v>
      </c>
      <c r="C229" t="s">
        <v>48</v>
      </c>
      <c r="D229" s="3">
        <v>1638</v>
      </c>
      <c r="E229" s="4">
        <v>48</v>
      </c>
      <c r="F229" s="13">
        <f>_xlfn.XLOOKUP(data[[#This Row],[Product]],products[Product],products[Cost per unit])</f>
        <v>4.97</v>
      </c>
      <c r="G229" s="13">
        <f>data[[#This Row],[Cost per unit]]*data[[#This Row],[Units]]</f>
        <v>238.56</v>
      </c>
      <c r="H229" s="13">
        <f>(data[[#This Row],[Amount]])-(data[[#This Row],[Total cost]])</f>
        <v>1399.44</v>
      </c>
      <c r="I229" s="4"/>
    </row>
    <row r="230" spans="1:9" x14ac:dyDescent="0.25">
      <c r="A230" t="s">
        <v>7</v>
      </c>
      <c r="B230" t="s">
        <v>8</v>
      </c>
      <c r="C230" t="s">
        <v>9</v>
      </c>
      <c r="D230" s="3">
        <v>1624</v>
      </c>
      <c r="E230" s="4">
        <v>114</v>
      </c>
      <c r="F230" s="13">
        <f>_xlfn.XLOOKUP(data[[#This Row],[Product]],products[Product],products[Cost per unit])</f>
        <v>14.49</v>
      </c>
      <c r="G230" s="13">
        <f>data[[#This Row],[Cost per unit]]*data[[#This Row],[Units]]</f>
        <v>1651.8600000000001</v>
      </c>
      <c r="H230" s="13">
        <f>(data[[#This Row],[Amount]])-(data[[#This Row],[Total cost]])</f>
        <v>-27.860000000000127</v>
      </c>
      <c r="I230" s="4"/>
    </row>
    <row r="231" spans="1:9" x14ac:dyDescent="0.25">
      <c r="A231" t="s">
        <v>7</v>
      </c>
      <c r="B231" t="s">
        <v>13</v>
      </c>
      <c r="C231" t="s">
        <v>51</v>
      </c>
      <c r="D231" s="3">
        <v>1617</v>
      </c>
      <c r="E231" s="4">
        <v>126</v>
      </c>
      <c r="F231" s="13">
        <f>_xlfn.XLOOKUP(data[[#This Row],[Product]],products[Product],products[Cost per unit])</f>
        <v>7.16</v>
      </c>
      <c r="G231" s="13">
        <f>data[[#This Row],[Cost per unit]]*data[[#This Row],[Units]]</f>
        <v>902.16</v>
      </c>
      <c r="H231" s="13">
        <f>(data[[#This Row],[Amount]])-(data[[#This Row],[Total cost]])</f>
        <v>714.84</v>
      </c>
      <c r="I231" s="4"/>
    </row>
    <row r="232" spans="1:9" x14ac:dyDescent="0.25">
      <c r="A232" t="s">
        <v>45</v>
      </c>
      <c r="B232" t="s">
        <v>13</v>
      </c>
      <c r="C232" t="s">
        <v>32</v>
      </c>
      <c r="D232" s="3">
        <v>1589</v>
      </c>
      <c r="E232" s="4">
        <v>303</v>
      </c>
      <c r="F232" s="13">
        <f>_xlfn.XLOOKUP(data[[#This Row],[Product]],products[Product],products[Cost per unit])</f>
        <v>3.11</v>
      </c>
      <c r="G232" s="13">
        <f>data[[#This Row],[Cost per unit]]*data[[#This Row],[Units]]</f>
        <v>942.32999999999993</v>
      </c>
      <c r="H232" s="13">
        <f>(data[[#This Row],[Amount]])-(data[[#This Row],[Total cost]])</f>
        <v>646.67000000000007</v>
      </c>
      <c r="I232" s="4"/>
    </row>
    <row r="233" spans="1:9" x14ac:dyDescent="0.25">
      <c r="A233" t="s">
        <v>45</v>
      </c>
      <c r="B233" t="s">
        <v>26</v>
      </c>
      <c r="C233" t="s">
        <v>36</v>
      </c>
      <c r="D233" s="3">
        <v>1568</v>
      </c>
      <c r="E233" s="4">
        <v>141</v>
      </c>
      <c r="F233" s="13">
        <f>_xlfn.XLOOKUP(data[[#This Row],[Product]],products[Product],products[Cost per unit])</f>
        <v>9.77</v>
      </c>
      <c r="G233" s="13">
        <f>data[[#This Row],[Cost per unit]]*data[[#This Row],[Units]]</f>
        <v>1377.57</v>
      </c>
      <c r="H233" s="13">
        <f>(data[[#This Row],[Amount]])-(data[[#This Row],[Total cost]])</f>
        <v>190.43000000000006</v>
      </c>
      <c r="I233" s="4"/>
    </row>
    <row r="234" spans="1:9" x14ac:dyDescent="0.25">
      <c r="A234" t="s">
        <v>39</v>
      </c>
      <c r="B234" t="s">
        <v>49</v>
      </c>
      <c r="C234" t="s">
        <v>27</v>
      </c>
      <c r="D234" s="3">
        <v>1568</v>
      </c>
      <c r="E234" s="4">
        <v>96</v>
      </c>
      <c r="F234" s="13">
        <f>_xlfn.XLOOKUP(data[[#This Row],[Product]],products[Product],products[Cost per unit])</f>
        <v>13.15</v>
      </c>
      <c r="G234" s="13">
        <f>data[[#This Row],[Cost per unit]]*data[[#This Row],[Units]]</f>
        <v>1262.4000000000001</v>
      </c>
      <c r="H234" s="13">
        <f>(data[[#This Row],[Amount]])-(data[[#This Row],[Total cost]])</f>
        <v>305.59999999999991</v>
      </c>
      <c r="I234" s="4"/>
    </row>
    <row r="235" spans="1:9" x14ac:dyDescent="0.25">
      <c r="A235" t="s">
        <v>12</v>
      </c>
      <c r="B235" t="s">
        <v>26</v>
      </c>
      <c r="C235" t="s">
        <v>50</v>
      </c>
      <c r="D235" s="3">
        <v>1561</v>
      </c>
      <c r="E235" s="4">
        <v>27</v>
      </c>
      <c r="F235" s="13">
        <f>_xlfn.XLOOKUP(data[[#This Row],[Product]],products[Product],products[Cost per unit])</f>
        <v>5.6</v>
      </c>
      <c r="G235" s="13">
        <f>data[[#This Row],[Cost per unit]]*data[[#This Row],[Units]]</f>
        <v>151.19999999999999</v>
      </c>
      <c r="H235" s="13">
        <f>(data[[#This Row],[Amount]])-(data[[#This Row],[Total cost]])</f>
        <v>1409.8</v>
      </c>
      <c r="I235" s="4"/>
    </row>
    <row r="236" spans="1:9" x14ac:dyDescent="0.25">
      <c r="A236" t="s">
        <v>20</v>
      </c>
      <c r="B236" t="s">
        <v>8</v>
      </c>
      <c r="C236" t="s">
        <v>9</v>
      </c>
      <c r="D236" s="3">
        <v>1526</v>
      </c>
      <c r="E236" s="4">
        <v>240</v>
      </c>
      <c r="F236" s="13">
        <f>_xlfn.XLOOKUP(data[[#This Row],[Product]],products[Product],products[Cost per unit])</f>
        <v>14.49</v>
      </c>
      <c r="G236" s="13">
        <f>data[[#This Row],[Cost per unit]]*data[[#This Row],[Units]]</f>
        <v>3477.6</v>
      </c>
      <c r="H236" s="13">
        <f>(data[[#This Row],[Amount]])-(data[[#This Row],[Total cost]])</f>
        <v>-1951.6</v>
      </c>
      <c r="I236" s="4"/>
    </row>
    <row r="237" spans="1:9" x14ac:dyDescent="0.25">
      <c r="A237" t="s">
        <v>42</v>
      </c>
      <c r="B237" t="s">
        <v>21</v>
      </c>
      <c r="C237" t="s">
        <v>9</v>
      </c>
      <c r="D237" s="3">
        <v>1526</v>
      </c>
      <c r="E237" s="4">
        <v>105</v>
      </c>
      <c r="F237" s="13">
        <f>_xlfn.XLOOKUP(data[[#This Row],[Product]],products[Product],products[Cost per unit])</f>
        <v>14.49</v>
      </c>
      <c r="G237" s="13">
        <f>data[[#This Row],[Cost per unit]]*data[[#This Row],[Units]]</f>
        <v>1521.45</v>
      </c>
      <c r="H237" s="13">
        <f>(data[[#This Row],[Amount]])-(data[[#This Row],[Total cost]])</f>
        <v>4.5499999999999545</v>
      </c>
      <c r="I237" s="4"/>
    </row>
    <row r="238" spans="1:9" x14ac:dyDescent="0.25">
      <c r="A238" t="s">
        <v>25</v>
      </c>
      <c r="B238" t="s">
        <v>8</v>
      </c>
      <c r="C238" t="s">
        <v>22</v>
      </c>
      <c r="D238" s="3">
        <v>1505</v>
      </c>
      <c r="E238" s="4">
        <v>102</v>
      </c>
      <c r="F238" s="13">
        <f>_xlfn.XLOOKUP(data[[#This Row],[Product]],products[Product],products[Cost per unit])</f>
        <v>6.47</v>
      </c>
      <c r="G238" s="13">
        <f>data[[#This Row],[Cost per unit]]*data[[#This Row],[Units]]</f>
        <v>659.93999999999994</v>
      </c>
      <c r="H238" s="13">
        <f>(data[[#This Row],[Amount]])-(data[[#This Row],[Total cost]])</f>
        <v>845.06000000000006</v>
      </c>
      <c r="I238" s="4"/>
    </row>
    <row r="239" spans="1:9" x14ac:dyDescent="0.25">
      <c r="A239" t="s">
        <v>20</v>
      </c>
      <c r="B239" t="s">
        <v>49</v>
      </c>
      <c r="C239" t="s">
        <v>32</v>
      </c>
      <c r="D239" s="3">
        <v>1463</v>
      </c>
      <c r="E239" s="4">
        <v>39</v>
      </c>
      <c r="F239" s="13">
        <f>_xlfn.XLOOKUP(data[[#This Row],[Product]],products[Product],products[Cost per unit])</f>
        <v>3.11</v>
      </c>
      <c r="G239" s="13">
        <f>data[[#This Row],[Cost per unit]]*data[[#This Row],[Units]]</f>
        <v>121.28999999999999</v>
      </c>
      <c r="H239" s="13">
        <f>(data[[#This Row],[Amount]])-(data[[#This Row],[Total cost]])</f>
        <v>1341.71</v>
      </c>
      <c r="I239" s="4"/>
    </row>
    <row r="240" spans="1:9" x14ac:dyDescent="0.25">
      <c r="A240" t="s">
        <v>25</v>
      </c>
      <c r="B240" t="s">
        <v>49</v>
      </c>
      <c r="C240" t="s">
        <v>24</v>
      </c>
      <c r="D240" s="3">
        <v>1442</v>
      </c>
      <c r="E240" s="4">
        <v>15</v>
      </c>
      <c r="F240" s="13">
        <f>_xlfn.XLOOKUP(data[[#This Row],[Product]],products[Product],products[Cost per unit])</f>
        <v>11.73</v>
      </c>
      <c r="G240" s="13">
        <f>data[[#This Row],[Cost per unit]]*data[[#This Row],[Units]]</f>
        <v>175.95000000000002</v>
      </c>
      <c r="H240" s="13">
        <f>(data[[#This Row],[Amount]])-(data[[#This Row],[Total cost]])</f>
        <v>1266.05</v>
      </c>
      <c r="I240" s="4"/>
    </row>
    <row r="241" spans="1:9" x14ac:dyDescent="0.25">
      <c r="A241" t="s">
        <v>54</v>
      </c>
      <c r="B241" t="s">
        <v>49</v>
      </c>
      <c r="C241" t="s">
        <v>27</v>
      </c>
      <c r="D241" s="3">
        <v>1428</v>
      </c>
      <c r="E241" s="4">
        <v>93</v>
      </c>
      <c r="F241" s="13">
        <f>_xlfn.XLOOKUP(data[[#This Row],[Product]],products[Product],products[Cost per unit])</f>
        <v>13.15</v>
      </c>
      <c r="G241" s="13">
        <f>data[[#This Row],[Cost per unit]]*data[[#This Row],[Units]]</f>
        <v>1222.95</v>
      </c>
      <c r="H241" s="13">
        <f>(data[[#This Row],[Amount]])-(data[[#This Row],[Total cost]])</f>
        <v>205.04999999999995</v>
      </c>
      <c r="I241" s="4"/>
    </row>
    <row r="242" spans="1:9" x14ac:dyDescent="0.25">
      <c r="A242" t="s">
        <v>54</v>
      </c>
      <c r="B242" t="s">
        <v>21</v>
      </c>
      <c r="C242" t="s">
        <v>52</v>
      </c>
      <c r="D242" s="3">
        <v>1407</v>
      </c>
      <c r="E242" s="4">
        <v>72</v>
      </c>
      <c r="F242" s="13">
        <f>_xlfn.XLOOKUP(data[[#This Row],[Product]],products[Product],products[Cost per unit])</f>
        <v>16.73</v>
      </c>
      <c r="G242" s="13">
        <f>data[[#This Row],[Cost per unit]]*data[[#This Row],[Units]]</f>
        <v>1204.56</v>
      </c>
      <c r="H242" s="13">
        <f>(data[[#This Row],[Amount]])-(data[[#This Row],[Total cost]])</f>
        <v>202.44000000000005</v>
      </c>
      <c r="I242" s="4"/>
    </row>
    <row r="243" spans="1:9" x14ac:dyDescent="0.25">
      <c r="A243" t="s">
        <v>25</v>
      </c>
      <c r="B243" t="s">
        <v>21</v>
      </c>
      <c r="C243" t="s">
        <v>51</v>
      </c>
      <c r="D243" s="3">
        <v>1400</v>
      </c>
      <c r="E243" s="4">
        <v>135</v>
      </c>
      <c r="F243" s="13">
        <f>_xlfn.XLOOKUP(data[[#This Row],[Product]],products[Product],products[Cost per unit])</f>
        <v>7.16</v>
      </c>
      <c r="G243" s="13">
        <f>data[[#This Row],[Cost per unit]]*data[[#This Row],[Units]]</f>
        <v>966.6</v>
      </c>
      <c r="H243" s="13">
        <f>(data[[#This Row],[Amount]])-(data[[#This Row],[Total cost]])</f>
        <v>433.4</v>
      </c>
      <c r="I243" s="4"/>
    </row>
    <row r="244" spans="1:9" x14ac:dyDescent="0.25">
      <c r="A244" t="s">
        <v>25</v>
      </c>
      <c r="B244" t="s">
        <v>13</v>
      </c>
      <c r="C244" t="s">
        <v>18</v>
      </c>
      <c r="D244" s="3">
        <v>1302</v>
      </c>
      <c r="E244" s="4">
        <v>402</v>
      </c>
      <c r="F244" s="13">
        <f>_xlfn.XLOOKUP(data[[#This Row],[Product]],products[Product],products[Cost per unit])</f>
        <v>11.88</v>
      </c>
      <c r="G244" s="13">
        <f>data[[#This Row],[Cost per unit]]*data[[#This Row],[Units]]</f>
        <v>4775.76</v>
      </c>
      <c r="H244" s="13">
        <f>(data[[#This Row],[Amount]])-(data[[#This Row],[Total cost]])</f>
        <v>-3473.76</v>
      </c>
      <c r="I244" s="4"/>
    </row>
    <row r="245" spans="1:9" x14ac:dyDescent="0.25">
      <c r="A245" t="s">
        <v>39</v>
      </c>
      <c r="B245" t="s">
        <v>33</v>
      </c>
      <c r="C245" t="s">
        <v>16</v>
      </c>
      <c r="D245" s="3">
        <v>1281</v>
      </c>
      <c r="E245" s="4">
        <v>75</v>
      </c>
      <c r="F245" s="13">
        <f>_xlfn.XLOOKUP(data[[#This Row],[Product]],products[Product],products[Cost per unit])</f>
        <v>11.7</v>
      </c>
      <c r="G245" s="13">
        <f>data[[#This Row],[Cost per unit]]*data[[#This Row],[Units]]</f>
        <v>877.5</v>
      </c>
      <c r="H245" s="13">
        <f>(data[[#This Row],[Amount]])-(data[[#This Row],[Total cost]])</f>
        <v>403.5</v>
      </c>
      <c r="I245" s="4"/>
    </row>
    <row r="246" spans="1:9" x14ac:dyDescent="0.25">
      <c r="A246" t="s">
        <v>46</v>
      </c>
      <c r="B246" t="s">
        <v>21</v>
      </c>
      <c r="C246" t="s">
        <v>38</v>
      </c>
      <c r="D246" s="3">
        <v>1281</v>
      </c>
      <c r="E246" s="4">
        <v>18</v>
      </c>
      <c r="F246" s="13">
        <f>_xlfn.XLOOKUP(data[[#This Row],[Product]],products[Product],products[Cost per unit])</f>
        <v>7.64</v>
      </c>
      <c r="G246" s="13">
        <f>data[[#This Row],[Cost per unit]]*data[[#This Row],[Units]]</f>
        <v>137.51999999999998</v>
      </c>
      <c r="H246" s="13">
        <f>(data[[#This Row],[Amount]])-(data[[#This Row],[Total cost]])</f>
        <v>1143.48</v>
      </c>
      <c r="I246" s="4"/>
    </row>
    <row r="247" spans="1:9" x14ac:dyDescent="0.25">
      <c r="A247" t="s">
        <v>20</v>
      </c>
      <c r="B247" t="s">
        <v>49</v>
      </c>
      <c r="C247" t="s">
        <v>29</v>
      </c>
      <c r="D247" s="3">
        <v>1274</v>
      </c>
      <c r="E247" s="4">
        <v>225</v>
      </c>
      <c r="F247" s="13">
        <f>_xlfn.XLOOKUP(data[[#This Row],[Product]],products[Product],products[Cost per unit])</f>
        <v>8.7899999999999991</v>
      </c>
      <c r="G247" s="13">
        <f>data[[#This Row],[Cost per unit]]*data[[#This Row],[Units]]</f>
        <v>1977.7499999999998</v>
      </c>
      <c r="H247" s="13">
        <f>(data[[#This Row],[Amount]])-(data[[#This Row],[Total cost]])</f>
        <v>-703.74999999999977</v>
      </c>
      <c r="I247" s="4"/>
    </row>
    <row r="248" spans="1:9" x14ac:dyDescent="0.25">
      <c r="A248" t="s">
        <v>25</v>
      </c>
      <c r="B248" t="s">
        <v>33</v>
      </c>
      <c r="C248" t="s">
        <v>52</v>
      </c>
      <c r="D248" s="3">
        <v>1134</v>
      </c>
      <c r="E248" s="4">
        <v>282</v>
      </c>
      <c r="F248" s="13">
        <f>_xlfn.XLOOKUP(data[[#This Row],[Product]],products[Product],products[Cost per unit])</f>
        <v>16.73</v>
      </c>
      <c r="G248" s="13">
        <f>data[[#This Row],[Cost per unit]]*data[[#This Row],[Units]]</f>
        <v>4717.8599999999997</v>
      </c>
      <c r="H248" s="13">
        <f>(data[[#This Row],[Amount]])-(data[[#This Row],[Total cost]])</f>
        <v>-3583.8599999999997</v>
      </c>
      <c r="I248" s="4"/>
    </row>
    <row r="249" spans="1:9" x14ac:dyDescent="0.25">
      <c r="A249" t="s">
        <v>17</v>
      </c>
      <c r="B249" t="s">
        <v>8</v>
      </c>
      <c r="C249" t="s">
        <v>51</v>
      </c>
      <c r="D249" s="3">
        <v>1085</v>
      </c>
      <c r="E249" s="4">
        <v>273</v>
      </c>
      <c r="F249" s="13">
        <f>_xlfn.XLOOKUP(data[[#This Row],[Product]],products[Product],products[Cost per unit])</f>
        <v>7.16</v>
      </c>
      <c r="G249" s="13">
        <f>data[[#This Row],[Cost per unit]]*data[[#This Row],[Units]]</f>
        <v>1954.68</v>
      </c>
      <c r="H249" s="13">
        <f>(data[[#This Row],[Amount]])-(data[[#This Row],[Total cost]])</f>
        <v>-869.68000000000006</v>
      </c>
      <c r="I249" s="4"/>
    </row>
    <row r="250" spans="1:9" x14ac:dyDescent="0.25">
      <c r="A250" t="s">
        <v>25</v>
      </c>
      <c r="B250" t="s">
        <v>13</v>
      </c>
      <c r="C250" t="s">
        <v>41</v>
      </c>
      <c r="D250" s="3">
        <v>1071</v>
      </c>
      <c r="E250" s="4">
        <v>270</v>
      </c>
      <c r="F250" s="13">
        <f>_xlfn.XLOOKUP(data[[#This Row],[Product]],products[Product],products[Cost per unit])</f>
        <v>10.62</v>
      </c>
      <c r="G250" s="13">
        <f>data[[#This Row],[Cost per unit]]*data[[#This Row],[Units]]</f>
        <v>2867.3999999999996</v>
      </c>
      <c r="H250" s="13">
        <f>(data[[#This Row],[Amount]])-(data[[#This Row],[Total cost]])</f>
        <v>-1796.3999999999996</v>
      </c>
      <c r="I250" s="4"/>
    </row>
    <row r="251" spans="1:9" x14ac:dyDescent="0.25">
      <c r="A251" t="s">
        <v>45</v>
      </c>
      <c r="B251" t="s">
        <v>8</v>
      </c>
      <c r="C251" t="s">
        <v>16</v>
      </c>
      <c r="D251" s="3">
        <v>1057</v>
      </c>
      <c r="E251" s="4">
        <v>54</v>
      </c>
      <c r="F251" s="13">
        <f>_xlfn.XLOOKUP(data[[#This Row],[Product]],products[Product],products[Cost per unit])</f>
        <v>11.7</v>
      </c>
      <c r="G251" s="13">
        <f>data[[#This Row],[Cost per unit]]*data[[#This Row],[Units]]</f>
        <v>631.79999999999995</v>
      </c>
      <c r="H251" s="13">
        <f>(data[[#This Row],[Amount]])-(data[[#This Row],[Total cost]])</f>
        <v>425.20000000000005</v>
      </c>
      <c r="I251" s="4"/>
    </row>
    <row r="252" spans="1:9" x14ac:dyDescent="0.25">
      <c r="A252" t="s">
        <v>46</v>
      </c>
      <c r="B252" t="s">
        <v>21</v>
      </c>
      <c r="C252" t="s">
        <v>53</v>
      </c>
      <c r="D252" s="3">
        <v>973</v>
      </c>
      <c r="E252" s="4">
        <v>162</v>
      </c>
      <c r="F252" s="13">
        <f>_xlfn.XLOOKUP(data[[#This Row],[Product]],products[Product],products[Cost per unit])</f>
        <v>10.38</v>
      </c>
      <c r="G252" s="13">
        <f>data[[#This Row],[Cost per unit]]*data[[#This Row],[Units]]</f>
        <v>1681.5600000000002</v>
      </c>
      <c r="H252" s="13">
        <f>(data[[#This Row],[Amount]])-(data[[#This Row],[Total cost]])</f>
        <v>-708.56000000000017</v>
      </c>
      <c r="I252" s="4"/>
    </row>
    <row r="253" spans="1:9" x14ac:dyDescent="0.25">
      <c r="A253" t="s">
        <v>39</v>
      </c>
      <c r="B253" t="s">
        <v>26</v>
      </c>
      <c r="C253" t="s">
        <v>52</v>
      </c>
      <c r="D253" s="3">
        <v>966</v>
      </c>
      <c r="E253" s="4">
        <v>198</v>
      </c>
      <c r="F253" s="13">
        <f>_xlfn.XLOOKUP(data[[#This Row],[Product]],products[Product],products[Cost per unit])</f>
        <v>16.73</v>
      </c>
      <c r="G253" s="13">
        <f>data[[#This Row],[Cost per unit]]*data[[#This Row],[Units]]</f>
        <v>3312.54</v>
      </c>
      <c r="H253" s="13">
        <f>(data[[#This Row],[Amount]])-(data[[#This Row],[Total cost]])</f>
        <v>-2346.54</v>
      </c>
      <c r="I253" s="4"/>
    </row>
    <row r="254" spans="1:9" x14ac:dyDescent="0.25">
      <c r="A254" t="s">
        <v>17</v>
      </c>
      <c r="B254" t="s">
        <v>13</v>
      </c>
      <c r="C254" t="s">
        <v>18</v>
      </c>
      <c r="D254" s="3">
        <v>959</v>
      </c>
      <c r="E254" s="4">
        <v>147</v>
      </c>
      <c r="F254" s="13">
        <f>_xlfn.XLOOKUP(data[[#This Row],[Product]],products[Product],products[Cost per unit])</f>
        <v>11.88</v>
      </c>
      <c r="G254" s="13">
        <f>data[[#This Row],[Cost per unit]]*data[[#This Row],[Units]]</f>
        <v>1746.3600000000001</v>
      </c>
      <c r="H254" s="13">
        <f>(data[[#This Row],[Amount]])-(data[[#This Row],[Total cost]])</f>
        <v>-787.36000000000013</v>
      </c>
      <c r="I254" s="4"/>
    </row>
    <row r="255" spans="1:9" x14ac:dyDescent="0.25">
      <c r="A255" t="s">
        <v>25</v>
      </c>
      <c r="B255" t="s">
        <v>33</v>
      </c>
      <c r="C255" t="s">
        <v>30</v>
      </c>
      <c r="D255" s="3">
        <v>959</v>
      </c>
      <c r="E255" s="4">
        <v>135</v>
      </c>
      <c r="F255" s="13">
        <f>_xlfn.XLOOKUP(data[[#This Row],[Product]],products[Product],products[Cost per unit])</f>
        <v>12.37</v>
      </c>
      <c r="G255" s="13">
        <f>data[[#This Row],[Cost per unit]]*data[[#This Row],[Units]]</f>
        <v>1669.9499999999998</v>
      </c>
      <c r="H255" s="13">
        <f>(data[[#This Row],[Amount]])-(data[[#This Row],[Total cost]])</f>
        <v>-710.94999999999982</v>
      </c>
      <c r="I255" s="4"/>
    </row>
    <row r="256" spans="1:9" x14ac:dyDescent="0.25">
      <c r="A256" t="s">
        <v>54</v>
      </c>
      <c r="B256" t="s">
        <v>21</v>
      </c>
      <c r="C256" t="s">
        <v>11</v>
      </c>
      <c r="D256" s="3">
        <v>945</v>
      </c>
      <c r="E256" s="4">
        <v>75</v>
      </c>
      <c r="F256" s="13">
        <f>_xlfn.XLOOKUP(data[[#This Row],[Product]],products[Product],products[Cost per unit])</f>
        <v>9.33</v>
      </c>
      <c r="G256" s="13">
        <f>data[[#This Row],[Cost per unit]]*data[[#This Row],[Units]]</f>
        <v>699.75</v>
      </c>
      <c r="H256" s="13">
        <f>(data[[#This Row],[Amount]])-(data[[#This Row],[Total cost]])</f>
        <v>245.25</v>
      </c>
      <c r="I256" s="4"/>
    </row>
    <row r="257" spans="1:9" x14ac:dyDescent="0.25">
      <c r="A257" t="s">
        <v>46</v>
      </c>
      <c r="B257" t="s">
        <v>8</v>
      </c>
      <c r="C257" t="s">
        <v>18</v>
      </c>
      <c r="D257" s="3">
        <v>938</v>
      </c>
      <c r="E257" s="4">
        <v>366</v>
      </c>
      <c r="F257" s="13">
        <f>_xlfn.XLOOKUP(data[[#This Row],[Product]],products[Product],products[Cost per unit])</f>
        <v>11.88</v>
      </c>
      <c r="G257" s="13">
        <f>data[[#This Row],[Cost per unit]]*data[[#This Row],[Units]]</f>
        <v>4348.08</v>
      </c>
      <c r="H257" s="13">
        <f>(data[[#This Row],[Amount]])-(data[[#This Row],[Total cost]])</f>
        <v>-3410.08</v>
      </c>
      <c r="I257" s="4"/>
    </row>
    <row r="258" spans="1:9" x14ac:dyDescent="0.25">
      <c r="A258" t="s">
        <v>17</v>
      </c>
      <c r="B258" t="s">
        <v>49</v>
      </c>
      <c r="C258" t="s">
        <v>29</v>
      </c>
      <c r="D258" s="3">
        <v>938</v>
      </c>
      <c r="E258" s="4">
        <v>189</v>
      </c>
      <c r="F258" s="13">
        <f>_xlfn.XLOOKUP(data[[#This Row],[Product]],products[Product],products[Cost per unit])</f>
        <v>8.7899999999999991</v>
      </c>
      <c r="G258" s="13">
        <f>data[[#This Row],[Cost per unit]]*data[[#This Row],[Units]]</f>
        <v>1661.31</v>
      </c>
      <c r="H258" s="13">
        <f>(data[[#This Row],[Amount]])-(data[[#This Row],[Total cost]])</f>
        <v>-723.31</v>
      </c>
      <c r="I258" s="4"/>
    </row>
    <row r="259" spans="1:9" x14ac:dyDescent="0.25">
      <c r="A259" t="s">
        <v>25</v>
      </c>
      <c r="B259" t="s">
        <v>33</v>
      </c>
      <c r="C259" t="s">
        <v>29</v>
      </c>
      <c r="D259" s="3">
        <v>938</v>
      </c>
      <c r="E259" s="4">
        <v>6</v>
      </c>
      <c r="F259" s="13">
        <f>_xlfn.XLOOKUP(data[[#This Row],[Product]],products[Product],products[Cost per unit])</f>
        <v>8.7899999999999991</v>
      </c>
      <c r="G259" s="13">
        <f>data[[#This Row],[Cost per unit]]*data[[#This Row],[Units]]</f>
        <v>52.739999999999995</v>
      </c>
      <c r="H259" s="13">
        <f>(data[[#This Row],[Amount]])-(data[[#This Row],[Total cost]])</f>
        <v>885.26</v>
      </c>
      <c r="I259" s="4"/>
    </row>
    <row r="260" spans="1:9" x14ac:dyDescent="0.25">
      <c r="A260" t="s">
        <v>42</v>
      </c>
      <c r="B260" t="s">
        <v>49</v>
      </c>
      <c r="C260" t="s">
        <v>38</v>
      </c>
      <c r="D260" s="3">
        <v>861</v>
      </c>
      <c r="E260" s="4">
        <v>195</v>
      </c>
      <c r="F260" s="13">
        <f>_xlfn.XLOOKUP(data[[#This Row],[Product]],products[Product],products[Cost per unit])</f>
        <v>7.64</v>
      </c>
      <c r="G260" s="13">
        <f>data[[#This Row],[Cost per unit]]*data[[#This Row],[Units]]</f>
        <v>1489.8</v>
      </c>
      <c r="H260" s="13">
        <f>(data[[#This Row],[Amount]])-(data[[#This Row],[Total cost]])</f>
        <v>-628.79999999999995</v>
      </c>
      <c r="I260" s="4"/>
    </row>
    <row r="261" spans="1:9" x14ac:dyDescent="0.25">
      <c r="A261" t="s">
        <v>20</v>
      </c>
      <c r="B261" t="s">
        <v>21</v>
      </c>
      <c r="C261" t="s">
        <v>53</v>
      </c>
      <c r="D261" s="3">
        <v>854</v>
      </c>
      <c r="E261" s="4">
        <v>309</v>
      </c>
      <c r="F261" s="13">
        <f>_xlfn.XLOOKUP(data[[#This Row],[Product]],products[Product],products[Cost per unit])</f>
        <v>10.38</v>
      </c>
      <c r="G261" s="13">
        <f>data[[#This Row],[Cost per unit]]*data[[#This Row],[Units]]</f>
        <v>3207.42</v>
      </c>
      <c r="H261" s="13">
        <f>(data[[#This Row],[Amount]])-(data[[#This Row],[Total cost]])</f>
        <v>-2353.42</v>
      </c>
      <c r="I261" s="4"/>
    </row>
    <row r="262" spans="1:9" x14ac:dyDescent="0.25">
      <c r="A262" t="s">
        <v>20</v>
      </c>
      <c r="B262" t="s">
        <v>13</v>
      </c>
      <c r="C262" t="s">
        <v>52</v>
      </c>
      <c r="D262" s="3">
        <v>847</v>
      </c>
      <c r="E262" s="4">
        <v>129</v>
      </c>
      <c r="F262" s="13">
        <f>_xlfn.XLOOKUP(data[[#This Row],[Product]],products[Product],products[Cost per unit])</f>
        <v>16.73</v>
      </c>
      <c r="G262" s="13">
        <f>data[[#This Row],[Cost per unit]]*data[[#This Row],[Units]]</f>
        <v>2158.17</v>
      </c>
      <c r="H262" s="13">
        <f>(data[[#This Row],[Amount]])-(data[[#This Row],[Total cost]])</f>
        <v>-1311.17</v>
      </c>
      <c r="I262" s="4"/>
    </row>
    <row r="263" spans="1:9" x14ac:dyDescent="0.25">
      <c r="A263" t="s">
        <v>12</v>
      </c>
      <c r="B263" t="s">
        <v>33</v>
      </c>
      <c r="C263" t="s">
        <v>11</v>
      </c>
      <c r="D263" s="3">
        <v>819</v>
      </c>
      <c r="E263" s="4">
        <v>510</v>
      </c>
      <c r="F263" s="13">
        <f>_xlfn.XLOOKUP(data[[#This Row],[Product]],products[Product],products[Cost per unit])</f>
        <v>9.33</v>
      </c>
      <c r="G263" s="13">
        <f>data[[#This Row],[Cost per unit]]*data[[#This Row],[Units]]</f>
        <v>4758.3</v>
      </c>
      <c r="H263" s="13">
        <f>(data[[#This Row],[Amount]])-(data[[#This Row],[Total cost]])</f>
        <v>-3939.3</v>
      </c>
      <c r="I263" s="4"/>
    </row>
    <row r="264" spans="1:9" x14ac:dyDescent="0.25">
      <c r="A264" t="s">
        <v>46</v>
      </c>
      <c r="B264" t="s">
        <v>13</v>
      </c>
      <c r="C264" t="s">
        <v>30</v>
      </c>
      <c r="D264" s="3">
        <v>819</v>
      </c>
      <c r="E264" s="4">
        <v>306</v>
      </c>
      <c r="F264" s="13">
        <f>_xlfn.XLOOKUP(data[[#This Row],[Product]],products[Product],products[Cost per unit])</f>
        <v>12.37</v>
      </c>
      <c r="G264" s="13">
        <f>data[[#This Row],[Cost per unit]]*data[[#This Row],[Units]]</f>
        <v>3785.22</v>
      </c>
      <c r="H264" s="13">
        <f>(data[[#This Row],[Amount]])-(data[[#This Row],[Total cost]])</f>
        <v>-2966.22</v>
      </c>
      <c r="I264" s="4"/>
    </row>
    <row r="265" spans="1:9" x14ac:dyDescent="0.25">
      <c r="A265" t="s">
        <v>45</v>
      </c>
      <c r="B265" t="s">
        <v>21</v>
      </c>
      <c r="C265" t="s">
        <v>52</v>
      </c>
      <c r="D265" s="3">
        <v>798</v>
      </c>
      <c r="E265" s="4">
        <v>519</v>
      </c>
      <c r="F265" s="13">
        <f>_xlfn.XLOOKUP(data[[#This Row],[Product]],products[Product],products[Cost per unit])</f>
        <v>16.73</v>
      </c>
      <c r="G265" s="13">
        <f>data[[#This Row],[Cost per unit]]*data[[#This Row],[Units]]</f>
        <v>8682.8700000000008</v>
      </c>
      <c r="H265" s="13">
        <f>(data[[#This Row],[Amount]])-(data[[#This Row],[Total cost]])</f>
        <v>-7884.8700000000008</v>
      </c>
      <c r="I265" s="4"/>
    </row>
    <row r="266" spans="1:9" x14ac:dyDescent="0.25">
      <c r="A266" t="s">
        <v>20</v>
      </c>
      <c r="B266" t="s">
        <v>8</v>
      </c>
      <c r="C266" t="s">
        <v>24</v>
      </c>
      <c r="D266" s="3">
        <v>714</v>
      </c>
      <c r="E266" s="4">
        <v>231</v>
      </c>
      <c r="F266" s="13">
        <f>_xlfn.XLOOKUP(data[[#This Row],[Product]],products[Product],products[Cost per unit])</f>
        <v>11.73</v>
      </c>
      <c r="G266" s="13">
        <f>data[[#This Row],[Cost per unit]]*data[[#This Row],[Units]]</f>
        <v>2709.63</v>
      </c>
      <c r="H266" s="13">
        <f>(data[[#This Row],[Amount]])-(data[[#This Row],[Total cost]])</f>
        <v>-1995.63</v>
      </c>
      <c r="I266" s="4"/>
    </row>
    <row r="267" spans="1:9" x14ac:dyDescent="0.25">
      <c r="A267" t="s">
        <v>17</v>
      </c>
      <c r="B267" t="s">
        <v>49</v>
      </c>
      <c r="C267" t="s">
        <v>32</v>
      </c>
      <c r="D267" s="3">
        <v>707</v>
      </c>
      <c r="E267" s="4">
        <v>174</v>
      </c>
      <c r="F267" s="13">
        <f>_xlfn.XLOOKUP(data[[#This Row],[Product]],products[Product],products[Cost per unit])</f>
        <v>3.11</v>
      </c>
      <c r="G267" s="13">
        <f>data[[#This Row],[Cost per unit]]*data[[#This Row],[Units]]</f>
        <v>541.14</v>
      </c>
      <c r="H267" s="13">
        <f>(data[[#This Row],[Amount]])-(data[[#This Row],[Total cost]])</f>
        <v>165.86</v>
      </c>
      <c r="I267" s="4"/>
    </row>
    <row r="268" spans="1:9" x14ac:dyDescent="0.25">
      <c r="A268" t="s">
        <v>54</v>
      </c>
      <c r="B268" t="s">
        <v>49</v>
      </c>
      <c r="C268" t="s">
        <v>32</v>
      </c>
      <c r="D268" s="3">
        <v>700</v>
      </c>
      <c r="E268" s="4">
        <v>87</v>
      </c>
      <c r="F268" s="13">
        <f>_xlfn.XLOOKUP(data[[#This Row],[Product]],products[Product],products[Cost per unit])</f>
        <v>3.11</v>
      </c>
      <c r="G268" s="13">
        <f>data[[#This Row],[Cost per unit]]*data[[#This Row],[Units]]</f>
        <v>270.57</v>
      </c>
      <c r="H268" s="13">
        <f>(data[[#This Row],[Amount]])-(data[[#This Row],[Total cost]])</f>
        <v>429.43</v>
      </c>
      <c r="I268" s="4"/>
    </row>
    <row r="269" spans="1:9" x14ac:dyDescent="0.25">
      <c r="A269" t="s">
        <v>45</v>
      </c>
      <c r="B269" t="s">
        <v>26</v>
      </c>
      <c r="C269" t="s">
        <v>47</v>
      </c>
      <c r="D269" s="3">
        <v>630</v>
      </c>
      <c r="E269" s="4">
        <v>36</v>
      </c>
      <c r="F269" s="13">
        <f>_xlfn.XLOOKUP(data[[#This Row],[Product]],products[Product],products[Cost per unit])</f>
        <v>6.49</v>
      </c>
      <c r="G269" s="13">
        <f>data[[#This Row],[Cost per unit]]*data[[#This Row],[Units]]</f>
        <v>233.64000000000001</v>
      </c>
      <c r="H269" s="13">
        <f>(data[[#This Row],[Amount]])-(data[[#This Row],[Total cost]])</f>
        <v>396.36</v>
      </c>
      <c r="I269" s="4"/>
    </row>
    <row r="270" spans="1:9" x14ac:dyDescent="0.25">
      <c r="A270" t="s">
        <v>7</v>
      </c>
      <c r="B270" t="s">
        <v>33</v>
      </c>
      <c r="C270" t="s">
        <v>48</v>
      </c>
      <c r="D270" s="3">
        <v>623</v>
      </c>
      <c r="E270" s="4">
        <v>51</v>
      </c>
      <c r="F270" s="13">
        <f>_xlfn.XLOOKUP(data[[#This Row],[Product]],products[Product],products[Cost per unit])</f>
        <v>4.97</v>
      </c>
      <c r="G270" s="13">
        <f>data[[#This Row],[Cost per unit]]*data[[#This Row],[Units]]</f>
        <v>253.47</v>
      </c>
      <c r="H270" s="13">
        <f>(data[[#This Row],[Amount]])-(data[[#This Row],[Total cost]])</f>
        <v>369.53</v>
      </c>
      <c r="I270" s="4"/>
    </row>
    <row r="271" spans="1:9" x14ac:dyDescent="0.25">
      <c r="A271" t="s">
        <v>20</v>
      </c>
      <c r="B271" t="s">
        <v>13</v>
      </c>
      <c r="C271" t="s">
        <v>38</v>
      </c>
      <c r="D271" s="3">
        <v>609</v>
      </c>
      <c r="E271" s="4">
        <v>99</v>
      </c>
      <c r="F271" s="13">
        <f>_xlfn.XLOOKUP(data[[#This Row],[Product]],products[Product],products[Cost per unit])</f>
        <v>7.64</v>
      </c>
      <c r="G271" s="13">
        <f>data[[#This Row],[Cost per unit]]*data[[#This Row],[Units]]</f>
        <v>756.36</v>
      </c>
      <c r="H271" s="13">
        <f>(data[[#This Row],[Amount]])-(data[[#This Row],[Total cost]])</f>
        <v>-147.36000000000001</v>
      </c>
      <c r="I271" s="4"/>
    </row>
    <row r="272" spans="1:9" x14ac:dyDescent="0.25">
      <c r="A272" t="s">
        <v>7</v>
      </c>
      <c r="B272" t="s">
        <v>33</v>
      </c>
      <c r="C272" t="s">
        <v>50</v>
      </c>
      <c r="D272" s="3">
        <v>609</v>
      </c>
      <c r="E272" s="4">
        <v>87</v>
      </c>
      <c r="F272" s="13">
        <f>_xlfn.XLOOKUP(data[[#This Row],[Product]],products[Product],products[Cost per unit])</f>
        <v>5.6</v>
      </c>
      <c r="G272" s="13">
        <f>data[[#This Row],[Cost per unit]]*data[[#This Row],[Units]]</f>
        <v>487.2</v>
      </c>
      <c r="H272" s="13">
        <f>(data[[#This Row],[Amount]])-(data[[#This Row],[Total cost]])</f>
        <v>121.80000000000001</v>
      </c>
      <c r="I272" s="4"/>
    </row>
    <row r="273" spans="1:9" x14ac:dyDescent="0.25">
      <c r="A273" t="s">
        <v>54</v>
      </c>
      <c r="B273" t="s">
        <v>13</v>
      </c>
      <c r="C273" t="s">
        <v>44</v>
      </c>
      <c r="D273" s="3">
        <v>567</v>
      </c>
      <c r="E273" s="4">
        <v>228</v>
      </c>
      <c r="F273" s="13">
        <f>_xlfn.XLOOKUP(data[[#This Row],[Product]],products[Product],products[Cost per unit])</f>
        <v>9</v>
      </c>
      <c r="G273" s="13">
        <f>data[[#This Row],[Cost per unit]]*data[[#This Row],[Units]]</f>
        <v>2052</v>
      </c>
      <c r="H273" s="13">
        <f>(data[[#This Row],[Amount]])-(data[[#This Row],[Total cost]])</f>
        <v>-1485</v>
      </c>
      <c r="I273" s="4"/>
    </row>
    <row r="274" spans="1:9" x14ac:dyDescent="0.25">
      <c r="A274" t="s">
        <v>25</v>
      </c>
      <c r="B274" t="s">
        <v>8</v>
      </c>
      <c r="C274" t="s">
        <v>9</v>
      </c>
      <c r="D274" s="3">
        <v>560</v>
      </c>
      <c r="E274" s="4">
        <v>81</v>
      </c>
      <c r="F274" s="13">
        <f>_xlfn.XLOOKUP(data[[#This Row],[Product]],products[Product],products[Cost per unit])</f>
        <v>14.49</v>
      </c>
      <c r="G274" s="13">
        <f>data[[#This Row],[Cost per unit]]*data[[#This Row],[Units]]</f>
        <v>1173.69</v>
      </c>
      <c r="H274" s="13">
        <f>(data[[#This Row],[Amount]])-(data[[#This Row],[Total cost]])</f>
        <v>-613.69000000000005</v>
      </c>
      <c r="I274" s="4"/>
    </row>
    <row r="275" spans="1:9" x14ac:dyDescent="0.25">
      <c r="A275" t="s">
        <v>45</v>
      </c>
      <c r="B275" t="s">
        <v>13</v>
      </c>
      <c r="C275" t="s">
        <v>38</v>
      </c>
      <c r="D275" s="3">
        <v>553</v>
      </c>
      <c r="E275" s="4">
        <v>15</v>
      </c>
      <c r="F275" s="13">
        <f>_xlfn.XLOOKUP(data[[#This Row],[Product]],products[Product],products[Cost per unit])</f>
        <v>7.64</v>
      </c>
      <c r="G275" s="13">
        <f>data[[#This Row],[Cost per unit]]*data[[#This Row],[Units]]</f>
        <v>114.6</v>
      </c>
      <c r="H275" s="13">
        <f>(data[[#This Row],[Amount]])-(data[[#This Row],[Total cost]])</f>
        <v>438.4</v>
      </c>
      <c r="I275" s="4"/>
    </row>
    <row r="276" spans="1:9" x14ac:dyDescent="0.25">
      <c r="A276" t="s">
        <v>25</v>
      </c>
      <c r="B276" t="s">
        <v>49</v>
      </c>
      <c r="C276" t="s">
        <v>18</v>
      </c>
      <c r="D276" s="3">
        <v>525</v>
      </c>
      <c r="E276" s="4">
        <v>48</v>
      </c>
      <c r="F276" s="13">
        <f>_xlfn.XLOOKUP(data[[#This Row],[Product]],products[Product],products[Cost per unit])</f>
        <v>11.88</v>
      </c>
      <c r="G276" s="13">
        <f>data[[#This Row],[Cost per unit]]*data[[#This Row],[Units]]</f>
        <v>570.24</v>
      </c>
      <c r="H276" s="13">
        <f>(data[[#This Row],[Amount]])-(data[[#This Row],[Total cost]])</f>
        <v>-45.240000000000009</v>
      </c>
      <c r="I276" s="4"/>
    </row>
    <row r="277" spans="1:9" x14ac:dyDescent="0.25">
      <c r="A277" t="s">
        <v>42</v>
      </c>
      <c r="B277" t="s">
        <v>8</v>
      </c>
      <c r="C277" t="s">
        <v>36</v>
      </c>
      <c r="D277" s="3">
        <v>518</v>
      </c>
      <c r="E277" s="4">
        <v>75</v>
      </c>
      <c r="F277" s="13">
        <f>_xlfn.XLOOKUP(data[[#This Row],[Product]],products[Product],products[Cost per unit])</f>
        <v>9.77</v>
      </c>
      <c r="G277" s="13">
        <f>data[[#This Row],[Cost per unit]]*data[[#This Row],[Units]]</f>
        <v>732.75</v>
      </c>
      <c r="H277" s="13">
        <f>(data[[#This Row],[Amount]])-(data[[#This Row],[Total cost]])</f>
        <v>-214.75</v>
      </c>
      <c r="I277" s="4"/>
    </row>
    <row r="278" spans="1:9" x14ac:dyDescent="0.25">
      <c r="A278" t="s">
        <v>25</v>
      </c>
      <c r="B278" t="s">
        <v>21</v>
      </c>
      <c r="C278" t="s">
        <v>44</v>
      </c>
      <c r="D278" s="3">
        <v>497</v>
      </c>
      <c r="E278" s="4">
        <v>63</v>
      </c>
      <c r="F278" s="13">
        <f>_xlfn.XLOOKUP(data[[#This Row],[Product]],products[Product],products[Cost per unit])</f>
        <v>9</v>
      </c>
      <c r="G278" s="13">
        <f>data[[#This Row],[Cost per unit]]*data[[#This Row],[Units]]</f>
        <v>567</v>
      </c>
      <c r="H278" s="13">
        <f>(data[[#This Row],[Amount]])-(data[[#This Row],[Total cost]])</f>
        <v>-70</v>
      </c>
      <c r="I278" s="4"/>
    </row>
    <row r="279" spans="1:9" x14ac:dyDescent="0.25">
      <c r="A279" t="s">
        <v>42</v>
      </c>
      <c r="B279" t="s">
        <v>13</v>
      </c>
      <c r="C279" t="s">
        <v>36</v>
      </c>
      <c r="D279" s="3">
        <v>490</v>
      </c>
      <c r="E279" s="4">
        <v>84</v>
      </c>
      <c r="F279" s="13">
        <f>_xlfn.XLOOKUP(data[[#This Row],[Product]],products[Product],products[Cost per unit])</f>
        <v>9.77</v>
      </c>
      <c r="G279" s="13">
        <f>data[[#This Row],[Cost per unit]]*data[[#This Row],[Units]]</f>
        <v>820.68</v>
      </c>
      <c r="H279" s="13">
        <f>(data[[#This Row],[Amount]])-(data[[#This Row],[Total cost]])</f>
        <v>-330.67999999999995</v>
      </c>
      <c r="I279" s="4"/>
    </row>
    <row r="280" spans="1:9" x14ac:dyDescent="0.25">
      <c r="A280" t="s">
        <v>25</v>
      </c>
      <c r="B280" t="s">
        <v>33</v>
      </c>
      <c r="C280" t="s">
        <v>27</v>
      </c>
      <c r="D280" s="3">
        <v>469</v>
      </c>
      <c r="E280" s="4">
        <v>75</v>
      </c>
      <c r="F280" s="13">
        <f>_xlfn.XLOOKUP(data[[#This Row],[Product]],products[Product],products[Cost per unit])</f>
        <v>13.15</v>
      </c>
      <c r="G280" s="13">
        <f>data[[#This Row],[Cost per unit]]*data[[#This Row],[Units]]</f>
        <v>986.25</v>
      </c>
      <c r="H280" s="13">
        <f>(data[[#This Row],[Amount]])-(data[[#This Row],[Total cost]])</f>
        <v>-517.25</v>
      </c>
      <c r="I280" s="4"/>
    </row>
    <row r="281" spans="1:9" x14ac:dyDescent="0.25">
      <c r="A281" t="s">
        <v>12</v>
      </c>
      <c r="B281" t="s">
        <v>8</v>
      </c>
      <c r="C281" t="s">
        <v>44</v>
      </c>
      <c r="D281" s="3">
        <v>434</v>
      </c>
      <c r="E281" s="4">
        <v>87</v>
      </c>
      <c r="F281" s="13">
        <f>_xlfn.XLOOKUP(data[[#This Row],[Product]],products[Product],products[Cost per unit])</f>
        <v>9</v>
      </c>
      <c r="G281" s="13">
        <f>data[[#This Row],[Cost per unit]]*data[[#This Row],[Units]]</f>
        <v>783</v>
      </c>
      <c r="H281" s="13">
        <f>(data[[#This Row],[Amount]])-(data[[#This Row],[Total cost]])</f>
        <v>-349</v>
      </c>
      <c r="I281" s="4"/>
    </row>
    <row r="282" spans="1:9" x14ac:dyDescent="0.25">
      <c r="A282" t="s">
        <v>42</v>
      </c>
      <c r="B282" t="s">
        <v>26</v>
      </c>
      <c r="C282" t="s">
        <v>22</v>
      </c>
      <c r="D282" s="3">
        <v>385</v>
      </c>
      <c r="E282" s="4">
        <v>249</v>
      </c>
      <c r="F282" s="13">
        <f>_xlfn.XLOOKUP(data[[#This Row],[Product]],products[Product],products[Cost per unit])</f>
        <v>6.47</v>
      </c>
      <c r="G282" s="13">
        <f>data[[#This Row],[Cost per unit]]*data[[#This Row],[Units]]</f>
        <v>1611.03</v>
      </c>
      <c r="H282" s="13">
        <f>(data[[#This Row],[Amount]])-(data[[#This Row],[Total cost]])</f>
        <v>-1226.03</v>
      </c>
      <c r="I282" s="4"/>
    </row>
    <row r="283" spans="1:9" x14ac:dyDescent="0.25">
      <c r="A283" t="s">
        <v>12</v>
      </c>
      <c r="B283" t="s">
        <v>13</v>
      </c>
      <c r="C283" t="s">
        <v>30</v>
      </c>
      <c r="D283" s="3">
        <v>357</v>
      </c>
      <c r="E283" s="4">
        <v>126</v>
      </c>
      <c r="F283" s="13">
        <f>_xlfn.XLOOKUP(data[[#This Row],[Product]],products[Product],products[Cost per unit])</f>
        <v>12.37</v>
      </c>
      <c r="G283" s="13">
        <f>data[[#This Row],[Cost per unit]]*data[[#This Row],[Units]]</f>
        <v>1558.62</v>
      </c>
      <c r="H283" s="13">
        <f>(data[[#This Row],[Amount]])-(data[[#This Row],[Total cost]])</f>
        <v>-1201.6199999999999</v>
      </c>
      <c r="I283" s="4"/>
    </row>
    <row r="284" spans="1:9" x14ac:dyDescent="0.25">
      <c r="A284" t="s">
        <v>20</v>
      </c>
      <c r="B284" t="s">
        <v>49</v>
      </c>
      <c r="C284" t="s">
        <v>36</v>
      </c>
      <c r="D284" s="3">
        <v>336</v>
      </c>
      <c r="E284" s="4">
        <v>144</v>
      </c>
      <c r="F284" s="13">
        <f>_xlfn.XLOOKUP(data[[#This Row],[Product]],products[Product],products[Cost per unit])</f>
        <v>9.77</v>
      </c>
      <c r="G284" s="13">
        <f>data[[#This Row],[Cost per unit]]*data[[#This Row],[Units]]</f>
        <v>1406.8799999999999</v>
      </c>
      <c r="H284" s="13">
        <f>(data[[#This Row],[Amount]])-(data[[#This Row],[Total cost]])</f>
        <v>-1070.8799999999999</v>
      </c>
      <c r="I284" s="4"/>
    </row>
    <row r="285" spans="1:9" x14ac:dyDescent="0.25">
      <c r="A285" t="s">
        <v>39</v>
      </c>
      <c r="B285" t="s">
        <v>21</v>
      </c>
      <c r="C285" t="s">
        <v>14</v>
      </c>
      <c r="D285" s="3">
        <v>280</v>
      </c>
      <c r="E285" s="4">
        <v>87</v>
      </c>
      <c r="F285" s="13">
        <f>_xlfn.XLOOKUP(data[[#This Row],[Product]],products[Product],products[Cost per unit])</f>
        <v>8.65</v>
      </c>
      <c r="G285" s="13">
        <f>data[[#This Row],[Cost per unit]]*data[[#This Row],[Units]]</f>
        <v>752.55000000000007</v>
      </c>
      <c r="H285" s="13">
        <f>(data[[#This Row],[Amount]])-(data[[#This Row],[Total cost]])</f>
        <v>-472.55000000000007</v>
      </c>
      <c r="I285" s="4"/>
    </row>
    <row r="286" spans="1:9" x14ac:dyDescent="0.25">
      <c r="A286" t="s">
        <v>17</v>
      </c>
      <c r="B286" t="s">
        <v>8</v>
      </c>
      <c r="C286" t="s">
        <v>18</v>
      </c>
      <c r="D286" s="3">
        <v>259</v>
      </c>
      <c r="E286" s="4">
        <v>207</v>
      </c>
      <c r="F286" s="13">
        <f>_xlfn.XLOOKUP(data[[#This Row],[Product]],products[Product],products[Cost per unit])</f>
        <v>11.88</v>
      </c>
      <c r="G286" s="13">
        <f>data[[#This Row],[Cost per unit]]*data[[#This Row],[Units]]</f>
        <v>2459.1600000000003</v>
      </c>
      <c r="H286" s="13">
        <f>(data[[#This Row],[Amount]])-(data[[#This Row],[Total cost]])</f>
        <v>-2200.1600000000003</v>
      </c>
      <c r="I286" s="4"/>
    </row>
    <row r="287" spans="1:9" x14ac:dyDescent="0.25">
      <c r="A287" t="s">
        <v>45</v>
      </c>
      <c r="B287" t="s">
        <v>49</v>
      </c>
      <c r="C287" t="s">
        <v>11</v>
      </c>
      <c r="D287" s="3">
        <v>252</v>
      </c>
      <c r="E287" s="4">
        <v>54</v>
      </c>
      <c r="F287" s="13">
        <f>_xlfn.XLOOKUP(data[[#This Row],[Product]],products[Product],products[Cost per unit])</f>
        <v>9.33</v>
      </c>
      <c r="G287" s="13">
        <f>data[[#This Row],[Cost per unit]]*data[[#This Row],[Units]]</f>
        <v>503.82</v>
      </c>
      <c r="H287" s="13">
        <f>(data[[#This Row],[Amount]])-(data[[#This Row],[Total cost]])</f>
        <v>-251.82</v>
      </c>
      <c r="I287" s="4"/>
    </row>
    <row r="288" spans="1:9" x14ac:dyDescent="0.25">
      <c r="A288" t="s">
        <v>54</v>
      </c>
      <c r="B288" t="s">
        <v>8</v>
      </c>
      <c r="C288" t="s">
        <v>44</v>
      </c>
      <c r="D288" s="3">
        <v>245</v>
      </c>
      <c r="E288" s="4">
        <v>288</v>
      </c>
      <c r="F288" s="13">
        <f>_xlfn.XLOOKUP(data[[#This Row],[Product]],products[Product],products[Cost per unit])</f>
        <v>9</v>
      </c>
      <c r="G288" s="13">
        <f>data[[#This Row],[Cost per unit]]*data[[#This Row],[Units]]</f>
        <v>2592</v>
      </c>
      <c r="H288" s="13">
        <f>(data[[#This Row],[Amount]])-(data[[#This Row],[Total cost]])</f>
        <v>-2347</v>
      </c>
      <c r="I288" s="4"/>
    </row>
    <row r="289" spans="1:9" x14ac:dyDescent="0.25">
      <c r="A289" t="s">
        <v>45</v>
      </c>
      <c r="B289" t="s">
        <v>8</v>
      </c>
      <c r="C289" t="s">
        <v>38</v>
      </c>
      <c r="D289" s="3">
        <v>238</v>
      </c>
      <c r="E289" s="4">
        <v>18</v>
      </c>
      <c r="F289" s="13">
        <f>_xlfn.XLOOKUP(data[[#This Row],[Product]],products[Product],products[Cost per unit])</f>
        <v>7.64</v>
      </c>
      <c r="G289" s="13">
        <f>data[[#This Row],[Cost per unit]]*data[[#This Row],[Units]]</f>
        <v>137.51999999999998</v>
      </c>
      <c r="H289" s="13">
        <f>(data[[#This Row],[Amount]])-(data[[#This Row],[Total cost]])</f>
        <v>100.48000000000002</v>
      </c>
      <c r="I289" s="4"/>
    </row>
    <row r="290" spans="1:9" x14ac:dyDescent="0.25">
      <c r="A290" t="s">
        <v>7</v>
      </c>
      <c r="B290" t="s">
        <v>21</v>
      </c>
      <c r="C290" t="s">
        <v>18</v>
      </c>
      <c r="D290" s="3">
        <v>217</v>
      </c>
      <c r="E290" s="4">
        <v>36</v>
      </c>
      <c r="F290" s="13">
        <f>_xlfn.XLOOKUP(data[[#This Row],[Product]],products[Product],products[Cost per unit])</f>
        <v>11.88</v>
      </c>
      <c r="G290" s="13">
        <f>data[[#This Row],[Cost per unit]]*data[[#This Row],[Units]]</f>
        <v>427.68</v>
      </c>
      <c r="H290" s="13">
        <f>(data[[#This Row],[Amount]])-(data[[#This Row],[Total cost]])</f>
        <v>-210.68</v>
      </c>
      <c r="I290" s="4"/>
    </row>
    <row r="291" spans="1:9" x14ac:dyDescent="0.25">
      <c r="A291" t="s">
        <v>45</v>
      </c>
      <c r="B291" t="s">
        <v>21</v>
      </c>
      <c r="C291" t="s">
        <v>32</v>
      </c>
      <c r="D291" s="3">
        <v>189</v>
      </c>
      <c r="E291" s="4">
        <v>48</v>
      </c>
      <c r="F291" s="13">
        <f>_xlfn.XLOOKUP(data[[#This Row],[Product]],products[Product],products[Cost per unit])</f>
        <v>3.11</v>
      </c>
      <c r="G291" s="13">
        <f>data[[#This Row],[Cost per unit]]*data[[#This Row],[Units]]</f>
        <v>149.28</v>
      </c>
      <c r="H291" s="13">
        <f>(data[[#This Row],[Amount]])-(data[[#This Row],[Total cost]])</f>
        <v>39.72</v>
      </c>
      <c r="I291" s="4"/>
    </row>
    <row r="292" spans="1:9" x14ac:dyDescent="0.25">
      <c r="A292" t="s">
        <v>42</v>
      </c>
      <c r="B292" t="s">
        <v>8</v>
      </c>
      <c r="C292" t="s">
        <v>34</v>
      </c>
      <c r="D292" s="3">
        <v>182</v>
      </c>
      <c r="E292" s="4">
        <v>48</v>
      </c>
      <c r="F292" s="13">
        <f>_xlfn.XLOOKUP(data[[#This Row],[Product]],products[Product],products[Cost per unit])</f>
        <v>5.79</v>
      </c>
      <c r="G292" s="13">
        <f>data[[#This Row],[Cost per unit]]*data[[#This Row],[Units]]</f>
        <v>277.92</v>
      </c>
      <c r="H292" s="13">
        <f>(data[[#This Row],[Amount]])-(data[[#This Row],[Total cost]])</f>
        <v>-95.920000000000016</v>
      </c>
      <c r="I292" s="4"/>
    </row>
    <row r="293" spans="1:9" x14ac:dyDescent="0.25">
      <c r="A293" t="s">
        <v>12</v>
      </c>
      <c r="B293" t="s">
        <v>33</v>
      </c>
      <c r="C293" t="s">
        <v>36</v>
      </c>
      <c r="D293" s="3">
        <v>168</v>
      </c>
      <c r="E293" s="4">
        <v>84</v>
      </c>
      <c r="F293" s="13">
        <f>_xlfn.XLOOKUP(data[[#This Row],[Product]],products[Product],products[Cost per unit])</f>
        <v>9.77</v>
      </c>
      <c r="G293" s="13">
        <f>data[[#This Row],[Cost per unit]]*data[[#This Row],[Units]]</f>
        <v>820.68</v>
      </c>
      <c r="H293" s="13">
        <f>(data[[#This Row],[Amount]])-(data[[#This Row],[Total cost]])</f>
        <v>-652.67999999999995</v>
      </c>
      <c r="I293" s="4"/>
    </row>
    <row r="294" spans="1:9" x14ac:dyDescent="0.25">
      <c r="A294" t="s">
        <v>20</v>
      </c>
      <c r="B294" t="s">
        <v>33</v>
      </c>
      <c r="C294" t="s">
        <v>27</v>
      </c>
      <c r="D294" s="3">
        <v>154</v>
      </c>
      <c r="E294" s="4">
        <v>21</v>
      </c>
      <c r="F294" s="13">
        <f>_xlfn.XLOOKUP(data[[#This Row],[Product]],products[Product],products[Cost per unit])</f>
        <v>13.15</v>
      </c>
      <c r="G294" s="13">
        <f>data[[#This Row],[Cost per unit]]*data[[#This Row],[Units]]</f>
        <v>276.15000000000003</v>
      </c>
      <c r="H294" s="13">
        <f>(data[[#This Row],[Amount]])-(data[[#This Row],[Total cost]])</f>
        <v>-122.15000000000003</v>
      </c>
      <c r="I294" s="4"/>
    </row>
    <row r="295" spans="1:9" x14ac:dyDescent="0.25">
      <c r="A295" t="s">
        <v>20</v>
      </c>
      <c r="B295" t="s">
        <v>21</v>
      </c>
      <c r="C295" t="s">
        <v>50</v>
      </c>
      <c r="D295" s="3">
        <v>98</v>
      </c>
      <c r="E295" s="4">
        <v>204</v>
      </c>
      <c r="F295" s="13">
        <f>_xlfn.XLOOKUP(data[[#This Row],[Product]],products[Product],products[Cost per unit])</f>
        <v>5.6</v>
      </c>
      <c r="G295" s="13">
        <f>data[[#This Row],[Cost per unit]]*data[[#This Row],[Units]]</f>
        <v>1142.3999999999999</v>
      </c>
      <c r="H295" s="13">
        <f>(data[[#This Row],[Amount]])-(data[[#This Row],[Total cost]])</f>
        <v>-1044.3999999999999</v>
      </c>
      <c r="I295" s="4"/>
    </row>
    <row r="296" spans="1:9" x14ac:dyDescent="0.25">
      <c r="A296" t="s">
        <v>17</v>
      </c>
      <c r="B296" t="s">
        <v>13</v>
      </c>
      <c r="C296" t="s">
        <v>50</v>
      </c>
      <c r="D296" s="3">
        <v>98</v>
      </c>
      <c r="E296" s="4">
        <v>159</v>
      </c>
      <c r="F296" s="13">
        <f>_xlfn.XLOOKUP(data[[#This Row],[Product]],products[Product],products[Cost per unit])</f>
        <v>5.6</v>
      </c>
      <c r="G296" s="13">
        <f>data[[#This Row],[Cost per unit]]*data[[#This Row],[Units]]</f>
        <v>890.4</v>
      </c>
      <c r="H296" s="13">
        <f>(data[[#This Row],[Amount]])-(data[[#This Row],[Total cost]])</f>
        <v>-792.4</v>
      </c>
      <c r="I296" s="4"/>
    </row>
    <row r="297" spans="1:9" x14ac:dyDescent="0.25">
      <c r="A297" t="s">
        <v>54</v>
      </c>
      <c r="B297" t="s">
        <v>33</v>
      </c>
      <c r="C297" t="s">
        <v>11</v>
      </c>
      <c r="D297" s="3">
        <v>63</v>
      </c>
      <c r="E297" s="4">
        <v>123</v>
      </c>
      <c r="F297" s="13">
        <f>_xlfn.XLOOKUP(data[[#This Row],[Product]],products[Product],products[Cost per unit])</f>
        <v>9.33</v>
      </c>
      <c r="G297" s="13">
        <f>data[[#This Row],[Cost per unit]]*data[[#This Row],[Units]]</f>
        <v>1147.5899999999999</v>
      </c>
      <c r="H297" s="13">
        <f>(data[[#This Row],[Amount]])-(data[[#This Row],[Total cost]])</f>
        <v>-1084.5899999999999</v>
      </c>
      <c r="I297" s="4"/>
    </row>
    <row r="298" spans="1:9" x14ac:dyDescent="0.25">
      <c r="A298" t="s">
        <v>45</v>
      </c>
      <c r="B298" t="s">
        <v>33</v>
      </c>
      <c r="C298" t="s">
        <v>11</v>
      </c>
      <c r="D298" s="3">
        <v>56</v>
      </c>
      <c r="E298" s="4">
        <v>51</v>
      </c>
      <c r="F298" s="13">
        <f>_xlfn.XLOOKUP(data[[#This Row],[Product]],products[Product],products[Cost per unit])</f>
        <v>9.33</v>
      </c>
      <c r="G298" s="13">
        <f>data[[#This Row],[Cost per unit]]*data[[#This Row],[Units]]</f>
        <v>475.83</v>
      </c>
      <c r="H298" s="13">
        <f>(data[[#This Row],[Amount]])-(data[[#This Row],[Total cost]])</f>
        <v>-419.83</v>
      </c>
      <c r="I298" s="4"/>
    </row>
    <row r="299" spans="1:9" x14ac:dyDescent="0.25">
      <c r="A299" t="s">
        <v>12</v>
      </c>
      <c r="B299" t="s">
        <v>8</v>
      </c>
      <c r="C299" t="s">
        <v>9</v>
      </c>
      <c r="D299" s="3">
        <v>42</v>
      </c>
      <c r="E299" s="4">
        <v>150</v>
      </c>
      <c r="F299" s="13">
        <f>_xlfn.XLOOKUP(data[[#This Row],[Product]],products[Product],products[Cost per unit])</f>
        <v>14.49</v>
      </c>
      <c r="G299" s="13">
        <f>data[[#This Row],[Cost per unit]]*data[[#This Row],[Units]]</f>
        <v>2173.5</v>
      </c>
      <c r="H299" s="13">
        <f>(data[[#This Row],[Amount]])-(data[[#This Row],[Total cost]])</f>
        <v>-2131.5</v>
      </c>
      <c r="I299" s="4"/>
    </row>
    <row r="300" spans="1:9" x14ac:dyDescent="0.25">
      <c r="A300" t="s">
        <v>46</v>
      </c>
      <c r="B300" t="s">
        <v>26</v>
      </c>
      <c r="C300" t="s">
        <v>29</v>
      </c>
      <c r="D300" s="3">
        <v>21</v>
      </c>
      <c r="E300" s="4">
        <v>168</v>
      </c>
      <c r="F300" s="13">
        <f>_xlfn.XLOOKUP(data[[#This Row],[Product]],products[Product],products[Cost per unit])</f>
        <v>8.7899999999999991</v>
      </c>
      <c r="G300" s="13">
        <f>data[[#This Row],[Cost per unit]]*data[[#This Row],[Units]]</f>
        <v>1476.7199999999998</v>
      </c>
      <c r="H300" s="13">
        <f>(data[[#This Row],[Amount]])-(data[[#This Row],[Total cost]])</f>
        <v>-1455.7199999999998</v>
      </c>
      <c r="I300" s="4"/>
    </row>
    <row r="301" spans="1:9" x14ac:dyDescent="0.25">
      <c r="A301" t="s">
        <v>7</v>
      </c>
      <c r="B301" t="s">
        <v>26</v>
      </c>
      <c r="C301" t="s">
        <v>51</v>
      </c>
      <c r="D301" s="3">
        <v>0</v>
      </c>
      <c r="E301" s="4">
        <v>135</v>
      </c>
      <c r="F301" s="13">
        <f>_xlfn.XLOOKUP(data[[#This Row],[Product]],products[Product],products[Cost per unit])</f>
        <v>7.16</v>
      </c>
      <c r="G301" s="13">
        <f>data[[#This Row],[Cost per unit]]*data[[#This Row],[Units]]</f>
        <v>966.6</v>
      </c>
      <c r="H301" s="13">
        <f>(data[[#This Row],[Amount]])-(data[[#This Row],[Total cost]])</f>
        <v>-966.6</v>
      </c>
      <c r="I301" s="4"/>
    </row>
  </sheetData>
  <mergeCells count="1">
    <mergeCell ref="L1:M1"/>
  </mergeCells>
  <conditionalFormatting sqref="D1 D302:D1048576">
    <cfRule type="top10" dxfId="52" priority="2" rank="10"/>
  </conditionalFormatting>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1108F-F9A7-4E5A-8991-EDF93AF34D9D}">
  <dimension ref="B1:O19"/>
  <sheetViews>
    <sheetView workbookViewId="0">
      <selection activeCell="E50" sqref="E50"/>
    </sheetView>
  </sheetViews>
  <sheetFormatPr defaultRowHeight="15" x14ac:dyDescent="0.25"/>
  <cols>
    <col min="2" max="2" width="24.42578125" bestFit="1" customWidth="1"/>
    <col min="8" max="8" width="15.42578125" bestFit="1" customWidth="1"/>
    <col min="9" max="9" width="13.140625" bestFit="1" customWidth="1"/>
    <col min="10" max="10" width="13.140625" customWidth="1"/>
    <col min="11" max="11" width="12" bestFit="1" customWidth="1"/>
    <col min="13" max="13" width="12.5703125" bestFit="1" customWidth="1"/>
  </cols>
  <sheetData>
    <row r="1" spans="2:15" x14ac:dyDescent="0.25">
      <c r="B1" t="s">
        <v>10</v>
      </c>
      <c r="H1" t="s">
        <v>65</v>
      </c>
    </row>
    <row r="3" spans="2:15" x14ac:dyDescent="0.25">
      <c r="C3" t="s">
        <v>56</v>
      </c>
      <c r="D3" t="s">
        <v>57</v>
      </c>
      <c r="H3" s="16" t="s">
        <v>66</v>
      </c>
      <c r="I3" s="47" t="s">
        <v>3</v>
      </c>
      <c r="J3" s="47"/>
      <c r="K3" s="17" t="s">
        <v>4</v>
      </c>
      <c r="M3" t="s">
        <v>66</v>
      </c>
      <c r="N3" t="s">
        <v>3</v>
      </c>
      <c r="O3" t="s">
        <v>4</v>
      </c>
    </row>
    <row r="4" spans="2:15" x14ac:dyDescent="0.25">
      <c r="B4" t="s">
        <v>55</v>
      </c>
      <c r="C4">
        <f>AVERAGE(data[Amount])</f>
        <v>4136.2299999999996</v>
      </c>
      <c r="D4">
        <f>AVERAGE(data[Units])</f>
        <v>152.19999999999999</v>
      </c>
      <c r="H4" s="18" t="s">
        <v>49</v>
      </c>
      <c r="I4" s="19">
        <v>252469</v>
      </c>
      <c r="J4" s="19">
        <f>I4</f>
        <v>252469</v>
      </c>
      <c r="K4" s="20">
        <v>8760</v>
      </c>
      <c r="M4" t="str" cm="1">
        <f t="array" ref="M4:M9">_xlfn.UNIQUE(data[Geography])</f>
        <v>Canada</v>
      </c>
      <c r="N4" s="14">
        <f>SUMIFS(data[Amount],data[Geography],M4)</f>
        <v>237944</v>
      </c>
      <c r="O4" s="4">
        <f>SUMIFS(data[Units],data[Geography],M4)</f>
        <v>7302</v>
      </c>
    </row>
    <row r="5" spans="2:15" x14ac:dyDescent="0.25">
      <c r="B5" t="s">
        <v>58</v>
      </c>
      <c r="C5">
        <f>MEDIAN(data[Amount])</f>
        <v>3437</v>
      </c>
      <c r="D5">
        <f>MEDIAN(data[Units])</f>
        <v>124.5</v>
      </c>
      <c r="H5" s="18" t="s">
        <v>21</v>
      </c>
      <c r="I5" s="19">
        <v>237944</v>
      </c>
      <c r="J5" s="19">
        <f t="shared" ref="J5:J9" si="0">I5</f>
        <v>237944</v>
      </c>
      <c r="K5" s="20">
        <v>7302</v>
      </c>
      <c r="M5" t="str">
        <v>India</v>
      </c>
      <c r="N5" s="14">
        <f>SUMIFS(data[Amount],data[Geography],M5)</f>
        <v>252469</v>
      </c>
      <c r="O5" s="4">
        <f>SUMIFS(data[Units],data[Geography],M5)</f>
        <v>8760</v>
      </c>
    </row>
    <row r="6" spans="2:15" x14ac:dyDescent="0.25">
      <c r="B6" t="s">
        <v>59</v>
      </c>
      <c r="C6">
        <f>MIN(data[Amount])</f>
        <v>0</v>
      </c>
      <c r="D6">
        <f>MIN(data[Units])</f>
        <v>0</v>
      </c>
      <c r="H6" s="18" t="s">
        <v>8</v>
      </c>
      <c r="I6" s="19">
        <v>218813</v>
      </c>
      <c r="J6" s="19">
        <f t="shared" si="0"/>
        <v>218813</v>
      </c>
      <c r="K6" s="20">
        <v>7431</v>
      </c>
      <c r="M6" t="str">
        <v>USA</v>
      </c>
      <c r="N6" s="14">
        <f>SUMIFS(data[Amount],data[Geography],M6)</f>
        <v>189434</v>
      </c>
      <c r="O6" s="4">
        <f>SUMIFS(data[Units],data[Geography],M6)</f>
        <v>10158</v>
      </c>
    </row>
    <row r="7" spans="2:15" x14ac:dyDescent="0.25">
      <c r="B7" t="s">
        <v>60</v>
      </c>
      <c r="C7">
        <f>MAX(data[Amount])</f>
        <v>16184</v>
      </c>
      <c r="D7">
        <f>MAX(data[Units])</f>
        <v>525</v>
      </c>
      <c r="H7" s="18" t="s">
        <v>13</v>
      </c>
      <c r="I7" s="19">
        <v>189434</v>
      </c>
      <c r="J7" s="19">
        <f t="shared" si="0"/>
        <v>189434</v>
      </c>
      <c r="K7" s="20">
        <v>10158</v>
      </c>
      <c r="M7" t="str">
        <v>UK</v>
      </c>
      <c r="N7" s="14">
        <f>SUMIFS(data[Amount],data[Geography],M7)</f>
        <v>173530</v>
      </c>
      <c r="O7" s="4">
        <f>SUMIFS(data[Units],data[Geography],M7)</f>
        <v>5745</v>
      </c>
    </row>
    <row r="8" spans="2:15" x14ac:dyDescent="0.25">
      <c r="B8" t="s">
        <v>61</v>
      </c>
      <c r="C8">
        <f>C$7-C$6</f>
        <v>16184</v>
      </c>
      <c r="D8">
        <f>D$7-D$6</f>
        <v>525</v>
      </c>
      <c r="H8" s="18" t="s">
        <v>26</v>
      </c>
      <c r="I8" s="19">
        <v>173530</v>
      </c>
      <c r="J8" s="19">
        <f t="shared" si="0"/>
        <v>173530</v>
      </c>
      <c r="K8" s="20">
        <v>5745</v>
      </c>
      <c r="M8" t="str">
        <v>New Zealand</v>
      </c>
      <c r="N8" s="14">
        <f>SUMIFS(data[Amount],data[Geography],M8)</f>
        <v>218813</v>
      </c>
      <c r="O8" s="4">
        <f>SUMIFS(data[Units],data[Geography],M8)</f>
        <v>7431</v>
      </c>
    </row>
    <row r="9" spans="2:15" x14ac:dyDescent="0.25">
      <c r="H9" s="18" t="s">
        <v>33</v>
      </c>
      <c r="I9" s="19">
        <v>168679</v>
      </c>
      <c r="J9" s="19">
        <f t="shared" si="0"/>
        <v>168679</v>
      </c>
      <c r="K9" s="20">
        <v>6264</v>
      </c>
      <c r="M9" t="str">
        <v>Australia</v>
      </c>
      <c r="N9" s="14">
        <f>SUMIFS(data[Amount],data[Geography],M9)</f>
        <v>168679</v>
      </c>
      <c r="O9" s="4">
        <f>SUMIFS(data[Units],data[Geography],M9)</f>
        <v>6264</v>
      </c>
    </row>
    <row r="10" spans="2:15" x14ac:dyDescent="0.25">
      <c r="B10" t="s">
        <v>62</v>
      </c>
      <c r="C10">
        <f>_xlfn.PERCENTILE.EXC(data[Amount],0.25)</f>
        <v>1652</v>
      </c>
      <c r="D10">
        <f>_xlfn.PERCENTILE.EXC(data[Units],0.25)</f>
        <v>54</v>
      </c>
    </row>
    <row r="11" spans="2:15" x14ac:dyDescent="0.25">
      <c r="B11" t="s">
        <v>63</v>
      </c>
      <c r="C11">
        <f>_xlfn.PERCENTILE.EXC(data[Amount],0.75)</f>
        <v>6245.75</v>
      </c>
      <c r="D11">
        <f>_xlfn.PERCENTILE.EXC(data[Units],0.75)</f>
        <v>223.5</v>
      </c>
    </row>
    <row r="13" spans="2:15" x14ac:dyDescent="0.25">
      <c r="B13" t="s">
        <v>64</v>
      </c>
      <c r="C13">
        <f>COUNTA(_xlfn.UNIQUE(data[Product]))</f>
        <v>22</v>
      </c>
    </row>
    <row r="19" spans="2:2" x14ac:dyDescent="0.25">
      <c r="B19" t="s">
        <v>73</v>
      </c>
    </row>
  </sheetData>
  <mergeCells count="1">
    <mergeCell ref="I3:J3"/>
  </mergeCells>
  <conditionalFormatting sqref="J4:J9">
    <cfRule type="dataBar" priority="1">
      <dataBar showValue="0">
        <cfvo type="min"/>
        <cfvo type="max"/>
        <color theme="8" tint="0.39997558519241921"/>
      </dataBar>
      <extLst>
        <ext xmlns:x14="http://schemas.microsoft.com/office/spreadsheetml/2009/9/main" uri="{B025F937-C7B1-47D3-B67F-A62EFF666E3E}">
          <x14:id>{3C40BD87-9455-410A-B1E2-C82E3DFA6000}</x14:id>
        </ext>
      </extLst>
    </cfRule>
    <cfRule type="dataBar" priority="2">
      <dataBar>
        <cfvo type="min"/>
        <cfvo type="max"/>
        <color rgb="FF638EC6"/>
      </dataBar>
      <extLst>
        <ext xmlns:x14="http://schemas.microsoft.com/office/spreadsheetml/2009/9/main" uri="{B025F937-C7B1-47D3-B67F-A62EFF666E3E}">
          <x14:id>{E7D54015-E65A-47C2-A6A5-27EB18E3A077}</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3C40BD87-9455-410A-B1E2-C82E3DFA6000}">
            <x14:dataBar minLength="0" maxLength="100" gradient="0">
              <x14:cfvo type="autoMin"/>
              <x14:cfvo type="autoMax"/>
              <x14:negativeFillColor rgb="FFFF0000"/>
              <x14:axisColor rgb="FF000000"/>
            </x14:dataBar>
          </x14:cfRule>
          <x14:cfRule type="dataBar" id="{E7D54015-E65A-47C2-A6A5-27EB18E3A077}">
            <x14:dataBar minLength="0" maxLength="100" gradient="0">
              <x14:cfvo type="autoMin"/>
              <x14:cfvo type="autoMax"/>
              <x14:negativeFillColor rgb="FFFF0000"/>
              <x14:axisColor rgb="FF000000"/>
            </x14:dataBar>
          </x14:cfRule>
          <xm:sqref>J4:J9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7135-CDAF-4703-8960-363C7551763B}">
  <dimension ref="A1:P99"/>
  <sheetViews>
    <sheetView topLeftCell="A15" workbookViewId="0">
      <selection activeCell="H21" sqref="H21"/>
    </sheetView>
  </sheetViews>
  <sheetFormatPr defaultRowHeight="15" x14ac:dyDescent="0.25"/>
  <cols>
    <col min="1" max="1" width="21.85546875" bestFit="1" customWidth="1"/>
    <col min="2" max="2" width="14.85546875" bestFit="1" customWidth="1"/>
    <col min="3" max="3" width="10.28515625" bestFit="1" customWidth="1"/>
    <col min="4" max="4" width="21.85546875" bestFit="1" customWidth="1"/>
    <col min="5" max="5" width="12.28515625" bestFit="1" customWidth="1"/>
    <col min="6" max="6" width="13.28515625" bestFit="1" customWidth="1"/>
    <col min="7" max="7" width="21.85546875" bestFit="1" customWidth="1"/>
    <col min="8" max="8" width="12.28515625" bestFit="1" customWidth="1"/>
    <col min="9" max="9" width="14.85546875" bestFit="1" customWidth="1"/>
    <col min="10" max="10" width="10.28515625" bestFit="1" customWidth="1"/>
    <col min="11" max="11" width="18.85546875" bestFit="1" customWidth="1"/>
    <col min="12" max="12" width="19.7109375" bestFit="1" customWidth="1"/>
    <col min="13" max="13" width="21.85546875" bestFit="1" customWidth="1"/>
    <col min="14" max="14" width="14.85546875" bestFit="1" customWidth="1"/>
    <col min="15" max="15" width="16.140625" bestFit="1" customWidth="1"/>
    <col min="16" max="16" width="11.140625" bestFit="1" customWidth="1"/>
    <col min="17" max="17" width="20.42578125" bestFit="1" customWidth="1"/>
    <col min="18" max="18" width="9.140625" bestFit="1" customWidth="1"/>
    <col min="19" max="19" width="15.7109375" bestFit="1" customWidth="1"/>
    <col min="20" max="20" width="13.42578125" bestFit="1" customWidth="1"/>
    <col min="21" max="21" width="19.28515625" bestFit="1" customWidth="1"/>
    <col min="22" max="22" width="19.42578125" bestFit="1" customWidth="1"/>
    <col min="23" max="23" width="15.85546875" bestFit="1" customWidth="1"/>
    <col min="24" max="24" width="17.42578125" bestFit="1" customWidth="1"/>
    <col min="25" max="25" width="17.7109375" bestFit="1" customWidth="1"/>
    <col min="26" max="27" width="11.28515625" bestFit="1" customWidth="1"/>
  </cols>
  <sheetData>
    <row r="1" spans="1:16" x14ac:dyDescent="0.25">
      <c r="A1" t="s">
        <v>67</v>
      </c>
    </row>
    <row r="4" spans="1:16" x14ac:dyDescent="0.25">
      <c r="M4" s="21" t="s">
        <v>68</v>
      </c>
      <c r="N4" t="s">
        <v>70</v>
      </c>
      <c r="O4" t="s">
        <v>75</v>
      </c>
      <c r="P4" t="s">
        <v>76</v>
      </c>
    </row>
    <row r="5" spans="1:16" x14ac:dyDescent="0.25">
      <c r="A5" s="21" t="s">
        <v>68</v>
      </c>
      <c r="B5" t="s">
        <v>70</v>
      </c>
      <c r="C5" t="s">
        <v>72</v>
      </c>
      <c r="D5" t="s">
        <v>71</v>
      </c>
      <c r="M5" s="22" t="s">
        <v>50</v>
      </c>
      <c r="N5" s="15">
        <v>70273</v>
      </c>
      <c r="O5" s="15">
        <v>11995.2</v>
      </c>
      <c r="P5" s="23">
        <v>58277.8</v>
      </c>
    </row>
    <row r="6" spans="1:16" x14ac:dyDescent="0.25">
      <c r="A6" s="22" t="s">
        <v>49</v>
      </c>
      <c r="B6" s="13">
        <v>252469</v>
      </c>
      <c r="C6" s="15">
        <v>252469</v>
      </c>
      <c r="D6" s="15">
        <v>8760</v>
      </c>
      <c r="M6" s="22" t="s">
        <v>32</v>
      </c>
      <c r="N6" s="15">
        <v>63721</v>
      </c>
      <c r="O6" s="15">
        <v>7249.4099999999989</v>
      </c>
      <c r="P6" s="23">
        <v>56471.590000000004</v>
      </c>
    </row>
    <row r="7" spans="1:16" x14ac:dyDescent="0.25">
      <c r="A7" s="22" t="s">
        <v>21</v>
      </c>
      <c r="B7" s="13">
        <v>237944</v>
      </c>
      <c r="C7" s="15">
        <v>237944</v>
      </c>
      <c r="D7" s="15">
        <v>7302</v>
      </c>
      <c r="M7" s="22" t="s">
        <v>14</v>
      </c>
      <c r="N7" s="15">
        <v>71967</v>
      </c>
      <c r="O7" s="15">
        <v>19903.650000000001</v>
      </c>
      <c r="P7" s="23">
        <v>52063.35</v>
      </c>
    </row>
    <row r="8" spans="1:16" x14ac:dyDescent="0.25">
      <c r="A8" s="22" t="s">
        <v>8</v>
      </c>
      <c r="B8" s="13">
        <v>218813</v>
      </c>
      <c r="C8" s="15">
        <v>218813</v>
      </c>
      <c r="D8" s="15">
        <v>7431</v>
      </c>
      <c r="M8" s="22" t="s">
        <v>24</v>
      </c>
      <c r="N8" s="15">
        <v>68971</v>
      </c>
      <c r="O8" s="15">
        <v>17982.09</v>
      </c>
      <c r="P8" s="23">
        <v>50988.91</v>
      </c>
    </row>
    <row r="9" spans="1:16" x14ac:dyDescent="0.25">
      <c r="A9" s="22" t="s">
        <v>13</v>
      </c>
      <c r="B9" s="13">
        <v>189434</v>
      </c>
      <c r="C9" s="15">
        <v>189434</v>
      </c>
      <c r="D9" s="15">
        <v>10158</v>
      </c>
      <c r="M9" s="22" t="s">
        <v>36</v>
      </c>
      <c r="N9" s="15">
        <v>66283</v>
      </c>
      <c r="O9" s="15">
        <v>20048.039999999997</v>
      </c>
      <c r="P9" s="23">
        <v>46234.960000000006</v>
      </c>
    </row>
    <row r="10" spans="1:16" x14ac:dyDescent="0.25">
      <c r="A10" s="22" t="s">
        <v>26</v>
      </c>
      <c r="B10" s="13">
        <v>173530</v>
      </c>
      <c r="C10" s="15">
        <v>173530</v>
      </c>
      <c r="D10" s="15">
        <v>5745</v>
      </c>
      <c r="M10" s="22" t="s">
        <v>30</v>
      </c>
      <c r="N10" s="15">
        <v>69160</v>
      </c>
      <c r="O10" s="15">
        <v>22933.98</v>
      </c>
      <c r="P10" s="23">
        <v>46226.020000000004</v>
      </c>
    </row>
    <row r="11" spans="1:16" x14ac:dyDescent="0.25">
      <c r="A11" s="22" t="s">
        <v>33</v>
      </c>
      <c r="B11" s="13">
        <v>168679</v>
      </c>
      <c r="C11" s="15">
        <v>168679</v>
      </c>
      <c r="D11" s="15">
        <v>6264</v>
      </c>
      <c r="M11" s="22" t="s">
        <v>47</v>
      </c>
      <c r="N11" s="15">
        <v>56644</v>
      </c>
      <c r="O11" s="15">
        <v>11759.88</v>
      </c>
      <c r="P11" s="23">
        <v>44884.12</v>
      </c>
    </row>
    <row r="12" spans="1:16" x14ac:dyDescent="0.25">
      <c r="M12" s="22" t="s">
        <v>29</v>
      </c>
      <c r="N12" s="15">
        <v>62111</v>
      </c>
      <c r="O12" s="15">
        <v>18933.660000000003</v>
      </c>
      <c r="P12" s="23">
        <v>43177.34</v>
      </c>
    </row>
    <row r="13" spans="1:16" x14ac:dyDescent="0.25">
      <c r="M13" s="22" t="s">
        <v>22</v>
      </c>
      <c r="N13" s="15">
        <v>52150</v>
      </c>
      <c r="O13" s="15">
        <v>11335.44</v>
      </c>
      <c r="P13" s="23">
        <v>40814.559999999998</v>
      </c>
    </row>
    <row r="14" spans="1:16" x14ac:dyDescent="0.25">
      <c r="M14" s="22" t="s">
        <v>53</v>
      </c>
      <c r="N14" s="15">
        <v>72373</v>
      </c>
      <c r="O14" s="15">
        <v>33288.660000000003</v>
      </c>
      <c r="P14" s="23">
        <v>39084.339999999997</v>
      </c>
    </row>
    <row r="15" spans="1:16" x14ac:dyDescent="0.25">
      <c r="A15" s="21" t="s">
        <v>68</v>
      </c>
      <c r="B15" t="s">
        <v>78</v>
      </c>
      <c r="D15" s="21" t="s">
        <v>68</v>
      </c>
      <c r="E15" t="s">
        <v>71</v>
      </c>
      <c r="M15" s="22" t="s">
        <v>51</v>
      </c>
      <c r="N15" s="15">
        <v>58009</v>
      </c>
      <c r="O15" s="15">
        <v>21308.159999999996</v>
      </c>
      <c r="P15" s="23">
        <v>36700.840000000004</v>
      </c>
    </row>
    <row r="16" spans="1:16" x14ac:dyDescent="0.25">
      <c r="A16" s="22" t="s">
        <v>30</v>
      </c>
      <c r="B16" s="14">
        <v>69160</v>
      </c>
      <c r="D16" s="22" t="s">
        <v>30</v>
      </c>
      <c r="E16" s="4">
        <v>1854</v>
      </c>
      <c r="M16" s="22" t="s">
        <v>41</v>
      </c>
      <c r="N16" s="15">
        <v>54712</v>
      </c>
      <c r="O16" s="15">
        <v>23321.520000000004</v>
      </c>
      <c r="P16" s="23">
        <v>31390.479999999996</v>
      </c>
    </row>
    <row r="17" spans="1:16" x14ac:dyDescent="0.25">
      <c r="A17" s="22" t="s">
        <v>36</v>
      </c>
      <c r="B17" s="14">
        <v>66283</v>
      </c>
      <c r="D17" s="22" t="s">
        <v>36</v>
      </c>
      <c r="E17" s="4">
        <v>2052</v>
      </c>
      <c r="M17" s="22" t="s">
        <v>48</v>
      </c>
      <c r="N17" s="15">
        <v>35378</v>
      </c>
      <c r="O17" s="15">
        <v>5188.68</v>
      </c>
      <c r="P17" s="23">
        <v>30189.32</v>
      </c>
    </row>
    <row r="18" spans="1:16" x14ac:dyDescent="0.25">
      <c r="A18" s="22" t="s">
        <v>14</v>
      </c>
      <c r="B18" s="14">
        <v>71967</v>
      </c>
      <c r="D18" s="22" t="s">
        <v>14</v>
      </c>
      <c r="E18" s="4">
        <v>2301</v>
      </c>
      <c r="M18" s="22" t="s">
        <v>38</v>
      </c>
      <c r="N18" s="15">
        <v>44744</v>
      </c>
      <c r="O18" s="15">
        <v>14943.84</v>
      </c>
      <c r="P18" s="23">
        <v>29800.16</v>
      </c>
    </row>
    <row r="19" spans="1:16" x14ac:dyDescent="0.25">
      <c r="A19" s="22" t="s">
        <v>48</v>
      </c>
      <c r="B19" s="14">
        <v>35378</v>
      </c>
      <c r="D19" s="22" t="s">
        <v>48</v>
      </c>
      <c r="E19" s="4">
        <v>1044</v>
      </c>
      <c r="M19" s="22" t="s">
        <v>11</v>
      </c>
      <c r="N19" s="15">
        <v>47271</v>
      </c>
      <c r="O19" s="15">
        <v>17549.730000000003</v>
      </c>
      <c r="P19" s="23">
        <v>29721.269999999997</v>
      </c>
    </row>
    <row r="20" spans="1:16" x14ac:dyDescent="0.25">
      <c r="A20" s="22" t="s">
        <v>44</v>
      </c>
      <c r="B20" s="14">
        <v>37772</v>
      </c>
      <c r="D20" s="22" t="s">
        <v>44</v>
      </c>
      <c r="E20" s="4">
        <v>1308</v>
      </c>
      <c r="M20" s="22" t="s">
        <v>27</v>
      </c>
      <c r="N20" s="15">
        <v>57372</v>
      </c>
      <c r="O20" s="15">
        <v>27693.900000000005</v>
      </c>
      <c r="P20" s="23">
        <v>29678.099999999995</v>
      </c>
    </row>
    <row r="21" spans="1:16" x14ac:dyDescent="0.25">
      <c r="A21" s="22" t="s">
        <v>50</v>
      </c>
      <c r="B21" s="14">
        <v>70273</v>
      </c>
      <c r="D21" s="22" t="s">
        <v>50</v>
      </c>
      <c r="E21" s="4">
        <v>2142</v>
      </c>
      <c r="M21" s="22" t="s">
        <v>34</v>
      </c>
      <c r="N21" s="15">
        <v>39263</v>
      </c>
      <c r="O21" s="15">
        <v>9744.57</v>
      </c>
      <c r="P21" s="23">
        <v>29518.43</v>
      </c>
    </row>
    <row r="22" spans="1:16" x14ac:dyDescent="0.25">
      <c r="A22" s="22" t="s">
        <v>22</v>
      </c>
      <c r="B22" s="14">
        <v>52150</v>
      </c>
      <c r="D22" s="22" t="s">
        <v>22</v>
      </c>
      <c r="E22" s="4">
        <v>1752</v>
      </c>
      <c r="M22" s="22" t="s">
        <v>44</v>
      </c>
      <c r="N22" s="15">
        <v>37772</v>
      </c>
      <c r="O22" s="15">
        <v>11772</v>
      </c>
      <c r="P22" s="23">
        <v>26000</v>
      </c>
    </row>
    <row r="23" spans="1:16" x14ac:dyDescent="0.25">
      <c r="A23" s="22" t="s">
        <v>47</v>
      </c>
      <c r="B23" s="14">
        <v>56644</v>
      </c>
      <c r="D23" s="22" t="s">
        <v>47</v>
      </c>
      <c r="E23" s="4">
        <v>1812</v>
      </c>
      <c r="M23" s="22" t="s">
        <v>9</v>
      </c>
      <c r="N23" s="15">
        <v>66500</v>
      </c>
      <c r="O23" s="15">
        <v>40600.979999999996</v>
      </c>
      <c r="P23" s="23">
        <v>25899.020000000004</v>
      </c>
    </row>
    <row r="24" spans="1:16" x14ac:dyDescent="0.25">
      <c r="A24" s="22" t="s">
        <v>29</v>
      </c>
      <c r="B24" s="14">
        <v>62111</v>
      </c>
      <c r="D24" s="22" t="s">
        <v>29</v>
      </c>
      <c r="E24" s="4">
        <v>2154</v>
      </c>
      <c r="M24" s="22" t="s">
        <v>52</v>
      </c>
      <c r="N24" s="15">
        <v>69461</v>
      </c>
      <c r="O24" s="15">
        <v>49888.860000000008</v>
      </c>
      <c r="P24" s="23">
        <v>19572.139999999992</v>
      </c>
    </row>
    <row r="25" spans="1:16" x14ac:dyDescent="0.25">
      <c r="A25" s="22" t="s">
        <v>24</v>
      </c>
      <c r="B25" s="14">
        <v>68971</v>
      </c>
      <c r="D25" s="22" t="s">
        <v>24</v>
      </c>
      <c r="E25" s="4">
        <v>1533</v>
      </c>
      <c r="M25" s="22" t="s">
        <v>16</v>
      </c>
      <c r="N25" s="15">
        <v>43183</v>
      </c>
      <c r="O25" s="15">
        <v>23657.399999999998</v>
      </c>
      <c r="P25" s="23">
        <v>19525.600000000002</v>
      </c>
    </row>
    <row r="26" spans="1:16" x14ac:dyDescent="0.25">
      <c r="A26" s="22" t="s">
        <v>69</v>
      </c>
      <c r="B26" s="14">
        <v>590709</v>
      </c>
      <c r="D26" s="22" t="s">
        <v>69</v>
      </c>
      <c r="E26" s="4">
        <v>17952</v>
      </c>
      <c r="M26" s="22" t="s">
        <v>18</v>
      </c>
      <c r="N26" s="15">
        <v>33551</v>
      </c>
      <c r="O26" s="15">
        <v>18604.080000000002</v>
      </c>
      <c r="P26" s="23">
        <v>14946.919999999998</v>
      </c>
    </row>
    <row r="27" spans="1:16" x14ac:dyDescent="0.25">
      <c r="M27" s="22" t="s">
        <v>69</v>
      </c>
      <c r="N27" s="15">
        <v>1240869</v>
      </c>
      <c r="O27" s="15">
        <v>439703.73</v>
      </c>
      <c r="P27" s="23">
        <v>801165.27</v>
      </c>
    </row>
    <row r="30" spans="1:16" x14ac:dyDescent="0.25">
      <c r="A30" s="21" t="s">
        <v>68</v>
      </c>
      <c r="B30" t="s">
        <v>70</v>
      </c>
      <c r="D30" s="21" t="s">
        <v>68</v>
      </c>
      <c r="E30" t="s">
        <v>70</v>
      </c>
      <c r="H30" s="21" t="s">
        <v>68</v>
      </c>
      <c r="I30" s="14" t="s">
        <v>77</v>
      </c>
      <c r="J30" s="14" t="s">
        <v>78</v>
      </c>
    </row>
    <row r="31" spans="1:16" x14ac:dyDescent="0.25">
      <c r="A31" s="22" t="s">
        <v>33</v>
      </c>
      <c r="B31" s="15">
        <v>25221</v>
      </c>
      <c r="D31" s="22" t="s">
        <v>33</v>
      </c>
      <c r="E31" s="15">
        <v>6069</v>
      </c>
      <c r="H31" s="22" t="s">
        <v>45</v>
      </c>
      <c r="I31" s="14">
        <v>85111.390000000014</v>
      </c>
      <c r="J31" s="14">
        <v>123949</v>
      </c>
    </row>
    <row r="32" spans="1:16" x14ac:dyDescent="0.25">
      <c r="A32" s="31" t="s">
        <v>42</v>
      </c>
      <c r="B32" s="15">
        <v>25221</v>
      </c>
      <c r="D32" s="31" t="s">
        <v>20</v>
      </c>
      <c r="E32" s="15">
        <v>6069</v>
      </c>
      <c r="H32" s="22" t="s">
        <v>12</v>
      </c>
      <c r="I32" s="14">
        <v>52773.01999999999</v>
      </c>
      <c r="J32" s="14">
        <v>98084</v>
      </c>
    </row>
    <row r="33" spans="1:10" x14ac:dyDescent="0.25">
      <c r="A33" s="22" t="s">
        <v>21</v>
      </c>
      <c r="B33" s="15">
        <v>39620</v>
      </c>
      <c r="D33" s="22" t="s">
        <v>21</v>
      </c>
      <c r="E33" s="15">
        <v>5019</v>
      </c>
      <c r="H33" s="22" t="s">
        <v>20</v>
      </c>
      <c r="I33" s="14">
        <v>60448.160000000003</v>
      </c>
      <c r="J33" s="14">
        <v>98210</v>
      </c>
    </row>
    <row r="34" spans="1:10" x14ac:dyDescent="0.25">
      <c r="A34" s="31" t="s">
        <v>42</v>
      </c>
      <c r="B34" s="15">
        <v>39620</v>
      </c>
      <c r="D34" s="31" t="s">
        <v>12</v>
      </c>
      <c r="E34" s="15">
        <v>5019</v>
      </c>
      <c r="H34" s="22" t="s">
        <v>39</v>
      </c>
      <c r="I34" s="14">
        <v>99692.09</v>
      </c>
      <c r="J34" s="14">
        <v>149975</v>
      </c>
    </row>
    <row r="35" spans="1:10" x14ac:dyDescent="0.25">
      <c r="A35" s="22" t="s">
        <v>49</v>
      </c>
      <c r="B35" s="15">
        <v>41559</v>
      </c>
      <c r="D35" s="22" t="s">
        <v>49</v>
      </c>
      <c r="E35" s="15">
        <v>5516</v>
      </c>
      <c r="H35" s="22" t="s">
        <v>25</v>
      </c>
      <c r="I35" s="14">
        <v>69419.989999999991</v>
      </c>
      <c r="J35" s="14">
        <v>130697</v>
      </c>
    </row>
    <row r="36" spans="1:10" x14ac:dyDescent="0.25">
      <c r="A36" s="31" t="s">
        <v>42</v>
      </c>
      <c r="B36" s="15">
        <v>41559</v>
      </c>
      <c r="D36" s="31" t="s">
        <v>12</v>
      </c>
      <c r="E36" s="15">
        <v>5516</v>
      </c>
      <c r="H36" s="22" t="s">
        <v>42</v>
      </c>
      <c r="I36" s="14">
        <v>135189.98000000001</v>
      </c>
      <c r="J36" s="14">
        <v>165725</v>
      </c>
    </row>
    <row r="37" spans="1:10" x14ac:dyDescent="0.25">
      <c r="A37" s="22" t="s">
        <v>8</v>
      </c>
      <c r="B37" s="15">
        <v>43568</v>
      </c>
      <c r="D37" s="22" t="s">
        <v>8</v>
      </c>
      <c r="E37" s="15">
        <v>7987</v>
      </c>
      <c r="H37" s="22" t="s">
        <v>46</v>
      </c>
      <c r="I37" s="14">
        <v>60065.860000000008</v>
      </c>
      <c r="J37" s="14">
        <v>106834</v>
      </c>
    </row>
    <row r="38" spans="1:10" x14ac:dyDescent="0.25">
      <c r="A38" s="31" t="s">
        <v>39</v>
      </c>
      <c r="B38" s="15">
        <v>43568</v>
      </c>
      <c r="D38" s="31" t="s">
        <v>54</v>
      </c>
      <c r="E38" s="15">
        <v>7987</v>
      </c>
      <c r="H38" s="22" t="s">
        <v>17</v>
      </c>
      <c r="I38" s="14">
        <v>89425.93</v>
      </c>
      <c r="J38" s="14">
        <v>132580</v>
      </c>
    </row>
    <row r="39" spans="1:10" x14ac:dyDescent="0.25">
      <c r="A39" s="22" t="s">
        <v>26</v>
      </c>
      <c r="B39" s="15">
        <v>45752</v>
      </c>
      <c r="D39" s="22" t="s">
        <v>26</v>
      </c>
      <c r="E39" s="15">
        <v>3976</v>
      </c>
      <c r="H39" s="22" t="s">
        <v>54</v>
      </c>
      <c r="I39" s="14">
        <v>47975.96</v>
      </c>
      <c r="J39" s="14">
        <v>83216</v>
      </c>
    </row>
    <row r="40" spans="1:10" x14ac:dyDescent="0.25">
      <c r="A40" s="31" t="s">
        <v>45</v>
      </c>
      <c r="B40" s="15">
        <v>45752</v>
      </c>
      <c r="D40" s="31" t="s">
        <v>20</v>
      </c>
      <c r="E40" s="15">
        <v>3976</v>
      </c>
      <c r="H40" s="22" t="s">
        <v>7</v>
      </c>
      <c r="I40" s="14">
        <v>101062.89</v>
      </c>
      <c r="J40" s="14">
        <v>151599</v>
      </c>
    </row>
    <row r="41" spans="1:10" x14ac:dyDescent="0.25">
      <c r="A41" s="22" t="s">
        <v>13</v>
      </c>
      <c r="B41" s="15">
        <v>38325</v>
      </c>
      <c r="D41" s="22" t="s">
        <v>13</v>
      </c>
      <c r="E41" s="15">
        <v>2142</v>
      </c>
      <c r="H41" s="22" t="s">
        <v>69</v>
      </c>
      <c r="I41" s="14">
        <v>801165.27</v>
      </c>
      <c r="J41" s="14">
        <v>1240869</v>
      </c>
    </row>
    <row r="42" spans="1:10" x14ac:dyDescent="0.25">
      <c r="A42" s="31" t="s">
        <v>7</v>
      </c>
      <c r="B42" s="15">
        <v>38325</v>
      </c>
      <c r="D42" s="31" t="s">
        <v>45</v>
      </c>
      <c r="E42" s="15">
        <v>2142</v>
      </c>
    </row>
    <row r="43" spans="1:10" x14ac:dyDescent="0.25">
      <c r="A43" s="22" t="s">
        <v>69</v>
      </c>
      <c r="B43" s="15">
        <v>234045</v>
      </c>
      <c r="D43" s="22" t="s">
        <v>69</v>
      </c>
      <c r="E43" s="15">
        <v>30709</v>
      </c>
    </row>
    <row r="49" spans="1:9" x14ac:dyDescent="0.25">
      <c r="A49" s="21" t="s">
        <v>68</v>
      </c>
      <c r="B49" s="14" t="s">
        <v>76</v>
      </c>
      <c r="C49" s="14" t="s">
        <v>79</v>
      </c>
      <c r="E49" s="21" t="s">
        <v>2</v>
      </c>
      <c r="F49" s="33" t="s">
        <v>80</v>
      </c>
      <c r="H49" s="21" t="s">
        <v>2</v>
      </c>
      <c r="I49" s="33" t="s">
        <v>81</v>
      </c>
    </row>
    <row r="50" spans="1:9" x14ac:dyDescent="0.25">
      <c r="A50" s="22" t="s">
        <v>18</v>
      </c>
      <c r="B50" s="14">
        <v>14946.919999999998</v>
      </c>
      <c r="C50" s="14">
        <v>18604.080000000002</v>
      </c>
      <c r="E50" s="22" t="s">
        <v>53</v>
      </c>
      <c r="F50" s="32">
        <v>4824.8666666666668</v>
      </c>
      <c r="H50" s="22" t="s">
        <v>16</v>
      </c>
      <c r="I50" s="4">
        <v>183.81818181818181</v>
      </c>
    </row>
    <row r="51" spans="1:9" x14ac:dyDescent="0.25">
      <c r="A51" s="22" t="s">
        <v>32</v>
      </c>
      <c r="B51" s="14">
        <v>56471.590000000004</v>
      </c>
      <c r="C51" s="14">
        <v>7249.4099999999989</v>
      </c>
      <c r="E51" s="22" t="s">
        <v>14</v>
      </c>
      <c r="F51" s="32">
        <v>5997.25</v>
      </c>
      <c r="H51" s="22" t="s">
        <v>9</v>
      </c>
      <c r="I51" s="4">
        <v>175.125</v>
      </c>
    </row>
    <row r="52" spans="1:9" x14ac:dyDescent="0.25">
      <c r="A52" s="22" t="s">
        <v>51</v>
      </c>
      <c r="B52" s="14">
        <v>36700.840000000004</v>
      </c>
      <c r="C52" s="14">
        <v>21308.159999999996</v>
      </c>
      <c r="E52" s="22" t="s">
        <v>41</v>
      </c>
      <c r="F52" s="32">
        <v>5471.2</v>
      </c>
      <c r="H52" s="22" t="s">
        <v>53</v>
      </c>
      <c r="I52" s="4">
        <v>213.8</v>
      </c>
    </row>
    <row r="53" spans="1:9" x14ac:dyDescent="0.25">
      <c r="A53" s="22" t="s">
        <v>44</v>
      </c>
      <c r="B53" s="14">
        <v>26000</v>
      </c>
      <c r="C53" s="14">
        <v>11772</v>
      </c>
      <c r="E53" s="22" t="s">
        <v>30</v>
      </c>
      <c r="F53" s="32">
        <v>5320</v>
      </c>
      <c r="H53" s="22" t="s">
        <v>14</v>
      </c>
      <c r="I53" s="4">
        <v>191.75</v>
      </c>
    </row>
    <row r="54" spans="1:9" x14ac:dyDescent="0.25">
      <c r="A54" s="22" t="s">
        <v>9</v>
      </c>
      <c r="B54" s="14">
        <v>25899.020000000004</v>
      </c>
      <c r="C54" s="14">
        <v>40600.979999999996</v>
      </c>
      <c r="E54" s="22" t="s">
        <v>24</v>
      </c>
      <c r="F54" s="32">
        <v>5305.4615384615381</v>
      </c>
      <c r="H54" s="22" t="s">
        <v>41</v>
      </c>
      <c r="I54" s="4">
        <v>219.6</v>
      </c>
    </row>
    <row r="55" spans="1:9" x14ac:dyDescent="0.25">
      <c r="A55" s="22" t="s">
        <v>50</v>
      </c>
      <c r="B55" s="14">
        <v>58277.8</v>
      </c>
      <c r="C55" s="14">
        <v>11995.2</v>
      </c>
    </row>
    <row r="56" spans="1:9" x14ac:dyDescent="0.25">
      <c r="A56" s="22" t="s">
        <v>53</v>
      </c>
      <c r="B56" s="14">
        <v>39084.339999999997</v>
      </c>
      <c r="C56" s="14">
        <v>33288.660000000003</v>
      </c>
    </row>
    <row r="57" spans="1:9" x14ac:dyDescent="0.25">
      <c r="A57" s="22" t="s">
        <v>22</v>
      </c>
      <c r="B57" s="14">
        <v>40814.559999999998</v>
      </c>
      <c r="C57" s="14">
        <v>11335.44</v>
      </c>
    </row>
    <row r="58" spans="1:9" x14ac:dyDescent="0.25">
      <c r="A58" s="22" t="s">
        <v>47</v>
      </c>
      <c r="B58" s="14">
        <v>44884.12</v>
      </c>
      <c r="C58" s="14">
        <v>11759.88</v>
      </c>
    </row>
    <row r="59" spans="1:9" x14ac:dyDescent="0.25">
      <c r="A59" s="22" t="s">
        <v>29</v>
      </c>
      <c r="B59" s="14">
        <v>43177.34</v>
      </c>
      <c r="C59" s="14">
        <v>18933.660000000003</v>
      </c>
    </row>
    <row r="60" spans="1:9" x14ac:dyDescent="0.25">
      <c r="A60" s="22" t="s">
        <v>52</v>
      </c>
      <c r="B60" s="14">
        <v>19572.139999999992</v>
      </c>
      <c r="C60" s="14">
        <v>49888.860000000008</v>
      </c>
    </row>
    <row r="61" spans="1:9" x14ac:dyDescent="0.25">
      <c r="A61" s="22" t="s">
        <v>30</v>
      </c>
      <c r="B61" s="14">
        <v>46226.020000000004</v>
      </c>
      <c r="C61" s="14">
        <v>22933.98</v>
      </c>
    </row>
    <row r="62" spans="1:9" x14ac:dyDescent="0.25">
      <c r="A62" s="22" t="s">
        <v>34</v>
      </c>
      <c r="B62" s="14">
        <v>29518.43</v>
      </c>
      <c r="C62" s="14">
        <v>9744.57</v>
      </c>
    </row>
    <row r="63" spans="1:9" x14ac:dyDescent="0.25">
      <c r="A63" s="22" t="s">
        <v>27</v>
      </c>
      <c r="B63" s="14">
        <v>29678.099999999995</v>
      </c>
      <c r="C63" s="14">
        <v>27693.900000000005</v>
      </c>
    </row>
    <row r="64" spans="1:9" x14ac:dyDescent="0.25">
      <c r="A64" s="22" t="s">
        <v>38</v>
      </c>
      <c r="B64" s="14">
        <v>29800.16</v>
      </c>
      <c r="C64" s="14">
        <v>14943.84</v>
      </c>
    </row>
    <row r="65" spans="1:9" x14ac:dyDescent="0.25">
      <c r="A65" s="22" t="s">
        <v>36</v>
      </c>
      <c r="B65" s="14">
        <v>46234.960000000006</v>
      </c>
      <c r="C65" s="14">
        <v>20048.039999999997</v>
      </c>
    </row>
    <row r="66" spans="1:9" x14ac:dyDescent="0.25">
      <c r="A66" s="22" t="s">
        <v>16</v>
      </c>
      <c r="B66" s="14">
        <v>19525.600000000002</v>
      </c>
      <c r="C66" s="14">
        <v>23657.399999999998</v>
      </c>
    </row>
    <row r="67" spans="1:9" x14ac:dyDescent="0.25">
      <c r="A67" s="22" t="s">
        <v>48</v>
      </c>
      <c r="B67" s="14">
        <v>30189.32</v>
      </c>
      <c r="C67" s="14">
        <v>5188.68</v>
      </c>
    </row>
    <row r="68" spans="1:9" x14ac:dyDescent="0.25">
      <c r="A68" s="22" t="s">
        <v>41</v>
      </c>
      <c r="B68" s="14">
        <v>31390.479999999996</v>
      </c>
      <c r="C68" s="14">
        <v>23321.520000000004</v>
      </c>
    </row>
    <row r="69" spans="1:9" x14ac:dyDescent="0.25">
      <c r="A69" s="22" t="s">
        <v>24</v>
      </c>
      <c r="B69" s="14">
        <v>50988.91</v>
      </c>
      <c r="C69" s="14">
        <v>17982.09</v>
      </c>
    </row>
    <row r="70" spans="1:9" x14ac:dyDescent="0.25">
      <c r="A70" s="22" t="s">
        <v>14</v>
      </c>
      <c r="B70" s="14">
        <v>52063.35</v>
      </c>
      <c r="C70" s="14">
        <v>19903.650000000001</v>
      </c>
    </row>
    <row r="71" spans="1:9" x14ac:dyDescent="0.25">
      <c r="A71" s="22" t="s">
        <v>11</v>
      </c>
      <c r="B71" s="14">
        <v>29721.269999999997</v>
      </c>
      <c r="C71" s="14">
        <v>17549.730000000003</v>
      </c>
    </row>
    <row r="72" spans="1:9" x14ac:dyDescent="0.25">
      <c r="A72" s="22" t="s">
        <v>69</v>
      </c>
      <c r="B72" s="14">
        <v>801165.27</v>
      </c>
      <c r="C72" s="14">
        <v>439703.73</v>
      </c>
    </row>
    <row r="73" spans="1:9" x14ac:dyDescent="0.25">
      <c r="B73" s="14"/>
      <c r="C73" s="14"/>
    </row>
    <row r="75" spans="1:9" x14ac:dyDescent="0.25">
      <c r="A75" s="21" t="s">
        <v>68</v>
      </c>
      <c r="B75" t="s">
        <v>70</v>
      </c>
      <c r="D75" s="21" t="s">
        <v>68</v>
      </c>
      <c r="E75" t="s">
        <v>71</v>
      </c>
      <c r="G75" s="21" t="s">
        <v>68</v>
      </c>
      <c r="H75" t="s">
        <v>71</v>
      </c>
      <c r="I75" t="s">
        <v>70</v>
      </c>
    </row>
    <row r="76" spans="1:9" x14ac:dyDescent="0.25">
      <c r="A76" s="22" t="s">
        <v>18</v>
      </c>
      <c r="B76" s="14">
        <v>33551</v>
      </c>
      <c r="D76" s="22" t="s">
        <v>18</v>
      </c>
      <c r="E76" s="4">
        <v>1566</v>
      </c>
      <c r="G76" s="22" t="s">
        <v>9</v>
      </c>
      <c r="H76" s="4">
        <v>2802</v>
      </c>
      <c r="I76" s="4">
        <v>66500</v>
      </c>
    </row>
    <row r="77" spans="1:9" x14ac:dyDescent="0.25">
      <c r="A77" s="22" t="s">
        <v>32</v>
      </c>
      <c r="B77" s="14">
        <v>63721</v>
      </c>
      <c r="D77" s="22" t="s">
        <v>32</v>
      </c>
      <c r="E77" s="4">
        <v>2331</v>
      </c>
      <c r="G77" s="22" t="s">
        <v>36</v>
      </c>
      <c r="H77" s="4">
        <v>2052</v>
      </c>
      <c r="I77" s="4">
        <v>66283</v>
      </c>
    </row>
    <row r="78" spans="1:9" x14ac:dyDescent="0.25">
      <c r="A78" s="22" t="s">
        <v>51</v>
      </c>
      <c r="B78" s="14">
        <v>58009</v>
      </c>
      <c r="D78" s="22" t="s">
        <v>51</v>
      </c>
      <c r="E78" s="4">
        <v>2976</v>
      </c>
      <c r="G78" s="22" t="s">
        <v>50</v>
      </c>
      <c r="H78" s="4">
        <v>2142</v>
      </c>
      <c r="I78" s="4">
        <v>70273</v>
      </c>
    </row>
    <row r="79" spans="1:9" x14ac:dyDescent="0.25">
      <c r="A79" s="22" t="s">
        <v>44</v>
      </c>
      <c r="B79" s="14">
        <v>37772</v>
      </c>
      <c r="D79" s="22" t="s">
        <v>44</v>
      </c>
      <c r="E79" s="4">
        <v>1308</v>
      </c>
      <c r="G79" s="22" t="s">
        <v>53</v>
      </c>
      <c r="H79" s="4">
        <v>3207</v>
      </c>
      <c r="I79" s="4">
        <v>72373</v>
      </c>
    </row>
    <row r="80" spans="1:9" x14ac:dyDescent="0.25">
      <c r="A80" s="22" t="s">
        <v>9</v>
      </c>
      <c r="B80" s="14">
        <v>66500</v>
      </c>
      <c r="D80" s="22" t="s">
        <v>9</v>
      </c>
      <c r="E80" s="4">
        <v>2802</v>
      </c>
      <c r="G80" s="22" t="s">
        <v>32</v>
      </c>
      <c r="H80" s="4">
        <v>2331</v>
      </c>
      <c r="I80" s="4">
        <v>63721</v>
      </c>
    </row>
    <row r="81" spans="1:9" x14ac:dyDescent="0.25">
      <c r="A81" s="22" t="s">
        <v>50</v>
      </c>
      <c r="B81" s="14">
        <v>70273</v>
      </c>
      <c r="D81" s="22" t="s">
        <v>50</v>
      </c>
      <c r="E81" s="4">
        <v>2142</v>
      </c>
      <c r="G81" s="22" t="s">
        <v>47</v>
      </c>
      <c r="H81" s="4">
        <v>1812</v>
      </c>
      <c r="I81" s="4">
        <v>56644</v>
      </c>
    </row>
    <row r="82" spans="1:9" x14ac:dyDescent="0.25">
      <c r="A82" s="22" t="s">
        <v>53</v>
      </c>
      <c r="B82" s="14">
        <v>72373</v>
      </c>
      <c r="D82" s="22" t="s">
        <v>53</v>
      </c>
      <c r="E82" s="4">
        <v>3207</v>
      </c>
      <c r="G82" s="22" t="s">
        <v>51</v>
      </c>
      <c r="H82" s="4">
        <v>2976</v>
      </c>
      <c r="I82" s="4">
        <v>58009</v>
      </c>
    </row>
    <row r="83" spans="1:9" x14ac:dyDescent="0.25">
      <c r="A83" s="22" t="s">
        <v>22</v>
      </c>
      <c r="B83" s="14">
        <v>52150</v>
      </c>
      <c r="D83" s="22" t="s">
        <v>22</v>
      </c>
      <c r="E83" s="4">
        <v>1752</v>
      </c>
      <c r="G83" s="22" t="s">
        <v>29</v>
      </c>
      <c r="H83" s="4">
        <v>2154</v>
      </c>
      <c r="I83" s="4">
        <v>62111</v>
      </c>
    </row>
    <row r="84" spans="1:9" x14ac:dyDescent="0.25">
      <c r="A84" s="22" t="s">
        <v>47</v>
      </c>
      <c r="B84" s="14">
        <v>56644</v>
      </c>
      <c r="D84" s="22" t="s">
        <v>47</v>
      </c>
      <c r="E84" s="4">
        <v>1812</v>
      </c>
      <c r="G84" s="22" t="s">
        <v>52</v>
      </c>
      <c r="H84" s="4">
        <v>2982</v>
      </c>
      <c r="I84" s="4">
        <v>69461</v>
      </c>
    </row>
    <row r="85" spans="1:9" x14ac:dyDescent="0.25">
      <c r="A85" s="22" t="s">
        <v>29</v>
      </c>
      <c r="B85" s="14">
        <v>62111</v>
      </c>
      <c r="D85" s="22" t="s">
        <v>29</v>
      </c>
      <c r="E85" s="4">
        <v>2154</v>
      </c>
      <c r="G85" s="22" t="s">
        <v>30</v>
      </c>
      <c r="H85" s="4">
        <v>1854</v>
      </c>
      <c r="I85" s="4">
        <v>69160</v>
      </c>
    </row>
    <row r="86" spans="1:9" x14ac:dyDescent="0.25">
      <c r="A86" s="22" t="s">
        <v>52</v>
      </c>
      <c r="B86" s="14">
        <v>69461</v>
      </c>
      <c r="D86" s="22" t="s">
        <v>52</v>
      </c>
      <c r="E86" s="4">
        <v>2982</v>
      </c>
      <c r="G86" s="22" t="s">
        <v>34</v>
      </c>
      <c r="H86" s="4">
        <v>1683</v>
      </c>
      <c r="I86" s="4">
        <v>39263</v>
      </c>
    </row>
    <row r="87" spans="1:9" x14ac:dyDescent="0.25">
      <c r="A87" s="22" t="s">
        <v>30</v>
      </c>
      <c r="B87" s="14">
        <v>69160</v>
      </c>
      <c r="D87" s="22" t="s">
        <v>30</v>
      </c>
      <c r="E87" s="4">
        <v>1854</v>
      </c>
      <c r="G87" s="22" t="s">
        <v>44</v>
      </c>
      <c r="H87" s="4">
        <v>1308</v>
      </c>
      <c r="I87" s="4">
        <v>37772</v>
      </c>
    </row>
    <row r="88" spans="1:9" x14ac:dyDescent="0.25">
      <c r="A88" s="22" t="s">
        <v>34</v>
      </c>
      <c r="B88" s="14">
        <v>39263</v>
      </c>
      <c r="D88" s="22" t="s">
        <v>34</v>
      </c>
      <c r="E88" s="4">
        <v>1683</v>
      </c>
      <c r="G88" s="22" t="s">
        <v>27</v>
      </c>
      <c r="H88" s="4">
        <v>2106</v>
      </c>
      <c r="I88" s="4">
        <v>57372</v>
      </c>
    </row>
    <row r="89" spans="1:9" x14ac:dyDescent="0.25">
      <c r="A89" s="22" t="s">
        <v>27</v>
      </c>
      <c r="B89" s="14">
        <v>57372</v>
      </c>
      <c r="D89" s="22" t="s">
        <v>27</v>
      </c>
      <c r="E89" s="4">
        <v>2106</v>
      </c>
      <c r="G89" s="22" t="s">
        <v>38</v>
      </c>
      <c r="H89" s="4">
        <v>1956</v>
      </c>
      <c r="I89" s="4">
        <v>44744</v>
      </c>
    </row>
    <row r="90" spans="1:9" x14ac:dyDescent="0.25">
      <c r="A90" s="22" t="s">
        <v>38</v>
      </c>
      <c r="B90" s="14">
        <v>44744</v>
      </c>
      <c r="D90" s="22" t="s">
        <v>38</v>
      </c>
      <c r="E90" s="4">
        <v>1956</v>
      </c>
      <c r="G90" s="22" t="s">
        <v>18</v>
      </c>
      <c r="H90" s="4">
        <v>1566</v>
      </c>
      <c r="I90" s="4">
        <v>33551</v>
      </c>
    </row>
    <row r="91" spans="1:9" x14ac:dyDescent="0.25">
      <c r="A91" s="22" t="s">
        <v>36</v>
      </c>
      <c r="B91" s="14">
        <v>66283</v>
      </c>
      <c r="D91" s="22" t="s">
        <v>36</v>
      </c>
      <c r="E91" s="4">
        <v>2052</v>
      </c>
      <c r="G91" s="22" t="s">
        <v>22</v>
      </c>
      <c r="H91" s="4">
        <v>1752</v>
      </c>
      <c r="I91" s="4">
        <v>52150</v>
      </c>
    </row>
    <row r="92" spans="1:9" x14ac:dyDescent="0.25">
      <c r="A92" s="22" t="s">
        <v>16</v>
      </c>
      <c r="B92" s="14">
        <v>43183</v>
      </c>
      <c r="D92" s="22" t="s">
        <v>16</v>
      </c>
      <c r="E92" s="4">
        <v>2022</v>
      </c>
      <c r="G92" s="22" t="s">
        <v>16</v>
      </c>
      <c r="H92" s="4">
        <v>2022</v>
      </c>
      <c r="I92" s="4">
        <v>43183</v>
      </c>
    </row>
    <row r="93" spans="1:9" x14ac:dyDescent="0.25">
      <c r="A93" s="22" t="s">
        <v>48</v>
      </c>
      <c r="B93" s="14">
        <v>35378</v>
      </c>
      <c r="D93" s="22" t="s">
        <v>48</v>
      </c>
      <c r="E93" s="4">
        <v>1044</v>
      </c>
      <c r="G93" s="22" t="s">
        <v>48</v>
      </c>
      <c r="H93" s="4">
        <v>1044</v>
      </c>
      <c r="I93" s="4">
        <v>35378</v>
      </c>
    </row>
    <row r="94" spans="1:9" x14ac:dyDescent="0.25">
      <c r="A94" s="22" t="s">
        <v>41</v>
      </c>
      <c r="B94" s="14">
        <v>54712</v>
      </c>
      <c r="D94" s="22" t="s">
        <v>41</v>
      </c>
      <c r="E94" s="4">
        <v>2196</v>
      </c>
      <c r="G94" s="22" t="s">
        <v>41</v>
      </c>
      <c r="H94" s="4">
        <v>2196</v>
      </c>
      <c r="I94" s="4">
        <v>54712</v>
      </c>
    </row>
    <row r="95" spans="1:9" x14ac:dyDescent="0.25">
      <c r="A95" s="22" t="s">
        <v>24</v>
      </c>
      <c r="B95" s="14">
        <v>68971</v>
      </c>
      <c r="D95" s="22" t="s">
        <v>24</v>
      </c>
      <c r="E95" s="4">
        <v>1533</v>
      </c>
      <c r="G95" s="22" t="s">
        <v>24</v>
      </c>
      <c r="H95" s="4">
        <v>1533</v>
      </c>
      <c r="I95" s="4">
        <v>68971</v>
      </c>
    </row>
    <row r="96" spans="1:9" x14ac:dyDescent="0.25">
      <c r="A96" s="22" t="s">
        <v>14</v>
      </c>
      <c r="B96" s="14">
        <v>71967</v>
      </c>
      <c r="D96" s="22" t="s">
        <v>14</v>
      </c>
      <c r="E96" s="4">
        <v>2301</v>
      </c>
      <c r="G96" s="22" t="s">
        <v>14</v>
      </c>
      <c r="H96" s="4">
        <v>2301</v>
      </c>
      <c r="I96" s="4">
        <v>71967</v>
      </c>
    </row>
    <row r="97" spans="1:9" x14ac:dyDescent="0.25">
      <c r="A97" s="22" t="s">
        <v>11</v>
      </c>
      <c r="B97" s="14">
        <v>47271</v>
      </c>
      <c r="D97" s="22" t="s">
        <v>11</v>
      </c>
      <c r="E97" s="4">
        <v>1881</v>
      </c>
      <c r="G97" s="22" t="s">
        <v>11</v>
      </c>
      <c r="H97" s="4">
        <v>1881</v>
      </c>
      <c r="I97" s="4">
        <v>47271</v>
      </c>
    </row>
    <row r="98" spans="1:9" x14ac:dyDescent="0.25">
      <c r="A98" s="22" t="s">
        <v>69</v>
      </c>
      <c r="B98" s="14">
        <v>1240869</v>
      </c>
      <c r="D98" s="22" t="s">
        <v>69</v>
      </c>
      <c r="E98" s="14">
        <v>45660</v>
      </c>
      <c r="G98" s="22" t="s">
        <v>69</v>
      </c>
      <c r="H98" s="14">
        <v>45660</v>
      </c>
      <c r="I98" s="14">
        <v>1240869</v>
      </c>
    </row>
    <row r="99" spans="1:9" x14ac:dyDescent="0.25">
      <c r="B99" s="14"/>
      <c r="C99" s="14"/>
    </row>
  </sheetData>
  <conditionalFormatting pivot="1" sqref="C6:C11">
    <cfRule type="dataBar" priority="2">
      <dataBar showValue="0">
        <cfvo type="min"/>
        <cfvo type="max"/>
        <color rgb="FF63C384"/>
      </dataBar>
      <extLst>
        <ext xmlns:x14="http://schemas.microsoft.com/office/spreadsheetml/2009/9/main" uri="{B025F937-C7B1-47D3-B67F-A62EFF666E3E}">
          <x14:id>{4C2E12F1-D449-41E2-9492-40CBA1C1AF7A}</x14:id>
        </ext>
      </extLst>
    </cfRule>
  </conditionalFormatting>
  <pageMargins left="0.7" right="0.7" top="0.75" bottom="0.75" header="0.3" footer="0.3"/>
  <pageSetup paperSize="9" orientation="portrait" r:id="rId14"/>
  <drawing r:id="rId15"/>
  <extLst>
    <ext xmlns:x14="http://schemas.microsoft.com/office/spreadsheetml/2009/9/main" uri="{78C0D931-6437-407d-A8EE-F0AAD7539E65}">
      <x14:conditionalFormattings>
        <x14:conditionalFormatting xmlns:xm="http://schemas.microsoft.com/office/excel/2006/main" pivot="1">
          <x14:cfRule type="dataBar" id="{4C2E12F1-D449-41E2-9492-40CBA1C1AF7A}">
            <x14:dataBar minLength="0" maxLength="100" gradient="0">
              <x14:cfvo type="autoMin"/>
              <x14:cfvo type="autoMax"/>
              <x14:negativeFillColor rgb="FFFF0000"/>
              <x14:axisColor rgb="FF000000"/>
            </x14:dataBar>
          </x14:cfRule>
          <xm:sqref>C6:C11</xm:sqref>
        </x14:conditionalFormatting>
      </x14:conditionalFormattings>
    </ext>
    <ext xmlns:x14="http://schemas.microsoft.com/office/spreadsheetml/2009/9/main" uri="{A8765BA9-456A-4dab-B4F3-ACF838C121DE}">
      <x14:slicerList>
        <x14:slicer r:id="rId1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6F8E1-E47B-466D-A64E-EA9D64A5ECFB}">
  <dimension ref="A4:E304"/>
  <sheetViews>
    <sheetView topLeftCell="A34" workbookViewId="0">
      <selection activeCell="E50" sqref="E50"/>
    </sheetView>
  </sheetViews>
  <sheetFormatPr defaultRowHeight="15" x14ac:dyDescent="0.25"/>
  <cols>
    <col min="1" max="1" width="12.42578125" customWidth="1"/>
    <col min="2" max="2" width="12.5703125" customWidth="1"/>
    <col min="3" max="3" width="21.85546875" bestFit="1" customWidth="1"/>
  </cols>
  <sheetData>
    <row r="4" spans="1:5" x14ac:dyDescent="0.25">
      <c r="A4" s="8" t="s">
        <v>0</v>
      </c>
      <c r="B4" s="24" t="s">
        <v>1</v>
      </c>
      <c r="C4" s="24" t="s">
        <v>2</v>
      </c>
      <c r="D4" s="25" t="s">
        <v>3</v>
      </c>
      <c r="E4" s="26" t="s">
        <v>4</v>
      </c>
    </row>
    <row r="5" spans="1:5" x14ac:dyDescent="0.25">
      <c r="A5" s="9" t="s">
        <v>54</v>
      </c>
      <c r="B5" s="11" t="s">
        <v>33</v>
      </c>
      <c r="C5" s="11" t="s">
        <v>16</v>
      </c>
      <c r="D5" s="27">
        <v>5586</v>
      </c>
      <c r="E5" s="28">
        <v>525</v>
      </c>
    </row>
    <row r="6" spans="1:5" x14ac:dyDescent="0.25">
      <c r="A6" s="10" t="s">
        <v>45</v>
      </c>
      <c r="B6" s="12" t="s">
        <v>21</v>
      </c>
      <c r="C6" s="12" t="s">
        <v>52</v>
      </c>
      <c r="D6" s="29">
        <v>798</v>
      </c>
      <c r="E6" s="30">
        <v>519</v>
      </c>
    </row>
    <row r="7" spans="1:5" x14ac:dyDescent="0.25">
      <c r="A7" s="9" t="s">
        <v>12</v>
      </c>
      <c r="B7" s="11" t="s">
        <v>33</v>
      </c>
      <c r="C7" s="11" t="s">
        <v>11</v>
      </c>
      <c r="D7" s="27">
        <v>819</v>
      </c>
      <c r="E7" s="28">
        <v>510</v>
      </c>
    </row>
    <row r="8" spans="1:5" x14ac:dyDescent="0.25">
      <c r="A8" s="10" t="s">
        <v>46</v>
      </c>
      <c r="B8" s="12" t="s">
        <v>49</v>
      </c>
      <c r="C8" s="12" t="s">
        <v>14</v>
      </c>
      <c r="D8" s="29">
        <v>7777</v>
      </c>
      <c r="E8" s="30">
        <v>504</v>
      </c>
    </row>
    <row r="9" spans="1:5" x14ac:dyDescent="0.25">
      <c r="A9" s="9" t="s">
        <v>17</v>
      </c>
      <c r="B9" s="11" t="s">
        <v>49</v>
      </c>
      <c r="C9" s="11" t="s">
        <v>41</v>
      </c>
      <c r="D9" s="27">
        <v>8463</v>
      </c>
      <c r="E9" s="28">
        <v>492</v>
      </c>
    </row>
    <row r="10" spans="1:5" x14ac:dyDescent="0.25">
      <c r="A10" s="10" t="s">
        <v>45</v>
      </c>
      <c r="B10" s="12" t="s">
        <v>26</v>
      </c>
      <c r="C10" s="12" t="s">
        <v>27</v>
      </c>
      <c r="D10" s="29">
        <v>1785</v>
      </c>
      <c r="E10" s="30">
        <v>462</v>
      </c>
    </row>
    <row r="11" spans="1:5" x14ac:dyDescent="0.25">
      <c r="A11" s="9" t="s">
        <v>12</v>
      </c>
      <c r="B11" s="11" t="s">
        <v>13</v>
      </c>
      <c r="C11" s="11" t="s">
        <v>14</v>
      </c>
      <c r="D11" s="27">
        <v>6706</v>
      </c>
      <c r="E11" s="28">
        <v>459</v>
      </c>
    </row>
    <row r="12" spans="1:5" x14ac:dyDescent="0.25">
      <c r="A12" s="10" t="s">
        <v>25</v>
      </c>
      <c r="B12" s="12" t="s">
        <v>8</v>
      </c>
      <c r="C12" s="12" t="s">
        <v>53</v>
      </c>
      <c r="D12" s="29">
        <v>3556</v>
      </c>
      <c r="E12" s="30">
        <v>459</v>
      </c>
    </row>
    <row r="13" spans="1:5" x14ac:dyDescent="0.25">
      <c r="A13" s="9" t="s">
        <v>25</v>
      </c>
      <c r="B13" s="11" t="s">
        <v>49</v>
      </c>
      <c r="C13" s="11" t="s">
        <v>50</v>
      </c>
      <c r="D13" s="27">
        <v>8008</v>
      </c>
      <c r="E13" s="28">
        <v>456</v>
      </c>
    </row>
    <row r="14" spans="1:5" x14ac:dyDescent="0.25">
      <c r="A14" s="10" t="s">
        <v>7</v>
      </c>
      <c r="B14" s="12" t="s">
        <v>13</v>
      </c>
      <c r="C14" s="12" t="s">
        <v>9</v>
      </c>
      <c r="D14" s="29">
        <v>2275</v>
      </c>
      <c r="E14" s="30">
        <v>447</v>
      </c>
    </row>
    <row r="15" spans="1:5" x14ac:dyDescent="0.25">
      <c r="A15" s="9" t="s">
        <v>7</v>
      </c>
      <c r="B15" s="11" t="s">
        <v>13</v>
      </c>
      <c r="C15" s="11" t="s">
        <v>30</v>
      </c>
      <c r="D15" s="27">
        <v>8869</v>
      </c>
      <c r="E15" s="28">
        <v>432</v>
      </c>
    </row>
    <row r="16" spans="1:5" x14ac:dyDescent="0.25">
      <c r="A16" s="10" t="s">
        <v>25</v>
      </c>
      <c r="B16" s="12" t="s">
        <v>26</v>
      </c>
      <c r="C16" s="12" t="s">
        <v>27</v>
      </c>
      <c r="D16" s="29">
        <v>2100</v>
      </c>
      <c r="E16" s="30">
        <v>414</v>
      </c>
    </row>
    <row r="17" spans="1:5" x14ac:dyDescent="0.25">
      <c r="A17" s="9" t="s">
        <v>25</v>
      </c>
      <c r="B17" s="11" t="s">
        <v>8</v>
      </c>
      <c r="C17" s="11" t="s">
        <v>29</v>
      </c>
      <c r="D17" s="27">
        <v>1904</v>
      </c>
      <c r="E17" s="28">
        <v>405</v>
      </c>
    </row>
    <row r="18" spans="1:5" x14ac:dyDescent="0.25">
      <c r="A18" s="10" t="s">
        <v>25</v>
      </c>
      <c r="B18" s="12" t="s">
        <v>13</v>
      </c>
      <c r="C18" s="12" t="s">
        <v>18</v>
      </c>
      <c r="D18" s="29">
        <v>1302</v>
      </c>
      <c r="E18" s="30">
        <v>402</v>
      </c>
    </row>
    <row r="19" spans="1:5" x14ac:dyDescent="0.25">
      <c r="A19" s="9" t="s">
        <v>25</v>
      </c>
      <c r="B19" s="11" t="s">
        <v>26</v>
      </c>
      <c r="C19" s="11" t="s">
        <v>51</v>
      </c>
      <c r="D19" s="27">
        <v>3052</v>
      </c>
      <c r="E19" s="28">
        <v>378</v>
      </c>
    </row>
    <row r="20" spans="1:5" x14ac:dyDescent="0.25">
      <c r="A20" s="10" t="s">
        <v>7</v>
      </c>
      <c r="B20" s="12" t="s">
        <v>13</v>
      </c>
      <c r="C20" s="12" t="s">
        <v>36</v>
      </c>
      <c r="D20" s="29">
        <v>6853</v>
      </c>
      <c r="E20" s="30">
        <v>372</v>
      </c>
    </row>
    <row r="21" spans="1:5" x14ac:dyDescent="0.25">
      <c r="A21" s="9" t="s">
        <v>39</v>
      </c>
      <c r="B21" s="11" t="s">
        <v>49</v>
      </c>
      <c r="C21" s="11" t="s">
        <v>16</v>
      </c>
      <c r="D21" s="27">
        <v>1932</v>
      </c>
      <c r="E21" s="28">
        <v>369</v>
      </c>
    </row>
    <row r="22" spans="1:5" x14ac:dyDescent="0.25">
      <c r="A22" s="10" t="s">
        <v>25</v>
      </c>
      <c r="B22" s="12" t="s">
        <v>49</v>
      </c>
      <c r="C22" s="12" t="s">
        <v>9</v>
      </c>
      <c r="D22" s="29">
        <v>3402</v>
      </c>
      <c r="E22" s="30">
        <v>366</v>
      </c>
    </row>
    <row r="23" spans="1:5" x14ac:dyDescent="0.25">
      <c r="A23" s="9" t="s">
        <v>46</v>
      </c>
      <c r="B23" s="11" t="s">
        <v>8</v>
      </c>
      <c r="C23" s="11" t="s">
        <v>18</v>
      </c>
      <c r="D23" s="27">
        <v>938</v>
      </c>
      <c r="E23" s="28">
        <v>366</v>
      </c>
    </row>
    <row r="24" spans="1:5" x14ac:dyDescent="0.25">
      <c r="A24" s="10" t="s">
        <v>12</v>
      </c>
      <c r="B24" s="12" t="s">
        <v>13</v>
      </c>
      <c r="C24" s="12" t="s">
        <v>41</v>
      </c>
      <c r="D24" s="29">
        <v>2702</v>
      </c>
      <c r="E24" s="30">
        <v>363</v>
      </c>
    </row>
    <row r="25" spans="1:5" x14ac:dyDescent="0.25">
      <c r="A25" s="9" t="s">
        <v>42</v>
      </c>
      <c r="B25" s="11" t="s">
        <v>13</v>
      </c>
      <c r="C25" s="11" t="s">
        <v>51</v>
      </c>
      <c r="D25" s="27">
        <v>4480</v>
      </c>
      <c r="E25" s="28">
        <v>357</v>
      </c>
    </row>
    <row r="26" spans="1:5" x14ac:dyDescent="0.25">
      <c r="A26" s="10" t="s">
        <v>45</v>
      </c>
      <c r="B26" s="12" t="s">
        <v>33</v>
      </c>
      <c r="C26" s="12" t="s">
        <v>34</v>
      </c>
      <c r="D26" s="29">
        <v>4326</v>
      </c>
      <c r="E26" s="30">
        <v>348</v>
      </c>
    </row>
    <row r="27" spans="1:5" x14ac:dyDescent="0.25">
      <c r="A27" s="9" t="s">
        <v>42</v>
      </c>
      <c r="B27" s="11" t="s">
        <v>21</v>
      </c>
      <c r="C27" s="11" t="s">
        <v>32</v>
      </c>
      <c r="D27" s="27">
        <v>3339</v>
      </c>
      <c r="E27" s="28">
        <v>348</v>
      </c>
    </row>
    <row r="28" spans="1:5" x14ac:dyDescent="0.25">
      <c r="A28" s="10" t="s">
        <v>54</v>
      </c>
      <c r="B28" s="12" t="s">
        <v>21</v>
      </c>
      <c r="C28" s="12" t="s">
        <v>51</v>
      </c>
      <c r="D28" s="29">
        <v>2471</v>
      </c>
      <c r="E28" s="30">
        <v>342</v>
      </c>
    </row>
    <row r="29" spans="1:5" x14ac:dyDescent="0.25">
      <c r="A29" s="9" t="s">
        <v>39</v>
      </c>
      <c r="B29" s="11" t="s">
        <v>8</v>
      </c>
      <c r="C29" s="11" t="s">
        <v>29</v>
      </c>
      <c r="D29" s="27">
        <v>4487</v>
      </c>
      <c r="E29" s="28">
        <v>333</v>
      </c>
    </row>
    <row r="30" spans="1:5" x14ac:dyDescent="0.25">
      <c r="A30" s="10" t="s">
        <v>46</v>
      </c>
      <c r="B30" s="12" t="s">
        <v>8</v>
      </c>
      <c r="C30" s="12" t="s">
        <v>53</v>
      </c>
      <c r="D30" s="29">
        <v>7308</v>
      </c>
      <c r="E30" s="30">
        <v>327</v>
      </c>
    </row>
    <row r="31" spans="1:5" x14ac:dyDescent="0.25">
      <c r="A31" s="9" t="s">
        <v>46</v>
      </c>
      <c r="B31" s="11" t="s">
        <v>8</v>
      </c>
      <c r="C31" s="11" t="s">
        <v>51</v>
      </c>
      <c r="D31" s="27">
        <v>4592</v>
      </c>
      <c r="E31" s="28">
        <v>324</v>
      </c>
    </row>
    <row r="32" spans="1:5" x14ac:dyDescent="0.25">
      <c r="A32" s="10" t="s">
        <v>39</v>
      </c>
      <c r="B32" s="12" t="s">
        <v>33</v>
      </c>
      <c r="C32" s="12" t="s">
        <v>9</v>
      </c>
      <c r="D32" s="29">
        <v>10129</v>
      </c>
      <c r="E32" s="30">
        <v>312</v>
      </c>
    </row>
    <row r="33" spans="1:5" x14ac:dyDescent="0.25">
      <c r="A33" s="9" t="s">
        <v>46</v>
      </c>
      <c r="B33" s="11" t="s">
        <v>49</v>
      </c>
      <c r="C33" s="11" t="s">
        <v>53</v>
      </c>
      <c r="D33" s="27">
        <v>3689</v>
      </c>
      <c r="E33" s="28">
        <v>312</v>
      </c>
    </row>
    <row r="34" spans="1:5" x14ac:dyDescent="0.25">
      <c r="A34" s="10" t="s">
        <v>20</v>
      </c>
      <c r="B34" s="12" t="s">
        <v>21</v>
      </c>
      <c r="C34" s="12" t="s">
        <v>53</v>
      </c>
      <c r="D34" s="29">
        <v>854</v>
      </c>
      <c r="E34" s="30">
        <v>309</v>
      </c>
    </row>
    <row r="35" spans="1:5" x14ac:dyDescent="0.25">
      <c r="A35" s="9" t="s">
        <v>17</v>
      </c>
      <c r="B35" s="11" t="s">
        <v>26</v>
      </c>
      <c r="C35" s="11" t="s">
        <v>48</v>
      </c>
      <c r="D35" s="27">
        <v>3920</v>
      </c>
      <c r="E35" s="28">
        <v>306</v>
      </c>
    </row>
    <row r="36" spans="1:5" x14ac:dyDescent="0.25">
      <c r="A36" s="10" t="s">
        <v>7</v>
      </c>
      <c r="B36" s="12" t="s">
        <v>21</v>
      </c>
      <c r="C36" s="12" t="s">
        <v>52</v>
      </c>
      <c r="D36" s="29">
        <v>3164</v>
      </c>
      <c r="E36" s="30">
        <v>306</v>
      </c>
    </row>
    <row r="37" spans="1:5" x14ac:dyDescent="0.25">
      <c r="A37" s="9" t="s">
        <v>46</v>
      </c>
      <c r="B37" s="11" t="s">
        <v>13</v>
      </c>
      <c r="C37" s="11" t="s">
        <v>30</v>
      </c>
      <c r="D37" s="27">
        <v>819</v>
      </c>
      <c r="E37" s="28">
        <v>306</v>
      </c>
    </row>
    <row r="38" spans="1:5" x14ac:dyDescent="0.25">
      <c r="A38" s="10" t="s">
        <v>46</v>
      </c>
      <c r="B38" s="12" t="s">
        <v>33</v>
      </c>
      <c r="C38" s="12" t="s">
        <v>50</v>
      </c>
      <c r="D38" s="29">
        <v>8841</v>
      </c>
      <c r="E38" s="30">
        <v>303</v>
      </c>
    </row>
    <row r="39" spans="1:5" x14ac:dyDescent="0.25">
      <c r="A39" s="9" t="s">
        <v>54</v>
      </c>
      <c r="B39" s="11" t="s">
        <v>21</v>
      </c>
      <c r="C39" s="11" t="s">
        <v>14</v>
      </c>
      <c r="D39" s="27">
        <v>6657</v>
      </c>
      <c r="E39" s="28">
        <v>303</v>
      </c>
    </row>
    <row r="40" spans="1:5" x14ac:dyDescent="0.25">
      <c r="A40" s="10" t="s">
        <v>45</v>
      </c>
      <c r="B40" s="12" t="s">
        <v>13</v>
      </c>
      <c r="C40" s="12" t="s">
        <v>32</v>
      </c>
      <c r="D40" s="29">
        <v>1589</v>
      </c>
      <c r="E40" s="30">
        <v>303</v>
      </c>
    </row>
    <row r="41" spans="1:5" x14ac:dyDescent="0.25">
      <c r="A41" s="9" t="s">
        <v>12</v>
      </c>
      <c r="B41" s="11" t="s">
        <v>13</v>
      </c>
      <c r="C41" s="11" t="s">
        <v>52</v>
      </c>
      <c r="D41" s="27">
        <v>4753</v>
      </c>
      <c r="E41" s="28">
        <v>300</v>
      </c>
    </row>
    <row r="42" spans="1:5" x14ac:dyDescent="0.25">
      <c r="A42" s="10" t="s">
        <v>39</v>
      </c>
      <c r="B42" s="12" t="s">
        <v>21</v>
      </c>
      <c r="C42" s="12" t="s">
        <v>38</v>
      </c>
      <c r="D42" s="29">
        <v>2870</v>
      </c>
      <c r="E42" s="30">
        <v>300</v>
      </c>
    </row>
    <row r="43" spans="1:5" x14ac:dyDescent="0.25">
      <c r="A43" s="9" t="s">
        <v>7</v>
      </c>
      <c r="B43" s="11" t="s">
        <v>33</v>
      </c>
      <c r="C43" s="11" t="s">
        <v>11</v>
      </c>
      <c r="D43" s="27">
        <v>5670</v>
      </c>
      <c r="E43" s="28">
        <v>297</v>
      </c>
    </row>
    <row r="44" spans="1:5" x14ac:dyDescent="0.25">
      <c r="A44" s="10" t="s">
        <v>20</v>
      </c>
      <c r="B44" s="12" t="s">
        <v>21</v>
      </c>
      <c r="C44" s="12" t="s">
        <v>22</v>
      </c>
      <c r="D44" s="29">
        <v>9632</v>
      </c>
      <c r="E44" s="30">
        <v>288</v>
      </c>
    </row>
    <row r="45" spans="1:5" x14ac:dyDescent="0.25">
      <c r="A45" s="9" t="s">
        <v>39</v>
      </c>
      <c r="B45" s="11" t="s">
        <v>13</v>
      </c>
      <c r="C45" s="11" t="s">
        <v>53</v>
      </c>
      <c r="D45" s="27">
        <v>5194</v>
      </c>
      <c r="E45" s="28">
        <v>288</v>
      </c>
    </row>
    <row r="46" spans="1:5" x14ac:dyDescent="0.25">
      <c r="A46" s="10" t="s">
        <v>12</v>
      </c>
      <c r="B46" s="12" t="s">
        <v>49</v>
      </c>
      <c r="C46" s="12" t="s">
        <v>34</v>
      </c>
      <c r="D46" s="29">
        <v>3507</v>
      </c>
      <c r="E46" s="30">
        <v>288</v>
      </c>
    </row>
    <row r="47" spans="1:5" x14ac:dyDescent="0.25">
      <c r="A47" s="9" t="s">
        <v>54</v>
      </c>
      <c r="B47" s="11" t="s">
        <v>8</v>
      </c>
      <c r="C47" s="11" t="s">
        <v>44</v>
      </c>
      <c r="D47" s="27">
        <v>245</v>
      </c>
      <c r="E47" s="28">
        <v>288</v>
      </c>
    </row>
    <row r="48" spans="1:5" x14ac:dyDescent="0.25">
      <c r="A48" s="10" t="s">
        <v>25</v>
      </c>
      <c r="B48" s="12" t="s">
        <v>33</v>
      </c>
      <c r="C48" s="12" t="s">
        <v>52</v>
      </c>
      <c r="D48" s="29">
        <v>1134</v>
      </c>
      <c r="E48" s="30">
        <v>282</v>
      </c>
    </row>
    <row r="49" spans="1:5" x14ac:dyDescent="0.25">
      <c r="A49" s="9" t="s">
        <v>54</v>
      </c>
      <c r="B49" s="11" t="s">
        <v>26</v>
      </c>
      <c r="C49" s="11" t="s">
        <v>44</v>
      </c>
      <c r="D49" s="27">
        <v>4858</v>
      </c>
      <c r="E49" s="28">
        <v>279</v>
      </c>
    </row>
    <row r="50" spans="1:5" x14ac:dyDescent="0.25">
      <c r="A50" s="10" t="s">
        <v>54</v>
      </c>
      <c r="B50" s="12" t="s">
        <v>13</v>
      </c>
      <c r="C50" s="12" t="s">
        <v>22</v>
      </c>
      <c r="D50" s="29">
        <v>3808</v>
      </c>
      <c r="E50" s="30">
        <v>279</v>
      </c>
    </row>
    <row r="51" spans="1:5" x14ac:dyDescent="0.25">
      <c r="A51" s="9" t="s">
        <v>46</v>
      </c>
      <c r="B51" s="11" t="s">
        <v>49</v>
      </c>
      <c r="C51" s="11" t="s">
        <v>16</v>
      </c>
      <c r="D51" s="27">
        <v>7259</v>
      </c>
      <c r="E51" s="28">
        <v>276</v>
      </c>
    </row>
    <row r="52" spans="1:5" x14ac:dyDescent="0.25">
      <c r="A52" s="10" t="s">
        <v>46</v>
      </c>
      <c r="B52" s="12" t="s">
        <v>13</v>
      </c>
      <c r="C52" s="12" t="s">
        <v>24</v>
      </c>
      <c r="D52" s="29">
        <v>6657</v>
      </c>
      <c r="E52" s="30">
        <v>276</v>
      </c>
    </row>
    <row r="53" spans="1:5" x14ac:dyDescent="0.25">
      <c r="A53" s="9" t="s">
        <v>17</v>
      </c>
      <c r="B53" s="11" t="s">
        <v>8</v>
      </c>
      <c r="C53" s="11" t="s">
        <v>51</v>
      </c>
      <c r="D53" s="27">
        <v>1085</v>
      </c>
      <c r="E53" s="28">
        <v>273</v>
      </c>
    </row>
    <row r="54" spans="1:5" x14ac:dyDescent="0.25">
      <c r="A54" s="10" t="s">
        <v>39</v>
      </c>
      <c r="B54" s="12" t="s">
        <v>33</v>
      </c>
      <c r="C54" s="12" t="s">
        <v>22</v>
      </c>
      <c r="D54" s="29">
        <v>1778</v>
      </c>
      <c r="E54" s="30">
        <v>270</v>
      </c>
    </row>
    <row r="55" spans="1:5" x14ac:dyDescent="0.25">
      <c r="A55" s="9" t="s">
        <v>25</v>
      </c>
      <c r="B55" s="11" t="s">
        <v>13</v>
      </c>
      <c r="C55" s="11" t="s">
        <v>41</v>
      </c>
      <c r="D55" s="27">
        <v>1071</v>
      </c>
      <c r="E55" s="28">
        <v>270</v>
      </c>
    </row>
    <row r="56" spans="1:5" x14ac:dyDescent="0.25">
      <c r="A56" s="10" t="s">
        <v>54</v>
      </c>
      <c r="B56" s="12" t="s">
        <v>21</v>
      </c>
      <c r="C56" s="12" t="s">
        <v>47</v>
      </c>
      <c r="D56" s="29">
        <v>2317</v>
      </c>
      <c r="E56" s="30">
        <v>261</v>
      </c>
    </row>
    <row r="57" spans="1:5" x14ac:dyDescent="0.25">
      <c r="A57" s="9" t="s">
        <v>39</v>
      </c>
      <c r="B57" s="11" t="s">
        <v>33</v>
      </c>
      <c r="C57" s="11" t="s">
        <v>53</v>
      </c>
      <c r="D57" s="27">
        <v>5677</v>
      </c>
      <c r="E57" s="28">
        <v>258</v>
      </c>
    </row>
    <row r="58" spans="1:5" x14ac:dyDescent="0.25">
      <c r="A58" s="10" t="s">
        <v>46</v>
      </c>
      <c r="B58" s="12" t="s">
        <v>13</v>
      </c>
      <c r="C58" s="12" t="s">
        <v>16</v>
      </c>
      <c r="D58" s="29">
        <v>2415</v>
      </c>
      <c r="E58" s="30">
        <v>255</v>
      </c>
    </row>
    <row r="59" spans="1:5" x14ac:dyDescent="0.25">
      <c r="A59" s="9" t="s">
        <v>39</v>
      </c>
      <c r="B59" s="11" t="s">
        <v>13</v>
      </c>
      <c r="C59" s="11" t="s">
        <v>9</v>
      </c>
      <c r="D59" s="27">
        <v>6755</v>
      </c>
      <c r="E59" s="28">
        <v>252</v>
      </c>
    </row>
    <row r="60" spans="1:5" x14ac:dyDescent="0.25">
      <c r="A60" s="10" t="s">
        <v>39</v>
      </c>
      <c r="B60" s="12" t="s">
        <v>21</v>
      </c>
      <c r="C60" s="12" t="s">
        <v>51</v>
      </c>
      <c r="D60" s="29">
        <v>5551</v>
      </c>
      <c r="E60" s="30">
        <v>252</v>
      </c>
    </row>
    <row r="61" spans="1:5" x14ac:dyDescent="0.25">
      <c r="A61" s="9" t="s">
        <v>42</v>
      </c>
      <c r="B61" s="11" t="s">
        <v>26</v>
      </c>
      <c r="C61" s="11" t="s">
        <v>22</v>
      </c>
      <c r="D61" s="27">
        <v>385</v>
      </c>
      <c r="E61" s="28">
        <v>249</v>
      </c>
    </row>
    <row r="62" spans="1:5" x14ac:dyDescent="0.25">
      <c r="A62" s="10" t="s">
        <v>42</v>
      </c>
      <c r="B62" s="12" t="s">
        <v>13</v>
      </c>
      <c r="C62" s="12" t="s">
        <v>34</v>
      </c>
      <c r="D62" s="29">
        <v>4753</v>
      </c>
      <c r="E62" s="30">
        <v>246</v>
      </c>
    </row>
    <row r="63" spans="1:5" x14ac:dyDescent="0.25">
      <c r="A63" s="9" t="s">
        <v>39</v>
      </c>
      <c r="B63" s="11" t="s">
        <v>26</v>
      </c>
      <c r="C63" s="11" t="s">
        <v>32</v>
      </c>
      <c r="D63" s="27">
        <v>4438</v>
      </c>
      <c r="E63" s="28">
        <v>246</v>
      </c>
    </row>
    <row r="64" spans="1:5" x14ac:dyDescent="0.25">
      <c r="A64" s="10" t="s">
        <v>45</v>
      </c>
      <c r="B64" s="12" t="s">
        <v>21</v>
      </c>
      <c r="C64" s="12" t="s">
        <v>34</v>
      </c>
      <c r="D64" s="29">
        <v>3094</v>
      </c>
      <c r="E64" s="30">
        <v>246</v>
      </c>
    </row>
    <row r="65" spans="1:5" x14ac:dyDescent="0.25">
      <c r="A65" s="9" t="s">
        <v>17</v>
      </c>
      <c r="B65" s="11" t="s">
        <v>8</v>
      </c>
      <c r="C65" s="11" t="s">
        <v>50</v>
      </c>
      <c r="D65" s="27">
        <v>2856</v>
      </c>
      <c r="E65" s="28">
        <v>246</v>
      </c>
    </row>
    <row r="66" spans="1:5" x14ac:dyDescent="0.25">
      <c r="A66" s="10" t="s">
        <v>17</v>
      </c>
      <c r="B66" s="12" t="s">
        <v>13</v>
      </c>
      <c r="C66" s="12" t="s">
        <v>24</v>
      </c>
      <c r="D66" s="29">
        <v>7833</v>
      </c>
      <c r="E66" s="30">
        <v>243</v>
      </c>
    </row>
    <row r="67" spans="1:5" x14ac:dyDescent="0.25">
      <c r="A67" s="9" t="s">
        <v>39</v>
      </c>
      <c r="B67" s="11" t="s">
        <v>13</v>
      </c>
      <c r="C67" s="11" t="s">
        <v>38</v>
      </c>
      <c r="D67" s="27">
        <v>4585</v>
      </c>
      <c r="E67" s="28">
        <v>240</v>
      </c>
    </row>
    <row r="68" spans="1:5" x14ac:dyDescent="0.25">
      <c r="A68" s="10" t="s">
        <v>20</v>
      </c>
      <c r="B68" s="12" t="s">
        <v>8</v>
      </c>
      <c r="C68" s="12" t="s">
        <v>9</v>
      </c>
      <c r="D68" s="29">
        <v>1526</v>
      </c>
      <c r="E68" s="30">
        <v>240</v>
      </c>
    </row>
    <row r="69" spans="1:5" x14ac:dyDescent="0.25">
      <c r="A69" s="9" t="s">
        <v>42</v>
      </c>
      <c r="B69" s="11" t="s">
        <v>49</v>
      </c>
      <c r="C69" s="11" t="s">
        <v>36</v>
      </c>
      <c r="D69" s="27">
        <v>6279</v>
      </c>
      <c r="E69" s="28">
        <v>237</v>
      </c>
    </row>
    <row r="70" spans="1:5" x14ac:dyDescent="0.25">
      <c r="A70" s="10" t="s">
        <v>46</v>
      </c>
      <c r="B70" s="12" t="s">
        <v>13</v>
      </c>
      <c r="C70" s="12" t="s">
        <v>27</v>
      </c>
      <c r="D70" s="29">
        <v>2464</v>
      </c>
      <c r="E70" s="30">
        <v>234</v>
      </c>
    </row>
    <row r="71" spans="1:5" x14ac:dyDescent="0.25">
      <c r="A71" s="9" t="s">
        <v>12</v>
      </c>
      <c r="B71" s="11" t="s">
        <v>33</v>
      </c>
      <c r="C71" s="11" t="s">
        <v>47</v>
      </c>
      <c r="D71" s="27">
        <v>1701</v>
      </c>
      <c r="E71" s="28">
        <v>234</v>
      </c>
    </row>
    <row r="72" spans="1:5" x14ac:dyDescent="0.25">
      <c r="A72" s="10" t="s">
        <v>20</v>
      </c>
      <c r="B72" s="12" t="s">
        <v>8</v>
      </c>
      <c r="C72" s="12" t="s">
        <v>24</v>
      </c>
      <c r="D72" s="29">
        <v>714</v>
      </c>
      <c r="E72" s="30">
        <v>231</v>
      </c>
    </row>
    <row r="73" spans="1:5" x14ac:dyDescent="0.25">
      <c r="A73" s="9" t="s">
        <v>54</v>
      </c>
      <c r="B73" s="11" t="s">
        <v>13</v>
      </c>
      <c r="C73" s="11" t="s">
        <v>44</v>
      </c>
      <c r="D73" s="27">
        <v>567</v>
      </c>
      <c r="E73" s="28">
        <v>228</v>
      </c>
    </row>
    <row r="74" spans="1:5" x14ac:dyDescent="0.25">
      <c r="A74" s="10" t="s">
        <v>39</v>
      </c>
      <c r="B74" s="12" t="s">
        <v>8</v>
      </c>
      <c r="C74" s="12" t="s">
        <v>16</v>
      </c>
      <c r="D74" s="29">
        <v>6608</v>
      </c>
      <c r="E74" s="30">
        <v>225</v>
      </c>
    </row>
    <row r="75" spans="1:5" x14ac:dyDescent="0.25">
      <c r="A75" s="9" t="s">
        <v>7</v>
      </c>
      <c r="B75" s="11" t="s">
        <v>26</v>
      </c>
      <c r="C75" s="11" t="s">
        <v>53</v>
      </c>
      <c r="D75" s="27">
        <v>3101</v>
      </c>
      <c r="E75" s="28">
        <v>225</v>
      </c>
    </row>
    <row r="76" spans="1:5" x14ac:dyDescent="0.25">
      <c r="A76" s="10" t="s">
        <v>20</v>
      </c>
      <c r="B76" s="12" t="s">
        <v>49</v>
      </c>
      <c r="C76" s="12" t="s">
        <v>29</v>
      </c>
      <c r="D76" s="29">
        <v>1274</v>
      </c>
      <c r="E76" s="30">
        <v>225</v>
      </c>
    </row>
    <row r="77" spans="1:5" x14ac:dyDescent="0.25">
      <c r="A77" s="9" t="s">
        <v>12</v>
      </c>
      <c r="B77" s="11" t="s">
        <v>49</v>
      </c>
      <c r="C77" s="11" t="s">
        <v>29</v>
      </c>
      <c r="D77" s="27">
        <v>2009</v>
      </c>
      <c r="E77" s="28">
        <v>219</v>
      </c>
    </row>
    <row r="78" spans="1:5" x14ac:dyDescent="0.25">
      <c r="A78" s="10" t="s">
        <v>20</v>
      </c>
      <c r="B78" s="12" t="s">
        <v>13</v>
      </c>
      <c r="C78" s="12" t="s">
        <v>53</v>
      </c>
      <c r="D78" s="29">
        <v>7455</v>
      </c>
      <c r="E78" s="30">
        <v>216</v>
      </c>
    </row>
    <row r="79" spans="1:5" x14ac:dyDescent="0.25">
      <c r="A79" s="9" t="s">
        <v>45</v>
      </c>
      <c r="B79" s="11" t="s">
        <v>26</v>
      </c>
      <c r="C79" s="11" t="s">
        <v>44</v>
      </c>
      <c r="D79" s="27">
        <v>7651</v>
      </c>
      <c r="E79" s="28">
        <v>213</v>
      </c>
    </row>
    <row r="80" spans="1:5" x14ac:dyDescent="0.25">
      <c r="A80" s="10" t="s">
        <v>12</v>
      </c>
      <c r="B80" s="12" t="s">
        <v>33</v>
      </c>
      <c r="C80" s="12" t="s">
        <v>14</v>
      </c>
      <c r="D80" s="29">
        <v>3752</v>
      </c>
      <c r="E80" s="30">
        <v>213</v>
      </c>
    </row>
    <row r="81" spans="1:5" x14ac:dyDescent="0.25">
      <c r="A81" s="9" t="s">
        <v>12</v>
      </c>
      <c r="B81" s="11" t="s">
        <v>26</v>
      </c>
      <c r="C81" s="11" t="s">
        <v>34</v>
      </c>
      <c r="D81" s="27">
        <v>8890</v>
      </c>
      <c r="E81" s="28">
        <v>210</v>
      </c>
    </row>
    <row r="82" spans="1:5" x14ac:dyDescent="0.25">
      <c r="A82" s="10" t="s">
        <v>12</v>
      </c>
      <c r="B82" s="12" t="s">
        <v>13</v>
      </c>
      <c r="C82" s="12" t="s">
        <v>36</v>
      </c>
      <c r="D82" s="29">
        <v>5012</v>
      </c>
      <c r="E82" s="30">
        <v>210</v>
      </c>
    </row>
    <row r="83" spans="1:5" x14ac:dyDescent="0.25">
      <c r="A83" s="9" t="s">
        <v>39</v>
      </c>
      <c r="B83" s="11" t="s">
        <v>8</v>
      </c>
      <c r="C83" s="11" t="s">
        <v>36</v>
      </c>
      <c r="D83" s="27">
        <v>9835</v>
      </c>
      <c r="E83" s="28">
        <v>207</v>
      </c>
    </row>
    <row r="84" spans="1:5" x14ac:dyDescent="0.25">
      <c r="A84" s="10" t="s">
        <v>25</v>
      </c>
      <c r="B84" s="12" t="s">
        <v>49</v>
      </c>
      <c r="C84" s="12" t="s">
        <v>52</v>
      </c>
      <c r="D84" s="29">
        <v>4242</v>
      </c>
      <c r="E84" s="30">
        <v>207</v>
      </c>
    </row>
    <row r="85" spans="1:5" x14ac:dyDescent="0.25">
      <c r="A85" s="9" t="s">
        <v>17</v>
      </c>
      <c r="B85" s="11" t="s">
        <v>8</v>
      </c>
      <c r="C85" s="11" t="s">
        <v>18</v>
      </c>
      <c r="D85" s="27">
        <v>259</v>
      </c>
      <c r="E85" s="28">
        <v>207</v>
      </c>
    </row>
    <row r="86" spans="1:5" x14ac:dyDescent="0.25">
      <c r="A86" s="10" t="s">
        <v>54</v>
      </c>
      <c r="B86" s="12" t="s">
        <v>49</v>
      </c>
      <c r="C86" s="12" t="s">
        <v>38</v>
      </c>
      <c r="D86" s="29">
        <v>5355</v>
      </c>
      <c r="E86" s="30">
        <v>204</v>
      </c>
    </row>
    <row r="87" spans="1:5" x14ac:dyDescent="0.25">
      <c r="A87" s="9" t="s">
        <v>17</v>
      </c>
      <c r="B87" s="11" t="s">
        <v>26</v>
      </c>
      <c r="C87" s="11" t="s">
        <v>22</v>
      </c>
      <c r="D87" s="27">
        <v>2639</v>
      </c>
      <c r="E87" s="28">
        <v>204</v>
      </c>
    </row>
    <row r="88" spans="1:5" x14ac:dyDescent="0.25">
      <c r="A88" s="10" t="s">
        <v>12</v>
      </c>
      <c r="B88" s="12" t="s">
        <v>8</v>
      </c>
      <c r="C88" s="12" t="s">
        <v>38</v>
      </c>
      <c r="D88" s="29">
        <v>1771</v>
      </c>
      <c r="E88" s="30">
        <v>204</v>
      </c>
    </row>
    <row r="89" spans="1:5" x14ac:dyDescent="0.25">
      <c r="A89" s="9" t="s">
        <v>20</v>
      </c>
      <c r="B89" s="11" t="s">
        <v>21</v>
      </c>
      <c r="C89" s="11" t="s">
        <v>50</v>
      </c>
      <c r="D89" s="27">
        <v>98</v>
      </c>
      <c r="E89" s="28">
        <v>204</v>
      </c>
    </row>
    <row r="90" spans="1:5" x14ac:dyDescent="0.25">
      <c r="A90" s="10" t="s">
        <v>45</v>
      </c>
      <c r="B90" s="12" t="s">
        <v>8</v>
      </c>
      <c r="C90" s="12" t="s">
        <v>32</v>
      </c>
      <c r="D90" s="29">
        <v>9926</v>
      </c>
      <c r="E90" s="30">
        <v>201</v>
      </c>
    </row>
    <row r="91" spans="1:5" x14ac:dyDescent="0.25">
      <c r="A91" s="9" t="s">
        <v>42</v>
      </c>
      <c r="B91" s="11" t="s">
        <v>49</v>
      </c>
      <c r="C91" s="11" t="s">
        <v>24</v>
      </c>
      <c r="D91" s="27">
        <v>7280</v>
      </c>
      <c r="E91" s="28">
        <v>201</v>
      </c>
    </row>
    <row r="92" spans="1:5" x14ac:dyDescent="0.25">
      <c r="A92" s="10" t="s">
        <v>7</v>
      </c>
      <c r="B92" s="12" t="s">
        <v>21</v>
      </c>
      <c r="C92" s="12" t="s">
        <v>11</v>
      </c>
      <c r="D92" s="29">
        <v>4424</v>
      </c>
      <c r="E92" s="30">
        <v>201</v>
      </c>
    </row>
    <row r="93" spans="1:5" x14ac:dyDescent="0.25">
      <c r="A93" s="9" t="s">
        <v>39</v>
      </c>
      <c r="B93" s="11" t="s">
        <v>26</v>
      </c>
      <c r="C93" s="11" t="s">
        <v>52</v>
      </c>
      <c r="D93" s="27">
        <v>966</v>
      </c>
      <c r="E93" s="28">
        <v>198</v>
      </c>
    </row>
    <row r="94" spans="1:5" x14ac:dyDescent="0.25">
      <c r="A94" s="10" t="s">
        <v>54</v>
      </c>
      <c r="B94" s="12" t="s">
        <v>13</v>
      </c>
      <c r="C94" s="12" t="s">
        <v>41</v>
      </c>
      <c r="D94" s="29">
        <v>1974</v>
      </c>
      <c r="E94" s="30">
        <v>195</v>
      </c>
    </row>
    <row r="95" spans="1:5" x14ac:dyDescent="0.25">
      <c r="A95" s="9" t="s">
        <v>12</v>
      </c>
      <c r="B95" s="11" t="s">
        <v>8</v>
      </c>
      <c r="C95" s="11" t="s">
        <v>36</v>
      </c>
      <c r="D95" s="27">
        <v>1890</v>
      </c>
      <c r="E95" s="28">
        <v>195</v>
      </c>
    </row>
    <row r="96" spans="1:5" x14ac:dyDescent="0.25">
      <c r="A96" s="10" t="s">
        <v>42</v>
      </c>
      <c r="B96" s="12" t="s">
        <v>49</v>
      </c>
      <c r="C96" s="12" t="s">
        <v>38</v>
      </c>
      <c r="D96" s="29">
        <v>861</v>
      </c>
      <c r="E96" s="30">
        <v>195</v>
      </c>
    </row>
    <row r="97" spans="1:5" x14ac:dyDescent="0.25">
      <c r="A97" s="9" t="s">
        <v>20</v>
      </c>
      <c r="B97" s="11" t="s">
        <v>21</v>
      </c>
      <c r="C97" s="11" t="s">
        <v>38</v>
      </c>
      <c r="D97" s="27">
        <v>1925</v>
      </c>
      <c r="E97" s="28">
        <v>192</v>
      </c>
    </row>
    <row r="98" spans="1:5" x14ac:dyDescent="0.25">
      <c r="A98" s="10" t="s">
        <v>39</v>
      </c>
      <c r="B98" s="12" t="s">
        <v>49</v>
      </c>
      <c r="C98" s="12" t="s">
        <v>48</v>
      </c>
      <c r="D98" s="29">
        <v>8862</v>
      </c>
      <c r="E98" s="30">
        <v>189</v>
      </c>
    </row>
    <row r="99" spans="1:5" x14ac:dyDescent="0.25">
      <c r="A99" s="9" t="s">
        <v>25</v>
      </c>
      <c r="B99" s="11" t="s">
        <v>8</v>
      </c>
      <c r="C99" s="11" t="s">
        <v>47</v>
      </c>
      <c r="D99" s="27">
        <v>4949</v>
      </c>
      <c r="E99" s="28">
        <v>189</v>
      </c>
    </row>
    <row r="100" spans="1:5" x14ac:dyDescent="0.25">
      <c r="A100" s="10" t="s">
        <v>17</v>
      </c>
      <c r="B100" s="12" t="s">
        <v>21</v>
      </c>
      <c r="C100" s="12" t="s">
        <v>14</v>
      </c>
      <c r="D100" s="29">
        <v>2954</v>
      </c>
      <c r="E100" s="30">
        <v>189</v>
      </c>
    </row>
    <row r="101" spans="1:5" x14ac:dyDescent="0.25">
      <c r="A101" s="9" t="s">
        <v>17</v>
      </c>
      <c r="B101" s="11" t="s">
        <v>49</v>
      </c>
      <c r="C101" s="11" t="s">
        <v>29</v>
      </c>
      <c r="D101" s="27">
        <v>938</v>
      </c>
      <c r="E101" s="28">
        <v>189</v>
      </c>
    </row>
    <row r="102" spans="1:5" x14ac:dyDescent="0.25">
      <c r="A102" s="10" t="s">
        <v>20</v>
      </c>
      <c r="B102" s="12" t="s">
        <v>13</v>
      </c>
      <c r="C102" s="12" t="s">
        <v>24</v>
      </c>
      <c r="D102" s="29">
        <v>2114</v>
      </c>
      <c r="E102" s="30">
        <v>186</v>
      </c>
    </row>
    <row r="103" spans="1:5" x14ac:dyDescent="0.25">
      <c r="A103" s="9" t="s">
        <v>12</v>
      </c>
      <c r="B103" s="11" t="s">
        <v>26</v>
      </c>
      <c r="C103" s="11" t="s">
        <v>9</v>
      </c>
      <c r="D103" s="27">
        <v>7021</v>
      </c>
      <c r="E103" s="28">
        <v>183</v>
      </c>
    </row>
    <row r="104" spans="1:5" x14ac:dyDescent="0.25">
      <c r="A104" s="10" t="s">
        <v>45</v>
      </c>
      <c r="B104" s="12" t="s">
        <v>33</v>
      </c>
      <c r="C104" s="12" t="s">
        <v>53</v>
      </c>
      <c r="D104" s="29">
        <v>6580</v>
      </c>
      <c r="E104" s="30">
        <v>183</v>
      </c>
    </row>
    <row r="105" spans="1:5" x14ac:dyDescent="0.25">
      <c r="A105" s="9" t="s">
        <v>25</v>
      </c>
      <c r="B105" s="11" t="s">
        <v>13</v>
      </c>
      <c r="C105" s="11" t="s">
        <v>52</v>
      </c>
      <c r="D105" s="27">
        <v>3864</v>
      </c>
      <c r="E105" s="28">
        <v>177</v>
      </c>
    </row>
    <row r="106" spans="1:5" x14ac:dyDescent="0.25">
      <c r="A106" s="10" t="s">
        <v>39</v>
      </c>
      <c r="B106" s="12" t="s">
        <v>21</v>
      </c>
      <c r="C106" s="12" t="s">
        <v>22</v>
      </c>
      <c r="D106" s="29">
        <v>2646</v>
      </c>
      <c r="E106" s="30">
        <v>177</v>
      </c>
    </row>
    <row r="107" spans="1:5" x14ac:dyDescent="0.25">
      <c r="A107" s="9" t="s">
        <v>20</v>
      </c>
      <c r="B107" s="11" t="s">
        <v>8</v>
      </c>
      <c r="C107" s="11" t="s">
        <v>50</v>
      </c>
      <c r="D107" s="27">
        <v>2324</v>
      </c>
      <c r="E107" s="28">
        <v>177</v>
      </c>
    </row>
    <row r="108" spans="1:5" x14ac:dyDescent="0.25">
      <c r="A108" s="10" t="s">
        <v>20</v>
      </c>
      <c r="B108" s="12" t="s">
        <v>49</v>
      </c>
      <c r="C108" s="12" t="s">
        <v>30</v>
      </c>
      <c r="D108" s="29">
        <v>7847</v>
      </c>
      <c r="E108" s="30">
        <v>174</v>
      </c>
    </row>
    <row r="109" spans="1:5" x14ac:dyDescent="0.25">
      <c r="A109" s="9" t="s">
        <v>20</v>
      </c>
      <c r="B109" s="11" t="s">
        <v>21</v>
      </c>
      <c r="C109" s="11" t="s">
        <v>9</v>
      </c>
      <c r="D109" s="27">
        <v>6118</v>
      </c>
      <c r="E109" s="28">
        <v>174</v>
      </c>
    </row>
    <row r="110" spans="1:5" x14ac:dyDescent="0.25">
      <c r="A110" s="10" t="s">
        <v>7</v>
      </c>
      <c r="B110" s="12" t="s">
        <v>13</v>
      </c>
      <c r="C110" s="12" t="s">
        <v>29</v>
      </c>
      <c r="D110" s="29">
        <v>4725</v>
      </c>
      <c r="E110" s="30">
        <v>174</v>
      </c>
    </row>
    <row r="111" spans="1:5" x14ac:dyDescent="0.25">
      <c r="A111" s="9" t="s">
        <v>17</v>
      </c>
      <c r="B111" s="11" t="s">
        <v>49</v>
      </c>
      <c r="C111" s="11" t="s">
        <v>32</v>
      </c>
      <c r="D111" s="27">
        <v>707</v>
      </c>
      <c r="E111" s="28">
        <v>174</v>
      </c>
    </row>
    <row r="112" spans="1:5" x14ac:dyDescent="0.25">
      <c r="A112" s="10" t="s">
        <v>46</v>
      </c>
      <c r="B112" s="12" t="s">
        <v>26</v>
      </c>
      <c r="C112" s="12" t="s">
        <v>50</v>
      </c>
      <c r="D112" s="29">
        <v>4956</v>
      </c>
      <c r="E112" s="30">
        <v>171</v>
      </c>
    </row>
    <row r="113" spans="1:5" x14ac:dyDescent="0.25">
      <c r="A113" s="9" t="s">
        <v>42</v>
      </c>
      <c r="B113" s="11" t="s">
        <v>26</v>
      </c>
      <c r="C113" s="11" t="s">
        <v>48</v>
      </c>
      <c r="D113" s="27">
        <v>4018</v>
      </c>
      <c r="E113" s="28">
        <v>171</v>
      </c>
    </row>
    <row r="114" spans="1:5" x14ac:dyDescent="0.25">
      <c r="A114" s="10" t="s">
        <v>42</v>
      </c>
      <c r="B114" s="12" t="s">
        <v>33</v>
      </c>
      <c r="C114" s="12" t="s">
        <v>38</v>
      </c>
      <c r="D114" s="29">
        <v>5474</v>
      </c>
      <c r="E114" s="30">
        <v>168</v>
      </c>
    </row>
    <row r="115" spans="1:5" x14ac:dyDescent="0.25">
      <c r="A115" s="9" t="s">
        <v>12</v>
      </c>
      <c r="B115" s="11" t="s">
        <v>13</v>
      </c>
      <c r="C115" s="11" t="s">
        <v>51</v>
      </c>
      <c r="D115" s="27">
        <v>2023</v>
      </c>
      <c r="E115" s="28">
        <v>168</v>
      </c>
    </row>
    <row r="116" spans="1:5" x14ac:dyDescent="0.25">
      <c r="A116" s="10" t="s">
        <v>46</v>
      </c>
      <c r="B116" s="12" t="s">
        <v>26</v>
      </c>
      <c r="C116" s="12" t="s">
        <v>29</v>
      </c>
      <c r="D116" s="29">
        <v>21</v>
      </c>
      <c r="E116" s="30">
        <v>168</v>
      </c>
    </row>
    <row r="117" spans="1:5" x14ac:dyDescent="0.25">
      <c r="A117" s="9" t="s">
        <v>46</v>
      </c>
      <c r="B117" s="11" t="s">
        <v>21</v>
      </c>
      <c r="C117" s="11" t="s">
        <v>47</v>
      </c>
      <c r="D117" s="27">
        <v>3773</v>
      </c>
      <c r="E117" s="28">
        <v>165</v>
      </c>
    </row>
    <row r="118" spans="1:5" x14ac:dyDescent="0.25">
      <c r="A118" s="10" t="s">
        <v>45</v>
      </c>
      <c r="B118" s="12" t="s">
        <v>26</v>
      </c>
      <c r="C118" s="12" t="s">
        <v>41</v>
      </c>
      <c r="D118" s="29">
        <v>9443</v>
      </c>
      <c r="E118" s="30">
        <v>162</v>
      </c>
    </row>
    <row r="119" spans="1:5" x14ac:dyDescent="0.25">
      <c r="A119" s="9" t="s">
        <v>7</v>
      </c>
      <c r="B119" s="11" t="s">
        <v>49</v>
      </c>
      <c r="C119" s="11" t="s">
        <v>38</v>
      </c>
      <c r="D119" s="27">
        <v>4018</v>
      </c>
      <c r="E119" s="28">
        <v>162</v>
      </c>
    </row>
    <row r="120" spans="1:5" x14ac:dyDescent="0.25">
      <c r="A120" s="10" t="s">
        <v>46</v>
      </c>
      <c r="B120" s="12" t="s">
        <v>21</v>
      </c>
      <c r="C120" s="12" t="s">
        <v>53</v>
      </c>
      <c r="D120" s="29">
        <v>973</v>
      </c>
      <c r="E120" s="30">
        <v>162</v>
      </c>
    </row>
    <row r="121" spans="1:5" x14ac:dyDescent="0.25">
      <c r="A121" s="9" t="s">
        <v>7</v>
      </c>
      <c r="B121" s="11" t="s">
        <v>49</v>
      </c>
      <c r="C121" s="11" t="s">
        <v>30</v>
      </c>
      <c r="D121" s="27">
        <v>3794</v>
      </c>
      <c r="E121" s="28">
        <v>159</v>
      </c>
    </row>
    <row r="122" spans="1:5" x14ac:dyDescent="0.25">
      <c r="A122" s="10" t="s">
        <v>17</v>
      </c>
      <c r="B122" s="12" t="s">
        <v>13</v>
      </c>
      <c r="C122" s="12" t="s">
        <v>50</v>
      </c>
      <c r="D122" s="29">
        <v>98</v>
      </c>
      <c r="E122" s="30">
        <v>159</v>
      </c>
    </row>
    <row r="123" spans="1:5" x14ac:dyDescent="0.25">
      <c r="A123" s="9" t="s">
        <v>7</v>
      </c>
      <c r="B123" s="11" t="s">
        <v>49</v>
      </c>
      <c r="C123" s="11" t="s">
        <v>32</v>
      </c>
      <c r="D123" s="27">
        <v>5019</v>
      </c>
      <c r="E123" s="28">
        <v>156</v>
      </c>
    </row>
    <row r="124" spans="1:5" x14ac:dyDescent="0.25">
      <c r="A124" s="10" t="s">
        <v>25</v>
      </c>
      <c r="B124" s="12" t="s">
        <v>21</v>
      </c>
      <c r="C124" s="12" t="s">
        <v>32</v>
      </c>
      <c r="D124" s="29">
        <v>4970</v>
      </c>
      <c r="E124" s="30">
        <v>156</v>
      </c>
    </row>
    <row r="125" spans="1:5" x14ac:dyDescent="0.25">
      <c r="A125" s="9" t="s">
        <v>17</v>
      </c>
      <c r="B125" s="11" t="s">
        <v>8</v>
      </c>
      <c r="C125" s="11" t="s">
        <v>27</v>
      </c>
      <c r="D125" s="27">
        <v>4305</v>
      </c>
      <c r="E125" s="28">
        <v>156</v>
      </c>
    </row>
    <row r="126" spans="1:5" x14ac:dyDescent="0.25">
      <c r="A126" s="10" t="s">
        <v>45</v>
      </c>
      <c r="B126" s="12" t="s">
        <v>33</v>
      </c>
      <c r="C126" s="12" t="s">
        <v>47</v>
      </c>
      <c r="D126" s="29">
        <v>4417</v>
      </c>
      <c r="E126" s="30">
        <v>153</v>
      </c>
    </row>
    <row r="127" spans="1:5" x14ac:dyDescent="0.25">
      <c r="A127" s="9" t="s">
        <v>12</v>
      </c>
      <c r="B127" s="11" t="s">
        <v>21</v>
      </c>
      <c r="C127" s="11" t="s">
        <v>47</v>
      </c>
      <c r="D127" s="27">
        <v>5019</v>
      </c>
      <c r="E127" s="28">
        <v>150</v>
      </c>
    </row>
    <row r="128" spans="1:5" x14ac:dyDescent="0.25">
      <c r="A128" s="10" t="s">
        <v>25</v>
      </c>
      <c r="B128" s="12" t="s">
        <v>49</v>
      </c>
      <c r="C128" s="12" t="s">
        <v>32</v>
      </c>
      <c r="D128" s="29">
        <v>3759</v>
      </c>
      <c r="E128" s="30">
        <v>150</v>
      </c>
    </row>
    <row r="129" spans="1:5" x14ac:dyDescent="0.25">
      <c r="A129" s="9" t="s">
        <v>12</v>
      </c>
      <c r="B129" s="11" t="s">
        <v>8</v>
      </c>
      <c r="C129" s="11" t="s">
        <v>9</v>
      </c>
      <c r="D129" s="27">
        <v>42</v>
      </c>
      <c r="E129" s="28">
        <v>150</v>
      </c>
    </row>
    <row r="130" spans="1:5" x14ac:dyDescent="0.25">
      <c r="A130" s="10" t="s">
        <v>17</v>
      </c>
      <c r="B130" s="12" t="s">
        <v>13</v>
      </c>
      <c r="C130" s="12" t="s">
        <v>18</v>
      </c>
      <c r="D130" s="29">
        <v>959</v>
      </c>
      <c r="E130" s="30">
        <v>147</v>
      </c>
    </row>
    <row r="131" spans="1:5" x14ac:dyDescent="0.25">
      <c r="A131" s="9" t="s">
        <v>45</v>
      </c>
      <c r="B131" s="11" t="s">
        <v>26</v>
      </c>
      <c r="C131" s="11" t="s">
        <v>53</v>
      </c>
      <c r="D131" s="27">
        <v>6027</v>
      </c>
      <c r="E131" s="28">
        <v>144</v>
      </c>
    </row>
    <row r="132" spans="1:5" x14ac:dyDescent="0.25">
      <c r="A132" s="10" t="s">
        <v>46</v>
      </c>
      <c r="B132" s="12" t="s">
        <v>8</v>
      </c>
      <c r="C132" s="12" t="s">
        <v>32</v>
      </c>
      <c r="D132" s="29">
        <v>3983</v>
      </c>
      <c r="E132" s="30">
        <v>144</v>
      </c>
    </row>
    <row r="133" spans="1:5" x14ac:dyDescent="0.25">
      <c r="A133" s="9" t="s">
        <v>17</v>
      </c>
      <c r="B133" s="11" t="s">
        <v>13</v>
      </c>
      <c r="C133" s="11" t="s">
        <v>52</v>
      </c>
      <c r="D133" s="27">
        <v>2429</v>
      </c>
      <c r="E133" s="28">
        <v>144</v>
      </c>
    </row>
    <row r="134" spans="1:5" x14ac:dyDescent="0.25">
      <c r="A134" s="10" t="s">
        <v>20</v>
      </c>
      <c r="B134" s="12" t="s">
        <v>49</v>
      </c>
      <c r="C134" s="12" t="s">
        <v>36</v>
      </c>
      <c r="D134" s="29">
        <v>336</v>
      </c>
      <c r="E134" s="30">
        <v>144</v>
      </c>
    </row>
    <row r="135" spans="1:5" x14ac:dyDescent="0.25">
      <c r="A135" s="9" t="s">
        <v>54</v>
      </c>
      <c r="B135" s="11" t="s">
        <v>33</v>
      </c>
      <c r="C135" s="11" t="s">
        <v>36</v>
      </c>
      <c r="D135" s="27">
        <v>2205</v>
      </c>
      <c r="E135" s="28">
        <v>141</v>
      </c>
    </row>
    <row r="136" spans="1:5" x14ac:dyDescent="0.25">
      <c r="A136" s="10" t="s">
        <v>45</v>
      </c>
      <c r="B136" s="12" t="s">
        <v>26</v>
      </c>
      <c r="C136" s="12" t="s">
        <v>36</v>
      </c>
      <c r="D136" s="29">
        <v>1568</v>
      </c>
      <c r="E136" s="30">
        <v>141</v>
      </c>
    </row>
    <row r="137" spans="1:5" x14ac:dyDescent="0.25">
      <c r="A137" s="9" t="s">
        <v>39</v>
      </c>
      <c r="B137" s="11" t="s">
        <v>49</v>
      </c>
      <c r="C137" s="11" t="s">
        <v>41</v>
      </c>
      <c r="D137" s="27">
        <v>2205</v>
      </c>
      <c r="E137" s="28">
        <v>138</v>
      </c>
    </row>
    <row r="138" spans="1:5" x14ac:dyDescent="0.25">
      <c r="A138" s="10" t="s">
        <v>7</v>
      </c>
      <c r="B138" s="12" t="s">
        <v>49</v>
      </c>
      <c r="C138" s="12" t="s">
        <v>52</v>
      </c>
      <c r="D138" s="29">
        <v>2289</v>
      </c>
      <c r="E138" s="30">
        <v>135</v>
      </c>
    </row>
    <row r="139" spans="1:5" x14ac:dyDescent="0.25">
      <c r="A139" s="9" t="s">
        <v>25</v>
      </c>
      <c r="B139" s="11" t="s">
        <v>21</v>
      </c>
      <c r="C139" s="11" t="s">
        <v>51</v>
      </c>
      <c r="D139" s="27">
        <v>1400</v>
      </c>
      <c r="E139" s="28">
        <v>135</v>
      </c>
    </row>
    <row r="140" spans="1:5" x14ac:dyDescent="0.25">
      <c r="A140" s="10" t="s">
        <v>25</v>
      </c>
      <c r="B140" s="12" t="s">
        <v>33</v>
      </c>
      <c r="C140" s="12" t="s">
        <v>30</v>
      </c>
      <c r="D140" s="29">
        <v>959</v>
      </c>
      <c r="E140" s="30">
        <v>135</v>
      </c>
    </row>
    <row r="141" spans="1:5" x14ac:dyDescent="0.25">
      <c r="A141" s="9" t="s">
        <v>7</v>
      </c>
      <c r="B141" s="11" t="s">
        <v>26</v>
      </c>
      <c r="C141" s="11" t="s">
        <v>51</v>
      </c>
      <c r="D141" s="27">
        <v>0</v>
      </c>
      <c r="E141" s="28">
        <v>135</v>
      </c>
    </row>
    <row r="142" spans="1:5" x14ac:dyDescent="0.25">
      <c r="A142" s="10" t="s">
        <v>20</v>
      </c>
      <c r="B142" s="12" t="s">
        <v>13</v>
      </c>
      <c r="C142" s="12" t="s">
        <v>52</v>
      </c>
      <c r="D142" s="29">
        <v>847</v>
      </c>
      <c r="E142" s="30">
        <v>129</v>
      </c>
    </row>
    <row r="143" spans="1:5" x14ac:dyDescent="0.25">
      <c r="A143" s="9" t="s">
        <v>54</v>
      </c>
      <c r="B143" s="11" t="s">
        <v>33</v>
      </c>
      <c r="C143" s="11" t="s">
        <v>18</v>
      </c>
      <c r="D143" s="27">
        <v>6860</v>
      </c>
      <c r="E143" s="28">
        <v>126</v>
      </c>
    </row>
    <row r="144" spans="1:5" x14ac:dyDescent="0.25">
      <c r="A144" s="10" t="s">
        <v>20</v>
      </c>
      <c r="B144" s="12" t="s">
        <v>49</v>
      </c>
      <c r="C144" s="12" t="s">
        <v>47</v>
      </c>
      <c r="D144" s="29">
        <v>4935</v>
      </c>
      <c r="E144" s="30">
        <v>126</v>
      </c>
    </row>
    <row r="145" spans="1:5" x14ac:dyDescent="0.25">
      <c r="A145" s="9" t="s">
        <v>45</v>
      </c>
      <c r="B145" s="11" t="s">
        <v>26</v>
      </c>
      <c r="C145" s="11" t="s">
        <v>30</v>
      </c>
      <c r="D145" s="27">
        <v>4018</v>
      </c>
      <c r="E145" s="28">
        <v>126</v>
      </c>
    </row>
    <row r="146" spans="1:5" x14ac:dyDescent="0.25">
      <c r="A146" s="10" t="s">
        <v>7</v>
      </c>
      <c r="B146" s="12" t="s">
        <v>13</v>
      </c>
      <c r="C146" s="12" t="s">
        <v>51</v>
      </c>
      <c r="D146" s="29">
        <v>1617</v>
      </c>
      <c r="E146" s="30">
        <v>126</v>
      </c>
    </row>
    <row r="147" spans="1:5" x14ac:dyDescent="0.25">
      <c r="A147" s="9" t="s">
        <v>12</v>
      </c>
      <c r="B147" s="11" t="s">
        <v>13</v>
      </c>
      <c r="C147" s="11" t="s">
        <v>30</v>
      </c>
      <c r="D147" s="27">
        <v>357</v>
      </c>
      <c r="E147" s="28">
        <v>126</v>
      </c>
    </row>
    <row r="148" spans="1:5" x14ac:dyDescent="0.25">
      <c r="A148" s="10" t="s">
        <v>25</v>
      </c>
      <c r="B148" s="12" t="s">
        <v>49</v>
      </c>
      <c r="C148" s="12" t="s">
        <v>14</v>
      </c>
      <c r="D148" s="29">
        <v>6734</v>
      </c>
      <c r="E148" s="30">
        <v>123</v>
      </c>
    </row>
    <row r="149" spans="1:5" x14ac:dyDescent="0.25">
      <c r="A149" s="9" t="s">
        <v>25</v>
      </c>
      <c r="B149" s="11" t="s">
        <v>13</v>
      </c>
      <c r="C149" s="11" t="s">
        <v>9</v>
      </c>
      <c r="D149" s="27">
        <v>4781</v>
      </c>
      <c r="E149" s="28">
        <v>123</v>
      </c>
    </row>
    <row r="150" spans="1:5" x14ac:dyDescent="0.25">
      <c r="A150" s="10" t="s">
        <v>20</v>
      </c>
      <c r="B150" s="12" t="s">
        <v>8</v>
      </c>
      <c r="C150" s="12" t="s">
        <v>41</v>
      </c>
      <c r="D150" s="29">
        <v>3388</v>
      </c>
      <c r="E150" s="30">
        <v>123</v>
      </c>
    </row>
    <row r="151" spans="1:5" x14ac:dyDescent="0.25">
      <c r="A151" s="9" t="s">
        <v>25</v>
      </c>
      <c r="B151" s="11" t="s">
        <v>33</v>
      </c>
      <c r="C151" s="11" t="s">
        <v>11</v>
      </c>
      <c r="D151" s="27">
        <v>2317</v>
      </c>
      <c r="E151" s="28">
        <v>123</v>
      </c>
    </row>
    <row r="152" spans="1:5" x14ac:dyDescent="0.25">
      <c r="A152" s="10" t="s">
        <v>54</v>
      </c>
      <c r="B152" s="12" t="s">
        <v>33</v>
      </c>
      <c r="C152" s="12" t="s">
        <v>11</v>
      </c>
      <c r="D152" s="29">
        <v>63</v>
      </c>
      <c r="E152" s="30">
        <v>123</v>
      </c>
    </row>
    <row r="153" spans="1:5" x14ac:dyDescent="0.25">
      <c r="A153" s="9" t="s">
        <v>25</v>
      </c>
      <c r="B153" s="11" t="s">
        <v>21</v>
      </c>
      <c r="C153" s="11" t="s">
        <v>18</v>
      </c>
      <c r="D153" s="27">
        <v>10073</v>
      </c>
      <c r="E153" s="28">
        <v>120</v>
      </c>
    </row>
    <row r="154" spans="1:5" x14ac:dyDescent="0.25">
      <c r="A154" s="10" t="s">
        <v>45</v>
      </c>
      <c r="B154" s="12" t="s">
        <v>49</v>
      </c>
      <c r="C154" s="12" t="s">
        <v>38</v>
      </c>
      <c r="D154" s="29">
        <v>7511</v>
      </c>
      <c r="E154" s="30">
        <v>120</v>
      </c>
    </row>
    <row r="155" spans="1:5" x14ac:dyDescent="0.25">
      <c r="A155" s="9" t="s">
        <v>17</v>
      </c>
      <c r="B155" s="11" t="s">
        <v>33</v>
      </c>
      <c r="C155" s="11" t="s">
        <v>29</v>
      </c>
      <c r="D155" s="27">
        <v>2646</v>
      </c>
      <c r="E155" s="28">
        <v>120</v>
      </c>
    </row>
    <row r="156" spans="1:5" x14ac:dyDescent="0.25">
      <c r="A156" s="10" t="s">
        <v>46</v>
      </c>
      <c r="B156" s="12" t="s">
        <v>49</v>
      </c>
      <c r="C156" s="12" t="s">
        <v>47</v>
      </c>
      <c r="D156" s="29">
        <v>2212</v>
      </c>
      <c r="E156" s="30">
        <v>117</v>
      </c>
    </row>
    <row r="157" spans="1:5" x14ac:dyDescent="0.25">
      <c r="A157" s="9" t="s">
        <v>39</v>
      </c>
      <c r="B157" s="11" t="s">
        <v>21</v>
      </c>
      <c r="C157" s="11" t="s">
        <v>34</v>
      </c>
      <c r="D157" s="27">
        <v>2149</v>
      </c>
      <c r="E157" s="28">
        <v>117</v>
      </c>
    </row>
    <row r="158" spans="1:5" x14ac:dyDescent="0.25">
      <c r="A158" s="10" t="s">
        <v>45</v>
      </c>
      <c r="B158" s="12" t="s">
        <v>26</v>
      </c>
      <c r="C158" s="12" t="s">
        <v>29</v>
      </c>
      <c r="D158" s="29">
        <v>2016</v>
      </c>
      <c r="E158" s="30">
        <v>117</v>
      </c>
    </row>
    <row r="159" spans="1:5" x14ac:dyDescent="0.25">
      <c r="A159" s="9" t="s">
        <v>39</v>
      </c>
      <c r="B159" s="11" t="s">
        <v>13</v>
      </c>
      <c r="C159" s="11" t="s">
        <v>48</v>
      </c>
      <c r="D159" s="27">
        <v>2793</v>
      </c>
      <c r="E159" s="28">
        <v>114</v>
      </c>
    </row>
    <row r="160" spans="1:5" x14ac:dyDescent="0.25">
      <c r="A160" s="10" t="s">
        <v>17</v>
      </c>
      <c r="B160" s="12" t="s">
        <v>21</v>
      </c>
      <c r="C160" s="12" t="s">
        <v>27</v>
      </c>
      <c r="D160" s="29">
        <v>2142</v>
      </c>
      <c r="E160" s="30">
        <v>114</v>
      </c>
    </row>
    <row r="161" spans="1:5" x14ac:dyDescent="0.25">
      <c r="A161" s="9" t="s">
        <v>7</v>
      </c>
      <c r="B161" s="11" t="s">
        <v>8</v>
      </c>
      <c r="C161" s="11" t="s">
        <v>9</v>
      </c>
      <c r="D161" s="27">
        <v>1624</v>
      </c>
      <c r="E161" s="28">
        <v>114</v>
      </c>
    </row>
    <row r="162" spans="1:5" x14ac:dyDescent="0.25">
      <c r="A162" s="10" t="s">
        <v>39</v>
      </c>
      <c r="B162" s="12" t="s">
        <v>8</v>
      </c>
      <c r="C162" s="12" t="s">
        <v>32</v>
      </c>
      <c r="D162" s="29">
        <v>4487</v>
      </c>
      <c r="E162" s="30">
        <v>111</v>
      </c>
    </row>
    <row r="163" spans="1:5" x14ac:dyDescent="0.25">
      <c r="A163" s="9" t="s">
        <v>42</v>
      </c>
      <c r="B163" s="11" t="s">
        <v>21</v>
      </c>
      <c r="C163" s="11" t="s">
        <v>9</v>
      </c>
      <c r="D163" s="27">
        <v>1526</v>
      </c>
      <c r="E163" s="28">
        <v>105</v>
      </c>
    </row>
    <row r="164" spans="1:5" x14ac:dyDescent="0.25">
      <c r="A164" s="10" t="s">
        <v>20</v>
      </c>
      <c r="B164" s="12" t="s">
        <v>8</v>
      </c>
      <c r="C164" s="12" t="s">
        <v>48</v>
      </c>
      <c r="D164" s="29">
        <v>6398</v>
      </c>
      <c r="E164" s="30">
        <v>102</v>
      </c>
    </row>
    <row r="165" spans="1:5" x14ac:dyDescent="0.25">
      <c r="A165" s="9" t="s">
        <v>7</v>
      </c>
      <c r="B165" s="11" t="s">
        <v>33</v>
      </c>
      <c r="C165" s="11" t="s">
        <v>18</v>
      </c>
      <c r="D165" s="27">
        <v>6125</v>
      </c>
      <c r="E165" s="28">
        <v>102</v>
      </c>
    </row>
    <row r="166" spans="1:5" x14ac:dyDescent="0.25">
      <c r="A166" s="10" t="s">
        <v>17</v>
      </c>
      <c r="B166" s="12" t="s">
        <v>33</v>
      </c>
      <c r="C166" s="12" t="s">
        <v>27</v>
      </c>
      <c r="D166" s="29">
        <v>3850</v>
      </c>
      <c r="E166" s="30">
        <v>102</v>
      </c>
    </row>
    <row r="167" spans="1:5" x14ac:dyDescent="0.25">
      <c r="A167" s="9" t="s">
        <v>42</v>
      </c>
      <c r="B167" s="11" t="s">
        <v>49</v>
      </c>
      <c r="C167" s="11" t="s">
        <v>51</v>
      </c>
      <c r="D167" s="27">
        <v>2891</v>
      </c>
      <c r="E167" s="28">
        <v>102</v>
      </c>
    </row>
    <row r="168" spans="1:5" x14ac:dyDescent="0.25">
      <c r="A168" s="10" t="s">
        <v>46</v>
      </c>
      <c r="B168" s="12" t="s">
        <v>26</v>
      </c>
      <c r="C168" s="12" t="s">
        <v>53</v>
      </c>
      <c r="D168" s="29">
        <v>1652</v>
      </c>
      <c r="E168" s="30">
        <v>102</v>
      </c>
    </row>
    <row r="169" spans="1:5" x14ac:dyDescent="0.25">
      <c r="A169" s="9" t="s">
        <v>25</v>
      </c>
      <c r="B169" s="11" t="s">
        <v>8</v>
      </c>
      <c r="C169" s="11" t="s">
        <v>22</v>
      </c>
      <c r="D169" s="27">
        <v>1505</v>
      </c>
      <c r="E169" s="28">
        <v>102</v>
      </c>
    </row>
    <row r="170" spans="1:5" x14ac:dyDescent="0.25">
      <c r="A170" s="10" t="s">
        <v>17</v>
      </c>
      <c r="B170" s="12" t="s">
        <v>33</v>
      </c>
      <c r="C170" s="12" t="s">
        <v>50</v>
      </c>
      <c r="D170" s="29">
        <v>2436</v>
      </c>
      <c r="E170" s="30">
        <v>99</v>
      </c>
    </row>
    <row r="171" spans="1:5" x14ac:dyDescent="0.25">
      <c r="A171" s="9" t="s">
        <v>20</v>
      </c>
      <c r="B171" s="11" t="s">
        <v>13</v>
      </c>
      <c r="C171" s="11" t="s">
        <v>38</v>
      </c>
      <c r="D171" s="27">
        <v>609</v>
      </c>
      <c r="E171" s="28">
        <v>99</v>
      </c>
    </row>
    <row r="172" spans="1:5" x14ac:dyDescent="0.25">
      <c r="A172" s="10" t="s">
        <v>17</v>
      </c>
      <c r="B172" s="12" t="s">
        <v>8</v>
      </c>
      <c r="C172" s="12" t="s">
        <v>41</v>
      </c>
      <c r="D172" s="29">
        <v>7273</v>
      </c>
      <c r="E172" s="30">
        <v>96</v>
      </c>
    </row>
    <row r="173" spans="1:5" x14ac:dyDescent="0.25">
      <c r="A173" s="9" t="s">
        <v>54</v>
      </c>
      <c r="B173" s="11" t="s">
        <v>13</v>
      </c>
      <c r="C173" s="11" t="s">
        <v>16</v>
      </c>
      <c r="D173" s="27">
        <v>3472</v>
      </c>
      <c r="E173" s="28">
        <v>96</v>
      </c>
    </row>
    <row r="174" spans="1:5" x14ac:dyDescent="0.25">
      <c r="A174" s="10" t="s">
        <v>39</v>
      </c>
      <c r="B174" s="12" t="s">
        <v>49</v>
      </c>
      <c r="C174" s="12" t="s">
        <v>27</v>
      </c>
      <c r="D174" s="29">
        <v>1568</v>
      </c>
      <c r="E174" s="30">
        <v>96</v>
      </c>
    </row>
    <row r="175" spans="1:5" x14ac:dyDescent="0.25">
      <c r="A175" s="9" t="s">
        <v>7</v>
      </c>
      <c r="B175" s="11" t="s">
        <v>8</v>
      </c>
      <c r="C175" s="11" t="s">
        <v>52</v>
      </c>
      <c r="D175" s="27">
        <v>6132</v>
      </c>
      <c r="E175" s="28">
        <v>93</v>
      </c>
    </row>
    <row r="176" spans="1:5" x14ac:dyDescent="0.25">
      <c r="A176" s="10" t="s">
        <v>46</v>
      </c>
      <c r="B176" s="12" t="s">
        <v>49</v>
      </c>
      <c r="C176" s="12" t="s">
        <v>32</v>
      </c>
      <c r="D176" s="29">
        <v>2919</v>
      </c>
      <c r="E176" s="30">
        <v>93</v>
      </c>
    </row>
    <row r="177" spans="1:5" x14ac:dyDescent="0.25">
      <c r="A177" s="9" t="s">
        <v>17</v>
      </c>
      <c r="B177" s="11" t="s">
        <v>8</v>
      </c>
      <c r="C177" s="11" t="s">
        <v>47</v>
      </c>
      <c r="D177" s="27">
        <v>2737</v>
      </c>
      <c r="E177" s="28">
        <v>93</v>
      </c>
    </row>
    <row r="178" spans="1:5" x14ac:dyDescent="0.25">
      <c r="A178" s="10" t="s">
        <v>42</v>
      </c>
      <c r="B178" s="12" t="s">
        <v>49</v>
      </c>
      <c r="C178" s="12" t="s">
        <v>30</v>
      </c>
      <c r="D178" s="29">
        <v>1652</v>
      </c>
      <c r="E178" s="30">
        <v>93</v>
      </c>
    </row>
    <row r="179" spans="1:5" x14ac:dyDescent="0.25">
      <c r="A179" s="9" t="s">
        <v>54</v>
      </c>
      <c r="B179" s="11" t="s">
        <v>49</v>
      </c>
      <c r="C179" s="11" t="s">
        <v>27</v>
      </c>
      <c r="D179" s="27">
        <v>1428</v>
      </c>
      <c r="E179" s="28">
        <v>93</v>
      </c>
    </row>
    <row r="180" spans="1:5" x14ac:dyDescent="0.25">
      <c r="A180" s="10" t="s">
        <v>7</v>
      </c>
      <c r="B180" s="12" t="s">
        <v>21</v>
      </c>
      <c r="C180" s="12" t="s">
        <v>30</v>
      </c>
      <c r="D180" s="29">
        <v>9772</v>
      </c>
      <c r="E180" s="30">
        <v>90</v>
      </c>
    </row>
    <row r="181" spans="1:5" x14ac:dyDescent="0.25">
      <c r="A181" s="9" t="s">
        <v>17</v>
      </c>
      <c r="B181" s="11" t="s">
        <v>49</v>
      </c>
      <c r="C181" s="11" t="s">
        <v>47</v>
      </c>
      <c r="D181" s="27">
        <v>8155</v>
      </c>
      <c r="E181" s="28">
        <v>90</v>
      </c>
    </row>
    <row r="182" spans="1:5" x14ac:dyDescent="0.25">
      <c r="A182" s="10" t="s">
        <v>7</v>
      </c>
      <c r="B182" s="12" t="s">
        <v>33</v>
      </c>
      <c r="C182" s="12" t="s">
        <v>27</v>
      </c>
      <c r="D182" s="29">
        <v>2541</v>
      </c>
      <c r="E182" s="30">
        <v>90</v>
      </c>
    </row>
    <row r="183" spans="1:5" x14ac:dyDescent="0.25">
      <c r="A183" s="9" t="s">
        <v>17</v>
      </c>
      <c r="B183" s="11" t="s">
        <v>33</v>
      </c>
      <c r="C183" s="11" t="s">
        <v>30</v>
      </c>
      <c r="D183" s="27">
        <v>9506</v>
      </c>
      <c r="E183" s="28">
        <v>87</v>
      </c>
    </row>
    <row r="184" spans="1:5" x14ac:dyDescent="0.25">
      <c r="A184" s="10" t="s">
        <v>25</v>
      </c>
      <c r="B184" s="12" t="s">
        <v>8</v>
      </c>
      <c r="C184" s="12" t="s">
        <v>34</v>
      </c>
      <c r="D184" s="29">
        <v>7693</v>
      </c>
      <c r="E184" s="30">
        <v>87</v>
      </c>
    </row>
    <row r="185" spans="1:5" x14ac:dyDescent="0.25">
      <c r="A185" s="9" t="s">
        <v>54</v>
      </c>
      <c r="B185" s="11" t="s">
        <v>49</v>
      </c>
      <c r="C185" s="11" t="s">
        <v>32</v>
      </c>
      <c r="D185" s="27">
        <v>700</v>
      </c>
      <c r="E185" s="28">
        <v>87</v>
      </c>
    </row>
    <row r="186" spans="1:5" x14ac:dyDescent="0.25">
      <c r="A186" s="10" t="s">
        <v>7</v>
      </c>
      <c r="B186" s="12" t="s">
        <v>33</v>
      </c>
      <c r="C186" s="12" t="s">
        <v>50</v>
      </c>
      <c r="D186" s="29">
        <v>609</v>
      </c>
      <c r="E186" s="30">
        <v>87</v>
      </c>
    </row>
    <row r="187" spans="1:5" x14ac:dyDescent="0.25">
      <c r="A187" s="9" t="s">
        <v>12</v>
      </c>
      <c r="B187" s="11" t="s">
        <v>8</v>
      </c>
      <c r="C187" s="11" t="s">
        <v>44</v>
      </c>
      <c r="D187" s="27">
        <v>434</v>
      </c>
      <c r="E187" s="28">
        <v>87</v>
      </c>
    </row>
    <row r="188" spans="1:5" x14ac:dyDescent="0.25">
      <c r="A188" s="10" t="s">
        <v>39</v>
      </c>
      <c r="B188" s="12" t="s">
        <v>21</v>
      </c>
      <c r="C188" s="12" t="s">
        <v>14</v>
      </c>
      <c r="D188" s="29">
        <v>280</v>
      </c>
      <c r="E188" s="30">
        <v>87</v>
      </c>
    </row>
    <row r="189" spans="1:5" x14ac:dyDescent="0.25">
      <c r="A189" s="9" t="s">
        <v>20</v>
      </c>
      <c r="B189" s="11" t="s">
        <v>21</v>
      </c>
      <c r="C189" s="11" t="s">
        <v>14</v>
      </c>
      <c r="D189" s="27">
        <v>10304</v>
      </c>
      <c r="E189" s="28">
        <v>84</v>
      </c>
    </row>
    <row r="190" spans="1:5" x14ac:dyDescent="0.25">
      <c r="A190" s="10" t="s">
        <v>42</v>
      </c>
      <c r="B190" s="12" t="s">
        <v>13</v>
      </c>
      <c r="C190" s="12" t="s">
        <v>36</v>
      </c>
      <c r="D190" s="29">
        <v>490</v>
      </c>
      <c r="E190" s="30">
        <v>84</v>
      </c>
    </row>
    <row r="191" spans="1:5" x14ac:dyDescent="0.25">
      <c r="A191" s="9" t="s">
        <v>12</v>
      </c>
      <c r="B191" s="11" t="s">
        <v>33</v>
      </c>
      <c r="C191" s="11" t="s">
        <v>36</v>
      </c>
      <c r="D191" s="27">
        <v>168</v>
      </c>
      <c r="E191" s="28">
        <v>84</v>
      </c>
    </row>
    <row r="192" spans="1:5" x14ac:dyDescent="0.25">
      <c r="A192" s="10" t="s">
        <v>45</v>
      </c>
      <c r="B192" s="12" t="s">
        <v>26</v>
      </c>
      <c r="C192" s="12" t="s">
        <v>52</v>
      </c>
      <c r="D192" s="29">
        <v>7812</v>
      </c>
      <c r="E192" s="30">
        <v>81</v>
      </c>
    </row>
    <row r="193" spans="1:5" x14ac:dyDescent="0.25">
      <c r="A193" s="9" t="s">
        <v>42</v>
      </c>
      <c r="B193" s="11" t="s">
        <v>26</v>
      </c>
      <c r="C193" s="11" t="s">
        <v>36</v>
      </c>
      <c r="D193" s="27">
        <v>6909</v>
      </c>
      <c r="E193" s="28">
        <v>81</v>
      </c>
    </row>
    <row r="194" spans="1:5" x14ac:dyDescent="0.25">
      <c r="A194" s="10" t="s">
        <v>12</v>
      </c>
      <c r="B194" s="12" t="s">
        <v>13</v>
      </c>
      <c r="C194" s="12" t="s">
        <v>9</v>
      </c>
      <c r="D194" s="29">
        <v>3598</v>
      </c>
      <c r="E194" s="30">
        <v>81</v>
      </c>
    </row>
    <row r="195" spans="1:5" x14ac:dyDescent="0.25">
      <c r="A195" s="9" t="s">
        <v>25</v>
      </c>
      <c r="B195" s="11" t="s">
        <v>8</v>
      </c>
      <c r="C195" s="11" t="s">
        <v>9</v>
      </c>
      <c r="D195" s="27">
        <v>560</v>
      </c>
      <c r="E195" s="28">
        <v>81</v>
      </c>
    </row>
    <row r="196" spans="1:5" x14ac:dyDescent="0.25">
      <c r="A196" s="10" t="s">
        <v>12</v>
      </c>
      <c r="B196" s="12" t="s">
        <v>33</v>
      </c>
      <c r="C196" s="12" t="s">
        <v>44</v>
      </c>
      <c r="D196" s="29">
        <v>6433</v>
      </c>
      <c r="E196" s="30">
        <v>78</v>
      </c>
    </row>
    <row r="197" spans="1:5" x14ac:dyDescent="0.25">
      <c r="A197" s="9" t="s">
        <v>46</v>
      </c>
      <c r="B197" s="11" t="s">
        <v>13</v>
      </c>
      <c r="C197" s="11" t="s">
        <v>47</v>
      </c>
      <c r="D197" s="27">
        <v>2023</v>
      </c>
      <c r="E197" s="28">
        <v>78</v>
      </c>
    </row>
    <row r="198" spans="1:5" x14ac:dyDescent="0.25">
      <c r="A198" s="10" t="s">
        <v>45</v>
      </c>
      <c r="B198" s="12" t="s">
        <v>21</v>
      </c>
      <c r="C198" s="12" t="s">
        <v>51</v>
      </c>
      <c r="D198" s="29">
        <v>8211</v>
      </c>
      <c r="E198" s="30">
        <v>75</v>
      </c>
    </row>
    <row r="199" spans="1:5" x14ac:dyDescent="0.25">
      <c r="A199" s="9" t="s">
        <v>25</v>
      </c>
      <c r="B199" s="11" t="s">
        <v>49</v>
      </c>
      <c r="C199" s="11" t="s">
        <v>51</v>
      </c>
      <c r="D199" s="27">
        <v>3339</v>
      </c>
      <c r="E199" s="28">
        <v>75</v>
      </c>
    </row>
    <row r="200" spans="1:5" x14ac:dyDescent="0.25">
      <c r="A200" s="10" t="s">
        <v>39</v>
      </c>
      <c r="B200" s="12" t="s">
        <v>49</v>
      </c>
      <c r="C200" s="12" t="s">
        <v>14</v>
      </c>
      <c r="D200" s="29">
        <v>3262</v>
      </c>
      <c r="E200" s="30">
        <v>75</v>
      </c>
    </row>
    <row r="201" spans="1:5" x14ac:dyDescent="0.25">
      <c r="A201" s="9" t="s">
        <v>7</v>
      </c>
      <c r="B201" s="11" t="s">
        <v>49</v>
      </c>
      <c r="C201" s="11" t="s">
        <v>47</v>
      </c>
      <c r="D201" s="27">
        <v>2779</v>
      </c>
      <c r="E201" s="28">
        <v>75</v>
      </c>
    </row>
    <row r="202" spans="1:5" x14ac:dyDescent="0.25">
      <c r="A202" s="10" t="s">
        <v>25</v>
      </c>
      <c r="B202" s="12" t="s">
        <v>49</v>
      </c>
      <c r="C202" s="12" t="s">
        <v>29</v>
      </c>
      <c r="D202" s="29">
        <v>2219</v>
      </c>
      <c r="E202" s="30">
        <v>75</v>
      </c>
    </row>
    <row r="203" spans="1:5" x14ac:dyDescent="0.25">
      <c r="A203" s="9" t="s">
        <v>39</v>
      </c>
      <c r="B203" s="11" t="s">
        <v>33</v>
      </c>
      <c r="C203" s="11" t="s">
        <v>16</v>
      </c>
      <c r="D203" s="27">
        <v>1281</v>
      </c>
      <c r="E203" s="28">
        <v>75</v>
      </c>
    </row>
    <row r="204" spans="1:5" x14ac:dyDescent="0.25">
      <c r="A204" s="10" t="s">
        <v>54</v>
      </c>
      <c r="B204" s="12" t="s">
        <v>21</v>
      </c>
      <c r="C204" s="12" t="s">
        <v>11</v>
      </c>
      <c r="D204" s="29">
        <v>945</v>
      </c>
      <c r="E204" s="30">
        <v>75</v>
      </c>
    </row>
    <row r="205" spans="1:5" x14ac:dyDescent="0.25">
      <c r="A205" s="9" t="s">
        <v>42</v>
      </c>
      <c r="B205" s="11" t="s">
        <v>8</v>
      </c>
      <c r="C205" s="11" t="s">
        <v>36</v>
      </c>
      <c r="D205" s="27">
        <v>518</v>
      </c>
      <c r="E205" s="28">
        <v>75</v>
      </c>
    </row>
    <row r="206" spans="1:5" x14ac:dyDescent="0.25">
      <c r="A206" s="10" t="s">
        <v>25</v>
      </c>
      <c r="B206" s="12" t="s">
        <v>33</v>
      </c>
      <c r="C206" s="12" t="s">
        <v>27</v>
      </c>
      <c r="D206" s="29">
        <v>469</v>
      </c>
      <c r="E206" s="30">
        <v>75</v>
      </c>
    </row>
    <row r="207" spans="1:5" x14ac:dyDescent="0.25">
      <c r="A207" s="9" t="s">
        <v>7</v>
      </c>
      <c r="B207" s="11" t="s">
        <v>8</v>
      </c>
      <c r="C207" s="11" t="s">
        <v>51</v>
      </c>
      <c r="D207" s="27">
        <v>9002</v>
      </c>
      <c r="E207" s="28">
        <v>72</v>
      </c>
    </row>
    <row r="208" spans="1:5" x14ac:dyDescent="0.25">
      <c r="A208" s="10" t="s">
        <v>20</v>
      </c>
      <c r="B208" s="12" t="s">
        <v>26</v>
      </c>
      <c r="C208" s="12" t="s">
        <v>16</v>
      </c>
      <c r="D208" s="29">
        <v>3976</v>
      </c>
      <c r="E208" s="30">
        <v>72</v>
      </c>
    </row>
    <row r="209" spans="1:5" x14ac:dyDescent="0.25">
      <c r="A209" s="9" t="s">
        <v>17</v>
      </c>
      <c r="B209" s="11" t="s">
        <v>26</v>
      </c>
      <c r="C209" s="11" t="s">
        <v>27</v>
      </c>
      <c r="D209" s="27">
        <v>3192</v>
      </c>
      <c r="E209" s="28">
        <v>72</v>
      </c>
    </row>
    <row r="210" spans="1:5" x14ac:dyDescent="0.25">
      <c r="A210" s="10" t="s">
        <v>54</v>
      </c>
      <c r="B210" s="12" t="s">
        <v>21</v>
      </c>
      <c r="C210" s="12" t="s">
        <v>52</v>
      </c>
      <c r="D210" s="29">
        <v>1407</v>
      </c>
      <c r="E210" s="30">
        <v>72</v>
      </c>
    </row>
    <row r="211" spans="1:5" x14ac:dyDescent="0.25">
      <c r="A211" s="9" t="s">
        <v>20</v>
      </c>
      <c r="B211" s="11" t="s">
        <v>13</v>
      </c>
      <c r="C211" s="11" t="s">
        <v>11</v>
      </c>
      <c r="D211" s="27">
        <v>4760</v>
      </c>
      <c r="E211" s="28">
        <v>69</v>
      </c>
    </row>
    <row r="212" spans="1:5" x14ac:dyDescent="0.25">
      <c r="A212" s="10" t="s">
        <v>46</v>
      </c>
      <c r="B212" s="12" t="s">
        <v>13</v>
      </c>
      <c r="C212" s="12" t="s">
        <v>51</v>
      </c>
      <c r="D212" s="29">
        <v>2114</v>
      </c>
      <c r="E212" s="30">
        <v>66</v>
      </c>
    </row>
    <row r="213" spans="1:5" x14ac:dyDescent="0.25">
      <c r="A213" s="9" t="s">
        <v>42</v>
      </c>
      <c r="B213" s="11" t="s">
        <v>21</v>
      </c>
      <c r="C213" s="11" t="s">
        <v>11</v>
      </c>
      <c r="D213" s="27">
        <v>6146</v>
      </c>
      <c r="E213" s="28">
        <v>63</v>
      </c>
    </row>
    <row r="214" spans="1:5" x14ac:dyDescent="0.25">
      <c r="A214" s="10" t="s">
        <v>39</v>
      </c>
      <c r="B214" s="12" t="s">
        <v>13</v>
      </c>
      <c r="C214" s="12" t="s">
        <v>16</v>
      </c>
      <c r="D214" s="29">
        <v>4606</v>
      </c>
      <c r="E214" s="30">
        <v>63</v>
      </c>
    </row>
    <row r="215" spans="1:5" x14ac:dyDescent="0.25">
      <c r="A215" s="9" t="s">
        <v>12</v>
      </c>
      <c r="B215" s="11" t="s">
        <v>33</v>
      </c>
      <c r="C215" s="11" t="s">
        <v>52</v>
      </c>
      <c r="D215" s="27">
        <v>2268</v>
      </c>
      <c r="E215" s="28">
        <v>63</v>
      </c>
    </row>
    <row r="216" spans="1:5" x14ac:dyDescent="0.25">
      <c r="A216" s="10" t="s">
        <v>25</v>
      </c>
      <c r="B216" s="12" t="s">
        <v>26</v>
      </c>
      <c r="C216" s="12" t="s">
        <v>9</v>
      </c>
      <c r="D216" s="29">
        <v>1638</v>
      </c>
      <c r="E216" s="30">
        <v>63</v>
      </c>
    </row>
    <row r="217" spans="1:5" x14ac:dyDescent="0.25">
      <c r="A217" s="9" t="s">
        <v>25</v>
      </c>
      <c r="B217" s="11" t="s">
        <v>21</v>
      </c>
      <c r="C217" s="11" t="s">
        <v>44</v>
      </c>
      <c r="D217" s="27">
        <v>497</v>
      </c>
      <c r="E217" s="28">
        <v>63</v>
      </c>
    </row>
    <row r="218" spans="1:5" x14ac:dyDescent="0.25">
      <c r="A218" s="10" t="s">
        <v>17</v>
      </c>
      <c r="B218" s="12" t="s">
        <v>33</v>
      </c>
      <c r="C218" s="12" t="s">
        <v>48</v>
      </c>
      <c r="D218" s="29">
        <v>4137</v>
      </c>
      <c r="E218" s="30">
        <v>60</v>
      </c>
    </row>
    <row r="219" spans="1:5" x14ac:dyDescent="0.25">
      <c r="A219" s="9" t="s">
        <v>17</v>
      </c>
      <c r="B219" s="11" t="s">
        <v>21</v>
      </c>
      <c r="C219" s="11" t="s">
        <v>9</v>
      </c>
      <c r="D219" s="27">
        <v>9051</v>
      </c>
      <c r="E219" s="28">
        <v>57</v>
      </c>
    </row>
    <row r="220" spans="1:5" x14ac:dyDescent="0.25">
      <c r="A220" s="10" t="s">
        <v>42</v>
      </c>
      <c r="B220" s="12" t="s">
        <v>33</v>
      </c>
      <c r="C220" s="12" t="s">
        <v>11</v>
      </c>
      <c r="D220" s="29">
        <v>7189</v>
      </c>
      <c r="E220" s="30">
        <v>54</v>
      </c>
    </row>
    <row r="221" spans="1:5" x14ac:dyDescent="0.25">
      <c r="A221" s="9" t="s">
        <v>39</v>
      </c>
      <c r="B221" s="11" t="s">
        <v>8</v>
      </c>
      <c r="C221" s="11" t="s">
        <v>9</v>
      </c>
      <c r="D221" s="27">
        <v>6454</v>
      </c>
      <c r="E221" s="28">
        <v>54</v>
      </c>
    </row>
    <row r="222" spans="1:5" x14ac:dyDescent="0.25">
      <c r="A222" s="10" t="s">
        <v>46</v>
      </c>
      <c r="B222" s="12" t="s">
        <v>49</v>
      </c>
      <c r="C222" s="12" t="s">
        <v>50</v>
      </c>
      <c r="D222" s="29">
        <v>3108</v>
      </c>
      <c r="E222" s="30">
        <v>54</v>
      </c>
    </row>
    <row r="223" spans="1:5" x14ac:dyDescent="0.25">
      <c r="A223" s="9" t="s">
        <v>25</v>
      </c>
      <c r="B223" s="11" t="s">
        <v>33</v>
      </c>
      <c r="C223" s="11" t="s">
        <v>34</v>
      </c>
      <c r="D223" s="27">
        <v>2681</v>
      </c>
      <c r="E223" s="28">
        <v>54</v>
      </c>
    </row>
    <row r="224" spans="1:5" x14ac:dyDescent="0.25">
      <c r="A224" s="10" t="s">
        <v>45</v>
      </c>
      <c r="B224" s="12" t="s">
        <v>8</v>
      </c>
      <c r="C224" s="12" t="s">
        <v>16</v>
      </c>
      <c r="D224" s="29">
        <v>1057</v>
      </c>
      <c r="E224" s="30">
        <v>54</v>
      </c>
    </row>
    <row r="225" spans="1:5" x14ac:dyDescent="0.25">
      <c r="A225" s="9" t="s">
        <v>45</v>
      </c>
      <c r="B225" s="11" t="s">
        <v>49</v>
      </c>
      <c r="C225" s="11" t="s">
        <v>11</v>
      </c>
      <c r="D225" s="27">
        <v>252</v>
      </c>
      <c r="E225" s="28">
        <v>54</v>
      </c>
    </row>
    <row r="226" spans="1:5" x14ac:dyDescent="0.25">
      <c r="A226" s="10" t="s">
        <v>42</v>
      </c>
      <c r="B226" s="12" t="s">
        <v>26</v>
      </c>
      <c r="C226" s="12" t="s">
        <v>50</v>
      </c>
      <c r="D226" s="29">
        <v>5236</v>
      </c>
      <c r="E226" s="30">
        <v>51</v>
      </c>
    </row>
    <row r="227" spans="1:5" x14ac:dyDescent="0.25">
      <c r="A227" s="9" t="s">
        <v>46</v>
      </c>
      <c r="B227" s="11" t="s">
        <v>26</v>
      </c>
      <c r="C227" s="11" t="s">
        <v>51</v>
      </c>
      <c r="D227" s="27">
        <v>3640</v>
      </c>
      <c r="E227" s="28">
        <v>51</v>
      </c>
    </row>
    <row r="228" spans="1:5" x14ac:dyDescent="0.25">
      <c r="A228" s="10" t="s">
        <v>7</v>
      </c>
      <c r="B228" s="12" t="s">
        <v>33</v>
      </c>
      <c r="C228" s="12" t="s">
        <v>48</v>
      </c>
      <c r="D228" s="29">
        <v>623</v>
      </c>
      <c r="E228" s="30">
        <v>51</v>
      </c>
    </row>
    <row r="229" spans="1:5" x14ac:dyDescent="0.25">
      <c r="A229" s="9" t="s">
        <v>45</v>
      </c>
      <c r="B229" s="11" t="s">
        <v>33</v>
      </c>
      <c r="C229" s="11" t="s">
        <v>11</v>
      </c>
      <c r="D229" s="27">
        <v>56</v>
      </c>
      <c r="E229" s="28">
        <v>51</v>
      </c>
    </row>
    <row r="230" spans="1:5" x14ac:dyDescent="0.25">
      <c r="A230" s="10" t="s">
        <v>7</v>
      </c>
      <c r="B230" s="12" t="s">
        <v>49</v>
      </c>
      <c r="C230" s="12" t="s">
        <v>50</v>
      </c>
      <c r="D230" s="29">
        <v>6748</v>
      </c>
      <c r="E230" s="30">
        <v>48</v>
      </c>
    </row>
    <row r="231" spans="1:5" x14ac:dyDescent="0.25">
      <c r="A231" s="9" t="s">
        <v>39</v>
      </c>
      <c r="B231" s="11" t="s">
        <v>8</v>
      </c>
      <c r="C231" s="11" t="s">
        <v>30</v>
      </c>
      <c r="D231" s="27">
        <v>6391</v>
      </c>
      <c r="E231" s="28">
        <v>48</v>
      </c>
    </row>
    <row r="232" spans="1:5" x14ac:dyDescent="0.25">
      <c r="A232" s="10" t="s">
        <v>39</v>
      </c>
      <c r="B232" s="12" t="s">
        <v>49</v>
      </c>
      <c r="C232" s="12" t="s">
        <v>30</v>
      </c>
      <c r="D232" s="29">
        <v>2226</v>
      </c>
      <c r="E232" s="30">
        <v>48</v>
      </c>
    </row>
    <row r="233" spans="1:5" x14ac:dyDescent="0.25">
      <c r="A233" s="9" t="s">
        <v>7</v>
      </c>
      <c r="B233" s="11" t="s">
        <v>13</v>
      </c>
      <c r="C233" s="11" t="s">
        <v>48</v>
      </c>
      <c r="D233" s="27">
        <v>1638</v>
      </c>
      <c r="E233" s="28">
        <v>48</v>
      </c>
    </row>
    <row r="234" spans="1:5" x14ac:dyDescent="0.25">
      <c r="A234" s="10" t="s">
        <v>25</v>
      </c>
      <c r="B234" s="12" t="s">
        <v>49</v>
      </c>
      <c r="C234" s="12" t="s">
        <v>18</v>
      </c>
      <c r="D234" s="29">
        <v>525</v>
      </c>
      <c r="E234" s="30">
        <v>48</v>
      </c>
    </row>
    <row r="235" spans="1:5" x14ac:dyDescent="0.25">
      <c r="A235" s="9" t="s">
        <v>45</v>
      </c>
      <c r="B235" s="11" t="s">
        <v>21</v>
      </c>
      <c r="C235" s="11" t="s">
        <v>32</v>
      </c>
      <c r="D235" s="27">
        <v>189</v>
      </c>
      <c r="E235" s="28">
        <v>48</v>
      </c>
    </row>
    <row r="236" spans="1:5" x14ac:dyDescent="0.25">
      <c r="A236" s="10" t="s">
        <v>42</v>
      </c>
      <c r="B236" s="12" t="s">
        <v>8</v>
      </c>
      <c r="C236" s="12" t="s">
        <v>34</v>
      </c>
      <c r="D236" s="29">
        <v>182</v>
      </c>
      <c r="E236" s="30">
        <v>48</v>
      </c>
    </row>
    <row r="237" spans="1:5" x14ac:dyDescent="0.25">
      <c r="A237" s="9" t="s">
        <v>42</v>
      </c>
      <c r="B237" s="11" t="s">
        <v>33</v>
      </c>
      <c r="C237" s="11" t="s">
        <v>27</v>
      </c>
      <c r="D237" s="27">
        <v>7483</v>
      </c>
      <c r="E237" s="28">
        <v>45</v>
      </c>
    </row>
    <row r="238" spans="1:5" x14ac:dyDescent="0.25">
      <c r="A238" s="10" t="s">
        <v>12</v>
      </c>
      <c r="B238" s="12" t="s">
        <v>8</v>
      </c>
      <c r="C238" s="12" t="s">
        <v>50</v>
      </c>
      <c r="D238" s="29">
        <v>6279</v>
      </c>
      <c r="E238" s="30">
        <v>45</v>
      </c>
    </row>
    <row r="239" spans="1:5" x14ac:dyDescent="0.25">
      <c r="A239" s="9" t="s">
        <v>17</v>
      </c>
      <c r="B239" s="11" t="s">
        <v>8</v>
      </c>
      <c r="C239" s="11" t="s">
        <v>53</v>
      </c>
      <c r="D239" s="27">
        <v>2919</v>
      </c>
      <c r="E239" s="28">
        <v>45</v>
      </c>
    </row>
    <row r="240" spans="1:5" x14ac:dyDescent="0.25">
      <c r="A240" s="10" t="s">
        <v>7</v>
      </c>
      <c r="B240" s="12" t="s">
        <v>33</v>
      </c>
      <c r="C240" s="12" t="s">
        <v>51</v>
      </c>
      <c r="D240" s="29">
        <v>2541</v>
      </c>
      <c r="E240" s="30">
        <v>45</v>
      </c>
    </row>
    <row r="241" spans="1:5" x14ac:dyDescent="0.25">
      <c r="A241" s="9" t="s">
        <v>39</v>
      </c>
      <c r="B241" s="11" t="s">
        <v>21</v>
      </c>
      <c r="C241" s="11" t="s">
        <v>36</v>
      </c>
      <c r="D241" s="27">
        <v>8435</v>
      </c>
      <c r="E241" s="28">
        <v>42</v>
      </c>
    </row>
    <row r="242" spans="1:5" x14ac:dyDescent="0.25">
      <c r="A242" s="10" t="s">
        <v>46</v>
      </c>
      <c r="B242" s="12" t="s">
        <v>49</v>
      </c>
      <c r="C242" s="12" t="s">
        <v>27</v>
      </c>
      <c r="D242" s="29">
        <v>6300</v>
      </c>
      <c r="E242" s="30">
        <v>42</v>
      </c>
    </row>
    <row r="243" spans="1:5" x14ac:dyDescent="0.25">
      <c r="A243" s="9" t="s">
        <v>7</v>
      </c>
      <c r="B243" s="11" t="s">
        <v>26</v>
      </c>
      <c r="C243" s="11" t="s">
        <v>24</v>
      </c>
      <c r="D243" s="27">
        <v>5775</v>
      </c>
      <c r="E243" s="28">
        <v>42</v>
      </c>
    </row>
    <row r="244" spans="1:5" x14ac:dyDescent="0.25">
      <c r="A244" s="10" t="s">
        <v>45</v>
      </c>
      <c r="B244" s="12" t="s">
        <v>8</v>
      </c>
      <c r="C244" s="12" t="s">
        <v>24</v>
      </c>
      <c r="D244" s="29">
        <v>2863</v>
      </c>
      <c r="E244" s="30">
        <v>42</v>
      </c>
    </row>
    <row r="245" spans="1:5" x14ac:dyDescent="0.25">
      <c r="A245" s="9" t="s">
        <v>39</v>
      </c>
      <c r="B245" s="11" t="s">
        <v>49</v>
      </c>
      <c r="C245" s="11" t="s">
        <v>32</v>
      </c>
      <c r="D245" s="27">
        <v>7777</v>
      </c>
      <c r="E245" s="28">
        <v>39</v>
      </c>
    </row>
    <row r="246" spans="1:5" x14ac:dyDescent="0.25">
      <c r="A246" s="10" t="s">
        <v>46</v>
      </c>
      <c r="B246" s="12" t="s">
        <v>21</v>
      </c>
      <c r="C246" s="12" t="s">
        <v>27</v>
      </c>
      <c r="D246" s="29">
        <v>3339</v>
      </c>
      <c r="E246" s="30">
        <v>39</v>
      </c>
    </row>
    <row r="247" spans="1:5" x14ac:dyDescent="0.25">
      <c r="A247" s="9" t="s">
        <v>7</v>
      </c>
      <c r="B247" s="11" t="s">
        <v>33</v>
      </c>
      <c r="C247" s="11" t="s">
        <v>34</v>
      </c>
      <c r="D247" s="27">
        <v>1988</v>
      </c>
      <c r="E247" s="28">
        <v>39</v>
      </c>
    </row>
    <row r="248" spans="1:5" x14ac:dyDescent="0.25">
      <c r="A248" s="10" t="s">
        <v>20</v>
      </c>
      <c r="B248" s="12" t="s">
        <v>49</v>
      </c>
      <c r="C248" s="12" t="s">
        <v>32</v>
      </c>
      <c r="D248" s="29">
        <v>1463</v>
      </c>
      <c r="E248" s="30">
        <v>39</v>
      </c>
    </row>
    <row r="249" spans="1:5" x14ac:dyDescent="0.25">
      <c r="A249" s="9" t="s">
        <v>46</v>
      </c>
      <c r="B249" s="11" t="s">
        <v>21</v>
      </c>
      <c r="C249" s="11" t="s">
        <v>29</v>
      </c>
      <c r="D249" s="27">
        <v>9198</v>
      </c>
      <c r="E249" s="28">
        <v>36</v>
      </c>
    </row>
    <row r="250" spans="1:5" x14ac:dyDescent="0.25">
      <c r="A250" s="10" t="s">
        <v>25</v>
      </c>
      <c r="B250" s="12" t="s">
        <v>33</v>
      </c>
      <c r="C250" s="12" t="s">
        <v>44</v>
      </c>
      <c r="D250" s="29">
        <v>7322</v>
      </c>
      <c r="E250" s="30">
        <v>36</v>
      </c>
    </row>
    <row r="251" spans="1:5" x14ac:dyDescent="0.25">
      <c r="A251" s="9" t="s">
        <v>45</v>
      </c>
      <c r="B251" s="11" t="s">
        <v>26</v>
      </c>
      <c r="C251" s="11" t="s">
        <v>24</v>
      </c>
      <c r="D251" s="27">
        <v>4802</v>
      </c>
      <c r="E251" s="28">
        <v>36</v>
      </c>
    </row>
    <row r="252" spans="1:5" x14ac:dyDescent="0.25">
      <c r="A252" s="10" t="s">
        <v>45</v>
      </c>
      <c r="B252" s="12" t="s">
        <v>26</v>
      </c>
      <c r="C252" s="12" t="s">
        <v>47</v>
      </c>
      <c r="D252" s="29">
        <v>630</v>
      </c>
      <c r="E252" s="30">
        <v>36</v>
      </c>
    </row>
    <row r="253" spans="1:5" x14ac:dyDescent="0.25">
      <c r="A253" s="9" t="s">
        <v>7</v>
      </c>
      <c r="B253" s="11" t="s">
        <v>21</v>
      </c>
      <c r="C253" s="11" t="s">
        <v>18</v>
      </c>
      <c r="D253" s="27">
        <v>217</v>
      </c>
      <c r="E253" s="28">
        <v>36</v>
      </c>
    </row>
    <row r="254" spans="1:5" x14ac:dyDescent="0.25">
      <c r="A254" s="10" t="s">
        <v>12</v>
      </c>
      <c r="B254" s="12" t="s">
        <v>8</v>
      </c>
      <c r="C254" s="12" t="s">
        <v>24</v>
      </c>
      <c r="D254" s="29">
        <v>9709</v>
      </c>
      <c r="E254" s="30">
        <v>30</v>
      </c>
    </row>
    <row r="255" spans="1:5" x14ac:dyDescent="0.25">
      <c r="A255" s="9" t="s">
        <v>7</v>
      </c>
      <c r="B255" s="11" t="s">
        <v>26</v>
      </c>
      <c r="C255" s="11" t="s">
        <v>52</v>
      </c>
      <c r="D255" s="27">
        <v>6370</v>
      </c>
      <c r="E255" s="28">
        <v>30</v>
      </c>
    </row>
    <row r="256" spans="1:5" x14ac:dyDescent="0.25">
      <c r="A256" s="10" t="s">
        <v>7</v>
      </c>
      <c r="B256" s="12" t="s">
        <v>21</v>
      </c>
      <c r="C256" s="12" t="s">
        <v>27</v>
      </c>
      <c r="D256" s="29">
        <v>5439</v>
      </c>
      <c r="E256" s="30">
        <v>30</v>
      </c>
    </row>
    <row r="257" spans="1:5" x14ac:dyDescent="0.25">
      <c r="A257" s="9" t="s">
        <v>54</v>
      </c>
      <c r="B257" s="11" t="s">
        <v>8</v>
      </c>
      <c r="C257" s="11" t="s">
        <v>47</v>
      </c>
      <c r="D257" s="27">
        <v>4683</v>
      </c>
      <c r="E257" s="28">
        <v>30</v>
      </c>
    </row>
    <row r="258" spans="1:5" x14ac:dyDescent="0.25">
      <c r="A258" s="10" t="s">
        <v>25</v>
      </c>
      <c r="B258" s="12" t="s">
        <v>21</v>
      </c>
      <c r="C258" s="12" t="s">
        <v>11</v>
      </c>
      <c r="D258" s="29">
        <v>4319</v>
      </c>
      <c r="E258" s="30">
        <v>30</v>
      </c>
    </row>
    <row r="259" spans="1:5" x14ac:dyDescent="0.25">
      <c r="A259" s="9" t="s">
        <v>12</v>
      </c>
      <c r="B259" s="11" t="s">
        <v>26</v>
      </c>
      <c r="C259" s="11" t="s">
        <v>22</v>
      </c>
      <c r="D259" s="27">
        <v>9660</v>
      </c>
      <c r="E259" s="28">
        <v>27</v>
      </c>
    </row>
    <row r="260" spans="1:5" x14ac:dyDescent="0.25">
      <c r="A260" s="10" t="s">
        <v>17</v>
      </c>
      <c r="B260" s="12" t="s">
        <v>49</v>
      </c>
      <c r="C260" s="12" t="s">
        <v>44</v>
      </c>
      <c r="D260" s="29">
        <v>6832</v>
      </c>
      <c r="E260" s="30">
        <v>27</v>
      </c>
    </row>
    <row r="261" spans="1:5" x14ac:dyDescent="0.25">
      <c r="A261" s="9" t="s">
        <v>25</v>
      </c>
      <c r="B261" s="11" t="s">
        <v>26</v>
      </c>
      <c r="C261" s="11" t="s">
        <v>32</v>
      </c>
      <c r="D261" s="27">
        <v>6048</v>
      </c>
      <c r="E261" s="28">
        <v>27</v>
      </c>
    </row>
    <row r="262" spans="1:5" x14ac:dyDescent="0.25">
      <c r="A262" s="10" t="s">
        <v>54</v>
      </c>
      <c r="B262" s="12" t="s">
        <v>8</v>
      </c>
      <c r="C262" s="12" t="s">
        <v>53</v>
      </c>
      <c r="D262" s="29">
        <v>3059</v>
      </c>
      <c r="E262" s="30">
        <v>27</v>
      </c>
    </row>
    <row r="263" spans="1:5" x14ac:dyDescent="0.25">
      <c r="A263" s="9" t="s">
        <v>39</v>
      </c>
      <c r="B263" s="11" t="s">
        <v>13</v>
      </c>
      <c r="C263" s="11" t="s">
        <v>29</v>
      </c>
      <c r="D263" s="27">
        <v>2135</v>
      </c>
      <c r="E263" s="28">
        <v>27</v>
      </c>
    </row>
    <row r="264" spans="1:5" x14ac:dyDescent="0.25">
      <c r="A264" s="10" t="s">
        <v>12</v>
      </c>
      <c r="B264" s="12" t="s">
        <v>26</v>
      </c>
      <c r="C264" s="12" t="s">
        <v>50</v>
      </c>
      <c r="D264" s="29">
        <v>1561</v>
      </c>
      <c r="E264" s="30">
        <v>27</v>
      </c>
    </row>
    <row r="265" spans="1:5" x14ac:dyDescent="0.25">
      <c r="A265" s="9" t="s">
        <v>54</v>
      </c>
      <c r="B265" s="11" t="s">
        <v>49</v>
      </c>
      <c r="C265" s="11" t="s">
        <v>36</v>
      </c>
      <c r="D265" s="27">
        <v>4053</v>
      </c>
      <c r="E265" s="28">
        <v>24</v>
      </c>
    </row>
    <row r="266" spans="1:5" x14ac:dyDescent="0.25">
      <c r="A266" s="10" t="s">
        <v>39</v>
      </c>
      <c r="B266" s="12" t="s">
        <v>49</v>
      </c>
      <c r="C266" s="12" t="s">
        <v>24</v>
      </c>
      <c r="D266" s="29">
        <v>3829</v>
      </c>
      <c r="E266" s="30">
        <v>24</v>
      </c>
    </row>
    <row r="267" spans="1:5" x14ac:dyDescent="0.25">
      <c r="A267" s="9" t="s">
        <v>42</v>
      </c>
      <c r="B267" s="11" t="s">
        <v>8</v>
      </c>
      <c r="C267" s="11" t="s">
        <v>27</v>
      </c>
      <c r="D267" s="27">
        <v>8813</v>
      </c>
      <c r="E267" s="28">
        <v>21</v>
      </c>
    </row>
    <row r="268" spans="1:5" x14ac:dyDescent="0.25">
      <c r="A268" s="10" t="s">
        <v>7</v>
      </c>
      <c r="B268" s="12" t="s">
        <v>8</v>
      </c>
      <c r="C268" s="12" t="s">
        <v>38</v>
      </c>
      <c r="D268" s="29">
        <v>7693</v>
      </c>
      <c r="E268" s="30">
        <v>21</v>
      </c>
    </row>
    <row r="269" spans="1:5" x14ac:dyDescent="0.25">
      <c r="A269" s="9" t="s">
        <v>42</v>
      </c>
      <c r="B269" s="11" t="s">
        <v>49</v>
      </c>
      <c r="C269" s="11" t="s">
        <v>52</v>
      </c>
      <c r="D269" s="27">
        <v>6986</v>
      </c>
      <c r="E269" s="28">
        <v>21</v>
      </c>
    </row>
    <row r="270" spans="1:5" x14ac:dyDescent="0.25">
      <c r="A270" s="10" t="s">
        <v>42</v>
      </c>
      <c r="B270" s="12" t="s">
        <v>33</v>
      </c>
      <c r="C270" s="12" t="s">
        <v>14</v>
      </c>
      <c r="D270" s="29">
        <v>5075</v>
      </c>
      <c r="E270" s="30">
        <v>21</v>
      </c>
    </row>
    <row r="271" spans="1:5" x14ac:dyDescent="0.25">
      <c r="A271" s="9" t="s">
        <v>39</v>
      </c>
      <c r="B271" s="11" t="s">
        <v>13</v>
      </c>
      <c r="C271" s="11" t="s">
        <v>52</v>
      </c>
      <c r="D271" s="27">
        <v>2478</v>
      </c>
      <c r="E271" s="28">
        <v>21</v>
      </c>
    </row>
    <row r="272" spans="1:5" x14ac:dyDescent="0.25">
      <c r="A272" s="10" t="s">
        <v>20</v>
      </c>
      <c r="B272" s="12" t="s">
        <v>33</v>
      </c>
      <c r="C272" s="12" t="s">
        <v>27</v>
      </c>
      <c r="D272" s="29">
        <v>154</v>
      </c>
      <c r="E272" s="30">
        <v>21</v>
      </c>
    </row>
    <row r="273" spans="1:5" x14ac:dyDescent="0.25">
      <c r="A273" s="9" t="s">
        <v>46</v>
      </c>
      <c r="B273" s="11" t="s">
        <v>49</v>
      </c>
      <c r="C273" s="11" t="s">
        <v>41</v>
      </c>
      <c r="D273" s="27">
        <v>2583</v>
      </c>
      <c r="E273" s="28">
        <v>18</v>
      </c>
    </row>
    <row r="274" spans="1:5" x14ac:dyDescent="0.25">
      <c r="A274" s="10" t="s">
        <v>46</v>
      </c>
      <c r="B274" s="12" t="s">
        <v>21</v>
      </c>
      <c r="C274" s="12" t="s">
        <v>38</v>
      </c>
      <c r="D274" s="29">
        <v>1281</v>
      </c>
      <c r="E274" s="30">
        <v>18</v>
      </c>
    </row>
    <row r="275" spans="1:5" x14ac:dyDescent="0.25">
      <c r="A275" s="9" t="s">
        <v>45</v>
      </c>
      <c r="B275" s="11" t="s">
        <v>8</v>
      </c>
      <c r="C275" s="11" t="s">
        <v>38</v>
      </c>
      <c r="D275" s="27">
        <v>238</v>
      </c>
      <c r="E275" s="28">
        <v>18</v>
      </c>
    </row>
    <row r="276" spans="1:5" x14ac:dyDescent="0.25">
      <c r="A276" s="10" t="s">
        <v>42</v>
      </c>
      <c r="B276" s="12" t="s">
        <v>21</v>
      </c>
      <c r="C276" s="12" t="s">
        <v>47</v>
      </c>
      <c r="D276" s="29">
        <v>6314</v>
      </c>
      <c r="E276" s="30">
        <v>15</v>
      </c>
    </row>
    <row r="277" spans="1:5" x14ac:dyDescent="0.25">
      <c r="A277" s="9" t="s">
        <v>42</v>
      </c>
      <c r="B277" s="11" t="s">
        <v>13</v>
      </c>
      <c r="C277" s="11" t="s">
        <v>22</v>
      </c>
      <c r="D277" s="27">
        <v>2415</v>
      </c>
      <c r="E277" s="28">
        <v>15</v>
      </c>
    </row>
    <row r="278" spans="1:5" x14ac:dyDescent="0.25">
      <c r="A278" s="10" t="s">
        <v>25</v>
      </c>
      <c r="B278" s="12" t="s">
        <v>49</v>
      </c>
      <c r="C278" s="12" t="s">
        <v>24</v>
      </c>
      <c r="D278" s="29">
        <v>1442</v>
      </c>
      <c r="E278" s="30">
        <v>15</v>
      </c>
    </row>
    <row r="279" spans="1:5" x14ac:dyDescent="0.25">
      <c r="A279" s="9" t="s">
        <v>45</v>
      </c>
      <c r="B279" s="11" t="s">
        <v>13</v>
      </c>
      <c r="C279" s="11" t="s">
        <v>38</v>
      </c>
      <c r="D279" s="27">
        <v>553</v>
      </c>
      <c r="E279" s="28">
        <v>15</v>
      </c>
    </row>
    <row r="280" spans="1:5" x14ac:dyDescent="0.25">
      <c r="A280" s="10" t="s">
        <v>7</v>
      </c>
      <c r="B280" s="12" t="s">
        <v>26</v>
      </c>
      <c r="C280" s="12" t="s">
        <v>36</v>
      </c>
      <c r="D280" s="29">
        <v>5817</v>
      </c>
      <c r="E280" s="30">
        <v>12</v>
      </c>
    </row>
    <row r="281" spans="1:5" x14ac:dyDescent="0.25">
      <c r="A281" s="9" t="s">
        <v>42</v>
      </c>
      <c r="B281" s="11" t="s">
        <v>8</v>
      </c>
      <c r="C281" s="11" t="s">
        <v>16</v>
      </c>
      <c r="D281" s="27">
        <v>4991</v>
      </c>
      <c r="E281" s="28">
        <v>12</v>
      </c>
    </row>
    <row r="282" spans="1:5" x14ac:dyDescent="0.25">
      <c r="A282" s="10" t="s">
        <v>25</v>
      </c>
      <c r="B282" s="12" t="s">
        <v>21</v>
      </c>
      <c r="C282" s="12" t="s">
        <v>14</v>
      </c>
      <c r="D282" s="29">
        <v>6118</v>
      </c>
      <c r="E282" s="30">
        <v>9</v>
      </c>
    </row>
    <row r="283" spans="1:5" x14ac:dyDescent="0.25">
      <c r="A283" s="9" t="s">
        <v>54</v>
      </c>
      <c r="B283" s="11" t="s">
        <v>49</v>
      </c>
      <c r="C283" s="11" t="s">
        <v>50</v>
      </c>
      <c r="D283" s="27">
        <v>4991</v>
      </c>
      <c r="E283" s="28">
        <v>9</v>
      </c>
    </row>
    <row r="284" spans="1:5" x14ac:dyDescent="0.25">
      <c r="A284" s="10" t="s">
        <v>20</v>
      </c>
      <c r="B284" s="12" t="s">
        <v>8</v>
      </c>
      <c r="C284" s="12" t="s">
        <v>44</v>
      </c>
      <c r="D284" s="29">
        <v>2933</v>
      </c>
      <c r="E284" s="30">
        <v>9</v>
      </c>
    </row>
    <row r="285" spans="1:5" x14ac:dyDescent="0.25">
      <c r="A285" s="9" t="s">
        <v>42</v>
      </c>
      <c r="B285" s="11" t="s">
        <v>13</v>
      </c>
      <c r="C285" s="11" t="s">
        <v>18</v>
      </c>
      <c r="D285" s="27">
        <v>2744</v>
      </c>
      <c r="E285" s="28">
        <v>9</v>
      </c>
    </row>
    <row r="286" spans="1:5" x14ac:dyDescent="0.25">
      <c r="A286" s="10" t="s">
        <v>17</v>
      </c>
      <c r="B286" s="12" t="s">
        <v>33</v>
      </c>
      <c r="C286" s="12" t="s">
        <v>32</v>
      </c>
      <c r="D286" s="29">
        <v>2408</v>
      </c>
      <c r="E286" s="30">
        <v>9</v>
      </c>
    </row>
    <row r="287" spans="1:5" x14ac:dyDescent="0.25">
      <c r="A287" s="9" t="s">
        <v>25</v>
      </c>
      <c r="B287" s="11" t="s">
        <v>8</v>
      </c>
      <c r="C287" s="11" t="s">
        <v>50</v>
      </c>
      <c r="D287" s="27">
        <v>6818</v>
      </c>
      <c r="E287" s="28">
        <v>6</v>
      </c>
    </row>
    <row r="288" spans="1:5" x14ac:dyDescent="0.25">
      <c r="A288" s="10" t="s">
        <v>54</v>
      </c>
      <c r="B288" s="12" t="s">
        <v>13</v>
      </c>
      <c r="C288" s="12" t="s">
        <v>24</v>
      </c>
      <c r="D288" s="29">
        <v>2562</v>
      </c>
      <c r="E288" s="30">
        <v>6</v>
      </c>
    </row>
    <row r="289" spans="1:5" x14ac:dyDescent="0.25">
      <c r="A289" s="9" t="s">
        <v>25</v>
      </c>
      <c r="B289" s="11" t="s">
        <v>33</v>
      </c>
      <c r="C289" s="11" t="s">
        <v>29</v>
      </c>
      <c r="D289" s="27">
        <v>938</v>
      </c>
      <c r="E289" s="28">
        <v>6</v>
      </c>
    </row>
    <row r="290" spans="1:5" x14ac:dyDescent="0.25">
      <c r="A290" s="10" t="s">
        <v>42</v>
      </c>
      <c r="B290" s="12" t="s">
        <v>21</v>
      </c>
      <c r="C290" s="12" t="s">
        <v>22</v>
      </c>
      <c r="D290" s="29">
        <v>6111</v>
      </c>
      <c r="E290" s="30">
        <v>3</v>
      </c>
    </row>
    <row r="291" spans="1:5" x14ac:dyDescent="0.25">
      <c r="A291" s="9" t="s">
        <v>20</v>
      </c>
      <c r="B291" s="11" t="s">
        <v>33</v>
      </c>
      <c r="C291" s="11" t="s">
        <v>36</v>
      </c>
      <c r="D291" s="27">
        <v>5915</v>
      </c>
      <c r="E291" s="28">
        <v>3</v>
      </c>
    </row>
    <row r="292" spans="1:5" x14ac:dyDescent="0.25">
      <c r="A292" s="10" t="s">
        <v>45</v>
      </c>
      <c r="B292" s="12" t="s">
        <v>33</v>
      </c>
      <c r="C292" s="12" t="s">
        <v>18</v>
      </c>
      <c r="D292" s="29">
        <v>3549</v>
      </c>
      <c r="E292" s="30">
        <v>3</v>
      </c>
    </row>
    <row r="293" spans="1:5" x14ac:dyDescent="0.25">
      <c r="A293" s="9" t="s">
        <v>25</v>
      </c>
      <c r="B293" s="11" t="s">
        <v>26</v>
      </c>
      <c r="C293" s="11" t="s">
        <v>48</v>
      </c>
      <c r="D293" s="27">
        <v>2989</v>
      </c>
      <c r="E293" s="28">
        <v>3</v>
      </c>
    </row>
    <row r="294" spans="1:5" x14ac:dyDescent="0.25">
      <c r="A294" s="10" t="s">
        <v>39</v>
      </c>
      <c r="B294" s="12" t="s">
        <v>8</v>
      </c>
      <c r="C294" s="12" t="s">
        <v>50</v>
      </c>
      <c r="D294" s="29">
        <v>5306</v>
      </c>
      <c r="E294" s="30">
        <v>0</v>
      </c>
    </row>
    <row r="295" spans="1:5" x14ac:dyDescent="0.25">
      <c r="A295" s="9" t="s">
        <v>42</v>
      </c>
      <c r="B295" s="11" t="s">
        <v>49</v>
      </c>
      <c r="C295" s="11" t="s">
        <v>41</v>
      </c>
      <c r="D295" s="27">
        <v>15610</v>
      </c>
      <c r="E295" s="28">
        <v>339</v>
      </c>
    </row>
    <row r="296" spans="1:5" x14ac:dyDescent="0.25">
      <c r="A296" s="10" t="s">
        <v>7</v>
      </c>
      <c r="B296" s="12" t="s">
        <v>13</v>
      </c>
      <c r="C296" s="12" t="s">
        <v>14</v>
      </c>
      <c r="D296" s="29">
        <v>12348</v>
      </c>
      <c r="E296" s="30">
        <v>234</v>
      </c>
    </row>
    <row r="297" spans="1:5" x14ac:dyDescent="0.25">
      <c r="A297" s="9" t="s">
        <v>20</v>
      </c>
      <c r="B297" s="11" t="s">
        <v>21</v>
      </c>
      <c r="C297" s="11" t="s">
        <v>11</v>
      </c>
      <c r="D297" s="27">
        <v>10311</v>
      </c>
      <c r="E297" s="28">
        <v>231</v>
      </c>
    </row>
    <row r="298" spans="1:5" x14ac:dyDescent="0.25">
      <c r="A298" s="10" t="s">
        <v>17</v>
      </c>
      <c r="B298" s="12" t="s">
        <v>21</v>
      </c>
      <c r="C298" s="12" t="s">
        <v>52</v>
      </c>
      <c r="D298" s="29">
        <v>11522</v>
      </c>
      <c r="E298" s="30">
        <v>204</v>
      </c>
    </row>
    <row r="299" spans="1:5" x14ac:dyDescent="0.25">
      <c r="A299" s="9" t="s">
        <v>42</v>
      </c>
      <c r="B299" s="11" t="s">
        <v>13</v>
      </c>
      <c r="C299" s="11" t="s">
        <v>24</v>
      </c>
      <c r="D299" s="27">
        <v>13391</v>
      </c>
      <c r="E299" s="28">
        <v>201</v>
      </c>
    </row>
    <row r="300" spans="1:5" x14ac:dyDescent="0.25">
      <c r="A300" s="10" t="s">
        <v>17</v>
      </c>
      <c r="B300" s="12" t="s">
        <v>49</v>
      </c>
      <c r="C300" s="12" t="s">
        <v>53</v>
      </c>
      <c r="D300" s="29">
        <v>14329</v>
      </c>
      <c r="E300" s="30">
        <v>150</v>
      </c>
    </row>
    <row r="301" spans="1:5" x14ac:dyDescent="0.25">
      <c r="A301" s="9" t="s">
        <v>45</v>
      </c>
      <c r="B301" s="11" t="s">
        <v>8</v>
      </c>
      <c r="C301" s="11" t="s">
        <v>22</v>
      </c>
      <c r="D301" s="27">
        <v>11571</v>
      </c>
      <c r="E301" s="28">
        <v>138</v>
      </c>
    </row>
    <row r="302" spans="1:5" x14ac:dyDescent="0.25">
      <c r="A302" s="10" t="s">
        <v>42</v>
      </c>
      <c r="B302" s="12" t="s">
        <v>21</v>
      </c>
      <c r="C302" s="12" t="s">
        <v>29</v>
      </c>
      <c r="D302" s="29">
        <v>16184</v>
      </c>
      <c r="E302" s="30">
        <v>39</v>
      </c>
    </row>
    <row r="303" spans="1:5" x14ac:dyDescent="0.25">
      <c r="A303" s="9" t="s">
        <v>54</v>
      </c>
      <c r="B303" s="11" t="s">
        <v>26</v>
      </c>
      <c r="C303" s="11" t="s">
        <v>30</v>
      </c>
      <c r="D303" s="27">
        <v>12950</v>
      </c>
      <c r="E303" s="28">
        <v>30</v>
      </c>
    </row>
    <row r="304" spans="1:5" x14ac:dyDescent="0.25">
      <c r="A304" s="10" t="s">
        <v>45</v>
      </c>
      <c r="B304" s="12" t="s">
        <v>21</v>
      </c>
      <c r="C304" s="12" t="s">
        <v>29</v>
      </c>
      <c r="D304" s="29">
        <v>11417</v>
      </c>
      <c r="E304" s="30">
        <v>21</v>
      </c>
    </row>
  </sheetData>
  <autoFilter ref="A4:E304" xr:uid="{A6A6F8E1-E47B-466D-A64E-EA9D64A5ECFB}"/>
  <conditionalFormatting sqref="D4:D304">
    <cfRule type="top10" dxfId="51" priority="1" rank="10"/>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Dashboard</vt:lpstr>
      <vt:lpstr>Quick Sales Report</vt:lpstr>
      <vt:lpstr>Data</vt:lpstr>
      <vt:lpstr>Q1 Quick statistics</vt:lpstr>
      <vt:lpstr>Sheet3</vt:lpstr>
      <vt:lpstr>anomalies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amani</dc:creator>
  <cp:lastModifiedBy>amani</cp:lastModifiedBy>
  <cp:lastPrinted>2021-11-08T02:52:12Z</cp:lastPrinted>
  <dcterms:created xsi:type="dcterms:W3CDTF">2021-11-08T02:15:17Z</dcterms:created>
  <dcterms:modified xsi:type="dcterms:W3CDTF">2021-11-09T07:00:48Z</dcterms:modified>
</cp:coreProperties>
</file>