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ocuments\GitHub\standalone_fyp\Hardware\production\"/>
    </mc:Choice>
  </mc:AlternateContent>
  <bookViews>
    <workbookView xWindow="0" yWindow="0" windowWidth="1152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U62" i="1" l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H7" i="1"/>
  <c r="G7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8" i="1"/>
  <c r="I9" i="1"/>
  <c r="I10" i="1"/>
  <c r="I11" i="1"/>
  <c r="I12" i="1"/>
  <c r="I13" i="1"/>
  <c r="I7" i="1"/>
  <c r="C67" i="1" l="1"/>
  <c r="C68" i="1"/>
  <c r="C66" i="1"/>
  <c r="C64" i="1"/>
  <c r="C63" i="1"/>
</calcChain>
</file>

<file path=xl/sharedStrings.xml><?xml version="1.0" encoding="utf-8"?>
<sst xmlns="http://schemas.openxmlformats.org/spreadsheetml/2006/main" count="569" uniqueCount="277">
  <si>
    <t>Qty</t>
  </si>
  <si>
    <t>FARNELL</t>
  </si>
  <si>
    <t>RS</t>
  </si>
  <si>
    <t>TOBY</t>
  </si>
  <si>
    <t>SOT23-BEC</t>
  </si>
  <si>
    <t>T1</t>
  </si>
  <si>
    <t>SPC4077</t>
  </si>
  <si>
    <t>SOL</t>
  </si>
  <si>
    <t>DC POWER JACK</t>
  </si>
  <si>
    <t>DC-001-A-2.1mm-R</t>
  </si>
  <si>
    <t>1X03</t>
  </si>
  <si>
    <t>SERIAL</t>
  </si>
  <si>
    <t>PIN HEADER</t>
  </si>
  <si>
    <t>1X06</t>
  </si>
  <si>
    <t>JTAG</t>
  </si>
  <si>
    <t>1X07/90</t>
  </si>
  <si>
    <t>KEYPAD</t>
  </si>
  <si>
    <t>TACTILE-PTH</t>
  </si>
  <si>
    <t>POW</t>
  </si>
  <si>
    <t>Momentary Switch</t>
  </si>
  <si>
    <t>758-1979</t>
  </si>
  <si>
    <t>R2512</t>
  </si>
  <si>
    <t>RS_B</t>
  </si>
  <si>
    <t>RS_S</t>
  </si>
  <si>
    <t>0R</t>
  </si>
  <si>
    <t>M0805</t>
  </si>
  <si>
    <t>R22</t>
  </si>
  <si>
    <t>1.33k</t>
  </si>
  <si>
    <t>R4, R6</t>
  </si>
  <si>
    <t>R27, R28</t>
  </si>
  <si>
    <t>R1</t>
  </si>
  <si>
    <t>1000uF</t>
  </si>
  <si>
    <t>PANASONIC_G</t>
  </si>
  <si>
    <t>C22</t>
  </si>
  <si>
    <t>100K</t>
  </si>
  <si>
    <t>R14, R_RST</t>
  </si>
  <si>
    <t>100nF</t>
  </si>
  <si>
    <t>C0805K</t>
  </si>
  <si>
    <t>C3, C5, C13, C14, C15</t>
  </si>
  <si>
    <t>100uF</t>
  </si>
  <si>
    <t>PANASONIC_E</t>
  </si>
  <si>
    <t>C4, C21</t>
  </si>
  <si>
    <t>100uH</t>
  </si>
  <si>
    <t>INDUC_BOURNS_SDR2207</t>
  </si>
  <si>
    <t>L_5V</t>
  </si>
  <si>
    <t>10K</t>
  </si>
  <si>
    <t>R3, R5, R25, R26</t>
  </si>
  <si>
    <t>R_TRIMM_RC33X</t>
  </si>
  <si>
    <t>CONTR</t>
  </si>
  <si>
    <t>10M</t>
  </si>
  <si>
    <t>R31</t>
  </si>
  <si>
    <t>10uF</t>
  </si>
  <si>
    <t>C7, C8, C20</t>
  </si>
  <si>
    <t>1k</t>
  </si>
  <si>
    <t>R20, R21, R23, R24, R29</t>
  </si>
  <si>
    <t>1k65</t>
  </si>
  <si>
    <t>R30</t>
  </si>
  <si>
    <t>1uF</t>
  </si>
  <si>
    <t>C2, C10, C11, C12, C16, C17, C18, C19</t>
  </si>
  <si>
    <t>R2, R7, R8</t>
  </si>
  <si>
    <t>220uF</t>
  </si>
  <si>
    <t>PANASONIC_F</t>
  </si>
  <si>
    <t>C6</t>
  </si>
  <si>
    <t>32.768kHz</t>
  </si>
  <si>
    <t>MC-306</t>
  </si>
  <si>
    <t>Q1</t>
  </si>
  <si>
    <t>kHz RANGE CRYSTAL UNIT SMD</t>
  </si>
  <si>
    <t>330u</t>
  </si>
  <si>
    <t>INDUC_BOURNS_SDR1806</t>
  </si>
  <si>
    <t>L_MPPT</t>
  </si>
  <si>
    <t>Datasheet:  http://www.bourns.com/data/global/pdfs/SDR1806.pdf</t>
  </si>
  <si>
    <t>49.9k</t>
  </si>
  <si>
    <t>R12, R15, R17, R19</t>
  </si>
  <si>
    <t>R9, R10</t>
  </si>
  <si>
    <t>6.8pF</t>
  </si>
  <si>
    <t>C0603K</t>
  </si>
  <si>
    <t>C1, C9</t>
  </si>
  <si>
    <t>75k</t>
  </si>
  <si>
    <t>R11, R13, R16, R18</t>
  </si>
  <si>
    <t>7A</t>
  </si>
  <si>
    <t>PTC_MF_R700</t>
  </si>
  <si>
    <t>PTC1</t>
  </si>
  <si>
    <t>AP1212</t>
  </si>
  <si>
    <t>SO8</t>
  </si>
  <si>
    <t>IC2</t>
  </si>
  <si>
    <t>Datasheet: http://www.farnell.com/datasheets/608767.pdf</t>
  </si>
  <si>
    <t>B340-13-F</t>
  </si>
  <si>
    <t>SMC</t>
  </si>
  <si>
    <t>D6</t>
  </si>
  <si>
    <t>BUZZ_14MM</t>
  </si>
  <si>
    <t>BUZZ_14MM_5M_PINS</t>
  </si>
  <si>
    <t>BUZZ1</t>
  </si>
  <si>
    <t>BZX384-C3V6</t>
  </si>
  <si>
    <t>SOD323</t>
  </si>
  <si>
    <t>D5</t>
  </si>
  <si>
    <t>CON_MOLEX_39_29_1028</t>
  </si>
  <si>
    <t>MOLEX_39_29_1028</t>
  </si>
  <si>
    <t>BATT</t>
  </si>
  <si>
    <t>FDS6690a</t>
  </si>
  <si>
    <t>SOIC127P600X175-8N</t>
  </si>
  <si>
    <t>U2, U3</t>
  </si>
  <si>
    <t>ENHANCEMENT MODE MOSFET</t>
  </si>
  <si>
    <t>INA213AIDCKT</t>
  </si>
  <si>
    <t>SOT65P210X110-6N</t>
  </si>
  <si>
    <t>U7</t>
  </si>
  <si>
    <t>CURRENT SHUNT MONITOR</t>
  </si>
  <si>
    <t>Texas Instruments</t>
  </si>
  <si>
    <t>IR2104S</t>
  </si>
  <si>
    <t>IC3</t>
  </si>
  <si>
    <t>Half Bridge Mosfet - IGBT driver SOIC</t>
  </si>
  <si>
    <t>KUSBVX</t>
  </si>
  <si>
    <t>X1, X2</t>
  </si>
  <si>
    <t>Vertical,Top Entry Universal Serial Bus Connector KUSBVX Series</t>
  </si>
  <si>
    <t>LCD_16X2_R2</t>
  </si>
  <si>
    <t>DIS1</t>
  </si>
  <si>
    <t>Supplier: info</t>
  </si>
  <si>
    <t>LM2576S</t>
  </si>
  <si>
    <t>TO263-5</t>
  </si>
  <si>
    <t>U4</t>
  </si>
  <si>
    <t>MCP1700T-3302E/TT</t>
  </si>
  <si>
    <t>SOT95P237X112-3N</t>
  </si>
  <si>
    <t>VREG</t>
  </si>
  <si>
    <t>Low Quiescent Current LDO</t>
  </si>
  <si>
    <t>Microchip</t>
  </si>
  <si>
    <t>NMOS_2N7002</t>
  </si>
  <si>
    <t>SOT103P240X110-3N</t>
  </si>
  <si>
    <t>U5, U8, U11, U12</t>
  </si>
  <si>
    <t>N-CHANNEL ENHANCEMENT MODE FIELD EFFECT TRANSISTOR</t>
  </si>
  <si>
    <t>2N7002-7-F</t>
  </si>
  <si>
    <t>DIODES INC.</t>
  </si>
  <si>
    <t>U9</t>
  </si>
  <si>
    <t>POW_3V3</t>
  </si>
  <si>
    <t>CHIPLED_0805</t>
  </si>
  <si>
    <t>LED1</t>
  </si>
  <si>
    <t>LED</t>
  </si>
  <si>
    <t>RENATA_COIN_CELL</t>
  </si>
  <si>
    <t>PANASONIC_CR2032_1298246</t>
  </si>
  <si>
    <t>BATT_BCKUP</t>
  </si>
  <si>
    <t>Farnell Part No: 1298246</t>
  </si>
  <si>
    <t>S1A-E3/5AT</t>
  </si>
  <si>
    <t>DO-214AC</t>
  </si>
  <si>
    <t>D2</t>
  </si>
  <si>
    <t>DIODE</t>
  </si>
  <si>
    <t>SSB43L</t>
  </si>
  <si>
    <t>DO214AA</t>
  </si>
  <si>
    <t>D1, D3</t>
  </si>
  <si>
    <t>VISHAY - SSB43L-E3/52T - DIODE, SCHOTTKY, 4A, 30V</t>
  </si>
  <si>
    <t>STM32F050C6T6A</t>
  </si>
  <si>
    <t>LQFP48</t>
  </si>
  <si>
    <t>IC1</t>
  </si>
  <si>
    <t>US1D</t>
  </si>
  <si>
    <t>D4</t>
  </si>
  <si>
    <t>ZXCT1107SA-7</t>
  </si>
  <si>
    <t>SOT91P240X110-3N</t>
  </si>
  <si>
    <t>U10</t>
  </si>
  <si>
    <t>LOW POWER HIGH-SIDE CURRENT MONITORS</t>
  </si>
  <si>
    <t>Reference Designator</t>
  </si>
  <si>
    <t>Item Description</t>
  </si>
  <si>
    <t>Supplier</t>
  </si>
  <si>
    <t>Supplier Part No</t>
  </si>
  <si>
    <t>Populate</t>
  </si>
  <si>
    <t>Y</t>
  </si>
  <si>
    <t>N</t>
  </si>
  <si>
    <t>Manufacturer</t>
  </si>
  <si>
    <t>BC847B NPN Transistror</t>
  </si>
  <si>
    <t>Manufacturer Part No</t>
  </si>
  <si>
    <t>NXP</t>
  </si>
  <si>
    <t>BC847B</t>
  </si>
  <si>
    <t>TE CONNECTIVITY</t>
  </si>
  <si>
    <t>640457-7</t>
  </si>
  <si>
    <t>ALPS</t>
  </si>
  <si>
    <t>SKHHDJA010</t>
  </si>
  <si>
    <t>PANASONIC</t>
  </si>
  <si>
    <t>EEEFC0J102AP</t>
  </si>
  <si>
    <t>EEEFP1E101AP</t>
  </si>
  <si>
    <t>EEEFK1V221P</t>
  </si>
  <si>
    <t>Bourns</t>
  </si>
  <si>
    <t>SDR2207-101KL</t>
  </si>
  <si>
    <t>Vishay</t>
  </si>
  <si>
    <t>SSB43L-E3/52T</t>
  </si>
  <si>
    <t>TC33X-2-103E</t>
  </si>
  <si>
    <t>MF-R700</t>
  </si>
  <si>
    <t>Murata</t>
  </si>
  <si>
    <t>PKM13EPYH4000-A0</t>
  </si>
  <si>
    <t>Diodes inc.</t>
  </si>
  <si>
    <t>Molex</t>
  </si>
  <si>
    <t>39-29-1028</t>
  </si>
  <si>
    <t>LM2576S-5.0/NOPB</t>
  </si>
  <si>
    <t>RSS090P03</t>
  </si>
  <si>
    <t>STMicroelectronics</t>
  </si>
  <si>
    <t>EPSON TOYOCOM</t>
  </si>
  <si>
    <t>MC-306, 32.768KHZ, 6PF</t>
  </si>
  <si>
    <t>International Rectifier</t>
  </si>
  <si>
    <t>IR2104SPBF</t>
  </si>
  <si>
    <t>CR-2032/HFN</t>
  </si>
  <si>
    <t>FAIRCHILD SEMICONDUCTOR</t>
  </si>
  <si>
    <t>FDS6690A</t>
  </si>
  <si>
    <t>Multicomp</t>
  </si>
  <si>
    <t>MCCA000982</t>
  </si>
  <si>
    <t>SDR1806-331KL</t>
  </si>
  <si>
    <t>AP1212HSG-13</t>
  </si>
  <si>
    <t>Welwyn</t>
  </si>
  <si>
    <t>LRMAP2512-R01FT4</t>
  </si>
  <si>
    <t>CRM2512-FX-R100ELF</t>
  </si>
  <si>
    <t>CAPACITOR</t>
  </si>
  <si>
    <t>POLARIZED CAPACITOR</t>
  </si>
  <si>
    <t>RESISTOR</t>
  </si>
  <si>
    <t>Date</t>
  </si>
  <si>
    <t>QCC-00106</t>
  </si>
  <si>
    <t>Samsung</t>
  </si>
  <si>
    <t>CL21B105KAFNNNE</t>
  </si>
  <si>
    <t>CL21B104KCC5PNC</t>
  </si>
  <si>
    <t>QCC-00154</t>
  </si>
  <si>
    <t>Quick-Tech</t>
  </si>
  <si>
    <t>QCC-00108</t>
  </si>
  <si>
    <t>CL21A106KOFNNNE</t>
  </si>
  <si>
    <t>Yageo</t>
  </si>
  <si>
    <t>QCR-00301</t>
  </si>
  <si>
    <t>RC0805FR-07100RL</t>
  </si>
  <si>
    <t>QCR-00370</t>
  </si>
  <si>
    <t>RC0805FR-0775KL</t>
  </si>
  <si>
    <t>RC0805FR-07100KL</t>
  </si>
  <si>
    <t>QCR-00373</t>
  </si>
  <si>
    <t>RC0805FR-07200RL</t>
  </si>
  <si>
    <t>QCR-00308</t>
  </si>
  <si>
    <t>RC0805FR-071KL</t>
  </si>
  <si>
    <t>QCR-00325</t>
  </si>
  <si>
    <t>RC0805JR-070RL</t>
  </si>
  <si>
    <t>QCR-00268</t>
  </si>
  <si>
    <t>QCR-00279</t>
  </si>
  <si>
    <t>RC0805FR-0710RL</t>
  </si>
  <si>
    <t>QCR-00349</t>
  </si>
  <si>
    <t>RC0805FR-0710KL</t>
  </si>
  <si>
    <t>QCR-00330</t>
  </si>
  <si>
    <t>RC0805FR-071K6L</t>
  </si>
  <si>
    <t>QCR-00407</t>
  </si>
  <si>
    <t>RC0805FR-0710ML</t>
  </si>
  <si>
    <t>QCR-00328</t>
  </si>
  <si>
    <t>1k3 used in place of 1k33</t>
  </si>
  <si>
    <t>1k6 used in place of 1k65</t>
  </si>
  <si>
    <t>RC0805FR-071K3L</t>
  </si>
  <si>
    <t>QCR-00275</t>
  </si>
  <si>
    <t>RC0805FR-075R1L</t>
  </si>
  <si>
    <t>5r1 used in place of 5r</t>
  </si>
  <si>
    <t>QCJ-00009</t>
  </si>
  <si>
    <t>Nextron</t>
  </si>
  <si>
    <t>R-211-0311-0021-001</t>
  </si>
  <si>
    <t>QCJ-00012</t>
  </si>
  <si>
    <t>R-211-0611-0021-001</t>
  </si>
  <si>
    <t>QCJ-00018</t>
  </si>
  <si>
    <t>R-211-1611-0021-001</t>
  </si>
  <si>
    <t>Only pin header soldered, LCD will be attached by e.quinox</t>
  </si>
  <si>
    <t>QCR-00365</t>
  </si>
  <si>
    <t>RC0805FR-0747KL</t>
  </si>
  <si>
    <t xml:space="preserve">47k used in place of 49k9 </t>
  </si>
  <si>
    <t>Do not populate</t>
  </si>
  <si>
    <t>MULTICOMP</t>
  </si>
  <si>
    <t>USB-A-S-VT</t>
  </si>
  <si>
    <t>Notes</t>
  </si>
  <si>
    <t>Pins</t>
  </si>
  <si>
    <t>SMT?</t>
  </si>
  <si>
    <t>SMT Pads</t>
  </si>
  <si>
    <t>TH Pads</t>
  </si>
  <si>
    <t>IC Pads</t>
  </si>
  <si>
    <t>IC?</t>
  </si>
  <si>
    <t>Ordered</t>
  </si>
  <si>
    <t>Column1</t>
  </si>
  <si>
    <t>Column2</t>
  </si>
  <si>
    <t>Order Quantity</t>
  </si>
  <si>
    <t>Unit Price</t>
  </si>
  <si>
    <t>Total Cost</t>
  </si>
  <si>
    <t>Total</t>
  </si>
  <si>
    <t>Purchased from Mouser: 511-STM32F050C6T6A</t>
  </si>
  <si>
    <t>Also requires Switch cap. Farnell: 9561552</t>
  </si>
  <si>
    <t>Used in place of RSS090P03FU6TB (1525544)</t>
  </si>
  <si>
    <t>SI4431CDY-T1-GE3</t>
  </si>
  <si>
    <t>Parcel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</si>
</sst>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/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/>
    <xf numFmtId="9" fontId="0" fillId="0" borderId="0" xfId="2" applyFont="1"/>
    <xf numFmtId="0" fontId="0" fillId="2" borderId="0" xfId="0" applyFont="1" applyFill="1" applyBorder="1"/>
    <xf numFmtId="164" fontId="0" fillId="0" borderId="0" xfId="0" applyNumberFormat="1"/>
    <xf numFmtId="164" fontId="0" fillId="2" borderId="0" xfId="0" applyNumberFormat="1" applyFont="1" applyFill="1" applyBorder="1"/>
    <xf numFmtId="164" fontId="0" fillId="0" borderId="0" xfId="0" applyNumberFormat="1" applyFont="1"/>
    <xf numFmtId="164" fontId="0" fillId="2" borderId="0" xfId="0" applyNumberFormat="1" applyFont="1" applyFill="1"/>
    <xf numFmtId="44" fontId="0" fillId="0" borderId="0" xfId="1" applyFont="1"/>
    <xf numFmtId="44" fontId="3" fillId="2" borderId="0" xfId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3" xfId="0" applyFont="1" applyBorder="1"/>
    <xf numFmtId="0" fontId="4" fillId="0" borderId="1" xfId="0" applyFont="1" applyBorder="1" applyAlignment="1">
      <alignment horizontal="center"/>
    </xf>
    <xf numFmtId="16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44" fontId="4" fillId="0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£&quot;#,##0.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U60" totalsRowShown="0" headerRowDxfId="21" dataDxfId="20">
  <autoFilter ref="A6:U60">
    <filterColumn colId="12">
      <filters blank="1">
        <filter val="FARNELL"/>
        <filter val="RS"/>
        <filter val="TOBY"/>
      </filters>
    </filterColumn>
  </autoFilter>
  <tableColumns count="21">
    <tableColumn id="1" name="Qty" dataDxfId="19"/>
    <tableColumn id="2" name="Populate" dataDxfId="18"/>
    <tableColumn id="3" name="Reference Designator" dataDxfId="17"/>
    <tableColumn id="4" name="Pins" dataDxfId="16"/>
    <tableColumn id="5" name="SMT?" dataDxfId="15"/>
    <tableColumn id="6" name="IC?" dataDxfId="14"/>
    <tableColumn id="7" name="SMT Pads" dataDxfId="13">
      <calculatedColumnFormula>IF(B7="Y",IF(E7="Y",IF(F7="N",D7*A7,0),0),0)</calculatedColumnFormula>
    </tableColumn>
    <tableColumn id="8" name="IC Pads" dataDxfId="12">
      <calculatedColumnFormula>IF(B7="Y",IF(E7="Y",IF(F7="Y",D7*A7,0),0),0)</calculatedColumnFormula>
    </tableColumn>
    <tableColumn id="9" name="TH Pads" dataDxfId="11">
      <calculatedColumnFormula>IF(B7="Y",IF(E7="N",D7*A7,0),0)</calculatedColumnFormula>
    </tableColumn>
    <tableColumn id="10" name="Item Description" dataDxfId="10"/>
    <tableColumn id="11" name="Column1" dataDxfId="9"/>
    <tableColumn id="12" name="Column2" dataDxfId="8"/>
    <tableColumn id="13" name="Supplier" dataDxfId="7"/>
    <tableColumn id="14" name="Supplier Part No" dataDxfId="6"/>
    <tableColumn id="15" name="Manufacturer" dataDxfId="5"/>
    <tableColumn id="16" name="Manufacturer Part No" dataDxfId="4"/>
    <tableColumn id="17" name="Notes" dataDxfId="3"/>
    <tableColumn id="20" name="Unit Price" dataDxfId="2"/>
    <tableColumn id="19" name="Order Quantity" dataDxfId="1">
      <calculatedColumnFormula>ROUNDUP(Table1[[#This Row],[Qty]]*($C$70*(1+$C$71)),0)</calculatedColumnFormula>
    </tableColumn>
    <tableColumn id="18" name="Ordered"/>
    <tableColumn id="21" name="Total Cost" dataDxfId="0" dataCellStyle="Currency">
      <calculatedColumnFormula>Table1[[#This Row],[Unit Price]]*Table1[[#This Row],[Ordered]]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tabSelected="1" zoomScale="55" zoomScaleNormal="55" workbookViewId="0">
      <selection activeCell="V63" sqref="A1:V63"/>
    </sheetView>
  </sheetViews>
  <sheetFormatPr defaultRowHeight="15" x14ac:dyDescent="0.25"/>
  <cols>
    <col min="1" max="1" width="7.28515625" customWidth="1"/>
    <col min="2" max="2" width="13.7109375" hidden="1" customWidth="1"/>
    <col min="3" max="3" width="32.85546875" hidden="1" customWidth="1"/>
    <col min="4" max="5" width="10" hidden="1" customWidth="1"/>
    <col min="6" max="6" width="7.140625" hidden="1" customWidth="1"/>
    <col min="7" max="7" width="14.7109375" hidden="1" customWidth="1"/>
    <col min="8" max="8" width="12" hidden="1" customWidth="1"/>
    <col min="9" max="9" width="12.85546875" hidden="1" customWidth="1"/>
    <col min="10" max="10" width="23.5703125" style="1" bestFit="1" customWidth="1"/>
    <col min="11" max="11" width="27.5703125" bestFit="1" customWidth="1"/>
    <col min="12" max="12" width="62.42578125" bestFit="1" customWidth="1"/>
    <col min="13" max="13" width="12.85546875" customWidth="1"/>
    <col min="14" max="14" width="21.85546875" customWidth="1"/>
    <col min="15" max="15" width="18.5703125" customWidth="1"/>
    <col min="16" max="16" width="27.5703125" customWidth="1"/>
    <col min="17" max="17" width="57.7109375" hidden="1" customWidth="1"/>
    <col min="18" max="18" width="15.7109375" style="16" customWidth="1"/>
    <col min="19" max="19" width="20.5703125" customWidth="1"/>
    <col min="20" max="20" width="12.7109375" customWidth="1"/>
    <col min="21" max="21" width="15" style="20" customWidth="1"/>
  </cols>
  <sheetData>
    <row r="1" spans="1:21" x14ac:dyDescent="0.25">
      <c r="A1" s="23" t="s">
        <v>276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2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4" spans="1:21" x14ac:dyDescent="0.25">
      <c r="A4" s="2" t="s">
        <v>207</v>
      </c>
      <c r="B4" s="3">
        <v>41472</v>
      </c>
      <c r="J4" s="24">
        <v>41488</v>
      </c>
    </row>
    <row r="6" spans="1:21" x14ac:dyDescent="0.25">
      <c r="A6" s="25" t="s">
        <v>0</v>
      </c>
      <c r="B6" s="25" t="s">
        <v>160</v>
      </c>
      <c r="C6" s="25" t="s">
        <v>156</v>
      </c>
      <c r="D6" s="25" t="s">
        <v>259</v>
      </c>
      <c r="E6" s="25" t="s">
        <v>260</v>
      </c>
      <c r="F6" s="25" t="s">
        <v>264</v>
      </c>
      <c r="G6" s="25" t="s">
        <v>261</v>
      </c>
      <c r="H6" s="25" t="s">
        <v>263</v>
      </c>
      <c r="I6" s="25" t="s">
        <v>262</v>
      </c>
      <c r="J6" s="26" t="s">
        <v>157</v>
      </c>
      <c r="K6" s="26" t="s">
        <v>266</v>
      </c>
      <c r="L6" s="26" t="s">
        <v>267</v>
      </c>
      <c r="M6" s="25" t="s">
        <v>158</v>
      </c>
      <c r="N6" s="25" t="s">
        <v>159</v>
      </c>
      <c r="O6" s="25" t="s">
        <v>163</v>
      </c>
      <c r="P6" s="25" t="s">
        <v>165</v>
      </c>
      <c r="Q6" s="25" t="s">
        <v>258</v>
      </c>
      <c r="R6" s="27" t="s">
        <v>269</v>
      </c>
      <c r="S6" s="28" t="s">
        <v>268</v>
      </c>
      <c r="T6" s="29" t="s">
        <v>265</v>
      </c>
      <c r="U6" s="30" t="s">
        <v>270</v>
      </c>
    </row>
    <row r="7" spans="1:21" x14ac:dyDescent="0.25">
      <c r="A7" s="11">
        <v>1</v>
      </c>
      <c r="B7" s="11" t="s">
        <v>161</v>
      </c>
      <c r="C7" s="11" t="s">
        <v>97</v>
      </c>
      <c r="D7" s="11">
        <v>2</v>
      </c>
      <c r="E7" s="11" t="s">
        <v>162</v>
      </c>
      <c r="F7" s="11" t="s">
        <v>162</v>
      </c>
      <c r="G7" s="11">
        <f>IF(B7="Y",IF(E7="Y",IF(F7="N",D7*A7,0),0),0)</f>
        <v>0</v>
      </c>
      <c r="H7" s="11">
        <f>IF(B7="Y",IF(E7="Y",IF(F7="Y",D7*A7,0),0),0)</f>
        <v>0</v>
      </c>
      <c r="I7" s="11">
        <f>IF(B7="Y",IF(E7="N",D7*A7,0),0)</f>
        <v>2</v>
      </c>
      <c r="J7" s="12" t="s">
        <v>95</v>
      </c>
      <c r="K7" s="11" t="s">
        <v>96</v>
      </c>
      <c r="L7" s="11"/>
      <c r="M7" s="11" t="s">
        <v>1</v>
      </c>
      <c r="N7" s="12">
        <v>1012166</v>
      </c>
      <c r="O7" s="11" t="s">
        <v>185</v>
      </c>
      <c r="P7" s="11" t="s">
        <v>186</v>
      </c>
      <c r="Q7" s="11"/>
      <c r="R7" s="17">
        <v>0.41</v>
      </c>
      <c r="S7" s="15">
        <f>ROUNDUP(Table1[[#This Row],[Qty]]*($C$70*(1+$C$71)),0)</f>
        <v>83</v>
      </c>
      <c r="T7">
        <v>83</v>
      </c>
      <c r="U7" s="21">
        <f>Table1[[#This Row],[Unit Price]]*Table1[[#This Row],[Ordered]]</f>
        <v>34.03</v>
      </c>
    </row>
    <row r="8" spans="1:21" x14ac:dyDescent="0.25">
      <c r="A8" s="7">
        <v>1</v>
      </c>
      <c r="B8" s="7" t="s">
        <v>161</v>
      </c>
      <c r="C8" s="7" t="s">
        <v>137</v>
      </c>
      <c r="D8" s="7">
        <v>2</v>
      </c>
      <c r="E8" s="7" t="s">
        <v>162</v>
      </c>
      <c r="F8" s="7" t="s">
        <v>162</v>
      </c>
      <c r="G8" s="7">
        <f t="shared" ref="G8:G60" si="0">IF(B8="Y",IF(E8="Y",IF(F8="N",D8*A8,0),0),0)</f>
        <v>0</v>
      </c>
      <c r="H8" s="7">
        <f t="shared" ref="H8:H60" si="1">IF(B8="Y",IF(E8="Y",IF(F8="Y",D8*A8,0),0),0)</f>
        <v>0</v>
      </c>
      <c r="I8" s="7">
        <f t="shared" ref="I8:I60" si="2">IF(B8="Y",IF(E8="N",D8*A8,0),0)</f>
        <v>2</v>
      </c>
      <c r="J8" s="8" t="s">
        <v>135</v>
      </c>
      <c r="K8" s="7" t="s">
        <v>136</v>
      </c>
      <c r="L8" s="7" t="s">
        <v>138</v>
      </c>
      <c r="M8" s="7" t="s">
        <v>1</v>
      </c>
      <c r="N8" s="8">
        <v>1298246</v>
      </c>
      <c r="O8" s="7" t="s">
        <v>172</v>
      </c>
      <c r="P8" s="7" t="s">
        <v>194</v>
      </c>
      <c r="Q8" s="7"/>
      <c r="R8" s="18">
        <v>1.02</v>
      </c>
      <c r="S8" s="7">
        <f>ROUNDUP(Table1[[#This Row],[Qty]]*($C$70*(1+$C$71)),0)</f>
        <v>83</v>
      </c>
      <c r="T8">
        <v>83</v>
      </c>
      <c r="U8" s="21">
        <f>Table1[[#This Row],[Unit Price]]*Table1[[#This Row],[Ordered]]</f>
        <v>84.66</v>
      </c>
    </row>
    <row r="9" spans="1:21" x14ac:dyDescent="0.25">
      <c r="A9" s="5">
        <v>1</v>
      </c>
      <c r="B9" s="5" t="s">
        <v>161</v>
      </c>
      <c r="C9" s="5" t="s">
        <v>91</v>
      </c>
      <c r="D9" s="5">
        <v>2</v>
      </c>
      <c r="E9" s="5" t="s">
        <v>162</v>
      </c>
      <c r="F9" s="5" t="s">
        <v>162</v>
      </c>
      <c r="G9" s="5">
        <f t="shared" si="0"/>
        <v>0</v>
      </c>
      <c r="H9" s="5">
        <f t="shared" si="1"/>
        <v>0</v>
      </c>
      <c r="I9" s="5">
        <f t="shared" si="2"/>
        <v>2</v>
      </c>
      <c r="J9" s="6" t="s">
        <v>89</v>
      </c>
      <c r="K9" s="5" t="s">
        <v>90</v>
      </c>
      <c r="L9" s="5"/>
      <c r="M9" s="5" t="s">
        <v>1</v>
      </c>
      <c r="N9" s="6">
        <v>1192513</v>
      </c>
      <c r="O9" s="5" t="s">
        <v>182</v>
      </c>
      <c r="P9" s="5" t="s">
        <v>183</v>
      </c>
      <c r="Q9" s="5"/>
      <c r="R9" s="19">
        <v>0.27</v>
      </c>
      <c r="S9" s="5">
        <f>ROUNDUP(Table1[[#This Row],[Qty]]*($C$70*(1+$C$71)),0)</f>
        <v>83</v>
      </c>
      <c r="T9">
        <v>83</v>
      </c>
      <c r="U9" s="21">
        <f>Table1[[#This Row],[Unit Price]]*Table1[[#This Row],[Ordered]]</f>
        <v>22.41</v>
      </c>
    </row>
    <row r="10" spans="1:21" x14ac:dyDescent="0.25">
      <c r="A10" s="7">
        <v>2</v>
      </c>
      <c r="B10" s="7" t="s">
        <v>161</v>
      </c>
      <c r="C10" s="7" t="s">
        <v>76</v>
      </c>
      <c r="D10" s="7">
        <v>2</v>
      </c>
      <c r="E10" s="7" t="s">
        <v>161</v>
      </c>
      <c r="F10" s="7" t="s">
        <v>162</v>
      </c>
      <c r="G10" s="7">
        <f t="shared" si="0"/>
        <v>4</v>
      </c>
      <c r="H10" s="7">
        <f t="shared" si="1"/>
        <v>0</v>
      </c>
      <c r="I10" s="7">
        <f t="shared" si="2"/>
        <v>0</v>
      </c>
      <c r="J10" s="8" t="s">
        <v>74</v>
      </c>
      <c r="K10" s="7" t="s">
        <v>75</v>
      </c>
      <c r="L10" s="7" t="s">
        <v>204</v>
      </c>
      <c r="M10" s="7" t="s">
        <v>1</v>
      </c>
      <c r="N10" s="8">
        <v>1856141</v>
      </c>
      <c r="O10" s="7" t="s">
        <v>197</v>
      </c>
      <c r="P10" s="7" t="s">
        <v>198</v>
      </c>
      <c r="Q10" s="7"/>
      <c r="R10" s="18">
        <v>1.7000000000000001E-2</v>
      </c>
      <c r="S10" s="7">
        <f>ROUNDUP(Table1[[#This Row],[Qty]]*($C$70*(1+$C$71)),0)</f>
        <v>165</v>
      </c>
      <c r="T10">
        <v>200</v>
      </c>
      <c r="U10" s="21">
        <f>Table1[[#This Row],[Unit Price]]*Table1[[#This Row],[Ordered]]</f>
        <v>3.4000000000000004</v>
      </c>
    </row>
    <row r="11" spans="1:21" hidden="1" x14ac:dyDescent="0.25">
      <c r="A11" s="5">
        <v>8</v>
      </c>
      <c r="B11" s="5" t="s">
        <v>161</v>
      </c>
      <c r="C11" s="5" t="s">
        <v>58</v>
      </c>
      <c r="D11" s="5">
        <v>2</v>
      </c>
      <c r="E11" s="5" t="s">
        <v>161</v>
      </c>
      <c r="F11" s="5" t="s">
        <v>162</v>
      </c>
      <c r="G11" s="5">
        <f t="shared" si="0"/>
        <v>16</v>
      </c>
      <c r="H11" s="5">
        <f t="shared" si="1"/>
        <v>0</v>
      </c>
      <c r="I11" s="5">
        <f t="shared" si="2"/>
        <v>0</v>
      </c>
      <c r="J11" s="6" t="s">
        <v>57</v>
      </c>
      <c r="K11" s="5" t="s">
        <v>37</v>
      </c>
      <c r="L11" s="5" t="s">
        <v>204</v>
      </c>
      <c r="M11" s="5" t="s">
        <v>213</v>
      </c>
      <c r="N11" s="6" t="s">
        <v>208</v>
      </c>
      <c r="O11" s="5" t="s">
        <v>209</v>
      </c>
      <c r="P11" s="5" t="s">
        <v>210</v>
      </c>
      <c r="Q11" s="5"/>
      <c r="R11" s="19"/>
      <c r="S11" s="5">
        <f>ROUNDUP(Table1[[#This Row],[Qty]]*($C$70*(1+$C$71)),0)</f>
        <v>660</v>
      </c>
      <c r="U11" s="21">
        <f>Table1[[#This Row],[Unit Price]]*Table1[[#This Row],[Ordered]]</f>
        <v>0</v>
      </c>
    </row>
    <row r="12" spans="1:21" x14ac:dyDescent="0.25">
      <c r="A12" s="7">
        <v>1</v>
      </c>
      <c r="B12" s="7" t="s">
        <v>161</v>
      </c>
      <c r="C12" s="7" t="s">
        <v>33</v>
      </c>
      <c r="D12" s="7">
        <v>2</v>
      </c>
      <c r="E12" s="7" t="s">
        <v>161</v>
      </c>
      <c r="F12" s="7" t="s">
        <v>162</v>
      </c>
      <c r="G12" s="7">
        <f t="shared" si="0"/>
        <v>2</v>
      </c>
      <c r="H12" s="7">
        <f t="shared" si="1"/>
        <v>0</v>
      </c>
      <c r="I12" s="7">
        <f t="shared" si="2"/>
        <v>0</v>
      </c>
      <c r="J12" s="8" t="s">
        <v>31</v>
      </c>
      <c r="K12" s="7" t="s">
        <v>32</v>
      </c>
      <c r="L12" s="7" t="s">
        <v>205</v>
      </c>
      <c r="M12" s="7" t="s">
        <v>1</v>
      </c>
      <c r="N12" s="8">
        <v>1244342</v>
      </c>
      <c r="O12" s="7" t="s">
        <v>172</v>
      </c>
      <c r="P12" s="7" t="s">
        <v>173</v>
      </c>
      <c r="Q12" s="7"/>
      <c r="R12" s="18">
        <v>0.25</v>
      </c>
      <c r="S12" s="7">
        <f>ROUNDUP(Table1[[#This Row],[Qty]]*($C$70*(1+$C$71)),0)</f>
        <v>83</v>
      </c>
      <c r="T12">
        <v>100</v>
      </c>
      <c r="U12" s="21">
        <f>Table1[[#This Row],[Unit Price]]*Table1[[#This Row],[Ordered]]</f>
        <v>25</v>
      </c>
    </row>
    <row r="13" spans="1:21" hidden="1" x14ac:dyDescent="0.25">
      <c r="A13" s="5">
        <v>5</v>
      </c>
      <c r="B13" s="5" t="s">
        <v>161</v>
      </c>
      <c r="C13" s="5" t="s">
        <v>38</v>
      </c>
      <c r="D13" s="5">
        <v>2</v>
      </c>
      <c r="E13" s="5" t="s">
        <v>161</v>
      </c>
      <c r="F13" s="5" t="s">
        <v>162</v>
      </c>
      <c r="G13" s="5">
        <f t="shared" si="0"/>
        <v>10</v>
      </c>
      <c r="H13" s="5">
        <f t="shared" si="1"/>
        <v>0</v>
      </c>
      <c r="I13" s="5">
        <f t="shared" si="2"/>
        <v>0</v>
      </c>
      <c r="J13" s="6" t="s">
        <v>36</v>
      </c>
      <c r="K13" s="5" t="s">
        <v>37</v>
      </c>
      <c r="L13" s="5" t="s">
        <v>204</v>
      </c>
      <c r="M13" s="5" t="s">
        <v>213</v>
      </c>
      <c r="N13" s="6" t="s">
        <v>212</v>
      </c>
      <c r="O13" s="5" t="s">
        <v>209</v>
      </c>
      <c r="P13" s="5" t="s">
        <v>211</v>
      </c>
      <c r="Q13" s="5"/>
      <c r="R13" s="19"/>
      <c r="S13" s="5">
        <f>ROUNDUP(Table1[[#This Row],[Qty]]*($C$70*(1+$C$71)),0)</f>
        <v>413</v>
      </c>
      <c r="U13" s="21">
        <f>Table1[[#This Row],[Unit Price]]*Table1[[#This Row],[Ordered]]</f>
        <v>0</v>
      </c>
    </row>
    <row r="14" spans="1:21" x14ac:dyDescent="0.25">
      <c r="A14" s="7">
        <v>2</v>
      </c>
      <c r="B14" s="7" t="s">
        <v>161</v>
      </c>
      <c r="C14" s="7" t="s">
        <v>41</v>
      </c>
      <c r="D14" s="7">
        <v>2</v>
      </c>
      <c r="E14" s="7" t="s">
        <v>161</v>
      </c>
      <c r="F14" s="7" t="s">
        <v>162</v>
      </c>
      <c r="G14" s="7">
        <f t="shared" si="0"/>
        <v>4</v>
      </c>
      <c r="H14" s="7">
        <f t="shared" si="1"/>
        <v>0</v>
      </c>
      <c r="I14" s="7">
        <f t="shared" si="2"/>
        <v>0</v>
      </c>
      <c r="J14" s="8" t="s">
        <v>39</v>
      </c>
      <c r="K14" s="7" t="s">
        <v>40</v>
      </c>
      <c r="L14" s="7" t="s">
        <v>205</v>
      </c>
      <c r="M14" s="7" t="s">
        <v>1</v>
      </c>
      <c r="N14" s="8">
        <v>1539489</v>
      </c>
      <c r="O14" s="7" t="s">
        <v>172</v>
      </c>
      <c r="P14" s="7" t="s">
        <v>174</v>
      </c>
      <c r="Q14" s="7"/>
      <c r="R14" s="18">
        <v>0.21</v>
      </c>
      <c r="S14" s="7">
        <f>ROUNDUP(Table1[[#This Row],[Qty]]*($C$70*(1+$C$71)),0)</f>
        <v>165</v>
      </c>
      <c r="T14">
        <v>170</v>
      </c>
      <c r="U14" s="21">
        <f>Table1[[#This Row],[Unit Price]]*Table1[[#This Row],[Ordered]]</f>
        <v>35.699999999999996</v>
      </c>
    </row>
    <row r="15" spans="1:21" x14ac:dyDescent="0.25">
      <c r="A15" s="5">
        <v>1</v>
      </c>
      <c r="B15" s="5" t="s">
        <v>161</v>
      </c>
      <c r="C15" s="5" t="s">
        <v>62</v>
      </c>
      <c r="D15" s="5">
        <v>2</v>
      </c>
      <c r="E15" s="5" t="s">
        <v>161</v>
      </c>
      <c r="F15" s="5" t="s">
        <v>162</v>
      </c>
      <c r="G15" s="5">
        <f t="shared" si="0"/>
        <v>2</v>
      </c>
      <c r="H15" s="5">
        <f t="shared" si="1"/>
        <v>0</v>
      </c>
      <c r="I15" s="5">
        <f t="shared" si="2"/>
        <v>0</v>
      </c>
      <c r="J15" s="6" t="s">
        <v>60</v>
      </c>
      <c r="K15" s="5" t="s">
        <v>61</v>
      </c>
      <c r="L15" s="5" t="s">
        <v>205</v>
      </c>
      <c r="M15" s="5" t="s">
        <v>1</v>
      </c>
      <c r="N15" s="6">
        <v>9695877</v>
      </c>
      <c r="O15" s="5" t="s">
        <v>172</v>
      </c>
      <c r="P15" s="5" t="s">
        <v>175</v>
      </c>
      <c r="Q15" s="5"/>
      <c r="R15" s="19">
        <v>0.2</v>
      </c>
      <c r="S15" s="5">
        <f>ROUNDUP(Table1[[#This Row],[Qty]]*($C$70*(1+$C$71)),0)</f>
        <v>83</v>
      </c>
      <c r="T15">
        <v>100</v>
      </c>
      <c r="U15" s="21">
        <f>Table1[[#This Row],[Unit Price]]*Table1[[#This Row],[Ordered]]</f>
        <v>20</v>
      </c>
    </row>
    <row r="16" spans="1:21" hidden="1" x14ac:dyDescent="0.25">
      <c r="A16" s="7">
        <v>3</v>
      </c>
      <c r="B16" s="7" t="s">
        <v>161</v>
      </c>
      <c r="C16" s="7" t="s">
        <v>52</v>
      </c>
      <c r="D16" s="7">
        <v>2</v>
      </c>
      <c r="E16" s="7" t="s">
        <v>161</v>
      </c>
      <c r="F16" s="7" t="s">
        <v>162</v>
      </c>
      <c r="G16" s="7">
        <f t="shared" si="0"/>
        <v>6</v>
      </c>
      <c r="H16" s="7">
        <f t="shared" si="1"/>
        <v>0</v>
      </c>
      <c r="I16" s="7">
        <f t="shared" si="2"/>
        <v>0</v>
      </c>
      <c r="J16" s="8" t="s">
        <v>51</v>
      </c>
      <c r="K16" s="7" t="s">
        <v>37</v>
      </c>
      <c r="L16" s="7" t="s">
        <v>204</v>
      </c>
      <c r="M16" s="7" t="s">
        <v>213</v>
      </c>
      <c r="N16" s="8" t="s">
        <v>214</v>
      </c>
      <c r="O16" s="7" t="s">
        <v>209</v>
      </c>
      <c r="P16" s="7" t="s">
        <v>215</v>
      </c>
      <c r="Q16" s="7"/>
      <c r="R16" s="18"/>
      <c r="S16" s="7">
        <f>ROUNDUP(Table1[[#This Row],[Qty]]*($C$70*(1+$C$71)),0)</f>
        <v>248</v>
      </c>
      <c r="U16" s="21">
        <f>Table1[[#This Row],[Unit Price]]*Table1[[#This Row],[Ordered]]</f>
        <v>0</v>
      </c>
    </row>
    <row r="17" spans="1:21" x14ac:dyDescent="0.25">
      <c r="A17" s="5">
        <v>1</v>
      </c>
      <c r="B17" s="5" t="s">
        <v>161</v>
      </c>
      <c r="C17" s="5" t="s">
        <v>48</v>
      </c>
      <c r="D17" s="5">
        <v>3</v>
      </c>
      <c r="E17" s="5" t="s">
        <v>161</v>
      </c>
      <c r="F17" s="5" t="s">
        <v>162</v>
      </c>
      <c r="G17" s="5">
        <f t="shared" si="0"/>
        <v>3</v>
      </c>
      <c r="H17" s="5">
        <f t="shared" si="1"/>
        <v>0</v>
      </c>
      <c r="I17" s="5">
        <f t="shared" si="2"/>
        <v>0</v>
      </c>
      <c r="J17" s="6" t="s">
        <v>45</v>
      </c>
      <c r="K17" s="5" t="s">
        <v>47</v>
      </c>
      <c r="L17" s="5"/>
      <c r="M17" s="5" t="s">
        <v>1</v>
      </c>
      <c r="N17" s="6">
        <v>1689863</v>
      </c>
      <c r="O17" s="5" t="s">
        <v>176</v>
      </c>
      <c r="P17" s="5" t="s">
        <v>180</v>
      </c>
      <c r="Q17" s="5"/>
      <c r="R17" s="19">
        <v>0.21</v>
      </c>
      <c r="S17" s="5">
        <f>ROUNDUP(Table1[[#This Row],[Qty]]*($C$70*(1+$C$71)),0)</f>
        <v>83</v>
      </c>
      <c r="T17">
        <v>83</v>
      </c>
      <c r="U17" s="21">
        <f>Table1[[#This Row],[Unit Price]]*Table1[[#This Row],[Ordered]]</f>
        <v>17.43</v>
      </c>
    </row>
    <row r="18" spans="1:21" x14ac:dyDescent="0.25">
      <c r="A18" s="7">
        <v>2</v>
      </c>
      <c r="B18" s="7" t="s">
        <v>161</v>
      </c>
      <c r="C18" s="7" t="s">
        <v>145</v>
      </c>
      <c r="D18" s="7">
        <v>2</v>
      </c>
      <c r="E18" s="7" t="s">
        <v>161</v>
      </c>
      <c r="F18" s="7" t="s">
        <v>162</v>
      </c>
      <c r="G18" s="7">
        <f t="shared" si="0"/>
        <v>4</v>
      </c>
      <c r="H18" s="7">
        <f t="shared" si="1"/>
        <v>0</v>
      </c>
      <c r="I18" s="7">
        <f t="shared" si="2"/>
        <v>0</v>
      </c>
      <c r="J18" s="8" t="s">
        <v>143</v>
      </c>
      <c r="K18" s="7" t="s">
        <v>144</v>
      </c>
      <c r="L18" s="7" t="s">
        <v>146</v>
      </c>
      <c r="M18" s="7" t="s">
        <v>1</v>
      </c>
      <c r="N18" s="8">
        <v>1336556</v>
      </c>
      <c r="O18" s="7" t="s">
        <v>178</v>
      </c>
      <c r="P18" s="7" t="s">
        <v>179</v>
      </c>
      <c r="Q18" s="7"/>
      <c r="R18" s="18">
        <v>0.28999999999999998</v>
      </c>
      <c r="S18" s="7">
        <f>ROUNDUP(Table1[[#This Row],[Qty]]*($C$70*(1+$C$71)),0)</f>
        <v>165</v>
      </c>
      <c r="T18">
        <v>165</v>
      </c>
      <c r="U18" s="21">
        <f>Table1[[#This Row],[Unit Price]]*Table1[[#This Row],[Ordered]]</f>
        <v>47.849999999999994</v>
      </c>
    </row>
    <row r="19" spans="1:21" x14ac:dyDescent="0.25">
      <c r="A19" s="5">
        <v>1</v>
      </c>
      <c r="B19" s="5" t="s">
        <v>161</v>
      </c>
      <c r="C19" s="5" t="s">
        <v>141</v>
      </c>
      <c r="D19" s="5">
        <v>2</v>
      </c>
      <c r="E19" s="5" t="s">
        <v>161</v>
      </c>
      <c r="F19" s="5" t="s">
        <v>162</v>
      </c>
      <c r="G19" s="5">
        <f t="shared" si="0"/>
        <v>2</v>
      </c>
      <c r="H19" s="5">
        <f t="shared" si="1"/>
        <v>0</v>
      </c>
      <c r="I19" s="5">
        <f t="shared" si="2"/>
        <v>0</v>
      </c>
      <c r="J19" s="6" t="s">
        <v>139</v>
      </c>
      <c r="K19" s="5" t="s">
        <v>140</v>
      </c>
      <c r="L19" s="5" t="s">
        <v>142</v>
      </c>
      <c r="M19" s="5" t="s">
        <v>1</v>
      </c>
      <c r="N19" s="6">
        <v>9550216</v>
      </c>
      <c r="O19" s="5" t="s">
        <v>178</v>
      </c>
      <c r="P19" s="5" t="s">
        <v>139</v>
      </c>
      <c r="Q19" s="5"/>
      <c r="R19" s="19">
        <v>9.1999999999999998E-2</v>
      </c>
      <c r="S19" s="5">
        <f>ROUNDUP(Table1[[#This Row],[Qty]]*($C$70*(1+$C$71)),0)</f>
        <v>83</v>
      </c>
      <c r="T19">
        <v>83</v>
      </c>
      <c r="U19" s="21">
        <f>Table1[[#This Row],[Unit Price]]*Table1[[#This Row],[Ordered]]</f>
        <v>7.6360000000000001</v>
      </c>
    </row>
    <row r="20" spans="1:21" x14ac:dyDescent="0.25">
      <c r="A20" s="7">
        <v>1</v>
      </c>
      <c r="B20" s="7" t="s">
        <v>161</v>
      </c>
      <c r="C20" s="7" t="s">
        <v>151</v>
      </c>
      <c r="D20" s="7">
        <v>2</v>
      </c>
      <c r="E20" s="7" t="s">
        <v>161</v>
      </c>
      <c r="F20" s="7" t="s">
        <v>162</v>
      </c>
      <c r="G20" s="7">
        <f t="shared" si="0"/>
        <v>2</v>
      </c>
      <c r="H20" s="7">
        <f t="shared" si="1"/>
        <v>0</v>
      </c>
      <c r="I20" s="7">
        <f t="shared" si="2"/>
        <v>0</v>
      </c>
      <c r="J20" s="8" t="s">
        <v>150</v>
      </c>
      <c r="K20" s="7" t="s">
        <v>140</v>
      </c>
      <c r="L20" s="7" t="s">
        <v>142</v>
      </c>
      <c r="M20" s="7" t="s">
        <v>1</v>
      </c>
      <c r="N20" s="8">
        <v>1625280</v>
      </c>
      <c r="O20" s="7" t="s">
        <v>197</v>
      </c>
      <c r="P20" s="7" t="s">
        <v>150</v>
      </c>
      <c r="Q20" s="7"/>
      <c r="R20" s="18">
        <v>0.09</v>
      </c>
      <c r="S20" s="7">
        <f>ROUNDUP(Table1[[#This Row],[Qty]]*($C$70*(1+$C$71)),0)</f>
        <v>83</v>
      </c>
      <c r="T20">
        <v>85</v>
      </c>
      <c r="U20" s="21">
        <f>Table1[[#This Row],[Unit Price]]*Table1[[#This Row],[Ordered]]</f>
        <v>7.6499999999999995</v>
      </c>
    </row>
    <row r="21" spans="1:21" x14ac:dyDescent="0.25">
      <c r="A21" s="5">
        <v>1</v>
      </c>
      <c r="B21" s="5" t="s">
        <v>161</v>
      </c>
      <c r="C21" s="5" t="s">
        <v>94</v>
      </c>
      <c r="D21" s="5">
        <v>2</v>
      </c>
      <c r="E21" s="5" t="s">
        <v>161</v>
      </c>
      <c r="F21" s="5" t="s">
        <v>162</v>
      </c>
      <c r="G21" s="5">
        <f t="shared" si="0"/>
        <v>2</v>
      </c>
      <c r="H21" s="5">
        <f t="shared" si="1"/>
        <v>0</v>
      </c>
      <c r="I21" s="5">
        <f t="shared" si="2"/>
        <v>0</v>
      </c>
      <c r="J21" s="6" t="s">
        <v>92</v>
      </c>
      <c r="K21" s="5" t="s">
        <v>93</v>
      </c>
      <c r="L21" s="5"/>
      <c r="M21" s="5" t="s">
        <v>1</v>
      </c>
      <c r="N21" s="6">
        <v>8735654</v>
      </c>
      <c r="O21" s="5" t="s">
        <v>166</v>
      </c>
      <c r="P21" s="5" t="s">
        <v>92</v>
      </c>
      <c r="Q21" s="5"/>
      <c r="R21" s="19">
        <v>2.8000000000000001E-2</v>
      </c>
      <c r="S21" s="5">
        <f>ROUNDUP(Table1[[#This Row],[Qty]]*($C$70*(1+$C$71)),0)</f>
        <v>83</v>
      </c>
      <c r="T21">
        <v>90</v>
      </c>
      <c r="U21" s="21">
        <f>Table1[[#This Row],[Unit Price]]*Table1[[#This Row],[Ordered]]</f>
        <v>2.52</v>
      </c>
    </row>
    <row r="22" spans="1:21" x14ac:dyDescent="0.25">
      <c r="A22" s="7">
        <v>1</v>
      </c>
      <c r="B22" s="7" t="s">
        <v>161</v>
      </c>
      <c r="C22" s="7" t="s">
        <v>88</v>
      </c>
      <c r="D22" s="7">
        <v>2</v>
      </c>
      <c r="E22" s="7" t="s">
        <v>161</v>
      </c>
      <c r="F22" s="7" t="s">
        <v>162</v>
      </c>
      <c r="G22" s="7">
        <f t="shared" si="0"/>
        <v>2</v>
      </c>
      <c r="H22" s="7">
        <f t="shared" si="1"/>
        <v>0</v>
      </c>
      <c r="I22" s="7">
        <f t="shared" si="2"/>
        <v>0</v>
      </c>
      <c r="J22" s="8" t="s">
        <v>86</v>
      </c>
      <c r="K22" s="7" t="s">
        <v>87</v>
      </c>
      <c r="L22" s="7"/>
      <c r="M22" s="7" t="s">
        <v>1</v>
      </c>
      <c r="N22" s="8">
        <v>1843695</v>
      </c>
      <c r="O22" s="7" t="s">
        <v>184</v>
      </c>
      <c r="P22" s="7" t="s">
        <v>86</v>
      </c>
      <c r="Q22" s="7"/>
      <c r="R22" s="18">
        <v>0.16500000000000001</v>
      </c>
      <c r="S22" s="7">
        <f>ROUNDUP(Table1[[#This Row],[Qty]]*($C$70*(1+$C$71)),0)</f>
        <v>83</v>
      </c>
      <c r="T22">
        <v>83</v>
      </c>
      <c r="U22" s="21">
        <f>Table1[[#This Row],[Unit Price]]*Table1[[#This Row],[Ordered]]</f>
        <v>13.695</v>
      </c>
    </row>
    <row r="23" spans="1:21" hidden="1" x14ac:dyDescent="0.25">
      <c r="A23" s="7">
        <v>1</v>
      </c>
      <c r="B23" s="7" t="s">
        <v>161</v>
      </c>
      <c r="C23" s="7" t="s">
        <v>114</v>
      </c>
      <c r="D23" s="7">
        <v>16</v>
      </c>
      <c r="E23" s="7" t="s">
        <v>162</v>
      </c>
      <c r="F23" s="7" t="s">
        <v>162</v>
      </c>
      <c r="G23" s="7">
        <f t="shared" si="0"/>
        <v>0</v>
      </c>
      <c r="H23" s="7">
        <f t="shared" si="1"/>
        <v>0</v>
      </c>
      <c r="I23" s="7">
        <f t="shared" si="2"/>
        <v>16</v>
      </c>
      <c r="J23" s="8" t="s">
        <v>113</v>
      </c>
      <c r="K23" s="7" t="s">
        <v>113</v>
      </c>
      <c r="L23" s="7" t="s">
        <v>115</v>
      </c>
      <c r="M23" s="7" t="s">
        <v>213</v>
      </c>
      <c r="N23" s="8" t="s">
        <v>249</v>
      </c>
      <c r="O23" s="7" t="s">
        <v>245</v>
      </c>
      <c r="P23" s="7" t="s">
        <v>250</v>
      </c>
      <c r="Q23" s="7" t="s">
        <v>251</v>
      </c>
      <c r="R23" s="18"/>
      <c r="S23" s="7">
        <f>ROUNDUP(Table1[[#This Row],[Qty]]*($C$70*(1+$C$71)),0)</f>
        <v>83</v>
      </c>
      <c r="U23" s="21">
        <f>Table1[[#This Row],[Unit Price]]*Table1[[#This Row],[Ordered]]</f>
        <v>0</v>
      </c>
    </row>
    <row r="24" spans="1:21" x14ac:dyDescent="0.25">
      <c r="A24" s="5">
        <v>1</v>
      </c>
      <c r="B24" s="5" t="s">
        <v>161</v>
      </c>
      <c r="C24" s="5" t="s">
        <v>149</v>
      </c>
      <c r="D24" s="5">
        <v>48</v>
      </c>
      <c r="E24" s="5" t="s">
        <v>161</v>
      </c>
      <c r="F24" s="5" t="s">
        <v>161</v>
      </c>
      <c r="G24" s="5">
        <f t="shared" si="0"/>
        <v>0</v>
      </c>
      <c r="H24" s="5">
        <f t="shared" si="1"/>
        <v>48</v>
      </c>
      <c r="I24" s="5">
        <f t="shared" si="2"/>
        <v>0</v>
      </c>
      <c r="J24" s="6" t="s">
        <v>147</v>
      </c>
      <c r="K24" s="5" t="s">
        <v>148</v>
      </c>
      <c r="L24" s="5"/>
      <c r="M24" s="5" t="s">
        <v>1</v>
      </c>
      <c r="N24" s="6">
        <v>2115059</v>
      </c>
      <c r="O24" s="5" t="s">
        <v>189</v>
      </c>
      <c r="P24" s="5" t="s">
        <v>147</v>
      </c>
      <c r="Q24" s="5" t="s">
        <v>272</v>
      </c>
      <c r="R24" s="19">
        <v>2.0099999999999998</v>
      </c>
      <c r="S24" s="5">
        <f>ROUNDUP(Table1[[#This Row],[Qty]]*($C$70*(1+$C$71)),0)</f>
        <v>83</v>
      </c>
      <c r="T24">
        <v>83</v>
      </c>
      <c r="U24" s="21">
        <f>Table1[[#This Row],[Unit Price]]*Table1[[#This Row],[Ordered]]</f>
        <v>166.82999999999998</v>
      </c>
    </row>
    <row r="25" spans="1:21" x14ac:dyDescent="0.25">
      <c r="A25" s="7">
        <v>1</v>
      </c>
      <c r="B25" s="7" t="s">
        <v>161</v>
      </c>
      <c r="C25" s="7" t="s">
        <v>84</v>
      </c>
      <c r="D25" s="7">
        <v>8</v>
      </c>
      <c r="E25" s="7" t="s">
        <v>161</v>
      </c>
      <c r="F25" s="7" t="s">
        <v>161</v>
      </c>
      <c r="G25" s="7">
        <f t="shared" si="0"/>
        <v>0</v>
      </c>
      <c r="H25" s="7">
        <f t="shared" si="1"/>
        <v>8</v>
      </c>
      <c r="I25" s="7">
        <f t="shared" si="2"/>
        <v>0</v>
      </c>
      <c r="J25" s="8" t="s">
        <v>82</v>
      </c>
      <c r="K25" s="7" t="s">
        <v>83</v>
      </c>
      <c r="L25" s="7" t="s">
        <v>85</v>
      </c>
      <c r="M25" s="7" t="s">
        <v>1</v>
      </c>
      <c r="N25" s="8">
        <v>1825302</v>
      </c>
      <c r="O25" s="7" t="s">
        <v>184</v>
      </c>
      <c r="P25" s="7" t="s">
        <v>200</v>
      </c>
      <c r="Q25" s="7"/>
      <c r="R25" s="18">
        <v>0.56000000000000005</v>
      </c>
      <c r="S25" s="7">
        <f>ROUNDUP(Table1[[#This Row],[Qty]]*($C$70*(1+$C$71)),0)</f>
        <v>83</v>
      </c>
      <c r="T25">
        <v>83</v>
      </c>
      <c r="U25" s="21">
        <f>Table1[[#This Row],[Unit Price]]*Table1[[#This Row],[Ordered]]</f>
        <v>46.480000000000004</v>
      </c>
    </row>
    <row r="26" spans="1:21" x14ac:dyDescent="0.25">
      <c r="A26" s="5">
        <v>1</v>
      </c>
      <c r="B26" s="5" t="s">
        <v>161</v>
      </c>
      <c r="C26" s="5" t="s">
        <v>108</v>
      </c>
      <c r="D26" s="5">
        <v>8</v>
      </c>
      <c r="E26" s="5" t="s">
        <v>161</v>
      </c>
      <c r="F26" s="5" t="s">
        <v>161</v>
      </c>
      <c r="G26" s="5">
        <f t="shared" si="0"/>
        <v>0</v>
      </c>
      <c r="H26" s="5">
        <f t="shared" si="1"/>
        <v>8</v>
      </c>
      <c r="I26" s="5">
        <f t="shared" si="2"/>
        <v>0</v>
      </c>
      <c r="J26" s="6" t="s">
        <v>107</v>
      </c>
      <c r="K26" s="5" t="s">
        <v>107</v>
      </c>
      <c r="L26" s="5" t="s">
        <v>109</v>
      </c>
      <c r="M26" s="5" t="s">
        <v>1</v>
      </c>
      <c r="N26" s="6">
        <v>8638756</v>
      </c>
      <c r="O26" s="5" t="s">
        <v>192</v>
      </c>
      <c r="P26" s="5" t="s">
        <v>193</v>
      </c>
      <c r="Q26" s="5"/>
      <c r="R26" s="19">
        <v>0.71</v>
      </c>
      <c r="S26" s="5">
        <f>ROUNDUP(Table1[[#This Row],[Qty]]*($C$70*(1+$C$71)),0)</f>
        <v>83</v>
      </c>
      <c r="T26">
        <v>100</v>
      </c>
      <c r="U26" s="21">
        <f>Table1[[#This Row],[Unit Price]]*Table1[[#This Row],[Ordered]]</f>
        <v>71</v>
      </c>
    </row>
    <row r="27" spans="1:21" hidden="1" x14ac:dyDescent="0.25">
      <c r="A27" s="7">
        <v>1</v>
      </c>
      <c r="B27" s="7" t="s">
        <v>161</v>
      </c>
      <c r="C27" s="7" t="s">
        <v>14</v>
      </c>
      <c r="D27" s="7">
        <v>6</v>
      </c>
      <c r="E27" s="7" t="s">
        <v>162</v>
      </c>
      <c r="F27" s="7" t="s">
        <v>162</v>
      </c>
      <c r="G27" s="7">
        <f t="shared" si="0"/>
        <v>0</v>
      </c>
      <c r="H27" s="7">
        <f t="shared" si="1"/>
        <v>0</v>
      </c>
      <c r="I27" s="7">
        <f t="shared" si="2"/>
        <v>6</v>
      </c>
      <c r="J27" s="8"/>
      <c r="K27" s="7" t="s">
        <v>13</v>
      </c>
      <c r="L27" s="7" t="s">
        <v>12</v>
      </c>
      <c r="M27" s="7" t="s">
        <v>213</v>
      </c>
      <c r="N27" s="8" t="s">
        <v>247</v>
      </c>
      <c r="O27" s="7" t="s">
        <v>245</v>
      </c>
      <c r="P27" s="7" t="s">
        <v>248</v>
      </c>
      <c r="Q27" s="7"/>
      <c r="R27" s="18"/>
      <c r="S27" s="7">
        <f>ROUNDUP(Table1[[#This Row],[Qty]]*($C$70*(1+$C$71)),0)</f>
        <v>83</v>
      </c>
      <c r="U27" s="21">
        <f>Table1[[#This Row],[Unit Price]]*Table1[[#This Row],[Ordered]]</f>
        <v>0</v>
      </c>
    </row>
    <row r="28" spans="1:21" x14ac:dyDescent="0.25">
      <c r="A28" s="5">
        <v>1</v>
      </c>
      <c r="B28" s="5" t="s">
        <v>161</v>
      </c>
      <c r="C28" s="5" t="s">
        <v>16</v>
      </c>
      <c r="D28" s="5">
        <v>7</v>
      </c>
      <c r="E28" s="5" t="s">
        <v>162</v>
      </c>
      <c r="F28" s="5" t="s">
        <v>162</v>
      </c>
      <c r="G28" s="5">
        <f t="shared" si="0"/>
        <v>0</v>
      </c>
      <c r="H28" s="5">
        <f t="shared" si="1"/>
        <v>0</v>
      </c>
      <c r="I28" s="5">
        <f t="shared" si="2"/>
        <v>7</v>
      </c>
      <c r="J28" s="6"/>
      <c r="K28" s="5" t="s">
        <v>15</v>
      </c>
      <c r="L28" s="5" t="s">
        <v>12</v>
      </c>
      <c r="M28" s="5" t="s">
        <v>1</v>
      </c>
      <c r="N28" s="6">
        <v>588763</v>
      </c>
      <c r="O28" s="5" t="s">
        <v>168</v>
      </c>
      <c r="P28" s="5" t="s">
        <v>169</v>
      </c>
      <c r="Q28" s="5"/>
      <c r="R28" s="19">
        <v>0.21</v>
      </c>
      <c r="S28" s="5">
        <f>ROUNDUP(Table1[[#This Row],[Qty]]*($C$70*(1+$C$71)),0)</f>
        <v>83</v>
      </c>
      <c r="T28">
        <v>85</v>
      </c>
      <c r="U28" s="21">
        <f>Table1[[#This Row],[Unit Price]]*Table1[[#This Row],[Ordered]]</f>
        <v>17.849999999999998</v>
      </c>
    </row>
    <row r="29" spans="1:21" x14ac:dyDescent="0.25">
      <c r="A29" s="7">
        <v>1</v>
      </c>
      <c r="B29" s="7" t="s">
        <v>161</v>
      </c>
      <c r="C29" s="7" t="s">
        <v>44</v>
      </c>
      <c r="D29" s="7">
        <v>2</v>
      </c>
      <c r="E29" s="7" t="s">
        <v>161</v>
      </c>
      <c r="F29" s="7" t="s">
        <v>162</v>
      </c>
      <c r="G29" s="7">
        <f t="shared" si="0"/>
        <v>2</v>
      </c>
      <c r="H29" s="7">
        <f t="shared" si="1"/>
        <v>0</v>
      </c>
      <c r="I29" s="7">
        <f t="shared" si="2"/>
        <v>0</v>
      </c>
      <c r="J29" s="8" t="s">
        <v>42</v>
      </c>
      <c r="K29" s="7" t="s">
        <v>43</v>
      </c>
      <c r="L29" s="7"/>
      <c r="M29" s="7" t="s">
        <v>1</v>
      </c>
      <c r="N29" s="8">
        <v>1612709</v>
      </c>
      <c r="O29" s="7" t="s">
        <v>176</v>
      </c>
      <c r="P29" s="7" t="s">
        <v>177</v>
      </c>
      <c r="Q29" s="7"/>
      <c r="R29" s="18">
        <v>0.59</v>
      </c>
      <c r="S29" s="7">
        <f>ROUNDUP(Table1[[#This Row],[Qty]]*($C$70*(1+$C$71)),0)</f>
        <v>83</v>
      </c>
      <c r="T29">
        <v>83</v>
      </c>
      <c r="U29" s="21">
        <f>Table1[[#This Row],[Unit Price]]*Table1[[#This Row],[Ordered]]</f>
        <v>48.97</v>
      </c>
    </row>
    <row r="30" spans="1:21" x14ac:dyDescent="0.25">
      <c r="A30" s="5">
        <v>1</v>
      </c>
      <c r="B30" s="5" t="s">
        <v>161</v>
      </c>
      <c r="C30" s="5" t="s">
        <v>69</v>
      </c>
      <c r="D30" s="5">
        <v>2</v>
      </c>
      <c r="E30" s="5" t="s">
        <v>161</v>
      </c>
      <c r="F30" s="5" t="s">
        <v>162</v>
      </c>
      <c r="G30" s="5">
        <f t="shared" si="0"/>
        <v>2</v>
      </c>
      <c r="H30" s="5">
        <f t="shared" si="1"/>
        <v>0</v>
      </c>
      <c r="I30" s="5">
        <f t="shared" si="2"/>
        <v>0</v>
      </c>
      <c r="J30" s="6" t="s">
        <v>67</v>
      </c>
      <c r="K30" s="5" t="s">
        <v>68</v>
      </c>
      <c r="L30" s="5" t="s">
        <v>70</v>
      </c>
      <c r="M30" s="5" t="s">
        <v>1</v>
      </c>
      <c r="N30" s="6">
        <v>1929706</v>
      </c>
      <c r="O30" s="5" t="s">
        <v>176</v>
      </c>
      <c r="P30" s="5" t="s">
        <v>199</v>
      </c>
      <c r="Q30" s="5"/>
      <c r="R30" s="19">
        <v>0.64</v>
      </c>
      <c r="S30" s="5">
        <f>ROUNDUP(Table1[[#This Row],[Qty]]*($C$70*(1+$C$71)),0)</f>
        <v>83</v>
      </c>
      <c r="T30">
        <v>83</v>
      </c>
      <c r="U30" s="21">
        <f>Table1[[#This Row],[Unit Price]]*Table1[[#This Row],[Ordered]]</f>
        <v>53.120000000000005</v>
      </c>
    </row>
    <row r="31" spans="1:21" hidden="1" x14ac:dyDescent="0.25">
      <c r="A31" s="7">
        <v>1</v>
      </c>
      <c r="B31" s="7" t="s">
        <v>162</v>
      </c>
      <c r="C31" s="7" t="s">
        <v>133</v>
      </c>
      <c r="D31" s="7">
        <v>2</v>
      </c>
      <c r="E31" s="7" t="s">
        <v>161</v>
      </c>
      <c r="F31" s="7" t="s">
        <v>162</v>
      </c>
      <c r="G31" s="7">
        <f t="shared" si="0"/>
        <v>0</v>
      </c>
      <c r="H31" s="7">
        <f t="shared" si="1"/>
        <v>0</v>
      </c>
      <c r="I31" s="7">
        <f t="shared" si="2"/>
        <v>0</v>
      </c>
      <c r="J31" s="8" t="s">
        <v>131</v>
      </c>
      <c r="K31" s="7" t="s">
        <v>132</v>
      </c>
      <c r="L31" s="7" t="s">
        <v>134</v>
      </c>
      <c r="M31" s="7"/>
      <c r="N31" s="8"/>
      <c r="O31" s="7"/>
      <c r="P31" s="7"/>
      <c r="Q31" s="7" t="s">
        <v>255</v>
      </c>
      <c r="R31" s="18"/>
      <c r="S31" s="7">
        <f>ROUNDUP(Table1[[#This Row],[Qty]]*($C$70*(1+$C$71)),0)</f>
        <v>83</v>
      </c>
      <c r="U31" s="21">
        <f>Table1[[#This Row],[Unit Price]]*Table1[[#This Row],[Ordered]]</f>
        <v>0</v>
      </c>
    </row>
    <row r="32" spans="1:21" x14ac:dyDescent="0.25">
      <c r="A32" s="5">
        <v>1</v>
      </c>
      <c r="B32" s="5" t="s">
        <v>161</v>
      </c>
      <c r="C32" s="5" t="s">
        <v>18</v>
      </c>
      <c r="D32" s="5">
        <v>4</v>
      </c>
      <c r="E32" s="5" t="s">
        <v>162</v>
      </c>
      <c r="F32" s="5" t="s">
        <v>162</v>
      </c>
      <c r="G32" s="5">
        <f t="shared" si="0"/>
        <v>0</v>
      </c>
      <c r="H32" s="5">
        <f t="shared" si="1"/>
        <v>0</v>
      </c>
      <c r="I32" s="5">
        <f t="shared" si="2"/>
        <v>4</v>
      </c>
      <c r="J32" s="6"/>
      <c r="K32" s="5" t="s">
        <v>17</v>
      </c>
      <c r="L32" s="5" t="s">
        <v>19</v>
      </c>
      <c r="M32" s="5" t="s">
        <v>2</v>
      </c>
      <c r="N32" s="6" t="s">
        <v>20</v>
      </c>
      <c r="O32" s="5" t="s">
        <v>170</v>
      </c>
      <c r="P32" s="5" t="s">
        <v>171</v>
      </c>
      <c r="Q32" s="5" t="s">
        <v>273</v>
      </c>
      <c r="R32" s="19">
        <v>0.2</v>
      </c>
      <c r="S32" s="5">
        <f>ROUNDUP(Table1[[#This Row],[Qty]]*($C$70*(1+$C$71)),0)</f>
        <v>83</v>
      </c>
      <c r="T32">
        <v>83</v>
      </c>
      <c r="U32" s="21">
        <f>Table1[[#This Row],[Unit Price]]*Table1[[#This Row],[Ordered]]</f>
        <v>16.600000000000001</v>
      </c>
    </row>
    <row r="33" spans="1:21" x14ac:dyDescent="0.25">
      <c r="A33" s="7">
        <v>1</v>
      </c>
      <c r="B33" s="7" t="s">
        <v>161</v>
      </c>
      <c r="C33" s="7" t="s">
        <v>81</v>
      </c>
      <c r="D33" s="7">
        <v>2</v>
      </c>
      <c r="E33" s="7" t="s">
        <v>162</v>
      </c>
      <c r="F33" s="7" t="s">
        <v>162</v>
      </c>
      <c r="G33" s="7">
        <f t="shared" si="0"/>
        <v>0</v>
      </c>
      <c r="H33" s="7">
        <f t="shared" si="1"/>
        <v>0</v>
      </c>
      <c r="I33" s="7">
        <f t="shared" si="2"/>
        <v>2</v>
      </c>
      <c r="J33" s="8" t="s">
        <v>79</v>
      </c>
      <c r="K33" s="7" t="s">
        <v>80</v>
      </c>
      <c r="L33" s="7"/>
      <c r="M33" s="7" t="s">
        <v>1</v>
      </c>
      <c r="N33" s="8">
        <v>9350551</v>
      </c>
      <c r="O33" s="7" t="s">
        <v>176</v>
      </c>
      <c r="P33" s="7" t="s">
        <v>181</v>
      </c>
      <c r="Q33" s="7"/>
      <c r="R33" s="18">
        <v>0.33</v>
      </c>
      <c r="S33" s="7">
        <f>ROUNDUP(Table1[[#This Row],[Qty]]*($C$70*(1+$C$71)),0)</f>
        <v>83</v>
      </c>
      <c r="T33">
        <v>100</v>
      </c>
      <c r="U33" s="21">
        <f>Table1[[#This Row],[Unit Price]]*Table1[[#This Row],[Ordered]]</f>
        <v>33</v>
      </c>
    </row>
    <row r="34" spans="1:21" x14ac:dyDescent="0.25">
      <c r="A34" s="5">
        <v>1</v>
      </c>
      <c r="B34" s="5" t="s">
        <v>161</v>
      </c>
      <c r="C34" s="5" t="s">
        <v>65</v>
      </c>
      <c r="D34" s="5">
        <v>4</v>
      </c>
      <c r="E34" s="5" t="s">
        <v>161</v>
      </c>
      <c r="F34" s="5" t="s">
        <v>162</v>
      </c>
      <c r="G34" s="5">
        <f t="shared" si="0"/>
        <v>4</v>
      </c>
      <c r="H34" s="5">
        <f t="shared" si="1"/>
        <v>0</v>
      </c>
      <c r="I34" s="5">
        <f t="shared" si="2"/>
        <v>0</v>
      </c>
      <c r="J34" s="6" t="s">
        <v>63</v>
      </c>
      <c r="K34" s="5" t="s">
        <v>64</v>
      </c>
      <c r="L34" s="5" t="s">
        <v>66</v>
      </c>
      <c r="M34" s="5" t="s">
        <v>1</v>
      </c>
      <c r="N34" s="6">
        <v>1712823</v>
      </c>
      <c r="O34" s="5" t="s">
        <v>190</v>
      </c>
      <c r="P34" s="5" t="s">
        <v>191</v>
      </c>
      <c r="Q34" s="5"/>
      <c r="R34" s="19">
        <v>0.62</v>
      </c>
      <c r="S34" s="5">
        <f>ROUNDUP(Table1[[#This Row],[Qty]]*($C$70*(1+$C$71)),0)</f>
        <v>83</v>
      </c>
      <c r="T34">
        <v>83</v>
      </c>
      <c r="U34" s="21">
        <f>Table1[[#This Row],[Unit Price]]*Table1[[#This Row],[Ordered]]</f>
        <v>51.46</v>
      </c>
    </row>
    <row r="35" spans="1:21" hidden="1" x14ac:dyDescent="0.25">
      <c r="A35" s="7">
        <v>1</v>
      </c>
      <c r="B35" s="7" t="s">
        <v>161</v>
      </c>
      <c r="C35" s="7" t="s">
        <v>30</v>
      </c>
      <c r="D35" s="7">
        <v>2</v>
      </c>
      <c r="E35" s="7" t="s">
        <v>161</v>
      </c>
      <c r="F35" s="7" t="s">
        <v>162</v>
      </c>
      <c r="G35" s="7">
        <f t="shared" si="0"/>
        <v>2</v>
      </c>
      <c r="H35" s="7">
        <f t="shared" si="1"/>
        <v>0</v>
      </c>
      <c r="I35" s="7">
        <f t="shared" si="2"/>
        <v>0</v>
      </c>
      <c r="J35" s="8">
        <v>100</v>
      </c>
      <c r="K35" s="7" t="s">
        <v>25</v>
      </c>
      <c r="L35" s="7" t="s">
        <v>206</v>
      </c>
      <c r="M35" s="7" t="s">
        <v>213</v>
      </c>
      <c r="N35" s="8" t="s">
        <v>217</v>
      </c>
      <c r="O35" s="7" t="s">
        <v>216</v>
      </c>
      <c r="P35" s="7" t="s">
        <v>218</v>
      </c>
      <c r="Q35" s="7"/>
      <c r="R35" s="18"/>
      <c r="S35" s="7">
        <f>ROUNDUP(Table1[[#This Row],[Qty]]*($C$70*(1+$C$71)),0)</f>
        <v>83</v>
      </c>
      <c r="U35" s="21">
        <f>Table1[[#This Row],[Unit Price]]*Table1[[#This Row],[Ordered]]</f>
        <v>0</v>
      </c>
    </row>
    <row r="36" spans="1:21" hidden="1" x14ac:dyDescent="0.25">
      <c r="A36" s="5">
        <v>4</v>
      </c>
      <c r="B36" s="5" t="s">
        <v>161</v>
      </c>
      <c r="C36" s="5" t="s">
        <v>78</v>
      </c>
      <c r="D36" s="5">
        <v>2</v>
      </c>
      <c r="E36" s="5" t="s">
        <v>161</v>
      </c>
      <c r="F36" s="5" t="s">
        <v>162</v>
      </c>
      <c r="G36" s="5">
        <f t="shared" si="0"/>
        <v>8</v>
      </c>
      <c r="H36" s="5">
        <f t="shared" si="1"/>
        <v>0</v>
      </c>
      <c r="I36" s="5">
        <f t="shared" si="2"/>
        <v>0</v>
      </c>
      <c r="J36" s="6" t="s">
        <v>77</v>
      </c>
      <c r="K36" s="5" t="s">
        <v>25</v>
      </c>
      <c r="L36" s="5" t="s">
        <v>206</v>
      </c>
      <c r="M36" s="5" t="s">
        <v>213</v>
      </c>
      <c r="N36" s="6" t="s">
        <v>219</v>
      </c>
      <c r="O36" s="5" t="s">
        <v>216</v>
      </c>
      <c r="P36" s="5" t="s">
        <v>220</v>
      </c>
      <c r="Q36" s="5"/>
      <c r="R36" s="19"/>
      <c r="S36" s="5">
        <f>ROUNDUP(Table1[[#This Row],[Qty]]*($C$70*(1+$C$71)),0)</f>
        <v>330</v>
      </c>
      <c r="U36" s="21">
        <f>Table1[[#This Row],[Unit Price]]*Table1[[#This Row],[Ordered]]</f>
        <v>0</v>
      </c>
    </row>
    <row r="37" spans="1:21" hidden="1" x14ac:dyDescent="0.25">
      <c r="A37" s="7">
        <v>4</v>
      </c>
      <c r="B37" s="7" t="s">
        <v>161</v>
      </c>
      <c r="C37" s="7" t="s">
        <v>72</v>
      </c>
      <c r="D37" s="7">
        <v>2</v>
      </c>
      <c r="E37" s="7" t="s">
        <v>161</v>
      </c>
      <c r="F37" s="7" t="s">
        <v>162</v>
      </c>
      <c r="G37" s="7">
        <f t="shared" si="0"/>
        <v>8</v>
      </c>
      <c r="H37" s="7">
        <f t="shared" si="1"/>
        <v>0</v>
      </c>
      <c r="I37" s="7">
        <f t="shared" si="2"/>
        <v>0</v>
      </c>
      <c r="J37" s="8" t="s">
        <v>71</v>
      </c>
      <c r="K37" s="7" t="s">
        <v>25</v>
      </c>
      <c r="L37" s="7" t="s">
        <v>206</v>
      </c>
      <c r="M37" s="7" t="s">
        <v>213</v>
      </c>
      <c r="N37" s="8" t="s">
        <v>252</v>
      </c>
      <c r="O37" s="7" t="s">
        <v>216</v>
      </c>
      <c r="P37" s="7" t="s">
        <v>253</v>
      </c>
      <c r="Q37" s="7" t="s">
        <v>254</v>
      </c>
      <c r="R37" s="18"/>
      <c r="S37" s="7">
        <f>ROUNDUP(Table1[[#This Row],[Qty]]*($C$70*(1+$C$71)),0)</f>
        <v>330</v>
      </c>
      <c r="U37" s="21">
        <f>Table1[[#This Row],[Unit Price]]*Table1[[#This Row],[Ordered]]</f>
        <v>0</v>
      </c>
    </row>
    <row r="38" spans="1:21" hidden="1" x14ac:dyDescent="0.25">
      <c r="A38" s="5">
        <v>2</v>
      </c>
      <c r="B38" s="5" t="s">
        <v>161</v>
      </c>
      <c r="C38" s="5" t="s">
        <v>35</v>
      </c>
      <c r="D38" s="5">
        <v>2</v>
      </c>
      <c r="E38" s="5" t="s">
        <v>161</v>
      </c>
      <c r="F38" s="5" t="s">
        <v>162</v>
      </c>
      <c r="G38" s="5">
        <f t="shared" si="0"/>
        <v>4</v>
      </c>
      <c r="H38" s="5">
        <f t="shared" si="1"/>
        <v>0</v>
      </c>
      <c r="I38" s="5">
        <f t="shared" si="2"/>
        <v>0</v>
      </c>
      <c r="J38" s="6" t="s">
        <v>34</v>
      </c>
      <c r="K38" s="5" t="s">
        <v>25</v>
      </c>
      <c r="L38" s="5" t="s">
        <v>206</v>
      </c>
      <c r="M38" s="5" t="s">
        <v>213</v>
      </c>
      <c r="N38" s="6" t="s">
        <v>222</v>
      </c>
      <c r="O38" s="5" t="s">
        <v>216</v>
      </c>
      <c r="P38" s="5" t="s">
        <v>221</v>
      </c>
      <c r="Q38" s="5"/>
      <c r="R38" s="19"/>
      <c r="S38" s="5">
        <f>ROUNDUP(Table1[[#This Row],[Qty]]*($C$70*(1+$C$71)),0)</f>
        <v>165</v>
      </c>
      <c r="U38" s="21">
        <f>Table1[[#This Row],[Unit Price]]*Table1[[#This Row],[Ordered]]</f>
        <v>0</v>
      </c>
    </row>
    <row r="39" spans="1:21" hidden="1" x14ac:dyDescent="0.25">
      <c r="A39" s="7">
        <v>3</v>
      </c>
      <c r="B39" s="7" t="s">
        <v>161</v>
      </c>
      <c r="C39" s="7" t="s">
        <v>59</v>
      </c>
      <c r="D39" s="7">
        <v>2</v>
      </c>
      <c r="E39" s="7" t="s">
        <v>161</v>
      </c>
      <c r="F39" s="7" t="s">
        <v>162</v>
      </c>
      <c r="G39" s="7">
        <f t="shared" si="0"/>
        <v>6</v>
      </c>
      <c r="H39" s="7">
        <f t="shared" si="1"/>
        <v>0</v>
      </c>
      <c r="I39" s="7">
        <f t="shared" si="2"/>
        <v>0</v>
      </c>
      <c r="J39" s="8">
        <v>200</v>
      </c>
      <c r="K39" s="7" t="s">
        <v>25</v>
      </c>
      <c r="L39" s="7" t="s">
        <v>206</v>
      </c>
      <c r="M39" s="7" t="s">
        <v>213</v>
      </c>
      <c r="N39" s="8" t="s">
        <v>224</v>
      </c>
      <c r="O39" s="7" t="s">
        <v>216</v>
      </c>
      <c r="P39" s="7" t="s">
        <v>223</v>
      </c>
      <c r="Q39" s="7"/>
      <c r="R39" s="18"/>
      <c r="S39" s="7">
        <f>ROUNDUP(Table1[[#This Row],[Qty]]*($C$70*(1+$C$71)),0)</f>
        <v>248</v>
      </c>
      <c r="U39" s="21">
        <f>Table1[[#This Row],[Unit Price]]*Table1[[#This Row],[Ordered]]</f>
        <v>0</v>
      </c>
    </row>
    <row r="40" spans="1:21" hidden="1" x14ac:dyDescent="0.25">
      <c r="A40" s="5">
        <v>5</v>
      </c>
      <c r="B40" s="5" t="s">
        <v>161</v>
      </c>
      <c r="C40" s="5" t="s">
        <v>54</v>
      </c>
      <c r="D40" s="5">
        <v>2</v>
      </c>
      <c r="E40" s="5" t="s">
        <v>161</v>
      </c>
      <c r="F40" s="5" t="s">
        <v>162</v>
      </c>
      <c r="G40" s="5">
        <f t="shared" si="0"/>
        <v>10</v>
      </c>
      <c r="H40" s="5">
        <f t="shared" si="1"/>
        <v>0</v>
      </c>
      <c r="I40" s="5">
        <f t="shared" si="2"/>
        <v>0</v>
      </c>
      <c r="J40" s="6" t="s">
        <v>53</v>
      </c>
      <c r="K40" s="5" t="s">
        <v>25</v>
      </c>
      <c r="L40" s="5" t="s">
        <v>206</v>
      </c>
      <c r="M40" s="5" t="s">
        <v>213</v>
      </c>
      <c r="N40" s="6" t="s">
        <v>226</v>
      </c>
      <c r="O40" s="5" t="s">
        <v>216</v>
      </c>
      <c r="P40" s="5" t="s">
        <v>225</v>
      </c>
      <c r="Q40" s="5"/>
      <c r="R40" s="19"/>
      <c r="S40" s="5">
        <f>ROUNDUP(Table1[[#This Row],[Qty]]*($C$70*(1+$C$71)),0)</f>
        <v>413</v>
      </c>
      <c r="U40" s="21">
        <f>Table1[[#This Row],[Unit Price]]*Table1[[#This Row],[Ordered]]</f>
        <v>0</v>
      </c>
    </row>
    <row r="41" spans="1:21" hidden="1" x14ac:dyDescent="0.25">
      <c r="A41" s="7">
        <v>1</v>
      </c>
      <c r="B41" s="7" t="s">
        <v>161</v>
      </c>
      <c r="C41" s="7" t="s">
        <v>26</v>
      </c>
      <c r="D41" s="7">
        <v>2</v>
      </c>
      <c r="E41" s="7" t="s">
        <v>161</v>
      </c>
      <c r="F41" s="7" t="s">
        <v>162</v>
      </c>
      <c r="G41" s="7">
        <f t="shared" si="0"/>
        <v>2</v>
      </c>
      <c r="H41" s="7">
        <f t="shared" si="1"/>
        <v>0</v>
      </c>
      <c r="I41" s="7">
        <f t="shared" si="2"/>
        <v>0</v>
      </c>
      <c r="J41" s="8" t="s">
        <v>24</v>
      </c>
      <c r="K41" s="7" t="s">
        <v>25</v>
      </c>
      <c r="L41" s="7" t="s">
        <v>206</v>
      </c>
      <c r="M41" s="7" t="s">
        <v>213</v>
      </c>
      <c r="N41" s="8" t="s">
        <v>228</v>
      </c>
      <c r="O41" s="7" t="s">
        <v>216</v>
      </c>
      <c r="P41" s="7" t="s">
        <v>227</v>
      </c>
      <c r="Q41" s="7"/>
      <c r="R41" s="18"/>
      <c r="S41" s="7">
        <f>ROUNDUP(Table1[[#This Row],[Qty]]*($C$70*(1+$C$71)),0)</f>
        <v>83</v>
      </c>
      <c r="U41" s="21">
        <f>Table1[[#This Row],[Unit Price]]*Table1[[#This Row],[Ordered]]</f>
        <v>0</v>
      </c>
    </row>
    <row r="42" spans="1:21" hidden="1" x14ac:dyDescent="0.25">
      <c r="A42" s="5">
        <v>2</v>
      </c>
      <c r="B42" s="5" t="s">
        <v>161</v>
      </c>
      <c r="C42" s="5" t="s">
        <v>29</v>
      </c>
      <c r="D42" s="5">
        <v>2</v>
      </c>
      <c r="E42" s="5" t="s">
        <v>161</v>
      </c>
      <c r="F42" s="5" t="s">
        <v>162</v>
      </c>
      <c r="G42" s="5">
        <f t="shared" si="0"/>
        <v>4</v>
      </c>
      <c r="H42" s="5">
        <f t="shared" si="1"/>
        <v>0</v>
      </c>
      <c r="I42" s="5">
        <f t="shared" si="2"/>
        <v>0</v>
      </c>
      <c r="J42" s="6">
        <v>10</v>
      </c>
      <c r="K42" s="5" t="s">
        <v>25</v>
      </c>
      <c r="L42" s="5" t="s">
        <v>206</v>
      </c>
      <c r="M42" s="5" t="s">
        <v>213</v>
      </c>
      <c r="N42" s="6" t="s">
        <v>229</v>
      </c>
      <c r="O42" s="5" t="s">
        <v>216</v>
      </c>
      <c r="P42" s="5" t="s">
        <v>230</v>
      </c>
      <c r="Q42" s="5"/>
      <c r="R42" s="19"/>
      <c r="S42" s="5">
        <f>ROUNDUP(Table1[[#This Row],[Qty]]*($C$70*(1+$C$71)),0)</f>
        <v>165</v>
      </c>
      <c r="U42" s="21">
        <f>Table1[[#This Row],[Unit Price]]*Table1[[#This Row],[Ordered]]</f>
        <v>0</v>
      </c>
    </row>
    <row r="43" spans="1:21" hidden="1" x14ac:dyDescent="0.25">
      <c r="A43" s="7">
        <v>4</v>
      </c>
      <c r="B43" s="7" t="s">
        <v>161</v>
      </c>
      <c r="C43" s="7" t="s">
        <v>46</v>
      </c>
      <c r="D43" s="7">
        <v>2</v>
      </c>
      <c r="E43" s="7" t="s">
        <v>161</v>
      </c>
      <c r="F43" s="7" t="s">
        <v>162</v>
      </c>
      <c r="G43" s="7">
        <f t="shared" si="0"/>
        <v>8</v>
      </c>
      <c r="H43" s="7">
        <f t="shared" si="1"/>
        <v>0</v>
      </c>
      <c r="I43" s="7">
        <f t="shared" si="2"/>
        <v>0</v>
      </c>
      <c r="J43" s="8" t="s">
        <v>45</v>
      </c>
      <c r="K43" s="7" t="s">
        <v>25</v>
      </c>
      <c r="L43" s="7" t="s">
        <v>206</v>
      </c>
      <c r="M43" s="7" t="s">
        <v>213</v>
      </c>
      <c r="N43" s="8" t="s">
        <v>231</v>
      </c>
      <c r="O43" s="7" t="s">
        <v>216</v>
      </c>
      <c r="P43" s="7" t="s">
        <v>232</v>
      </c>
      <c r="Q43" s="7"/>
      <c r="R43" s="18"/>
      <c r="S43" s="7">
        <f>ROUNDUP(Table1[[#This Row],[Qty]]*($C$70*(1+$C$71)),0)</f>
        <v>330</v>
      </c>
      <c r="U43" s="21">
        <f>Table1[[#This Row],[Unit Price]]*Table1[[#This Row],[Ordered]]</f>
        <v>0</v>
      </c>
    </row>
    <row r="44" spans="1:21" hidden="1" x14ac:dyDescent="0.25">
      <c r="A44" s="5">
        <v>1</v>
      </c>
      <c r="B44" s="5" t="s">
        <v>161</v>
      </c>
      <c r="C44" s="5" t="s">
        <v>56</v>
      </c>
      <c r="D44" s="5">
        <v>2</v>
      </c>
      <c r="E44" s="5" t="s">
        <v>161</v>
      </c>
      <c r="F44" s="5" t="s">
        <v>162</v>
      </c>
      <c r="G44" s="5">
        <f t="shared" si="0"/>
        <v>2</v>
      </c>
      <c r="H44" s="5">
        <f t="shared" si="1"/>
        <v>0</v>
      </c>
      <c r="I44" s="5">
        <f t="shared" si="2"/>
        <v>0</v>
      </c>
      <c r="J44" s="6" t="s">
        <v>55</v>
      </c>
      <c r="K44" s="5" t="s">
        <v>25</v>
      </c>
      <c r="L44" s="5" t="s">
        <v>206</v>
      </c>
      <c r="M44" s="5" t="s">
        <v>213</v>
      </c>
      <c r="N44" s="6" t="s">
        <v>233</v>
      </c>
      <c r="O44" s="5" t="s">
        <v>216</v>
      </c>
      <c r="P44" s="5" t="s">
        <v>234</v>
      </c>
      <c r="Q44" s="5" t="s">
        <v>239</v>
      </c>
      <c r="R44" s="19"/>
      <c r="S44" s="5">
        <f>ROUNDUP(Table1[[#This Row],[Qty]]*($C$70*(1+$C$71)),0)</f>
        <v>83</v>
      </c>
      <c r="U44" s="21">
        <f>Table1[[#This Row],[Unit Price]]*Table1[[#This Row],[Ordered]]</f>
        <v>0</v>
      </c>
    </row>
    <row r="45" spans="1:21" hidden="1" x14ac:dyDescent="0.25">
      <c r="A45" s="7">
        <v>1</v>
      </c>
      <c r="B45" s="7" t="s">
        <v>161</v>
      </c>
      <c r="C45" s="7" t="s">
        <v>50</v>
      </c>
      <c r="D45" s="7">
        <v>2</v>
      </c>
      <c r="E45" s="7" t="s">
        <v>161</v>
      </c>
      <c r="F45" s="7" t="s">
        <v>162</v>
      </c>
      <c r="G45" s="7">
        <f t="shared" si="0"/>
        <v>2</v>
      </c>
      <c r="H45" s="7">
        <f t="shared" si="1"/>
        <v>0</v>
      </c>
      <c r="I45" s="7">
        <f t="shared" si="2"/>
        <v>0</v>
      </c>
      <c r="J45" s="8" t="s">
        <v>49</v>
      </c>
      <c r="K45" s="7" t="s">
        <v>25</v>
      </c>
      <c r="L45" s="7" t="s">
        <v>206</v>
      </c>
      <c r="M45" s="7" t="s">
        <v>213</v>
      </c>
      <c r="N45" s="8" t="s">
        <v>235</v>
      </c>
      <c r="O45" s="7" t="s">
        <v>216</v>
      </c>
      <c r="P45" s="7" t="s">
        <v>236</v>
      </c>
      <c r="Q45" s="7"/>
      <c r="R45" s="18"/>
      <c r="S45" s="7">
        <f>ROUNDUP(Table1[[#This Row],[Qty]]*($C$70*(1+$C$71)),0)</f>
        <v>83</v>
      </c>
      <c r="U45" s="21">
        <f>Table1[[#This Row],[Unit Price]]*Table1[[#This Row],[Ordered]]</f>
        <v>0</v>
      </c>
    </row>
    <row r="46" spans="1:21" hidden="1" x14ac:dyDescent="0.25">
      <c r="A46" s="5">
        <v>2</v>
      </c>
      <c r="B46" s="5" t="s">
        <v>161</v>
      </c>
      <c r="C46" s="5" t="s">
        <v>28</v>
      </c>
      <c r="D46" s="5">
        <v>2</v>
      </c>
      <c r="E46" s="5" t="s">
        <v>161</v>
      </c>
      <c r="F46" s="5" t="s">
        <v>162</v>
      </c>
      <c r="G46" s="5">
        <f t="shared" si="0"/>
        <v>4</v>
      </c>
      <c r="H46" s="5">
        <f t="shared" si="1"/>
        <v>0</v>
      </c>
      <c r="I46" s="5">
        <f t="shared" si="2"/>
        <v>0</v>
      </c>
      <c r="J46" s="6" t="s">
        <v>27</v>
      </c>
      <c r="K46" s="5" t="s">
        <v>25</v>
      </c>
      <c r="L46" s="5" t="s">
        <v>206</v>
      </c>
      <c r="M46" s="5" t="s">
        <v>213</v>
      </c>
      <c r="N46" s="6" t="s">
        <v>237</v>
      </c>
      <c r="O46" s="5" t="s">
        <v>216</v>
      </c>
      <c r="P46" s="5" t="s">
        <v>240</v>
      </c>
      <c r="Q46" s="5" t="s">
        <v>238</v>
      </c>
      <c r="R46" s="19"/>
      <c r="S46" s="5">
        <f>ROUNDUP(Table1[[#This Row],[Qty]]*($C$70*(1+$C$71)),0)</f>
        <v>165</v>
      </c>
      <c r="U46" s="21">
        <f>Table1[[#This Row],[Unit Price]]*Table1[[#This Row],[Ordered]]</f>
        <v>0</v>
      </c>
    </row>
    <row r="47" spans="1:21" hidden="1" x14ac:dyDescent="0.25">
      <c r="A47" s="7">
        <v>2</v>
      </c>
      <c r="B47" s="7" t="s">
        <v>161</v>
      </c>
      <c r="C47" s="7" t="s">
        <v>73</v>
      </c>
      <c r="D47" s="7">
        <v>2</v>
      </c>
      <c r="E47" s="7" t="s">
        <v>161</v>
      </c>
      <c r="F47" s="7" t="s">
        <v>162</v>
      </c>
      <c r="G47" s="7">
        <f t="shared" si="0"/>
        <v>4</v>
      </c>
      <c r="H47" s="7">
        <f t="shared" si="1"/>
        <v>0</v>
      </c>
      <c r="I47" s="7">
        <f t="shared" si="2"/>
        <v>0</v>
      </c>
      <c r="J47" s="8">
        <v>5</v>
      </c>
      <c r="K47" s="7" t="s">
        <v>25</v>
      </c>
      <c r="L47" s="7" t="s">
        <v>206</v>
      </c>
      <c r="M47" s="7" t="s">
        <v>213</v>
      </c>
      <c r="N47" s="8" t="s">
        <v>241</v>
      </c>
      <c r="O47" s="7" t="s">
        <v>216</v>
      </c>
      <c r="P47" s="7" t="s">
        <v>242</v>
      </c>
      <c r="Q47" s="7" t="s">
        <v>243</v>
      </c>
      <c r="R47" s="18"/>
      <c r="S47" s="7">
        <f>ROUNDUP(Table1[[#This Row],[Qty]]*($C$70*(1+$C$71)),0)</f>
        <v>165</v>
      </c>
      <c r="U47" s="21">
        <f>Table1[[#This Row],[Unit Price]]*Table1[[#This Row],[Ordered]]</f>
        <v>0</v>
      </c>
    </row>
    <row r="48" spans="1:21" x14ac:dyDescent="0.25">
      <c r="A48" s="5">
        <v>1</v>
      </c>
      <c r="B48" s="5" t="s">
        <v>161</v>
      </c>
      <c r="C48" s="5" t="s">
        <v>22</v>
      </c>
      <c r="D48" s="5">
        <v>2</v>
      </c>
      <c r="E48" s="5" t="s">
        <v>161</v>
      </c>
      <c r="F48" s="5" t="s">
        <v>162</v>
      </c>
      <c r="G48" s="5">
        <f t="shared" si="0"/>
        <v>2</v>
      </c>
      <c r="H48" s="5">
        <f t="shared" si="1"/>
        <v>0</v>
      </c>
      <c r="I48" s="5">
        <f t="shared" si="2"/>
        <v>0</v>
      </c>
      <c r="J48" s="6">
        <v>0.01</v>
      </c>
      <c r="K48" s="5" t="s">
        <v>21</v>
      </c>
      <c r="L48" s="5" t="s">
        <v>206</v>
      </c>
      <c r="M48" s="5" t="s">
        <v>1</v>
      </c>
      <c r="N48" s="6">
        <v>2079429</v>
      </c>
      <c r="O48" s="5" t="s">
        <v>201</v>
      </c>
      <c r="P48" s="5" t="s">
        <v>202</v>
      </c>
      <c r="Q48" s="5"/>
      <c r="R48" s="19">
        <v>0.22</v>
      </c>
      <c r="S48" s="5">
        <f>ROUNDUP(Table1[[#This Row],[Qty]]*($C$70*(1+$C$71)),0)</f>
        <v>83</v>
      </c>
      <c r="T48">
        <v>85</v>
      </c>
      <c r="U48" s="21">
        <f>Table1[[#This Row],[Unit Price]]*Table1[[#This Row],[Ordered]]</f>
        <v>18.7</v>
      </c>
    </row>
    <row r="49" spans="1:21" x14ac:dyDescent="0.25">
      <c r="A49" s="7">
        <v>1</v>
      </c>
      <c r="B49" s="7" t="s">
        <v>161</v>
      </c>
      <c r="C49" s="7" t="s">
        <v>23</v>
      </c>
      <c r="D49" s="7">
        <v>2</v>
      </c>
      <c r="E49" s="7" t="s">
        <v>161</v>
      </c>
      <c r="F49" s="7" t="s">
        <v>162</v>
      </c>
      <c r="G49" s="7">
        <f t="shared" si="0"/>
        <v>2</v>
      </c>
      <c r="H49" s="7">
        <f t="shared" si="1"/>
        <v>0</v>
      </c>
      <c r="I49" s="7">
        <f t="shared" si="2"/>
        <v>0</v>
      </c>
      <c r="J49" s="8">
        <v>0.1</v>
      </c>
      <c r="K49" s="7" t="s">
        <v>21</v>
      </c>
      <c r="L49" s="7" t="s">
        <v>206</v>
      </c>
      <c r="M49" s="7" t="s">
        <v>1</v>
      </c>
      <c r="N49" s="8">
        <v>1865265</v>
      </c>
      <c r="O49" s="7" t="s">
        <v>176</v>
      </c>
      <c r="P49" s="7" t="s">
        <v>203</v>
      </c>
      <c r="Q49" s="7"/>
      <c r="R49" s="18">
        <v>0.12</v>
      </c>
      <c r="S49" s="7">
        <f>ROUNDUP(Table1[[#This Row],[Qty]]*($C$70*(1+$C$71)),0)</f>
        <v>83</v>
      </c>
      <c r="T49">
        <v>100</v>
      </c>
      <c r="U49" s="21">
        <f>Table1[[#This Row],[Unit Price]]*Table1[[#This Row],[Ordered]]</f>
        <v>12</v>
      </c>
    </row>
    <row r="50" spans="1:21" hidden="1" x14ac:dyDescent="0.25">
      <c r="A50" s="5">
        <v>1</v>
      </c>
      <c r="B50" s="5" t="s">
        <v>161</v>
      </c>
      <c r="C50" s="5" t="s">
        <v>11</v>
      </c>
      <c r="D50" s="5">
        <v>3</v>
      </c>
      <c r="E50" s="5" t="s">
        <v>162</v>
      </c>
      <c r="F50" s="5" t="s">
        <v>162</v>
      </c>
      <c r="G50" s="5">
        <f t="shared" si="0"/>
        <v>0</v>
      </c>
      <c r="H50" s="5">
        <f t="shared" si="1"/>
        <v>0</v>
      </c>
      <c r="I50" s="5">
        <f t="shared" si="2"/>
        <v>3</v>
      </c>
      <c r="J50" s="6"/>
      <c r="K50" s="5" t="s">
        <v>10</v>
      </c>
      <c r="L50" s="5" t="s">
        <v>12</v>
      </c>
      <c r="M50" s="5" t="s">
        <v>213</v>
      </c>
      <c r="N50" s="6" t="s">
        <v>244</v>
      </c>
      <c r="O50" s="5" t="s">
        <v>245</v>
      </c>
      <c r="P50" s="5" t="s">
        <v>246</v>
      </c>
      <c r="Q50" s="5"/>
      <c r="R50" s="19"/>
      <c r="S50" s="5">
        <f>ROUNDUP(Table1[[#This Row],[Qty]]*($C$70*(1+$C$71)),0)</f>
        <v>83</v>
      </c>
      <c r="U50" s="21">
        <f>Table1[[#This Row],[Unit Price]]*Table1[[#This Row],[Ordered]]</f>
        <v>0</v>
      </c>
    </row>
    <row r="51" spans="1:21" x14ac:dyDescent="0.25">
      <c r="A51" s="7">
        <v>1</v>
      </c>
      <c r="B51" s="7" t="s">
        <v>161</v>
      </c>
      <c r="C51" s="7" t="s">
        <v>7</v>
      </c>
      <c r="D51" s="7">
        <v>3</v>
      </c>
      <c r="E51" s="7" t="s">
        <v>162</v>
      </c>
      <c r="F51" s="7" t="s">
        <v>162</v>
      </c>
      <c r="G51" s="7">
        <f t="shared" si="0"/>
        <v>0</v>
      </c>
      <c r="H51" s="7">
        <f t="shared" si="1"/>
        <v>0</v>
      </c>
      <c r="I51" s="7">
        <f t="shared" si="2"/>
        <v>3</v>
      </c>
      <c r="J51" s="8"/>
      <c r="K51" s="7" t="s">
        <v>6</v>
      </c>
      <c r="L51" s="7" t="s">
        <v>8</v>
      </c>
      <c r="M51" s="7" t="s">
        <v>3</v>
      </c>
      <c r="N51" s="8" t="s">
        <v>9</v>
      </c>
      <c r="O51" s="7" t="s">
        <v>3</v>
      </c>
      <c r="P51" s="8" t="s">
        <v>9</v>
      </c>
      <c r="Q51" s="7"/>
      <c r="R51" s="18">
        <v>0.13</v>
      </c>
      <c r="S51" s="7">
        <f>ROUNDUP(Table1[[#This Row],[Qty]]*($C$70*(1+$C$71)),0)</f>
        <v>83</v>
      </c>
      <c r="T51">
        <v>83</v>
      </c>
      <c r="U51" s="21">
        <f>Table1[[#This Row],[Unit Price]]*Table1[[#This Row],[Ordered]]</f>
        <v>10.790000000000001</v>
      </c>
    </row>
    <row r="52" spans="1:21" x14ac:dyDescent="0.25">
      <c r="A52" s="5">
        <v>1</v>
      </c>
      <c r="B52" s="5" t="s">
        <v>161</v>
      </c>
      <c r="C52" s="5" t="s">
        <v>5</v>
      </c>
      <c r="D52" s="5">
        <v>3</v>
      </c>
      <c r="E52" s="5" t="s">
        <v>161</v>
      </c>
      <c r="F52" s="5" t="s">
        <v>162</v>
      </c>
      <c r="G52" s="5">
        <f t="shared" si="0"/>
        <v>3</v>
      </c>
      <c r="H52" s="5">
        <f t="shared" si="1"/>
        <v>0</v>
      </c>
      <c r="I52" s="5">
        <f t="shared" si="2"/>
        <v>0</v>
      </c>
      <c r="J52" s="6"/>
      <c r="K52" s="5" t="s">
        <v>4</v>
      </c>
      <c r="L52" s="5" t="s">
        <v>164</v>
      </c>
      <c r="M52" s="5" t="s">
        <v>1</v>
      </c>
      <c r="N52" s="6">
        <v>1081232</v>
      </c>
      <c r="O52" s="5" t="s">
        <v>166</v>
      </c>
      <c r="P52" s="5" t="s">
        <v>167</v>
      </c>
      <c r="Q52" s="5"/>
      <c r="R52" s="19">
        <v>1.6E-2</v>
      </c>
      <c r="S52" s="5">
        <f>ROUNDUP(Table1[[#This Row],[Qty]]*($C$70*(1+$C$71)),0)</f>
        <v>83</v>
      </c>
      <c r="T52">
        <v>90</v>
      </c>
      <c r="U52" s="21">
        <f>Table1[[#This Row],[Unit Price]]*Table1[[#This Row],[Ordered]]</f>
        <v>1.44</v>
      </c>
    </row>
    <row r="53" spans="1:21" x14ac:dyDescent="0.25">
      <c r="A53" s="7">
        <v>1</v>
      </c>
      <c r="B53" s="7" t="s">
        <v>161</v>
      </c>
      <c r="C53" s="7" t="s">
        <v>154</v>
      </c>
      <c r="D53" s="7">
        <v>3</v>
      </c>
      <c r="E53" s="7" t="s">
        <v>161</v>
      </c>
      <c r="F53" s="7" t="s">
        <v>162</v>
      </c>
      <c r="G53" s="7">
        <f t="shared" si="0"/>
        <v>3</v>
      </c>
      <c r="H53" s="7">
        <f t="shared" si="1"/>
        <v>0</v>
      </c>
      <c r="I53" s="7">
        <f t="shared" si="2"/>
        <v>0</v>
      </c>
      <c r="J53" s="8" t="s">
        <v>152</v>
      </c>
      <c r="K53" s="7" t="s">
        <v>153</v>
      </c>
      <c r="L53" s="7" t="s">
        <v>155</v>
      </c>
      <c r="M53" s="7" t="s">
        <v>1</v>
      </c>
      <c r="N53" s="8">
        <v>1904027</v>
      </c>
      <c r="O53" s="7" t="s">
        <v>184</v>
      </c>
      <c r="P53" s="7" t="s">
        <v>152</v>
      </c>
      <c r="Q53" s="7"/>
      <c r="R53" s="18">
        <v>0.34</v>
      </c>
      <c r="S53" s="7">
        <f>ROUNDUP(Table1[[#This Row],[Qty]]*($C$70*(1+$C$71)),0)</f>
        <v>83</v>
      </c>
      <c r="T53">
        <v>83</v>
      </c>
      <c r="U53" s="21">
        <f>Table1[[#This Row],[Unit Price]]*Table1[[#This Row],[Ordered]]</f>
        <v>28.220000000000002</v>
      </c>
    </row>
    <row r="54" spans="1:21" x14ac:dyDescent="0.25">
      <c r="A54" s="5">
        <v>2</v>
      </c>
      <c r="B54" s="5" t="s">
        <v>161</v>
      </c>
      <c r="C54" s="5" t="s">
        <v>100</v>
      </c>
      <c r="D54" s="5">
        <v>8</v>
      </c>
      <c r="E54" s="5" t="s">
        <v>161</v>
      </c>
      <c r="F54" s="5" t="s">
        <v>161</v>
      </c>
      <c r="G54" s="5">
        <f t="shared" si="0"/>
        <v>0</v>
      </c>
      <c r="H54" s="5">
        <f t="shared" si="1"/>
        <v>16</v>
      </c>
      <c r="I54" s="5">
        <f t="shared" si="2"/>
        <v>0</v>
      </c>
      <c r="J54" s="6" t="s">
        <v>98</v>
      </c>
      <c r="K54" s="5" t="s">
        <v>99</v>
      </c>
      <c r="L54" s="5" t="s">
        <v>101</v>
      </c>
      <c r="M54" s="5" t="s">
        <v>1</v>
      </c>
      <c r="N54" s="6">
        <v>9845275</v>
      </c>
      <c r="O54" s="5" t="s">
        <v>195</v>
      </c>
      <c r="P54" s="5" t="s">
        <v>196</v>
      </c>
      <c r="Q54" s="5"/>
      <c r="R54" s="19">
        <v>0.42</v>
      </c>
      <c r="S54" s="5">
        <f>ROUNDUP(Table1[[#This Row],[Qty]]*($C$70*(1+$C$71)),0)</f>
        <v>165</v>
      </c>
      <c r="T54">
        <v>165</v>
      </c>
      <c r="U54" s="21">
        <f>Table1[[#This Row],[Unit Price]]*Table1[[#This Row],[Ordered]]</f>
        <v>69.3</v>
      </c>
    </row>
    <row r="55" spans="1:21" x14ac:dyDescent="0.25">
      <c r="A55" s="7">
        <v>1</v>
      </c>
      <c r="B55" s="7" t="s">
        <v>161</v>
      </c>
      <c r="C55" s="7" t="s">
        <v>118</v>
      </c>
      <c r="D55" s="7">
        <v>6</v>
      </c>
      <c r="E55" s="7" t="s">
        <v>161</v>
      </c>
      <c r="F55" s="7" t="s">
        <v>162</v>
      </c>
      <c r="G55" s="7">
        <f t="shared" si="0"/>
        <v>6</v>
      </c>
      <c r="H55" s="7">
        <f t="shared" si="1"/>
        <v>0</v>
      </c>
      <c r="I55" s="7">
        <f t="shared" si="2"/>
        <v>0</v>
      </c>
      <c r="J55" s="8" t="s">
        <v>116</v>
      </c>
      <c r="K55" s="7" t="s">
        <v>117</v>
      </c>
      <c r="L55" s="7"/>
      <c r="M55" s="7" t="s">
        <v>1</v>
      </c>
      <c r="N55" s="8">
        <v>1469178</v>
      </c>
      <c r="O55" s="7" t="s">
        <v>106</v>
      </c>
      <c r="P55" s="7" t="s">
        <v>187</v>
      </c>
      <c r="Q55" s="7"/>
      <c r="R55" s="18">
        <v>1.5</v>
      </c>
      <c r="S55" s="7">
        <f>ROUNDUP(Table1[[#This Row],[Qty]]*($C$70*(1+$C$71)),0)</f>
        <v>83</v>
      </c>
      <c r="T55">
        <v>100</v>
      </c>
      <c r="U55" s="21">
        <f>Table1[[#This Row],[Unit Price]]*Table1[[#This Row],[Ordered]]</f>
        <v>150</v>
      </c>
    </row>
    <row r="56" spans="1:21" x14ac:dyDescent="0.25">
      <c r="A56" s="5">
        <v>4</v>
      </c>
      <c r="B56" s="5" t="s">
        <v>161</v>
      </c>
      <c r="C56" s="5" t="s">
        <v>126</v>
      </c>
      <c r="D56" s="5">
        <v>3</v>
      </c>
      <c r="E56" s="5" t="s">
        <v>161</v>
      </c>
      <c r="F56" s="5" t="s">
        <v>162</v>
      </c>
      <c r="G56" s="5">
        <f t="shared" si="0"/>
        <v>12</v>
      </c>
      <c r="H56" s="5">
        <f t="shared" si="1"/>
        <v>0</v>
      </c>
      <c r="I56" s="5">
        <f t="shared" si="2"/>
        <v>0</v>
      </c>
      <c r="J56" s="6" t="s">
        <v>124</v>
      </c>
      <c r="K56" s="5" t="s">
        <v>125</v>
      </c>
      <c r="L56" s="5" t="s">
        <v>127</v>
      </c>
      <c r="M56" s="5" t="s">
        <v>1</v>
      </c>
      <c r="N56" s="6">
        <v>1713823</v>
      </c>
      <c r="O56" s="5" t="s">
        <v>129</v>
      </c>
      <c r="P56" s="5" t="s">
        <v>128</v>
      </c>
      <c r="Q56" s="5"/>
      <c r="R56" s="19">
        <v>3.9E-2</v>
      </c>
      <c r="S56" s="5">
        <f>ROUNDUP(Table1[[#This Row],[Qty]]*($C$70*(1+$C$71)),0)</f>
        <v>330</v>
      </c>
      <c r="T56">
        <v>330</v>
      </c>
      <c r="U56" s="21">
        <f>Table1[[#This Row],[Unit Price]]*Table1[[#This Row],[Ordered]]</f>
        <v>12.87</v>
      </c>
    </row>
    <row r="57" spans="1:21" x14ac:dyDescent="0.25">
      <c r="A57" s="7">
        <v>1</v>
      </c>
      <c r="B57" s="7" t="s">
        <v>161</v>
      </c>
      <c r="C57" s="7" t="s">
        <v>104</v>
      </c>
      <c r="D57" s="7">
        <v>6</v>
      </c>
      <c r="E57" s="7" t="s">
        <v>161</v>
      </c>
      <c r="F57" s="7" t="s">
        <v>161</v>
      </c>
      <c r="G57" s="7">
        <f t="shared" si="0"/>
        <v>0</v>
      </c>
      <c r="H57" s="7">
        <f t="shared" si="1"/>
        <v>6</v>
      </c>
      <c r="I57" s="7">
        <f t="shared" si="2"/>
        <v>0</v>
      </c>
      <c r="J57" s="8" t="s">
        <v>102</v>
      </c>
      <c r="K57" s="7" t="s">
        <v>103</v>
      </c>
      <c r="L57" s="7" t="s">
        <v>105</v>
      </c>
      <c r="M57" s="7" t="s">
        <v>1</v>
      </c>
      <c r="N57" s="8">
        <v>1754261</v>
      </c>
      <c r="O57" s="7" t="s">
        <v>106</v>
      </c>
      <c r="P57" s="7" t="s">
        <v>102</v>
      </c>
      <c r="Q57" s="7"/>
      <c r="R57" s="18">
        <v>0.69</v>
      </c>
      <c r="S57" s="7">
        <f>ROUNDUP(Table1[[#This Row],[Qty]]*($C$70*(1+$C$71)),0)</f>
        <v>83</v>
      </c>
      <c r="T57">
        <v>100</v>
      </c>
      <c r="U57" s="21">
        <f>Table1[[#This Row],[Unit Price]]*Table1[[#This Row],[Ordered]]</f>
        <v>69</v>
      </c>
    </row>
    <row r="58" spans="1:21" x14ac:dyDescent="0.25">
      <c r="A58" s="5">
        <v>1</v>
      </c>
      <c r="B58" s="5" t="s">
        <v>161</v>
      </c>
      <c r="C58" s="5" t="s">
        <v>130</v>
      </c>
      <c r="D58" s="5">
        <v>8</v>
      </c>
      <c r="E58" s="5" t="s">
        <v>161</v>
      </c>
      <c r="F58" s="5" t="s">
        <v>161</v>
      </c>
      <c r="G58" s="5">
        <f t="shared" si="0"/>
        <v>0</v>
      </c>
      <c r="H58" s="5">
        <f t="shared" si="1"/>
        <v>8</v>
      </c>
      <c r="I58" s="5">
        <f t="shared" si="2"/>
        <v>0</v>
      </c>
      <c r="J58" s="6" t="s">
        <v>188</v>
      </c>
      <c r="K58" s="5" t="s">
        <v>83</v>
      </c>
      <c r="L58" s="5"/>
      <c r="M58" s="5" t="s">
        <v>1</v>
      </c>
      <c r="N58" s="6">
        <v>1858950</v>
      </c>
      <c r="O58" s="5" t="s">
        <v>178</v>
      </c>
      <c r="P58" s="5" t="s">
        <v>275</v>
      </c>
      <c r="Q58" s="5" t="s">
        <v>274</v>
      </c>
      <c r="R58" s="19">
        <v>0.41</v>
      </c>
      <c r="S58" s="5">
        <f>ROUNDUP(Table1[[#This Row],[Qty]]*($C$70*(1+$C$71)),0)</f>
        <v>83</v>
      </c>
      <c r="T58">
        <v>83</v>
      </c>
      <c r="U58" s="21">
        <f>Table1[[#This Row],[Unit Price]]*Table1[[#This Row],[Ordered]]</f>
        <v>34.03</v>
      </c>
    </row>
    <row r="59" spans="1:21" x14ac:dyDescent="0.25">
      <c r="A59" s="7">
        <v>1</v>
      </c>
      <c r="B59" s="7" t="s">
        <v>161</v>
      </c>
      <c r="C59" s="7" t="s">
        <v>121</v>
      </c>
      <c r="D59" s="7">
        <v>3</v>
      </c>
      <c r="E59" s="7" t="s">
        <v>161</v>
      </c>
      <c r="F59" s="7" t="s">
        <v>162</v>
      </c>
      <c r="G59" s="7">
        <f t="shared" si="0"/>
        <v>3</v>
      </c>
      <c r="H59" s="7">
        <f t="shared" si="1"/>
        <v>0</v>
      </c>
      <c r="I59" s="7">
        <f t="shared" si="2"/>
        <v>0</v>
      </c>
      <c r="J59" s="8" t="s">
        <v>119</v>
      </c>
      <c r="K59" s="7" t="s">
        <v>120</v>
      </c>
      <c r="L59" s="7" t="s">
        <v>122</v>
      </c>
      <c r="M59" s="7" t="s">
        <v>1</v>
      </c>
      <c r="N59" s="8">
        <v>1296592</v>
      </c>
      <c r="O59" s="7" t="s">
        <v>123</v>
      </c>
      <c r="P59" s="7" t="s">
        <v>119</v>
      </c>
      <c r="Q59" s="7"/>
      <c r="R59" s="18">
        <v>0.24</v>
      </c>
      <c r="S59" s="7">
        <f>ROUNDUP(Table1[[#This Row],[Qty]]*($C$70*(1+$C$71)),0)</f>
        <v>83</v>
      </c>
      <c r="T59">
        <v>83</v>
      </c>
      <c r="U59" s="21">
        <f>Table1[[#This Row],[Unit Price]]*Table1[[#This Row],[Ordered]]</f>
        <v>19.919999999999998</v>
      </c>
    </row>
    <row r="60" spans="1:21" x14ac:dyDescent="0.25">
      <c r="A60" s="9">
        <v>2</v>
      </c>
      <c r="B60" s="13" t="s">
        <v>161</v>
      </c>
      <c r="C60" s="13" t="s">
        <v>111</v>
      </c>
      <c r="D60" s="13">
        <v>6</v>
      </c>
      <c r="E60" s="13" t="s">
        <v>162</v>
      </c>
      <c r="F60" s="13" t="s">
        <v>162</v>
      </c>
      <c r="G60" s="13">
        <f t="shared" si="0"/>
        <v>0</v>
      </c>
      <c r="H60" s="13">
        <f t="shared" si="1"/>
        <v>0</v>
      </c>
      <c r="I60" s="13">
        <f t="shared" si="2"/>
        <v>12</v>
      </c>
      <c r="J60" s="10" t="s">
        <v>110</v>
      </c>
      <c r="K60" s="9" t="s">
        <v>110</v>
      </c>
      <c r="L60" s="9" t="s">
        <v>112</v>
      </c>
      <c r="M60" s="9" t="s">
        <v>1</v>
      </c>
      <c r="N60" s="10">
        <v>2112372</v>
      </c>
      <c r="O60" s="9" t="s">
        <v>256</v>
      </c>
      <c r="P60" s="9" t="s">
        <v>257</v>
      </c>
      <c r="Q60" s="9"/>
      <c r="R60" s="17">
        <v>0.17100000000000001</v>
      </c>
      <c r="S60" s="15">
        <f>ROUNDUP(Table1[[#This Row],[Qty]]*($C$70*(1+$C$71)),0)</f>
        <v>165</v>
      </c>
      <c r="T60">
        <v>170</v>
      </c>
      <c r="U60" s="21">
        <f>Table1[[#This Row],[Unit Price]]*Table1[[#This Row],[Ordered]]</f>
        <v>29.070000000000004</v>
      </c>
    </row>
    <row r="62" spans="1:21" x14ac:dyDescent="0.25">
      <c r="T62" t="s">
        <v>271</v>
      </c>
      <c r="U62" s="20">
        <f>SUM(Table1[Total Cost])</f>
        <v>1282.6309999999999</v>
      </c>
    </row>
    <row r="63" spans="1:21" x14ac:dyDescent="0.25">
      <c r="A63" s="22"/>
      <c r="B63" s="22"/>
      <c r="C63">
        <f>COUNTIF(B7:B60,"Y")</f>
        <v>53</v>
      </c>
    </row>
    <row r="64" spans="1:21" x14ac:dyDescent="0.25">
      <c r="A64" s="22"/>
      <c r="B64" s="22"/>
      <c r="C64">
        <f>SUMIF(B7:B60,"Y",A7:A60)</f>
        <v>93</v>
      </c>
    </row>
    <row r="65" spans="1:3" x14ac:dyDescent="0.25">
      <c r="A65" s="4"/>
      <c r="B65" s="4"/>
    </row>
    <row r="66" spans="1:3" x14ac:dyDescent="0.25">
      <c r="A66" s="22"/>
      <c r="B66" s="22"/>
      <c r="C66">
        <f>SUM(G7:G60)</f>
        <v>162</v>
      </c>
    </row>
    <row r="67" spans="1:3" x14ac:dyDescent="0.25">
      <c r="A67" s="22"/>
      <c r="B67" s="22"/>
      <c r="C67">
        <f>SUM(H7:H60)</f>
        <v>94</v>
      </c>
    </row>
    <row r="68" spans="1:3" x14ac:dyDescent="0.25">
      <c r="A68" s="22"/>
      <c r="B68" s="22"/>
      <c r="C68">
        <f>SUM(I7:I60)</f>
        <v>59</v>
      </c>
    </row>
    <row r="69" spans="1:3" x14ac:dyDescent="0.25">
      <c r="A69" s="2"/>
      <c r="B69" s="2"/>
    </row>
    <row r="70" spans="1:3" x14ac:dyDescent="0.25">
      <c r="A70" s="22"/>
      <c r="B70" s="22"/>
      <c r="C70">
        <v>75</v>
      </c>
    </row>
    <row r="71" spans="1:3" x14ac:dyDescent="0.25">
      <c r="A71" s="22"/>
      <c r="B71" s="22"/>
      <c r="C71" s="14">
        <v>0.1</v>
      </c>
    </row>
  </sheetData>
  <mergeCells count="8">
    <mergeCell ref="A70:B70"/>
    <mergeCell ref="A71:B71"/>
    <mergeCell ref="A63:B63"/>
    <mergeCell ref="A64:B64"/>
    <mergeCell ref="A1:P2"/>
    <mergeCell ref="A68:B68"/>
    <mergeCell ref="A66:B66"/>
    <mergeCell ref="A67:B67"/>
  </mergeCells>
  <pageMargins left="0.25" right="0.25" top="0.75" bottom="0.75" header="0.3" footer="0.3"/>
  <pageSetup paperSize="9" scale="5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cp:lastPrinted>2013-08-02T10:33:25Z</cp:lastPrinted>
  <dcterms:created xsi:type="dcterms:W3CDTF">2013-07-17T10:20:08Z</dcterms:created>
  <dcterms:modified xsi:type="dcterms:W3CDTF">2013-08-02T10:33:45Z</dcterms:modified>
</cp:coreProperties>
</file>