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firstSheet="1" activeTab="1"/>
  </bookViews>
  <sheets>
    <sheet name="All" sheetId="11" r:id="rId1"/>
    <sheet name="Statuses" sheetId="10" r:id="rId2"/>
    <sheet name="Phoenix (China)" sheetId="36" r:id="rId3"/>
    <sheet name="Vanguard Warrior" sheetId="35" r:id="rId4"/>
    <sheet name="Vengeance Spirit" sheetId="34" r:id="rId5"/>
    <sheet name="Ice Mage" sheetId="33" r:id="rId6"/>
    <sheet name="Commando" sheetId="32" r:id="rId7"/>
    <sheet name="Drunken Master" sheetId="31" r:id="rId8"/>
    <sheet name="Death Mage" sheetId="30" r:id="rId9"/>
    <sheet name="Tusked Storm" sheetId="29" r:id="rId10"/>
    <sheet name="Master Mage" sheetId="28" r:id="rId11"/>
    <sheet name="Shallow Keeper" sheetId="27" r:id="rId12"/>
    <sheet name="Succubus" sheetId="26" r:id="rId13"/>
    <sheet name="Cleric" sheetId="25" r:id="rId14"/>
    <sheet name="Machinist" sheetId="24" r:id="rId15"/>
    <sheet name="Arcane Sapper" sheetId="23" r:id="rId16"/>
    <sheet name="Sniper" sheetId="22" r:id="rId17"/>
    <sheet name="Psychic Sword" sheetId="21" r:id="rId18"/>
    <sheet name="Mystic" sheetId="20" r:id="rId19"/>
    <sheet name="Bear Warrior" sheetId="19" r:id="rId20"/>
    <sheet name="Professional Killer" sheetId="18" r:id="rId21"/>
    <sheet name="Psychopath" sheetId="17" r:id="rId22"/>
    <sheet name="Frost Mage" sheetId="16" r:id="rId23"/>
    <sheet name="Mountain" sheetId="15" r:id="rId24"/>
    <sheet name="Silencer" sheetId="14" r:id="rId25"/>
    <sheet name="Ferryman" sheetId="13" r:id="rId26"/>
    <sheet name="Admiral" sheetId="5" r:id="rId27"/>
    <sheet name="Chaplain" sheetId="9" r:id="rId28"/>
    <sheet name="Necromancer" sheetId="12" r:id="rId29"/>
    <sheet name="Emberstar" sheetId="7" r:id="rId30"/>
    <sheet name="Lightning Master" sheetId="8" r:id="rId31"/>
    <sheet name="Depths Voice" sheetId="1" r:id="rId32"/>
    <sheet name="Leaves Shadows" sheetId="6" r:id="rId33"/>
    <sheet name="Rifleman" sheetId="2" r:id="rId34"/>
    <sheet name="Lightning Elemental" sheetId="3" r:id="rId35"/>
    <sheet name="Common" sheetId="4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6" l="1"/>
  <c r="C21" i="36" s="1"/>
  <c r="C14" i="36"/>
  <c r="C18" i="36" s="1"/>
  <c r="C13" i="36"/>
  <c r="C17" i="36" s="1"/>
  <c r="G7" i="36"/>
  <c r="F7" i="36"/>
  <c r="E7" i="36"/>
  <c r="D7" i="36"/>
  <c r="C7" i="36"/>
  <c r="G6" i="36"/>
  <c r="F6" i="36"/>
  <c r="E6" i="36"/>
  <c r="D6" i="36"/>
  <c r="C6" i="36"/>
  <c r="G5" i="36"/>
  <c r="F5" i="36"/>
  <c r="E5" i="36"/>
  <c r="D5" i="36"/>
  <c r="C5" i="36"/>
  <c r="C20" i="36" l="1"/>
  <c r="C16" i="36"/>
  <c r="C19" i="36"/>
  <c r="C15" i="35"/>
  <c r="C21" i="35" s="1"/>
  <c r="C14" i="35"/>
  <c r="C20" i="35" s="1"/>
  <c r="C13" i="35"/>
  <c r="C16" i="35" s="1"/>
  <c r="G7" i="35"/>
  <c r="F7" i="35"/>
  <c r="E7" i="35"/>
  <c r="D7" i="35"/>
  <c r="C7" i="35"/>
  <c r="G6" i="35"/>
  <c r="F6" i="35"/>
  <c r="E6" i="35"/>
  <c r="D6" i="35"/>
  <c r="C6" i="35"/>
  <c r="G5" i="35"/>
  <c r="F5" i="35"/>
  <c r="E5" i="35"/>
  <c r="D5" i="35"/>
  <c r="C5" i="35"/>
  <c r="C17" i="35" l="1"/>
  <c r="C18" i="35"/>
  <c r="C19" i="35"/>
  <c r="C15" i="34"/>
  <c r="C21" i="34" s="1"/>
  <c r="C14" i="34"/>
  <c r="C20" i="34" s="1"/>
  <c r="C13" i="34"/>
  <c r="C16" i="34" s="1"/>
  <c r="G7" i="34"/>
  <c r="F7" i="34"/>
  <c r="E7" i="34"/>
  <c r="D7" i="34"/>
  <c r="C7" i="34"/>
  <c r="G6" i="34"/>
  <c r="F6" i="34"/>
  <c r="E6" i="34"/>
  <c r="D6" i="34"/>
  <c r="C6" i="34"/>
  <c r="G5" i="34"/>
  <c r="F5" i="34"/>
  <c r="E5" i="34"/>
  <c r="D5" i="34"/>
  <c r="C5" i="34"/>
  <c r="C17" i="34" l="1"/>
  <c r="C18" i="34"/>
  <c r="C19" i="34"/>
  <c r="O3" i="33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21" i="32" s="1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17" i="32" l="1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7" i="31" l="1"/>
  <c r="C15" i="31"/>
  <c r="C21" i="31" s="1"/>
  <c r="C14" i="3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8" i="31" l="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<sst xmlns="http://schemas.openxmlformats.org/spreadsheetml/2006/main" count="3312" uniqueCount="568">
  <si>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</si>
  <si>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</si>
  <si>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</si>
  <si>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</si>
  <si>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</si>
  <si>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</si>
  <si>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</si>
  <si>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</si>
  <si>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</si>
  <si>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</si>
  <si>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</si>
  <si>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</si>
  <si>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</si>
  <si>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</si>
  <si>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</si>
  <si>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</si>
  <si>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</si>
  <si>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</si>
  <si>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</si>
  <si>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</si>
  <si>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</si>
  <si>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</si>
  <si>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</si>
  <si>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</si>
  <si>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</si>
  <si>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</si>
  <si>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</si>
  <si>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</si>
  <si>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</si>
  <si>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</si>
  <si>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</si>
  <si>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</si>
  <si>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</si>
  <si>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</si>
  <si>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</si>
  <si>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</si>
  <si>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</si>
  <si>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</si>
  <si>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</si>
  <si>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</si>
  <si>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</si>
  <si>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</si>
  <si>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</si>
  <si>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</si>
  <si>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</si>
  <si>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</si>
  <si>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</si>
  <si>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</si>
  <si>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</si>
  <si>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</si>
  <si>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</si>
  <si>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</si>
  <si>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</si>
  <si>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</si>
  <si>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</si>
  <si>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</si>
  <si>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</si>
  <si>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</si>
  <si>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</si>
  <si>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</si>
  <si>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</si>
  <si>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</si>
  <si>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</si>
  <si>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</si>
  <si>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</si>
  <si>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</si>
  <si>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</si>
  <si>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</si>
  <si>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</si>
  <si>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</si>
  <si>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</si>
  <si>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</si>
  <si>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</si>
  <si>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</si>
  <si>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</si>
  <si>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</si>
  <si>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</si>
  <si>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</si>
  <si>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</si>
  <si>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</si>
  <si>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</si>
  <si>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</si>
  <si>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</si>
  <si>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</si>
  <si>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</si>
  <si>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</si>
  <si>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</si>
  <si>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</si>
  <si>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</si>
  <si>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</si>
  <si>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</si>
  <si>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</si>
  <si>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</si>
  <si>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</si>
  <si>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</si>
  <si>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</si>
  <si>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</si>
  <si>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</si>
  <si>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</si>
  <si>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</si>
  <si>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</si>
  <si>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</si>
  <si>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</si>
  <si>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</si>
  <si>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</si>
  <si>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</si>
  <si>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</si>
  <si>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</si>
  <si>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</si>
  <si>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</si>
  <si>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</si>
  <si>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</si>
  <si>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</si>
  <si>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</si>
  <si>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</si>
  <si>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</si>
  <si>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</si>
  <si>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</si>
  <si>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</si>
  <si>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</si>
  <si>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</si>
  <si>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</si>
  <si>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</si>
  <si>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</si>
  <si>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</si>
  <si>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</si>
  <si>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</si>
  <si>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</si>
  <si>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</si>
  <si>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</si>
  <si>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</si>
  <si>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</si>
  <si>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</si>
  <si>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</si>
  <si>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</si>
  <si>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</si>
  <si>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</si>
  <si>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</si>
  <si>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</si>
  <si>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</si>
  <si>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</si>
  <si>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</si>
  <si>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</si>
  <si>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</si>
  <si>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</si>
  <si>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</si>
  <si>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</si>
  <si>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</si>
  <si>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</si>
  <si>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</si>
  <si>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</si>
  <si>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</si>
  <si>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</si>
  <si>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</si>
  <si>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</si>
  <si>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</si>
  <si>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</si>
  <si>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</si>
  <si>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</si>
  <si>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</si>
  <si>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</si>
  <si>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</si>
  <si>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</si>
  <si>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</si>
  <si>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</si>
  <si>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</si>
  <si>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</si>
  <si>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</si>
  <si>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</si>
  <si>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</si>
  <si>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</si>
  <si>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</si>
  <si>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</si>
  <si>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</si>
  <si>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</si>
  <si>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</si>
  <si>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</si>
  <si>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</si>
  <si>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</si>
  <si>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</si>
  <si>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</si>
  <si>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</si>
  <si>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</si>
  <si>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</si>
  <si>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</si>
  <si>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</si>
  <si>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</si>
  <si>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</si>
  <si>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</si>
  <si>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</si>
  <si>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</si>
  <si>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</si>
  <si>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</si>
  <si>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</si>
  <si>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</si>
  <si>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</si>
  <si>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</si>
  <si>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</si>
  <si>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</si>
  <si>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</si>
  <si>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</si>
  <si>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</si>
  <si>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</si>
  <si>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</si>
  <si>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</si>
  <si>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</si>
  <si>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</si>
  <si>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</si>
  <si>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</si>
  <si>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</si>
  <si>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</si>
  <si>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</si>
  <si>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</si>
  <si>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</si>
  <si>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</si>
  <si>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</si>
  <si>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</si>
  <si>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</si>
  <si>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</si>
  <si>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</si>
  <si>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</si>
  <si>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</si>
  <si>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</si>
  <si>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</si>
  <si>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</si>
  <si>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</si>
  <si>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</si>
  <si>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</si>
  <si>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</si>
  <si>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</si>
  <si>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</si>
  <si>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</si>
  <si>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</si>
  <si>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</si>
  <si>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</si>
  <si>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</si>
  <si>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</si>
  <si>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</si>
  <si>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</si>
  <si>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</si>
  <si>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</si>
  <si>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</si>
  <si>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</si>
  <si>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</si>
  <si>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</si>
  <si>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</si>
  <si>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</si>
  <si>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</si>
  <si>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</si>
  <si>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</si>
  <si>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</si>
  <si>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</si>
  <si>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</si>
  <si>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</si>
  <si>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</si>
  <si>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</si>
  <si>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</si>
  <si>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</si>
  <si>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</si>
  <si>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</si>
  <si>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</si>
  <si>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</si>
  <si>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</si>
  <si>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</si>
  <si>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</si>
  <si>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</si>
  <si>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</si>
  <si>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</si>
  <si>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</si>
  <si>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</si>
  <si>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</si>
  <si>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</si>
  <si>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</si>
  <si>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</si>
  <si>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</si>
  <si>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</si>
  <si>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</si>
  <si>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</si>
  <si>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</si>
  <si>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</si>
  <si>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</si>
  <si>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</si>
  <si>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</si>
  <si>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</si>
  <si>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</si>
  <si>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</si>
  <si>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</si>
  <si>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</si>
  <si>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</si>
  <si>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</si>
  <si>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</si>
  <si>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</si>
  <si>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</si>
  <si>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</si>
  <si>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</si>
  <si>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</si>
  <si>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</si>
  <si>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</si>
  <si>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</si>
  <si>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</si>
  <si>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</si>
  <si>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</si>
  <si>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</si>
  <si>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</si>
  <si>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</si>
  <si>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</si>
  <si>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</si>
  <si>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</si>
  <si>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</si>
  <si>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</si>
  <si>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</si>
  <si>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</si>
  <si>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</si>
  <si>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</si>
  <si>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</si>
  <si>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</si>
  <si>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</si>
  <si>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</si>
  <si>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</si>
  <si>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</si>
  <si>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</si>
  <si>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</si>
  <si>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</si>
  <si>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</si>
  <si>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</si>
  <si>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</si>
  <si>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</si>
  <si>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</si>
  <si>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</si>
  <si>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</si>
  <si>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</si>
  <si>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</si>
  <si>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</si>
  <si>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</si>
  <si>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</si>
  <si>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</si>
  <si>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</si>
  <si>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</si>
  <si>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</si>
  <si>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</si>
  <si>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</si>
  <si>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</si>
  <si>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</si>
  <si>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</si>
  <si>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</si>
  <si>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</si>
  <si>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</si>
  <si>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</si>
  <si>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</si>
  <si>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</si>
  <si>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</si>
  <si>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</si>
  <si>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</si>
  <si>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</si>
  <si>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</si>
  <si>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</si>
  <si>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</si>
  <si>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</si>
  <si>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</si>
  <si>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</si>
  <si>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</si>
  <si>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</si>
  <si>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</si>
  <si>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</si>
  <si>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</si>
  <si>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</si>
  <si>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</si>
  <si>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</si>
  <si>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</si>
  <si>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</si>
  <si>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</si>
  <si>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</si>
  <si>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</si>
  <si>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</si>
  <si>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</si>
  <si>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</si>
  <si>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</si>
  <si>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</si>
  <si>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</si>
  <si>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</si>
  <si>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</si>
  <si>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</si>
  <si>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</si>
  <si>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</si>
  <si>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</si>
  <si>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</si>
  <si>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</si>
  <si>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</si>
  <si>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</si>
  <si>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</si>
  <si>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</si>
  <si>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</si>
  <si>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</si>
  <si>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</si>
  <si>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</si>
  <si>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</si>
  <si>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</si>
  <si>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</si>
  <si>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</si>
  <si>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</si>
  <si>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</si>
  <si>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Gears+Skills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</si>
  <si>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</si>
  <si>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</si>
  <si>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</si>
  <si>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</si>
  <si>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</si>
  <si>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</si>
  <si>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</si>
  <si>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</si>
  <si>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</si>
  <si>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</si>
  <si>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</si>
  <si>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</si>
  <si>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</si>
  <si>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</si>
  <si>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</si>
  <si>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</si>
  <si>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</si>
  <si>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</si>
  <si>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</si>
  <si>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</si>
  <si>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</si>
  <si>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</si>
  <si>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</si>
  <si>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</si>
  <si>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</si>
  <si>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</si>
  <si>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</si>
  <si>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</si>
  <si>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</si>
  <si>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</si>
  <si>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</si>
  <si>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</si>
  <si>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</si>
  <si>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</si>
  <si>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</si>
  <si>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</si>
  <si>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</si>
  <si>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</si>
  <si>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</si>
  <si>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</si>
  <si>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</si>
  <si>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</si>
  <si>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</si>
  <si>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</si>
  <si>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</si>
  <si>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</si>
  <si>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</si>
  <si>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</si>
  <si>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</si>
  <si>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</si>
  <si>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</si>
  <si>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 xml:space="preserve">Gears 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</si>
  <si>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</si>
  <si>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</si>
  <si>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</si>
  <si>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</si>
  <si>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</si>
  <si>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</si>
  <si>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</si>
  <si>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</si>
  <si>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</si>
  <si>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</si>
  <si>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</si>
  <si>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</si>
  <si>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</si>
  <si>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</si>
  <si>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</si>
  <si>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</si>
  <si>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</si>
  <si>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</si>
  <si>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</si>
  <si>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</si>
  <si>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</si>
  <si>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</si>
  <si>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</si>
  <si>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</si>
  <si>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</si>
  <si>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</si>
  <si>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</si>
  <si>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</si>
  <si>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</si>
  <si>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?</t>
  </si>
  <si>
    <t>Skills+Gears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</si>
  <si>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</si>
  <si>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</si>
  <si>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</si>
  <si>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</si>
  <si>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</si>
  <si>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</si>
  <si>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</si>
  <si>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</si>
  <si>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</si>
  <si>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</si>
  <si>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</si>
  <si>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</si>
  <si>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</si>
  <si>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</si>
  <si>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</si>
  <si>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</si>
  <si>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</si>
  <si>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</si>
  <si>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</si>
  <si>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Phoenix (China)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</si>
  <si>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</si>
  <si>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</si>
  <si>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</si>
  <si>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</si>
  <si>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</si>
  <si>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</si>
  <si>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</si>
  <si>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</si>
  <si>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</si>
  <si>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</si>
  <si>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</si>
  <si>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</si>
  <si>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</si>
  <si>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</si>
  <si>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</si>
  <si>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</si>
  <si>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</si>
  <si>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</si>
  <si>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</si>
  <si>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</si>
  <si>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</si>
  <si>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</si>
  <si>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</si>
  <si>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</si>
  <si>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</si>
  <si>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</si>
  <si>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</si>
  <si>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</si>
  <si>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</si>
  <si>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</si>
  <si>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</si>
  <si>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</si>
  <si>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</si>
  <si>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</si>
  <si>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</si>
  <si>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</si>
  <si>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</si>
  <si>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</si>
  <si>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</si>
  <si>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</si>
  <si>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</si>
  <si>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</si>
  <si>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</si>
  <si>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</si>
  <si>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</si>
  <si>
    <t>Kleln Leaf</t>
  </si>
  <si>
    <t>Stainles Axe</t>
  </si>
  <si>
    <t>Petrify</t>
  </si>
  <si>
    <t>Split Arrow</t>
  </si>
  <si>
    <t>Theft of Essence</t>
  </si>
  <si>
    <t>Wal=dol Blade</t>
  </si>
  <si>
    <t>War Siget of Kreln</t>
  </si>
  <si>
    <t>death kite</t>
  </si>
  <si>
    <t>War Signet of Krelm</t>
  </si>
  <si>
    <t>Transmer of Anums</t>
  </si>
  <si>
    <t>Glo'can Tir</t>
  </si>
  <si>
    <t>Nedan Bone Cest</t>
  </si>
  <si>
    <t>Chest sPlate</t>
  </si>
  <si>
    <t>Kellosian Crusher</t>
  </si>
  <si>
    <t>Phase Bash</t>
  </si>
  <si>
    <t>Charge of Valor</t>
  </si>
  <si>
    <t>Heavier Bash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</si>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</sst>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  <xf numFmtId="0" fontId="5" fillId="5" borderId="1" xfId="5" applyNumberFormat="1"/>
    <xf numFmtId="0" fontId="5" fillId="5" borderId="4" xfId="5" applyBorder="1"/>
    <xf numFmtId="0" fontId="8" fillId="5" borderId="2" xfId="7" applyFill="1" applyBorder="1"/>
    <xf numFmtId="0" fontId="5" fillId="5" borderId="0" xfId="5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7" sqref="I1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442</v>
      </c>
      <c r="N3" s="9" t="s">
        <v>529</v>
      </c>
      <c r="O3" s="9">
        <f>5*B9</f>
        <v>50</v>
      </c>
      <c r="P3" s="9" t="s">
        <v>528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 t="s">
        <v>54</v>
      </c>
      <c r="O4" s="9">
        <f>10.5*B9</f>
        <v>105</v>
      </c>
      <c r="P4" s="9" t="s">
        <v>530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444</v>
      </c>
      <c r="N5" s="9" t="s">
        <v>54</v>
      </c>
      <c r="O5" s="9">
        <f>12*B9</f>
        <v>120</v>
      </c>
      <c r="P5" s="9" t="s">
        <v>533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 t="s">
        <v>532</v>
      </c>
      <c r="O6" s="9">
        <f>0.5*B9</f>
        <v>5</v>
      </c>
      <c r="P6" s="9" t="s">
        <v>531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446</v>
      </c>
      <c r="S12" s="9" t="s">
        <v>31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37</v>
      </c>
      <c r="D13" s="9">
        <v>17</v>
      </c>
      <c r="E13" s="9">
        <v>37</v>
      </c>
      <c r="F13" s="9"/>
      <c r="M13" s="7" t="s">
        <v>47</v>
      </c>
      <c r="N13" s="9" t="s">
        <v>189</v>
      </c>
      <c r="O13" s="9" t="s">
        <v>58</v>
      </c>
      <c r="P13" s="9" t="s">
        <v>447</v>
      </c>
      <c r="Q13" s="9" t="s">
        <v>447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22</v>
      </c>
      <c r="D14" s="9">
        <v>13</v>
      </c>
      <c r="E14" s="9">
        <v>22</v>
      </c>
      <c r="F14" s="9"/>
      <c r="M14" s="7" t="s">
        <v>48</v>
      </c>
      <c r="N14" s="9" t="s">
        <v>337</v>
      </c>
      <c r="O14" s="9" t="s">
        <v>60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46</v>
      </c>
      <c r="D15" s="9">
        <v>21</v>
      </c>
      <c r="E15" s="9">
        <v>46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829</v>
      </c>
      <c r="D16" s="9">
        <v>473</v>
      </c>
      <c r="E16" s="9">
        <v>829</v>
      </c>
      <c r="F16" s="9"/>
      <c r="M16" s="19" t="s">
        <v>50</v>
      </c>
      <c r="N16" s="9" t="s">
        <v>299</v>
      </c>
      <c r="O16" s="9" t="s">
        <v>333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18</v>
      </c>
      <c r="C17" s="9">
        <f>ROUND(B17+C15+C15*Common!$B$2,0)</f>
        <v>82</v>
      </c>
      <c r="D17" s="9">
        <v>47</v>
      </c>
      <c r="E17" s="9">
        <v>82</v>
      </c>
      <c r="F17" s="9"/>
      <c r="M17" s="19" t="s">
        <v>51</v>
      </c>
      <c r="N17" s="9" t="s">
        <v>194</v>
      </c>
      <c r="O17" s="9" t="s">
        <v>193</v>
      </c>
      <c r="P17" s="9" t="s">
        <v>105</v>
      </c>
      <c r="Q17" s="9" t="s">
        <v>334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53</v>
      </c>
      <c r="D18" s="9">
        <v>31</v>
      </c>
      <c r="E18" s="9">
        <v>53</v>
      </c>
      <c r="F18" s="9"/>
      <c r="M18" s="18" t="s">
        <v>52</v>
      </c>
      <c r="N18" s="9" t="s">
        <v>148</v>
      </c>
      <c r="O18" s="9" t="s">
        <v>113</v>
      </c>
      <c r="P18" s="9" t="s">
        <v>340</v>
      </c>
      <c r="Q18" s="9" t="s">
        <v>68</v>
      </c>
      <c r="R18" s="9" t="s">
        <v>449</v>
      </c>
      <c r="S18" s="9" t="s">
        <v>450</v>
      </c>
    </row>
    <row r="19" spans="1:19" ht="16.5" thickTop="1" thickBot="1" x14ac:dyDescent="0.3">
      <c r="A19" s="10" t="s">
        <v>17</v>
      </c>
      <c r="B19" s="22"/>
      <c r="C19" s="9">
        <f>B19+ROUND(C13/7,0)+ROUND(C15/14,0)</f>
        <v>8</v>
      </c>
      <c r="D19" s="9">
        <v>3</v>
      </c>
      <c r="E19" s="9">
        <v>8</v>
      </c>
      <c r="F19" s="9"/>
      <c r="M19" s="18" t="s">
        <v>53</v>
      </c>
      <c r="N19" s="9" t="s">
        <v>200</v>
      </c>
      <c r="O19" s="9" t="s">
        <v>106</v>
      </c>
      <c r="P19" s="9" t="s">
        <v>193</v>
      </c>
      <c r="Q19" s="9" t="s">
        <v>448</v>
      </c>
      <c r="R19" s="9" t="s">
        <v>199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1</v>
      </c>
      <c r="E20" s="9">
        <v>2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18.400000000000002</v>
      </c>
      <c r="D21" s="9">
        <v>8</v>
      </c>
      <c r="E21" s="9">
        <v>18</v>
      </c>
      <c r="F21" s="9"/>
      <c r="M21" s="18" t="s">
        <v>119</v>
      </c>
      <c r="N21" s="9" t="s">
        <v>120</v>
      </c>
      <c r="O21" s="9" t="s">
        <v>115</v>
      </c>
      <c r="P21" s="9" t="s">
        <v>281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2" sqref="F29:K32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437</v>
      </c>
    </row>
    <row r="3" spans="1:19" ht="15.75" thickBot="1" x14ac:dyDescent="0.3">
      <c r="M3" t="s">
        <v>429</v>
      </c>
      <c r="N3" s="9" t="s">
        <v>257</v>
      </c>
      <c r="O3" s="9">
        <f>B9*26.4</f>
        <v>924</v>
      </c>
      <c r="P3" s="9" t="s">
        <v>436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430</v>
      </c>
      <c r="N4" s="9" t="s">
        <v>54</v>
      </c>
      <c r="O4" s="9">
        <f>14.3*B9</f>
        <v>500.5</v>
      </c>
      <c r="P4" s="9" t="s">
        <v>435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431</v>
      </c>
      <c r="N5" s="9" t="s">
        <v>452</v>
      </c>
      <c r="O5" s="9">
        <f>0.03*B9+4.97</f>
        <v>6.02</v>
      </c>
      <c r="P5" s="9" t="s">
        <v>451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432</v>
      </c>
      <c r="N6" s="9" t="s">
        <v>434</v>
      </c>
      <c r="O6" s="9">
        <f>B9*3</f>
        <v>105</v>
      </c>
      <c r="P6" s="9" t="s">
        <v>433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438</v>
      </c>
      <c r="O12" s="9" t="s">
        <v>438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129</v>
      </c>
      <c r="D13" s="9">
        <v>20</v>
      </c>
      <c r="E13" s="9">
        <v>49</v>
      </c>
      <c r="F13" s="9"/>
      <c r="M13" s="7" t="s">
        <v>47</v>
      </c>
      <c r="N13" s="9" t="s">
        <v>131</v>
      </c>
      <c r="O13" s="9" t="s">
        <v>131</v>
      </c>
      <c r="P13" s="9" t="s">
        <v>128</v>
      </c>
      <c r="Q13" s="9" t="s">
        <v>128</v>
      </c>
      <c r="R13" s="9" t="s">
        <v>98</v>
      </c>
      <c r="S13" s="9" t="s">
        <v>59</v>
      </c>
    </row>
    <row r="14" spans="1:19" ht="16.5" thickTop="1" thickBot="1" x14ac:dyDescent="0.3">
      <c r="A14" s="10" t="s">
        <v>13</v>
      </c>
      <c r="B14" s="9">
        <v>23</v>
      </c>
      <c r="C14" s="9">
        <f>B14+$B$9*($B$10+1)*B6</f>
        <v>233</v>
      </c>
      <c r="D14" s="9">
        <v>29</v>
      </c>
      <c r="E14" s="9">
        <v>83</v>
      </c>
      <c r="F14" s="9"/>
      <c r="M14" s="7" t="s">
        <v>48</v>
      </c>
      <c r="N14" s="9" t="s">
        <v>129</v>
      </c>
      <c r="O14" s="9" t="s">
        <v>130</v>
      </c>
      <c r="P14" s="9" t="s">
        <v>128</v>
      </c>
      <c r="Q14" s="9" t="s">
        <v>128</v>
      </c>
      <c r="R14" s="9" t="s">
        <v>127</v>
      </c>
      <c r="S14" s="9" t="s">
        <v>191</v>
      </c>
    </row>
    <row r="15" spans="1:19" ht="16.5" thickTop="1" thickBot="1" x14ac:dyDescent="0.3">
      <c r="A15" s="10" t="s">
        <v>1</v>
      </c>
      <c r="B15" s="9">
        <v>22</v>
      </c>
      <c r="C15" s="9">
        <f>B15+$B$9*($B$10+1)*B7</f>
        <v>141</v>
      </c>
      <c r="D15" s="9">
        <v>25</v>
      </c>
      <c r="E15" s="9">
        <v>56</v>
      </c>
      <c r="F15" s="9"/>
      <c r="M15" s="19" t="s">
        <v>49</v>
      </c>
      <c r="N15" s="9" t="s">
        <v>146</v>
      </c>
      <c r="O15" s="9" t="s">
        <v>129</v>
      </c>
      <c r="P15" s="9" t="s">
        <v>128</v>
      </c>
      <c r="Q15" s="9" t="s">
        <v>128</v>
      </c>
      <c r="R15" s="9"/>
      <c r="S15" s="9" t="s">
        <v>439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2493</v>
      </c>
      <c r="D16" s="9">
        <v>534</v>
      </c>
      <c r="E16" s="9">
        <v>1053</v>
      </c>
      <c r="F16" s="9"/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310</v>
      </c>
      <c r="D17" s="9">
        <v>59</v>
      </c>
      <c r="E17" s="9">
        <v>126</v>
      </c>
      <c r="F17" s="9"/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559</v>
      </c>
      <c r="D18" s="9">
        <v>69</v>
      </c>
      <c r="E18" s="9">
        <v>198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29</v>
      </c>
      <c r="D19" s="9">
        <v>6</v>
      </c>
      <c r="E19" s="9">
        <v>13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23</v>
      </c>
      <c r="D20" s="9">
        <v>3</v>
      </c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56.400000000000006</v>
      </c>
      <c r="D21" s="9">
        <v>10</v>
      </c>
      <c r="E21" s="9">
        <v>22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F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371</v>
      </c>
      <c r="N3" s="9" t="s">
        <v>54</v>
      </c>
      <c r="O3" s="9">
        <f>12*B9</f>
        <v>360</v>
      </c>
      <c r="P3" s="9" t="s">
        <v>375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372</v>
      </c>
      <c r="N4" s="9" t="s">
        <v>54</v>
      </c>
      <c r="O4" s="9">
        <f>12*B9</f>
        <v>360</v>
      </c>
      <c r="P4" s="9" t="s">
        <v>377</v>
      </c>
      <c r="Q4" s="9">
        <f>B9</f>
        <v>30</v>
      </c>
      <c r="R4" s="9" t="s">
        <v>376</v>
      </c>
      <c r="S4" s="9"/>
    </row>
    <row r="5" spans="1:19" ht="16.5" thickTop="1" thickBot="1" x14ac:dyDescent="0.3">
      <c r="A5" s="10" t="s">
        <v>4</v>
      </c>
      <c r="B5" s="17">
        <v>1.5</v>
      </c>
      <c r="C5" s="17">
        <f>B5*2</f>
        <v>3</v>
      </c>
      <c r="D5" s="17">
        <f>B5*3</f>
        <v>4.5</v>
      </c>
      <c r="E5" s="17">
        <f>B5*4</f>
        <v>6</v>
      </c>
      <c r="F5" s="17">
        <f>B5*5</f>
        <v>7.5</v>
      </c>
      <c r="G5" s="17">
        <f>B5*6</f>
        <v>9</v>
      </c>
      <c r="M5" s="19" t="s">
        <v>373</v>
      </c>
      <c r="N5" s="9" t="s">
        <v>54</v>
      </c>
      <c r="O5" s="9">
        <f>6*B9</f>
        <v>180</v>
      </c>
      <c r="P5" s="9" t="s">
        <v>378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374</v>
      </c>
      <c r="N6" s="9" t="s">
        <v>380</v>
      </c>
      <c r="O6" s="9">
        <f>2*B9</f>
        <v>60</v>
      </c>
      <c r="P6" s="9" t="s">
        <v>379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75</v>
      </c>
      <c r="S12" s="9" t="s">
        <v>74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109</v>
      </c>
      <c r="D13" s="9"/>
      <c r="E13" s="9">
        <v>109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31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65</v>
      </c>
      <c r="D14" s="9"/>
      <c r="E14" s="9">
        <v>65</v>
      </c>
      <c r="F14" s="9"/>
      <c r="M14" s="7" t="s">
        <v>48</v>
      </c>
      <c r="N14" s="9" t="s">
        <v>112</v>
      </c>
      <c r="O14" s="9" t="s">
        <v>68</v>
      </c>
      <c r="P14" s="9" t="s">
        <v>103</v>
      </c>
      <c r="Q14" s="9" t="s">
        <v>140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59</v>
      </c>
      <c r="D15" s="9"/>
      <c r="E15" s="9">
        <v>59</v>
      </c>
      <c r="F15" s="9"/>
      <c r="M15" s="19" t="s">
        <v>49</v>
      </c>
      <c r="N15" s="9" t="s">
        <v>107</v>
      </c>
      <c r="O15" s="9" t="s">
        <v>139</v>
      </c>
      <c r="P15" s="9" t="s">
        <v>247</v>
      </c>
      <c r="Q15" s="9" t="s">
        <v>369</v>
      </c>
      <c r="R15" s="9" t="s">
        <v>108</v>
      </c>
      <c r="S15" s="9" t="s">
        <v>370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2134</v>
      </c>
      <c r="D16" s="9"/>
      <c r="E16" s="9">
        <v>2134</v>
      </c>
      <c r="F16" s="9"/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68</v>
      </c>
      <c r="R16" s="9" t="s">
        <v>368</v>
      </c>
      <c r="S16" s="9" t="s">
        <v>370</v>
      </c>
    </row>
    <row r="17" spans="1:19" ht="16.5" thickTop="1" thickBot="1" x14ac:dyDescent="0.3">
      <c r="A17" s="10" t="s">
        <v>15</v>
      </c>
      <c r="B17" s="9">
        <v>21</v>
      </c>
      <c r="C17" s="9">
        <f>ROUND(B17+C13+C15*Common!$B$2,0)</f>
        <v>154</v>
      </c>
      <c r="D17" s="9"/>
      <c r="E17" s="9">
        <v>154</v>
      </c>
      <c r="F17" s="9"/>
      <c r="M17" s="19" t="s">
        <v>51</v>
      </c>
      <c r="N17" s="9" t="s">
        <v>109</v>
      </c>
      <c r="O17" s="9" t="s">
        <v>106</v>
      </c>
      <c r="P17" s="9" t="s">
        <v>147</v>
      </c>
      <c r="Q17" s="9" t="s">
        <v>147</v>
      </c>
      <c r="R17" s="9" t="s">
        <v>78</v>
      </c>
      <c r="S17" s="9" t="s">
        <v>370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156</v>
      </c>
      <c r="D18" s="9"/>
      <c r="E18" s="9">
        <v>157</v>
      </c>
      <c r="F18" s="9"/>
      <c r="M18" s="18" t="s">
        <v>52</v>
      </c>
      <c r="N18" s="9" t="s">
        <v>121</v>
      </c>
      <c r="O18" s="9" t="s">
        <v>110</v>
      </c>
      <c r="P18" s="9" t="s">
        <v>112</v>
      </c>
      <c r="Q18" s="9" t="s">
        <v>103</v>
      </c>
      <c r="R18" s="9" t="s">
        <v>368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21</v>
      </c>
      <c r="D19" s="9"/>
      <c r="E19" s="9">
        <v>21</v>
      </c>
      <c r="F19" s="9"/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369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/>
      <c r="E20" s="9">
        <v>7</v>
      </c>
      <c r="F20" s="9"/>
      <c r="M20" s="18" t="s">
        <v>118</v>
      </c>
      <c r="N20" s="9" t="s">
        <v>115</v>
      </c>
      <c r="O20" s="9" t="s">
        <v>123</v>
      </c>
      <c r="P20" s="9" t="s">
        <v>105</v>
      </c>
      <c r="Q20" s="9" t="s">
        <v>68</v>
      </c>
      <c r="R20" s="9" t="s">
        <v>368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23.6</v>
      </c>
      <c r="D21" s="9"/>
      <c r="E21" s="9">
        <v>23</v>
      </c>
      <c r="F21" s="9"/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110</v>
      </c>
      <c r="R21" s="9" t="s">
        <v>107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1.25</v>
      </c>
      <c r="C6" s="17">
        <f t="shared" ref="C6:C7" si="0">B6*2</f>
        <v>2.5</v>
      </c>
      <c r="D6" s="17">
        <f t="shared" ref="D6:D7" si="1">B6*3</f>
        <v>3.75</v>
      </c>
      <c r="E6" s="17">
        <f t="shared" ref="E6:E7" si="2">B6*4</f>
        <v>5</v>
      </c>
      <c r="F6" s="17">
        <f t="shared" ref="F6:F7" si="3">B6*5</f>
        <v>6.25</v>
      </c>
      <c r="G6" s="17">
        <f t="shared" ref="G6:G7" si="4">B6*6</f>
        <v>7.5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48</v>
      </c>
      <c r="D13" s="9">
        <v>18</v>
      </c>
      <c r="E13" s="9">
        <v>48</v>
      </c>
      <c r="F13" s="9"/>
      <c r="M13" s="7" t="s">
        <v>47</v>
      </c>
      <c r="N13" s="9" t="s">
        <v>61</v>
      </c>
      <c r="O13" s="9" t="s">
        <v>364</v>
      </c>
      <c r="P13" s="9" t="s">
        <v>128</v>
      </c>
      <c r="Q13" s="9" t="s">
        <v>128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72</v>
      </c>
      <c r="D14" s="9">
        <v>5</v>
      </c>
      <c r="E14" s="9">
        <v>72</v>
      </c>
      <c r="F14" s="9"/>
      <c r="M14" s="7" t="s">
        <v>48</v>
      </c>
      <c r="N14" s="9" t="s">
        <v>129</v>
      </c>
      <c r="O14" s="9" t="s">
        <v>247</v>
      </c>
      <c r="P14" s="9" t="s">
        <v>156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56</v>
      </c>
      <c r="D15" s="9">
        <v>4</v>
      </c>
      <c r="E15" s="9">
        <v>56</v>
      </c>
      <c r="F15" s="9"/>
      <c r="M15" s="19" t="s">
        <v>49</v>
      </c>
      <c r="N15" s="9" t="s">
        <v>154</v>
      </c>
      <c r="O15" s="9" t="s">
        <v>250</v>
      </c>
      <c r="P15" s="9" t="s">
        <v>343</v>
      </c>
      <c r="Q15" s="9" t="s">
        <v>135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485</v>
      </c>
      <c r="E16" s="9">
        <v>1035</v>
      </c>
      <c r="F16" s="9"/>
      <c r="M16" s="19" t="s">
        <v>50</v>
      </c>
      <c r="N16" s="9" t="s">
        <v>237</v>
      </c>
      <c r="O16" s="9" t="s">
        <v>142</v>
      </c>
      <c r="P16" s="9" t="s">
        <v>132</v>
      </c>
      <c r="Q16" s="9" t="s">
        <v>365</v>
      </c>
      <c r="R16" s="9" t="s">
        <v>147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112</v>
      </c>
      <c r="D17" s="9">
        <v>52</v>
      </c>
      <c r="E17" s="9">
        <v>112</v>
      </c>
      <c r="F17" s="9"/>
      <c r="M17" s="19" t="s">
        <v>51</v>
      </c>
      <c r="N17" s="9" t="s">
        <v>144</v>
      </c>
      <c r="O17" s="9" t="s">
        <v>253</v>
      </c>
      <c r="P17" s="9" t="s">
        <v>110</v>
      </c>
      <c r="Q17" s="9" t="s">
        <v>129</v>
      </c>
      <c r="R17" s="9" t="s">
        <v>78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173</v>
      </c>
      <c r="D18" s="9">
        <v>64</v>
      </c>
      <c r="E18" s="9">
        <v>172</v>
      </c>
      <c r="F18" s="9"/>
      <c r="M18" s="18" t="s">
        <v>52</v>
      </c>
      <c r="N18" s="9" t="s">
        <v>155</v>
      </c>
      <c r="O18" s="9" t="s">
        <v>184</v>
      </c>
      <c r="P18" s="9" t="s">
        <v>237</v>
      </c>
      <c r="Q18" s="9" t="s">
        <v>153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9">
        <v>3</v>
      </c>
      <c r="E19" s="9">
        <v>11</v>
      </c>
      <c r="F19" s="13"/>
      <c r="G19" s="3"/>
      <c r="H19" s="3"/>
      <c r="I19" s="3"/>
      <c r="M19" s="18" t="s">
        <v>53</v>
      </c>
      <c r="N19" s="9" t="s">
        <v>152</v>
      </c>
      <c r="O19" s="9" t="s">
        <v>366</v>
      </c>
      <c r="P19" s="9" t="s">
        <v>129</v>
      </c>
      <c r="Q19" s="9" t="s">
        <v>350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3</v>
      </c>
      <c r="E20" s="9">
        <v>7</v>
      </c>
      <c r="F20" s="9"/>
      <c r="M20" s="18" t="s">
        <v>118</v>
      </c>
      <c r="N20" s="9" t="s">
        <v>159</v>
      </c>
      <c r="O20" s="9" t="s">
        <v>185</v>
      </c>
      <c r="P20" s="9" t="s">
        <v>161</v>
      </c>
      <c r="Q20" s="9" t="s">
        <v>149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22.400000000000002</v>
      </c>
      <c r="D21" s="9">
        <v>8</v>
      </c>
      <c r="E21" s="9">
        <v>22</v>
      </c>
      <c r="F21" s="9"/>
      <c r="M21" s="18" t="s">
        <v>119</v>
      </c>
      <c r="N21" s="9" t="s">
        <v>162</v>
      </c>
      <c r="O21" s="9" t="s">
        <v>115</v>
      </c>
      <c r="P21" s="9" t="s">
        <v>188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15" sqref="K15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505</v>
      </c>
      <c r="N3" s="9" t="s">
        <v>513</v>
      </c>
      <c r="O3" s="9">
        <f>200+50*B9</f>
        <v>3450</v>
      </c>
      <c r="P3" t="s">
        <v>512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506</v>
      </c>
      <c r="N4" s="9" t="s">
        <v>173</v>
      </c>
      <c r="O4" s="9">
        <f>8*B9</f>
        <v>520</v>
      </c>
      <c r="P4" s="9" t="s">
        <v>511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1.35</v>
      </c>
      <c r="C5" s="17">
        <f>B5*2</f>
        <v>2.7</v>
      </c>
      <c r="D5" s="17">
        <f>B5*3</f>
        <v>4.0500000000000007</v>
      </c>
      <c r="E5" s="17">
        <f>B5*4</f>
        <v>5.4</v>
      </c>
      <c r="F5" s="17">
        <f>B5*5</f>
        <v>6.75</v>
      </c>
      <c r="G5" s="17">
        <f>B5*6</f>
        <v>8.1000000000000014</v>
      </c>
      <c r="M5" s="19" t="s">
        <v>507</v>
      </c>
      <c r="N5" s="9" t="s">
        <v>513</v>
      </c>
      <c r="O5" s="9">
        <f>60*B9</f>
        <v>3900</v>
      </c>
      <c r="P5" s="9" t="s">
        <v>514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508</v>
      </c>
      <c r="N6" s="9" t="s">
        <v>510</v>
      </c>
      <c r="O6" s="9">
        <f>0.1*B9</f>
        <v>6.5</v>
      </c>
      <c r="P6" s="9" t="s">
        <v>509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65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357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192.5</v>
      </c>
      <c r="D13" s="9">
        <v>20</v>
      </c>
      <c r="E13" s="9">
        <v>44</v>
      </c>
      <c r="F13" s="9"/>
      <c r="M13" s="7" t="s">
        <v>47</v>
      </c>
      <c r="N13" s="9" t="s">
        <v>156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132</v>
      </c>
      <c r="D14" s="9">
        <v>17</v>
      </c>
      <c r="E14" s="9">
        <v>33</v>
      </c>
      <c r="F14" s="9"/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123.5</v>
      </c>
      <c r="D15" s="9">
        <v>15</v>
      </c>
      <c r="E15" s="9">
        <v>30</v>
      </c>
      <c r="F15" s="9"/>
      <c r="M15" s="19" t="s">
        <v>49</v>
      </c>
      <c r="N15" s="9" t="s">
        <v>138</v>
      </c>
      <c r="O15" s="9" t="s">
        <v>102</v>
      </c>
      <c r="P15" s="9" t="s">
        <v>65</v>
      </c>
      <c r="Q15" s="9" t="s">
        <v>358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3641</v>
      </c>
      <c r="D16" s="9">
        <v>531</v>
      </c>
      <c r="E16" s="9">
        <v>968</v>
      </c>
      <c r="F16" s="9"/>
      <c r="M16" s="19" t="s">
        <v>50</v>
      </c>
      <c r="N16" s="9" t="s">
        <v>137</v>
      </c>
      <c r="O16" s="9" t="s">
        <v>146</v>
      </c>
      <c r="P16" s="9" t="s">
        <v>247</v>
      </c>
      <c r="Q16" s="9" t="s">
        <v>334</v>
      </c>
      <c r="R16" s="9" t="s">
        <v>359</v>
      </c>
      <c r="S16" s="9" t="s">
        <v>136</v>
      </c>
    </row>
    <row r="17" spans="1:19" ht="16.5" thickTop="1" thickBot="1" x14ac:dyDescent="0.3">
      <c r="A17" s="10" t="s">
        <v>15</v>
      </c>
      <c r="B17" s="9">
        <v>30</v>
      </c>
      <c r="C17" s="9">
        <f>ROUND(B17+C13+C15*Common!$B$2,0)</f>
        <v>272</v>
      </c>
      <c r="D17" s="9">
        <v>56</v>
      </c>
      <c r="E17" s="9">
        <v>86</v>
      </c>
      <c r="F17" s="9"/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139</v>
      </c>
      <c r="R17" s="9" t="s">
        <v>135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317</v>
      </c>
      <c r="D18" s="9">
        <v>41</v>
      </c>
      <c r="E18" s="9">
        <v>80</v>
      </c>
      <c r="F18" s="9"/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360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39</v>
      </c>
      <c r="D19" s="9">
        <v>5</v>
      </c>
      <c r="E19" s="9">
        <v>10</v>
      </c>
      <c r="F19" s="9"/>
      <c r="M19" s="18" t="s">
        <v>53</v>
      </c>
      <c r="N19" s="9" t="s">
        <v>152</v>
      </c>
      <c r="O19" s="9" t="s">
        <v>121</v>
      </c>
      <c r="P19" s="9" t="s">
        <v>149</v>
      </c>
      <c r="Q19" s="9" t="s">
        <v>361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13</v>
      </c>
      <c r="D20" s="9">
        <v>2</v>
      </c>
      <c r="E20" s="9">
        <v>3</v>
      </c>
      <c r="F20" s="9"/>
      <c r="M20" s="18" t="s">
        <v>118</v>
      </c>
      <c r="N20" s="9" t="s">
        <v>150</v>
      </c>
      <c r="O20" s="9" t="s">
        <v>144</v>
      </c>
      <c r="P20" s="9" t="s">
        <v>362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49.400000000000006</v>
      </c>
      <c r="D21" s="9">
        <v>6</v>
      </c>
      <c r="E21" s="9">
        <v>12</v>
      </c>
      <c r="F21" s="9"/>
      <c r="M21" s="18" t="s">
        <v>119</v>
      </c>
      <c r="N21" s="9" t="s">
        <v>115</v>
      </c>
      <c r="O21" s="9" t="s">
        <v>109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O13" sqref="O1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349</v>
      </c>
      <c r="Q12" s="9" t="s">
        <v>349</v>
      </c>
      <c r="R12" s="9" t="s">
        <v>330</v>
      </c>
      <c r="S12" s="9" t="s">
        <v>74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F13" s="9"/>
      <c r="M13" s="7" t="s">
        <v>47</v>
      </c>
      <c r="N13" s="9" t="s">
        <v>156</v>
      </c>
      <c r="O13" s="9" t="s">
        <v>128</v>
      </c>
      <c r="P13" s="9" t="s">
        <v>128</v>
      </c>
      <c r="Q13" s="9" t="s">
        <v>128</v>
      </c>
      <c r="R13" s="9" t="s">
        <v>330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55</v>
      </c>
      <c r="D14" s="9">
        <v>28</v>
      </c>
      <c r="E14" s="9">
        <v>55</v>
      </c>
      <c r="F14" s="9"/>
      <c r="M14" s="7" t="s">
        <v>48</v>
      </c>
      <c r="N14" s="9" t="s">
        <v>129</v>
      </c>
      <c r="O14" s="9" t="s">
        <v>332</v>
      </c>
      <c r="P14" s="9" t="s">
        <v>350</v>
      </c>
      <c r="Q14" s="9" t="s">
        <v>128</v>
      </c>
      <c r="R14" s="9" t="s">
        <v>351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24</v>
      </c>
      <c r="D15" s="9">
        <v>1.2</v>
      </c>
      <c r="E15" s="9">
        <v>24</v>
      </c>
      <c r="F15" s="9"/>
      <c r="M15" s="19" t="s">
        <v>49</v>
      </c>
      <c r="N15" s="9" t="s">
        <v>154</v>
      </c>
      <c r="O15" s="9" t="s">
        <v>146</v>
      </c>
      <c r="P15" s="9" t="s">
        <v>135</v>
      </c>
      <c r="Q15" s="9" t="s">
        <v>246</v>
      </c>
      <c r="R15" s="9" t="s">
        <v>128</v>
      </c>
      <c r="S15" s="9" t="s">
        <v>114</v>
      </c>
    </row>
    <row r="16" spans="1:19" ht="16.5" thickTop="1" thickBot="1" x14ac:dyDescent="0.3">
      <c r="A16" s="10" t="s">
        <v>14</v>
      </c>
      <c r="B16" s="9">
        <v>167</v>
      </c>
      <c r="C16" s="9">
        <f>ROUNDDOWN(B16+C13*Common!$B$1,0)</f>
        <v>797</v>
      </c>
      <c r="D16" s="9">
        <v>473</v>
      </c>
      <c r="E16" s="9">
        <v>797</v>
      </c>
      <c r="F16" s="9"/>
      <c r="M16" s="19" t="s">
        <v>50</v>
      </c>
      <c r="N16" s="9" t="s">
        <v>154</v>
      </c>
      <c r="O16" s="9" t="s">
        <v>142</v>
      </c>
      <c r="P16" s="9" t="s">
        <v>100</v>
      </c>
      <c r="Q16" s="9" t="s">
        <v>129</v>
      </c>
      <c r="R16" s="9" t="s">
        <v>128</v>
      </c>
      <c r="S16" s="9" t="s">
        <v>114</v>
      </c>
    </row>
    <row r="17" spans="1:19" ht="16.5" thickTop="1" thickBot="1" x14ac:dyDescent="0.3">
      <c r="A17" s="10" t="s">
        <v>15</v>
      </c>
      <c r="B17" s="9">
        <v>19</v>
      </c>
      <c r="C17" s="9">
        <f>ROUND(B17+C14+C15*Common!$B$2,0)</f>
        <v>84</v>
      </c>
      <c r="D17" s="9">
        <v>53</v>
      </c>
      <c r="E17" s="9">
        <v>84</v>
      </c>
      <c r="F17" s="9"/>
      <c r="M17" s="19" t="s">
        <v>51</v>
      </c>
      <c r="N17" s="9" t="s">
        <v>144</v>
      </c>
      <c r="O17" s="9" t="s">
        <v>183</v>
      </c>
      <c r="P17" s="9" t="s">
        <v>110</v>
      </c>
      <c r="Q17" s="9" t="s">
        <v>333</v>
      </c>
      <c r="R17" s="9" t="s">
        <v>127</v>
      </c>
      <c r="S17" s="9" t="s">
        <v>114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132</v>
      </c>
      <c r="D18" s="9">
        <v>67</v>
      </c>
      <c r="E18" s="9">
        <v>132</v>
      </c>
      <c r="F18" s="9"/>
      <c r="M18" s="18" t="s">
        <v>52</v>
      </c>
      <c r="N18" s="9" t="s">
        <v>155</v>
      </c>
      <c r="O18" s="9" t="s">
        <v>113</v>
      </c>
      <c r="P18" s="9" t="s">
        <v>237</v>
      </c>
      <c r="Q18" s="9" t="s">
        <v>352</v>
      </c>
      <c r="R18" s="9" t="s">
        <v>127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5</v>
      </c>
      <c r="E19" s="9">
        <v>8</v>
      </c>
      <c r="F19" s="13"/>
      <c r="G19" s="3"/>
      <c r="H19" s="3"/>
      <c r="I19" s="3"/>
      <c r="M19" s="18" t="s">
        <v>53</v>
      </c>
      <c r="N19" s="9" t="s">
        <v>152</v>
      </c>
      <c r="O19" s="9" t="s">
        <v>151</v>
      </c>
      <c r="P19" s="9" t="s">
        <v>149</v>
      </c>
      <c r="Q19" s="9" t="s">
        <v>153</v>
      </c>
      <c r="R19" s="9" t="s">
        <v>140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5</v>
      </c>
      <c r="F20" s="9"/>
      <c r="M20" s="18" t="s">
        <v>118</v>
      </c>
      <c r="N20" s="9" t="s">
        <v>159</v>
      </c>
      <c r="O20" s="9" t="s">
        <v>194</v>
      </c>
      <c r="P20" s="9" t="s">
        <v>144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9.6000000000000014</v>
      </c>
      <c r="D21" s="9">
        <v>5</v>
      </c>
      <c r="E21" s="9">
        <v>10</v>
      </c>
      <c r="F21" s="9"/>
      <c r="M21" s="18" t="s">
        <v>119</v>
      </c>
      <c r="N21" s="9" t="s">
        <v>162</v>
      </c>
      <c r="O21" s="9" t="s">
        <v>188</v>
      </c>
      <c r="P21" s="9" t="s">
        <v>353</v>
      </c>
      <c r="Q21" s="9" t="s">
        <v>113</v>
      </c>
      <c r="R21" s="9" t="s">
        <v>341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2" sqref="J22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492</v>
      </c>
      <c r="N3" s="9" t="s">
        <v>54</v>
      </c>
      <c r="O3" s="9">
        <f>B9*11</f>
        <v>110</v>
      </c>
      <c r="P3" s="9"/>
      <c r="Q3" s="9"/>
      <c r="R3" s="9" t="s">
        <v>496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493</v>
      </c>
      <c r="N4" s="9" t="s">
        <v>54</v>
      </c>
      <c r="O4" s="9">
        <f>9.8*B9</f>
        <v>98</v>
      </c>
      <c r="P4" s="9" t="s">
        <v>498</v>
      </c>
      <c r="Q4" s="9">
        <f>40+0.5*B9</f>
        <v>45</v>
      </c>
      <c r="R4" s="9" t="s">
        <v>497</v>
      </c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494</v>
      </c>
      <c r="N5" s="9" t="s">
        <v>500</v>
      </c>
      <c r="O5" s="9">
        <f>3*B9</f>
        <v>30</v>
      </c>
      <c r="P5" s="9"/>
      <c r="Q5" s="9"/>
      <c r="R5" s="9" t="s">
        <v>499</v>
      </c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495</v>
      </c>
      <c r="N6" s="9" t="s">
        <v>502</v>
      </c>
      <c r="O6" s="9">
        <f>2+B9</f>
        <v>12</v>
      </c>
      <c r="P6" s="9"/>
      <c r="Q6" s="9"/>
      <c r="R6" s="9" t="s">
        <v>501</v>
      </c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31</v>
      </c>
      <c r="R12" s="9" t="s">
        <v>29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F13" s="9"/>
      <c r="M13" s="7" t="s">
        <v>47</v>
      </c>
      <c r="N13" s="9" t="s">
        <v>135</v>
      </c>
      <c r="O13" s="9" t="s">
        <v>336</v>
      </c>
      <c r="P13" s="9" t="s">
        <v>31</v>
      </c>
      <c r="Q13" s="9" t="s">
        <v>78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31</v>
      </c>
      <c r="D14" s="9">
        <v>15</v>
      </c>
      <c r="E14" s="9">
        <v>31</v>
      </c>
      <c r="F14" s="9"/>
      <c r="M14" s="7" t="s">
        <v>48</v>
      </c>
      <c r="N14" s="9" t="s">
        <v>247</v>
      </c>
      <c r="O14" s="9" t="s">
        <v>103</v>
      </c>
      <c r="P14" s="9" t="s">
        <v>56</v>
      </c>
      <c r="Q14" s="9" t="s">
        <v>56</v>
      </c>
      <c r="R14" s="9" t="s">
        <v>29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F15" s="9"/>
      <c r="M15" s="19" t="s">
        <v>49</v>
      </c>
      <c r="N15" s="9" t="s">
        <v>100</v>
      </c>
      <c r="O15" s="9" t="s">
        <v>190</v>
      </c>
      <c r="P15" s="9" t="s">
        <v>337</v>
      </c>
      <c r="Q15" s="9" t="s">
        <v>31</v>
      </c>
      <c r="R15" s="9" t="s">
        <v>78</v>
      </c>
      <c r="S15" s="9" t="s">
        <v>69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F16" s="9"/>
      <c r="M16" s="19" t="s">
        <v>50</v>
      </c>
      <c r="N16" s="9" t="s">
        <v>106</v>
      </c>
      <c r="O16" s="9" t="s">
        <v>338</v>
      </c>
      <c r="P16" s="9" t="s">
        <v>68</v>
      </c>
      <c r="Q16" s="9" t="s">
        <v>339</v>
      </c>
      <c r="R16" s="9" t="s">
        <v>29</v>
      </c>
      <c r="S16" s="9" t="s">
        <v>69</v>
      </c>
    </row>
    <row r="17" spans="1:19" ht="16.5" thickTop="1" thickBot="1" x14ac:dyDescent="0.3">
      <c r="A17" s="10" t="s">
        <v>15</v>
      </c>
      <c r="B17" s="9">
        <v>29</v>
      </c>
      <c r="C17" s="9">
        <f>ROUND(B17+C15+C15*Common!$B$2,0)</f>
        <v>92</v>
      </c>
      <c r="D17" s="9">
        <v>56</v>
      </c>
      <c r="E17" s="9">
        <v>92</v>
      </c>
      <c r="F17" s="9"/>
      <c r="M17" s="19" t="s">
        <v>51</v>
      </c>
      <c r="N17" s="9" t="s">
        <v>194</v>
      </c>
      <c r="O17" s="9" t="s">
        <v>340</v>
      </c>
      <c r="P17" s="9" t="s">
        <v>341</v>
      </c>
      <c r="Q17" s="9" t="s">
        <v>57</v>
      </c>
      <c r="R17" s="9" t="s">
        <v>337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74</v>
      </c>
      <c r="D18" s="9">
        <v>36</v>
      </c>
      <c r="E18" s="9">
        <v>75</v>
      </c>
      <c r="F18" s="9"/>
      <c r="M18" s="18" t="s">
        <v>52</v>
      </c>
      <c r="N18" s="9" t="s">
        <v>297</v>
      </c>
      <c r="O18" s="9" t="s">
        <v>106</v>
      </c>
      <c r="P18" s="9" t="s">
        <v>67</v>
      </c>
      <c r="Q18" s="9" t="s">
        <v>100</v>
      </c>
      <c r="R18" s="9" t="s">
        <v>62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4</v>
      </c>
      <c r="E19" s="9">
        <v>8</v>
      </c>
      <c r="F19" s="13"/>
      <c r="G19" s="3"/>
      <c r="H19" s="3"/>
      <c r="I19" s="3"/>
      <c r="M19" s="18" t="s">
        <v>53</v>
      </c>
      <c r="N19" s="9" t="s">
        <v>200</v>
      </c>
      <c r="O19" s="9" t="s">
        <v>342</v>
      </c>
      <c r="P19" s="9" t="s">
        <v>105</v>
      </c>
      <c r="Q19" s="9" t="s">
        <v>247</v>
      </c>
      <c r="R19" s="9"/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F20" s="9"/>
      <c r="M20" s="18" t="s">
        <v>118</v>
      </c>
      <c r="N20" s="9" t="s">
        <v>300</v>
      </c>
      <c r="O20" s="9" t="s">
        <v>194</v>
      </c>
      <c r="P20" s="9" t="s">
        <v>151</v>
      </c>
      <c r="Q20" s="9" t="s">
        <v>299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F21" s="9"/>
      <c r="M21" s="18" t="s">
        <v>119</v>
      </c>
      <c r="N21" s="9" t="s">
        <v>200</v>
      </c>
      <c r="O21" s="9" t="s">
        <v>120</v>
      </c>
      <c r="P21" s="9" t="s">
        <v>188</v>
      </c>
      <c r="Q21" s="9" t="s">
        <v>110</v>
      </c>
      <c r="R21" s="9" t="s">
        <v>62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7" sqref="J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289</v>
      </c>
      <c r="N3" s="9" t="s">
        <v>54</v>
      </c>
      <c r="O3" s="9">
        <f>25.2*B9</f>
        <v>252</v>
      </c>
      <c r="P3" s="9" t="s">
        <v>427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420</v>
      </c>
      <c r="N4" s="9" t="s">
        <v>54</v>
      </c>
      <c r="O4" s="9">
        <f>10.5*B9</f>
        <v>105</v>
      </c>
      <c r="P4" s="9" t="s">
        <v>426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421</v>
      </c>
      <c r="N5" s="9" t="s">
        <v>54</v>
      </c>
      <c r="O5" s="9">
        <f>8.25*B9</f>
        <v>82.5</v>
      </c>
      <c r="P5" s="9" t="s">
        <v>425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422</v>
      </c>
      <c r="N6" s="9" t="s">
        <v>423</v>
      </c>
      <c r="O6" s="9">
        <f>3*B9</f>
        <v>30</v>
      </c>
      <c r="P6" s="9" t="s">
        <v>424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33</v>
      </c>
      <c r="S12" s="9" t="s">
        <v>31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31</v>
      </c>
      <c r="D13" s="9">
        <v>16</v>
      </c>
      <c r="E13" s="9">
        <v>31</v>
      </c>
      <c r="F13" s="9"/>
      <c r="M13" s="7" t="s">
        <v>47</v>
      </c>
      <c r="N13" s="9" t="s">
        <v>56</v>
      </c>
      <c r="O13" s="9" t="s">
        <v>56</v>
      </c>
      <c r="P13" s="9" t="s">
        <v>66</v>
      </c>
      <c r="Q13" s="9" t="s">
        <v>343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33</v>
      </c>
      <c r="D14" s="9">
        <v>15</v>
      </c>
      <c r="E14" s="9">
        <v>33</v>
      </c>
      <c r="F14" s="9"/>
      <c r="M14" s="7" t="s">
        <v>48</v>
      </c>
      <c r="N14" s="9" t="s">
        <v>196</v>
      </c>
      <c r="O14" s="9" t="s">
        <v>344</v>
      </c>
      <c r="P14" s="9" t="s">
        <v>345</v>
      </c>
      <c r="Q14" s="9" t="s">
        <v>60</v>
      </c>
      <c r="R14" s="9" t="s">
        <v>66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47</v>
      </c>
      <c r="D15" s="9">
        <v>21</v>
      </c>
      <c r="E15" s="9">
        <v>47</v>
      </c>
      <c r="F15" s="9"/>
      <c r="M15" s="19" t="s">
        <v>49</v>
      </c>
      <c r="N15" s="9" t="s">
        <v>100</v>
      </c>
      <c r="O15" s="9" t="s">
        <v>111</v>
      </c>
      <c r="P15" s="9" t="s">
        <v>190</v>
      </c>
      <c r="Q15" s="9" t="s">
        <v>66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729</v>
      </c>
      <c r="D16" s="9">
        <v>454</v>
      </c>
      <c r="E16" s="9">
        <v>729</v>
      </c>
      <c r="F16" s="9"/>
      <c r="M16" s="19" t="s">
        <v>50</v>
      </c>
      <c r="N16" s="9" t="s">
        <v>193</v>
      </c>
      <c r="O16" s="9" t="s">
        <v>346</v>
      </c>
      <c r="P16" s="9" t="s">
        <v>105</v>
      </c>
      <c r="Q16" s="9" t="s">
        <v>63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76</v>
      </c>
      <c r="D17" s="9">
        <v>39</v>
      </c>
      <c r="E17" s="9">
        <v>76</v>
      </c>
      <c r="F17" s="9"/>
      <c r="M17" s="19" t="s">
        <v>51</v>
      </c>
      <c r="N17" s="9" t="s">
        <v>340</v>
      </c>
      <c r="O17" s="9" t="s">
        <v>151</v>
      </c>
      <c r="P17" s="9" t="s">
        <v>196</v>
      </c>
      <c r="Q17" s="9" t="s">
        <v>62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35</v>
      </c>
      <c r="E18" s="9">
        <v>80</v>
      </c>
      <c r="F18" s="9"/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7</v>
      </c>
      <c r="D19" s="9">
        <v>3</v>
      </c>
      <c r="E19" s="9">
        <v>7</v>
      </c>
      <c r="F19" s="9"/>
      <c r="M19" s="18" t="s">
        <v>53</v>
      </c>
      <c r="N19" s="9" t="s">
        <v>347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160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18.8</v>
      </c>
      <c r="D21" s="9">
        <v>8</v>
      </c>
      <c r="E21" s="9">
        <v>19</v>
      </c>
      <c r="F21" s="9"/>
      <c r="M21" s="18" t="s">
        <v>119</v>
      </c>
      <c r="N21" s="9" t="s">
        <v>120</v>
      </c>
      <c r="O21" s="9" t="s">
        <v>348</v>
      </c>
      <c r="P21" s="9" t="s">
        <v>297</v>
      </c>
      <c r="Q21" s="9" t="s">
        <v>125</v>
      </c>
      <c r="R21" s="9" t="s">
        <v>100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6" workbookViewId="0">
      <selection activeCell="H26" sqref="H26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10" t="s">
        <v>87</v>
      </c>
      <c r="B1" s="10" t="s">
        <v>88</v>
      </c>
    </row>
    <row r="2" spans="1:3" ht="15.75" thickTop="1" x14ac:dyDescent="0.25">
      <c r="A2" s="5" t="s">
        <v>86</v>
      </c>
      <c r="B2" s="1" t="s">
        <v>216</v>
      </c>
      <c r="C2" s="11"/>
    </row>
    <row r="3" spans="1:3" x14ac:dyDescent="0.25">
      <c r="A3" s="5" t="s">
        <v>89</v>
      </c>
      <c r="B3" s="1" t="s">
        <v>216</v>
      </c>
    </row>
    <row r="4" spans="1:3" x14ac:dyDescent="0.25">
      <c r="A4" s="5" t="s">
        <v>90</v>
      </c>
      <c r="B4" s="1" t="s">
        <v>216</v>
      </c>
    </row>
    <row r="5" spans="1:3" x14ac:dyDescent="0.25">
      <c r="A5" s="5" t="s">
        <v>91</v>
      </c>
      <c r="B5" s="1" t="s">
        <v>216</v>
      </c>
    </row>
    <row r="6" spans="1:3" x14ac:dyDescent="0.25">
      <c r="A6" s="5" t="s">
        <v>92</v>
      </c>
      <c r="B6" s="1" t="s">
        <v>216</v>
      </c>
    </row>
    <row r="7" spans="1:3" x14ac:dyDescent="0.25">
      <c r="A7" s="5" t="s">
        <v>93</v>
      </c>
      <c r="B7" s="1" t="s">
        <v>216</v>
      </c>
    </row>
    <row r="8" spans="1:3" x14ac:dyDescent="0.25">
      <c r="A8" s="5" t="s">
        <v>94</v>
      </c>
    </row>
    <row r="9" spans="1:3" x14ac:dyDescent="0.25">
      <c r="A9" s="5" t="s">
        <v>223</v>
      </c>
      <c r="B9" s="1" t="s">
        <v>216</v>
      </c>
    </row>
    <row r="10" spans="1:3" x14ac:dyDescent="0.25">
      <c r="A10" s="5" t="s">
        <v>228</v>
      </c>
      <c r="B10" s="1" t="s">
        <v>216</v>
      </c>
    </row>
    <row r="11" spans="1:3" x14ac:dyDescent="0.25">
      <c r="A11" s="5" t="s">
        <v>229</v>
      </c>
      <c r="B11" t="s">
        <v>401</v>
      </c>
    </row>
    <row r="12" spans="1:3" x14ac:dyDescent="0.25">
      <c r="A12" s="5" t="s">
        <v>230</v>
      </c>
      <c r="B12" s="1" t="s">
        <v>216</v>
      </c>
    </row>
    <row r="13" spans="1:3" x14ac:dyDescent="0.25">
      <c r="A13" s="5" t="s">
        <v>231</v>
      </c>
      <c r="B13" s="1" t="s">
        <v>216</v>
      </c>
    </row>
    <row r="14" spans="1:3" x14ac:dyDescent="0.25">
      <c r="A14" s="5" t="s">
        <v>232</v>
      </c>
      <c r="B14" s="1" t="s">
        <v>216</v>
      </c>
    </row>
    <row r="15" spans="1:3" x14ac:dyDescent="0.25">
      <c r="A15" s="5" t="s">
        <v>233</v>
      </c>
      <c r="B15" s="1" t="s">
        <v>216</v>
      </c>
    </row>
    <row r="16" spans="1:3" x14ac:dyDescent="0.25">
      <c r="A16" s="5" t="s">
        <v>285</v>
      </c>
      <c r="B16" s="1" t="s">
        <v>216</v>
      </c>
    </row>
    <row r="17" spans="1:2" x14ac:dyDescent="0.25">
      <c r="A17" s="5" t="s">
        <v>286</v>
      </c>
    </row>
    <row r="18" spans="1:2" x14ac:dyDescent="0.25">
      <c r="A18" s="5" t="s">
        <v>287</v>
      </c>
    </row>
    <row r="19" spans="1:2" x14ac:dyDescent="0.25">
      <c r="A19" s="5" t="s">
        <v>288</v>
      </c>
    </row>
    <row r="20" spans="1:2" x14ac:dyDescent="0.25">
      <c r="A20" s="5" t="s">
        <v>289</v>
      </c>
      <c r="B20" s="1" t="s">
        <v>216</v>
      </c>
    </row>
    <row r="21" spans="1:2" x14ac:dyDescent="0.25">
      <c r="A21" s="5" t="s">
        <v>335</v>
      </c>
      <c r="B21" s="1" t="s">
        <v>216</v>
      </c>
    </row>
    <row r="22" spans="1:2" x14ac:dyDescent="0.25">
      <c r="A22" s="5" t="s">
        <v>325</v>
      </c>
      <c r="B22" t="s">
        <v>43</v>
      </c>
    </row>
    <row r="23" spans="1:2" x14ac:dyDescent="0.25">
      <c r="A23" s="5" t="s">
        <v>356</v>
      </c>
      <c r="B23" s="1" t="s">
        <v>216</v>
      </c>
    </row>
    <row r="24" spans="1:2" x14ac:dyDescent="0.25">
      <c r="A24" s="5" t="s">
        <v>363</v>
      </c>
      <c r="B24" t="s">
        <v>43</v>
      </c>
    </row>
    <row r="25" spans="1:2" x14ac:dyDescent="0.25">
      <c r="A25" s="5" t="s">
        <v>367</v>
      </c>
      <c r="B25" s="1" t="s">
        <v>216</v>
      </c>
    </row>
    <row r="26" spans="1:2" x14ac:dyDescent="0.25">
      <c r="A26" s="5" t="s">
        <v>428</v>
      </c>
      <c r="B26" t="s">
        <v>453</v>
      </c>
    </row>
    <row r="27" spans="1:2" x14ac:dyDescent="0.25">
      <c r="A27" s="5" t="s">
        <v>440</v>
      </c>
      <c r="B27" t="s">
        <v>216</v>
      </c>
    </row>
    <row r="28" spans="1:2" x14ac:dyDescent="0.25">
      <c r="A28" s="24" t="s">
        <v>454</v>
      </c>
    </row>
    <row r="29" spans="1:2" x14ac:dyDescent="0.25">
      <c r="A29" s="5" t="s">
        <v>455</v>
      </c>
      <c r="B29" s="1" t="s">
        <v>216</v>
      </c>
    </row>
    <row r="30" spans="1:2" x14ac:dyDescent="0.25">
      <c r="A30" s="5" t="s">
        <v>456</v>
      </c>
    </row>
    <row r="31" spans="1:2" x14ac:dyDescent="0.25">
      <c r="A31" s="5" t="s">
        <v>457</v>
      </c>
    </row>
    <row r="32" spans="1:2" x14ac:dyDescent="0.25">
      <c r="A32" s="5" t="s">
        <v>458</v>
      </c>
    </row>
    <row r="33" spans="1:2" x14ac:dyDescent="0.25">
      <c r="A33" s="5" t="s">
        <v>459</v>
      </c>
    </row>
    <row r="34" spans="1:2" x14ac:dyDescent="0.25">
      <c r="A34" s="5" t="s">
        <v>460</v>
      </c>
    </row>
    <row r="35" spans="1:2" x14ac:dyDescent="0.25">
      <c r="A35" s="24" t="s">
        <v>461</v>
      </c>
      <c r="B35" t="s">
        <v>43</v>
      </c>
    </row>
    <row r="36" spans="1:2" x14ac:dyDescent="0.25">
      <c r="A36" s="5" t="s">
        <v>462</v>
      </c>
    </row>
    <row r="37" spans="1:2" x14ac:dyDescent="0.25">
      <c r="A37" s="5" t="s">
        <v>463</v>
      </c>
    </row>
    <row r="38" spans="1:2" x14ac:dyDescent="0.25">
      <c r="A38" s="5" t="s">
        <v>464</v>
      </c>
    </row>
    <row r="39" spans="1:2" x14ac:dyDescent="0.25">
      <c r="A39" s="5" t="s">
        <v>465</v>
      </c>
    </row>
    <row r="40" spans="1:2" x14ac:dyDescent="0.25">
      <c r="A40" s="5" t="s">
        <v>466</v>
      </c>
    </row>
    <row r="41" spans="1:2" x14ac:dyDescent="0.25">
      <c r="A41" s="5" t="s">
        <v>467</v>
      </c>
    </row>
    <row r="42" spans="1:2" x14ac:dyDescent="0.25">
      <c r="A42" s="5" t="s">
        <v>468</v>
      </c>
    </row>
    <row r="43" spans="1:2" x14ac:dyDescent="0.25">
      <c r="A43" s="5" t="s">
        <v>469</v>
      </c>
      <c r="B43" s="1" t="s">
        <v>216</v>
      </c>
    </row>
    <row r="44" spans="1:2" x14ac:dyDescent="0.25">
      <c r="A44" s="5" t="s">
        <v>470</v>
      </c>
    </row>
    <row r="45" spans="1:2" x14ac:dyDescent="0.25">
      <c r="A45" s="5" t="s">
        <v>471</v>
      </c>
      <c r="B45" t="s">
        <v>484</v>
      </c>
    </row>
    <row r="46" spans="1:2" x14ac:dyDescent="0.25">
      <c r="A46" s="5" t="s">
        <v>472</v>
      </c>
    </row>
    <row r="47" spans="1:2" x14ac:dyDescent="0.25">
      <c r="A47" s="5" t="s">
        <v>473</v>
      </c>
    </row>
    <row r="48" spans="1:2" x14ac:dyDescent="0.25">
      <c r="A48" s="5" t="s">
        <v>474</v>
      </c>
    </row>
    <row r="49" spans="1:2" x14ac:dyDescent="0.25">
      <c r="A49" s="5" t="s">
        <v>475</v>
      </c>
    </row>
    <row r="50" spans="1:2" x14ac:dyDescent="0.25">
      <c r="A50" s="24" t="s">
        <v>476</v>
      </c>
      <c r="B50" t="s">
        <v>43</v>
      </c>
    </row>
    <row r="51" spans="1:2" x14ac:dyDescent="0.25">
      <c r="A51" s="5" t="s">
        <v>503</v>
      </c>
    </row>
    <row r="52" spans="1:2" x14ac:dyDescent="0.25">
      <c r="A52" s="24" t="s">
        <v>504</v>
      </c>
      <c r="B52" t="s">
        <v>484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  <hyperlink ref="A35" location="'Vengeance Spirit'!A1" display="Vengeance Spirit"/>
    <hyperlink ref="A50" location="'Vanguard Warrior'!A1" display="Vanguard Warrior"/>
    <hyperlink ref="A52" location="'Phoenix (China)'!A1" display="Phoenix (China)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A24" sqref="A24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290</v>
      </c>
      <c r="N3" s="9" t="s">
        <v>302</v>
      </c>
      <c r="O3" s="9">
        <f>60*B9</f>
        <v>600</v>
      </c>
      <c r="P3" t="s">
        <v>303</v>
      </c>
      <c r="Q3" s="9">
        <f>B9*6</f>
        <v>60</v>
      </c>
      <c r="R3" s="9" t="s">
        <v>301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 t="s">
        <v>305</v>
      </c>
      <c r="O4" s="9">
        <f>14*B9</f>
        <v>140</v>
      </c>
      <c r="P4" s="9" t="s">
        <v>304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292</v>
      </c>
      <c r="N5" s="9" t="s">
        <v>307</v>
      </c>
      <c r="O5" s="9">
        <f>B9</f>
        <v>10</v>
      </c>
      <c r="P5" s="9" t="s">
        <v>306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293</v>
      </c>
      <c r="N6" s="9" t="s">
        <v>309</v>
      </c>
      <c r="O6" s="9">
        <f>2*B9</f>
        <v>20</v>
      </c>
      <c r="P6" s="9" t="s">
        <v>308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74</v>
      </c>
      <c r="S12" s="9" t="s">
        <v>126</v>
      </c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45</v>
      </c>
      <c r="D13" s="9">
        <v>17</v>
      </c>
      <c r="E13" s="9">
        <v>45</v>
      </c>
      <c r="F13" s="9"/>
      <c r="M13" s="7" t="s">
        <v>47</v>
      </c>
      <c r="N13" s="9" t="s">
        <v>294</v>
      </c>
      <c r="O13" s="9" t="s">
        <v>294</v>
      </c>
      <c r="P13" s="9" t="s">
        <v>190</v>
      </c>
      <c r="Q13" s="9" t="s">
        <v>75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46</v>
      </c>
      <c r="D14" s="9">
        <v>18</v>
      </c>
      <c r="E14" s="9">
        <v>46</v>
      </c>
      <c r="F14" s="9"/>
      <c r="M14" s="7" t="s">
        <v>48</v>
      </c>
      <c r="N14" s="9" t="s">
        <v>192</v>
      </c>
      <c r="O14" s="9" t="s">
        <v>153</v>
      </c>
      <c r="P14" s="9" t="s">
        <v>295</v>
      </c>
      <c r="Q14" s="9" t="s">
        <v>190</v>
      </c>
      <c r="R14" s="9" t="s">
        <v>156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75</v>
      </c>
      <c r="D15" s="9">
        <v>25</v>
      </c>
      <c r="E15" s="9">
        <v>75</v>
      </c>
      <c r="F15" s="9"/>
      <c r="M15" s="19" t="s">
        <v>49</v>
      </c>
      <c r="N15" s="9" t="s">
        <v>111</v>
      </c>
      <c r="O15" s="9" t="s">
        <v>153</v>
      </c>
      <c r="P15" s="9" t="s">
        <v>296</v>
      </c>
      <c r="Q15" s="9" t="s">
        <v>190</v>
      </c>
      <c r="R15" s="9" t="s">
        <v>294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982</v>
      </c>
      <c r="D16" s="9">
        <v>464</v>
      </c>
      <c r="E16" s="9">
        <v>982</v>
      </c>
      <c r="F16" s="9"/>
      <c r="M16" s="19" t="s">
        <v>50</v>
      </c>
      <c r="N16" s="9" t="s">
        <v>110</v>
      </c>
      <c r="O16" s="9" t="s">
        <v>193</v>
      </c>
      <c r="P16" s="9" t="s">
        <v>153</v>
      </c>
      <c r="Q16" s="9" t="s">
        <v>65</v>
      </c>
      <c r="R16" s="9" t="s">
        <v>294</v>
      </c>
      <c r="S16" s="9" t="s">
        <v>69</v>
      </c>
    </row>
    <row r="17" spans="1:19" ht="16.5" thickTop="1" thickBot="1" x14ac:dyDescent="0.3">
      <c r="A17" s="10" t="s">
        <v>15</v>
      </c>
      <c r="B17" s="9">
        <v>9</v>
      </c>
      <c r="C17" s="9">
        <f>ROUND(B17+C15+C15*Common!$B$2,0)</f>
        <v>114</v>
      </c>
      <c r="D17" s="9">
        <v>44</v>
      </c>
      <c r="E17" s="9">
        <v>114</v>
      </c>
      <c r="F17" s="9"/>
      <c r="M17" s="19" t="s">
        <v>51</v>
      </c>
      <c r="N17" s="9" t="s">
        <v>161</v>
      </c>
      <c r="O17" s="9" t="s">
        <v>151</v>
      </c>
      <c r="P17" s="9" t="s">
        <v>196</v>
      </c>
      <c r="Q17" s="9" t="s">
        <v>62</v>
      </c>
      <c r="R17" s="9" t="s">
        <v>156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110</v>
      </c>
      <c r="D18" s="9">
        <v>42</v>
      </c>
      <c r="E18" s="9">
        <v>111</v>
      </c>
      <c r="F18" s="9"/>
      <c r="M18" s="18" t="s">
        <v>52</v>
      </c>
      <c r="N18" s="9" t="s">
        <v>188</v>
      </c>
      <c r="O18" s="9" t="s">
        <v>144</v>
      </c>
      <c r="P18" s="9" t="s">
        <v>105</v>
      </c>
      <c r="Q18" s="9" t="s">
        <v>61</v>
      </c>
      <c r="R18" s="9" t="s">
        <v>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13">
        <v>3</v>
      </c>
      <c r="E19" s="13">
        <v>12</v>
      </c>
      <c r="F19" s="13"/>
      <c r="G19" s="3"/>
      <c r="H19" s="3"/>
      <c r="I19" s="3"/>
      <c r="M19" s="18" t="s">
        <v>53</v>
      </c>
      <c r="N19" s="9" t="s">
        <v>200</v>
      </c>
      <c r="O19" s="9" t="s">
        <v>297</v>
      </c>
      <c r="P19" s="9" t="s">
        <v>110</v>
      </c>
      <c r="Q19" s="9" t="s">
        <v>190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F20" s="9"/>
      <c r="M20" s="18" t="s">
        <v>118</v>
      </c>
      <c r="N20" s="9" t="s">
        <v>298</v>
      </c>
      <c r="O20" s="9" t="s">
        <v>148</v>
      </c>
      <c r="P20" s="9" t="s">
        <v>299</v>
      </c>
      <c r="Q20" s="9" t="s">
        <v>97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</v>
      </c>
      <c r="D21" s="9">
        <v>10</v>
      </c>
      <c r="E21" s="9">
        <v>30</v>
      </c>
      <c r="F21" s="9"/>
      <c r="M21" s="18" t="s">
        <v>119</v>
      </c>
      <c r="N21" s="9" t="s">
        <v>300</v>
      </c>
      <c r="O21" s="9" t="s">
        <v>123</v>
      </c>
      <c r="P21" s="9" t="s">
        <v>194</v>
      </c>
      <c r="Q21" s="9" t="s">
        <v>110</v>
      </c>
      <c r="R21" s="9" t="s">
        <v>192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C27" sqref="C2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239</v>
      </c>
      <c r="N3" s="9" t="s">
        <v>417</v>
      </c>
      <c r="O3" s="9">
        <f>17.6*B9</f>
        <v>176</v>
      </c>
      <c r="P3" s="9" t="s">
        <v>415</v>
      </c>
      <c r="Q3" s="9"/>
      <c r="R3" s="9" t="s">
        <v>416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409</v>
      </c>
      <c r="N4" s="9" t="s">
        <v>413</v>
      </c>
      <c r="O4" s="9">
        <f>B9*6.6</f>
        <v>66</v>
      </c>
      <c r="P4" s="9" t="s">
        <v>414</v>
      </c>
      <c r="Q4" s="9"/>
      <c r="R4" s="9">
        <f>B9*20</f>
        <v>200</v>
      </c>
      <c r="S4" s="9"/>
    </row>
    <row r="5" spans="1:19" ht="16.5" thickTop="1" thickBot="1" x14ac:dyDescent="0.3">
      <c r="A5" s="10" t="s">
        <v>4</v>
      </c>
      <c r="B5" s="17">
        <v>1.6</v>
      </c>
      <c r="C5" s="17">
        <f>B5*2</f>
        <v>3.2</v>
      </c>
      <c r="D5" s="17">
        <f>B5*3</f>
        <v>4.8000000000000007</v>
      </c>
      <c r="E5" s="17">
        <f>B5*4</f>
        <v>6.4</v>
      </c>
      <c r="F5" s="17">
        <f>B5*5</f>
        <v>8</v>
      </c>
      <c r="G5" s="17">
        <f>B5*6</f>
        <v>9.6000000000000014</v>
      </c>
      <c r="M5" s="19" t="s">
        <v>410</v>
      </c>
      <c r="N5" s="9" t="s">
        <v>411</v>
      </c>
      <c r="O5" s="9">
        <f>0.5*B9</f>
        <v>5</v>
      </c>
      <c r="P5" s="9" t="s">
        <v>412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82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329</v>
      </c>
      <c r="Q12" s="9" t="s">
        <v>329</v>
      </c>
      <c r="R12" s="9" t="s">
        <v>330</v>
      </c>
      <c r="S12" s="9" t="s">
        <v>75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52</v>
      </c>
      <c r="D13" s="9">
        <v>23</v>
      </c>
      <c r="E13" s="9">
        <v>52</v>
      </c>
      <c r="F13" s="9"/>
      <c r="M13" s="7" t="s">
        <v>47</v>
      </c>
      <c r="N13" s="9" t="s">
        <v>61</v>
      </c>
      <c r="O13" s="9" t="s">
        <v>331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39</v>
      </c>
      <c r="D14" s="9">
        <v>17</v>
      </c>
      <c r="E14" s="9">
        <v>39</v>
      </c>
      <c r="F14" s="9"/>
      <c r="M14" s="7" t="s">
        <v>48</v>
      </c>
      <c r="N14" s="9" t="s">
        <v>129</v>
      </c>
      <c r="O14" s="9" t="s">
        <v>156</v>
      </c>
      <c r="P14" s="9" t="s">
        <v>247</v>
      </c>
      <c r="Q14" s="9" t="s">
        <v>128</v>
      </c>
      <c r="R14" s="9" t="s">
        <v>330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28</v>
      </c>
      <c r="D15" s="9">
        <v>14</v>
      </c>
      <c r="E15" s="9">
        <v>28</v>
      </c>
      <c r="F15" s="9"/>
      <c r="M15" s="19" t="s">
        <v>49</v>
      </c>
      <c r="N15" s="9" t="s">
        <v>154</v>
      </c>
      <c r="O15" s="9" t="s">
        <v>138</v>
      </c>
      <c r="P15" s="9" t="s">
        <v>140</v>
      </c>
      <c r="Q15" s="9" t="s">
        <v>246</v>
      </c>
      <c r="R15" s="9" t="s">
        <v>332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1105</v>
      </c>
      <c r="D16" s="9">
        <v>587</v>
      </c>
      <c r="E16" s="9">
        <v>1105</v>
      </c>
      <c r="F16" s="9"/>
      <c r="M16" s="19" t="s">
        <v>50</v>
      </c>
      <c r="N16" s="9" t="s">
        <v>132</v>
      </c>
      <c r="O16" s="9" t="s">
        <v>183</v>
      </c>
      <c r="P16" s="9" t="s">
        <v>146</v>
      </c>
      <c r="Q16" s="9" t="s">
        <v>127</v>
      </c>
      <c r="R16" s="9" t="s">
        <v>128</v>
      </c>
      <c r="S16" s="9" t="s">
        <v>104</v>
      </c>
    </row>
    <row r="17" spans="1:19" ht="16.5" thickTop="1" thickBot="1" x14ac:dyDescent="0.3">
      <c r="A17" s="10" t="s">
        <v>15</v>
      </c>
      <c r="B17" s="9">
        <v>25</v>
      </c>
      <c r="C17" s="9">
        <f>ROUND(B17+C13+C15*Common!$B$2,0)</f>
        <v>88</v>
      </c>
      <c r="D17" s="9">
        <v>61</v>
      </c>
      <c r="E17" s="9">
        <v>88</v>
      </c>
      <c r="F17" s="9"/>
      <c r="M17" s="19" t="s">
        <v>51</v>
      </c>
      <c r="N17" s="9" t="s">
        <v>144</v>
      </c>
      <c r="O17" s="9" t="s">
        <v>155</v>
      </c>
      <c r="P17" s="9" t="s">
        <v>250</v>
      </c>
      <c r="Q17" s="9" t="s">
        <v>333</v>
      </c>
      <c r="R17" s="9" t="s">
        <v>153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94</v>
      </c>
      <c r="D18" s="9">
        <v>41</v>
      </c>
      <c r="E18" s="9">
        <v>93</v>
      </c>
      <c r="F18" s="9"/>
      <c r="M18" s="18" t="s">
        <v>52</v>
      </c>
      <c r="N18" s="9" t="s">
        <v>161</v>
      </c>
      <c r="O18" s="9" t="s">
        <v>116</v>
      </c>
      <c r="P18" s="9" t="s">
        <v>184</v>
      </c>
      <c r="Q18" s="9" t="s">
        <v>129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4</v>
      </c>
      <c r="C19" s="9">
        <f>B19+ROUND(C13/7,0)+ROUND(C15/14,0)</f>
        <v>13</v>
      </c>
      <c r="D19" s="9">
        <v>7</v>
      </c>
      <c r="E19" s="9">
        <v>13</v>
      </c>
      <c r="F19" s="9"/>
      <c r="M19" s="18" t="s">
        <v>53</v>
      </c>
      <c r="N19" s="9" t="s">
        <v>185</v>
      </c>
      <c r="O19" s="9" t="s">
        <v>152</v>
      </c>
      <c r="P19" s="9" t="s">
        <v>121</v>
      </c>
      <c r="Q19" s="9" t="s">
        <v>132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159</v>
      </c>
      <c r="O20" s="9" t="s">
        <v>149</v>
      </c>
      <c r="P20" s="9" t="s">
        <v>129</v>
      </c>
      <c r="Q20" s="9" t="s">
        <v>247</v>
      </c>
      <c r="R20" s="9" t="s">
        <v>128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11.200000000000001</v>
      </c>
      <c r="D21" s="9">
        <v>6</v>
      </c>
      <c r="E21" s="9">
        <v>11</v>
      </c>
      <c r="F21" s="9"/>
      <c r="M21" s="18" t="s">
        <v>119</v>
      </c>
      <c r="N21" s="9" t="s">
        <v>115</v>
      </c>
      <c r="O21" s="9" t="s">
        <v>162</v>
      </c>
      <c r="P21" s="9" t="s">
        <v>113</v>
      </c>
      <c r="Q21" s="9" t="s">
        <v>132</v>
      </c>
      <c r="R21" s="9" t="s">
        <v>334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  <row r="26" spans="1:19" x14ac:dyDescent="0.25">
      <c r="A26" t="s">
        <v>418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O3" sqref="O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242</v>
      </c>
      <c r="N3" s="9" t="s">
        <v>255</v>
      </c>
      <c r="O3" s="9">
        <f>5*Q3</f>
        <v>792</v>
      </c>
      <c r="P3" s="9" t="s">
        <v>256</v>
      </c>
      <c r="Q3" s="9">
        <f>9.9*B9</f>
        <v>158.4</v>
      </c>
      <c r="R3" s="9" t="s">
        <v>259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243</v>
      </c>
      <c r="N4" s="9" t="s">
        <v>257</v>
      </c>
      <c r="O4" s="9">
        <f>B9*11</f>
        <v>176</v>
      </c>
      <c r="P4" s="9" t="s">
        <v>258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152</v>
      </c>
      <c r="N5" s="9" t="s">
        <v>263</v>
      </c>
      <c r="O5" s="9">
        <f>B9*2</f>
        <v>32</v>
      </c>
      <c r="P5" s="9" t="s">
        <v>262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1.65</v>
      </c>
      <c r="C6" s="17">
        <f t="shared" ref="C6:C7" si="0">B6*2</f>
        <v>3.3</v>
      </c>
      <c r="D6" s="17">
        <f t="shared" ref="D6:D7" si="1">B6*3</f>
        <v>4.9499999999999993</v>
      </c>
      <c r="E6" s="17">
        <f t="shared" ref="E6:E7" si="2">B6*4</f>
        <v>6.6</v>
      </c>
      <c r="F6" s="17">
        <f t="shared" ref="F6:F7" si="3">B6*5</f>
        <v>8.25</v>
      </c>
      <c r="G6" s="17">
        <f t="shared" ref="G6:G7" si="4">B6*6</f>
        <v>9.8999999999999986</v>
      </c>
      <c r="M6" s="18" t="s">
        <v>244</v>
      </c>
      <c r="N6" s="9" t="s">
        <v>261</v>
      </c>
      <c r="O6" s="9">
        <f>B9*0.8</f>
        <v>12.8</v>
      </c>
      <c r="P6" s="9" t="s">
        <v>260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16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245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54.400000000000006</v>
      </c>
      <c r="D13" s="9">
        <v>19</v>
      </c>
      <c r="E13" s="9">
        <v>40</v>
      </c>
      <c r="F13" s="9">
        <v>55</v>
      </c>
      <c r="M13" s="7" t="s">
        <v>47</v>
      </c>
      <c r="N13" s="9" t="s">
        <v>61</v>
      </c>
      <c r="O13" s="9" t="s">
        <v>78</v>
      </c>
      <c r="P13" s="9" t="s">
        <v>128</v>
      </c>
      <c r="Q13" s="9" t="s">
        <v>128</v>
      </c>
      <c r="R13" s="9" t="s">
        <v>127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94.199999999999989</v>
      </c>
      <c r="D14" s="9">
        <v>20</v>
      </c>
      <c r="E14" s="9">
        <v>64</v>
      </c>
      <c r="F14" s="9">
        <v>94</v>
      </c>
      <c r="M14" s="7" t="s">
        <v>48</v>
      </c>
      <c r="N14" s="9" t="s">
        <v>129</v>
      </c>
      <c r="O14" s="9" t="s">
        <v>130</v>
      </c>
      <c r="P14" s="9" t="s">
        <v>247</v>
      </c>
      <c r="Q14" s="9" t="s">
        <v>246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61</v>
      </c>
      <c r="D15" s="9">
        <v>16</v>
      </c>
      <c r="E15" s="9">
        <v>43</v>
      </c>
      <c r="F15" s="9">
        <v>61</v>
      </c>
      <c r="M15" s="19" t="s">
        <v>49</v>
      </c>
      <c r="N15" s="9" t="s">
        <v>132</v>
      </c>
      <c r="O15" s="9" t="s">
        <v>146</v>
      </c>
      <c r="P15" s="9" t="s">
        <v>248</v>
      </c>
      <c r="Q15" s="9" t="s">
        <v>153</v>
      </c>
      <c r="R15" s="9" t="s">
        <v>249</v>
      </c>
      <c r="S15" s="9" t="s">
        <v>136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1154</v>
      </c>
      <c r="D16" s="9">
        <v>506</v>
      </c>
      <c r="E16" s="9">
        <v>895</v>
      </c>
      <c r="F16" s="9">
        <v>1154</v>
      </c>
      <c r="M16" s="19" t="s">
        <v>50</v>
      </c>
      <c r="N16" s="9" t="s">
        <v>154</v>
      </c>
      <c r="O16" s="9" t="s">
        <v>250</v>
      </c>
      <c r="P16" s="9" t="s">
        <v>183</v>
      </c>
      <c r="Q16" s="9" t="s">
        <v>135</v>
      </c>
      <c r="R16" s="9" t="s">
        <v>108</v>
      </c>
      <c r="S16" s="9" t="s">
        <v>136</v>
      </c>
    </row>
    <row r="17" spans="1:19" ht="16.5" thickTop="1" thickBot="1" x14ac:dyDescent="0.3">
      <c r="A17" s="10" t="s">
        <v>15</v>
      </c>
      <c r="B17" s="9">
        <v>22</v>
      </c>
      <c r="C17" s="9">
        <f>ROUND(B17+C14+C15*Common!$B$2,0)</f>
        <v>141</v>
      </c>
      <c r="D17" s="9">
        <v>49</v>
      </c>
      <c r="E17" s="9">
        <v>104</v>
      </c>
      <c r="F17" s="9">
        <v>141</v>
      </c>
      <c r="M17" s="19" t="s">
        <v>51</v>
      </c>
      <c r="N17" s="9" t="s">
        <v>129</v>
      </c>
      <c r="O17" s="9" t="s">
        <v>161</v>
      </c>
      <c r="P17" s="9" t="s">
        <v>138</v>
      </c>
      <c r="Q17" s="9" t="s">
        <v>132</v>
      </c>
      <c r="R17" s="9" t="s">
        <v>102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226</v>
      </c>
      <c r="D18" s="9">
        <v>47</v>
      </c>
      <c r="E18" s="9">
        <v>154</v>
      </c>
      <c r="F18" s="9">
        <v>225</v>
      </c>
      <c r="M18" s="18" t="s">
        <v>52</v>
      </c>
      <c r="N18" s="9" t="s">
        <v>121</v>
      </c>
      <c r="O18" s="9" t="s">
        <v>144</v>
      </c>
      <c r="P18" s="9" t="s">
        <v>112</v>
      </c>
      <c r="Q18" s="9" t="s">
        <v>68</v>
      </c>
      <c r="R18" s="9" t="s">
        <v>251</v>
      </c>
      <c r="S18" s="9" t="s">
        <v>252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12</v>
      </c>
      <c r="D19" s="13">
        <v>3</v>
      </c>
      <c r="E19" s="13">
        <v>8</v>
      </c>
      <c r="F19" s="13">
        <v>12</v>
      </c>
      <c r="G19" s="3"/>
      <c r="H19" s="3"/>
      <c r="I19" s="3"/>
      <c r="M19" s="18" t="s">
        <v>53</v>
      </c>
      <c r="N19" s="9" t="s">
        <v>152</v>
      </c>
      <c r="O19" s="9" t="s">
        <v>116</v>
      </c>
      <c r="P19" s="9" t="s">
        <v>151</v>
      </c>
      <c r="Q19" s="9" t="s">
        <v>237</v>
      </c>
      <c r="R19" s="9" t="s">
        <v>247</v>
      </c>
      <c r="S19" s="9" t="s">
        <v>252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9</v>
      </c>
      <c r="D20" s="9">
        <v>2</v>
      </c>
      <c r="E20" s="9">
        <v>6</v>
      </c>
      <c r="F20" s="9">
        <v>9</v>
      </c>
      <c r="M20" s="18" t="s">
        <v>118</v>
      </c>
      <c r="N20" s="9" t="s">
        <v>159</v>
      </c>
      <c r="O20" s="9" t="s">
        <v>161</v>
      </c>
      <c r="P20" s="9" t="s">
        <v>184</v>
      </c>
      <c r="Q20" s="9" t="s">
        <v>253</v>
      </c>
      <c r="R20" s="9" t="s">
        <v>98</v>
      </c>
      <c r="S20" s="9" t="s">
        <v>252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24.400000000000002</v>
      </c>
      <c r="D21" s="9">
        <v>6</v>
      </c>
      <c r="E21" s="9">
        <v>17</v>
      </c>
      <c r="F21" s="9">
        <v>24</v>
      </c>
      <c r="M21" s="18" t="s">
        <v>119</v>
      </c>
      <c r="N21" s="9" t="s">
        <v>162</v>
      </c>
      <c r="O21" s="9" t="s">
        <v>185</v>
      </c>
      <c r="P21" s="9" t="s">
        <v>144</v>
      </c>
      <c r="Q21" s="9" t="s">
        <v>132</v>
      </c>
      <c r="R21" s="9" t="s">
        <v>68</v>
      </c>
      <c r="S21" s="9" t="s">
        <v>252</v>
      </c>
    </row>
    <row r="22" spans="1:19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0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265</v>
      </c>
      <c r="N3" s="9" t="s">
        <v>255</v>
      </c>
      <c r="O3" s="9">
        <f>12*B9</f>
        <v>12</v>
      </c>
      <c r="P3" s="9" t="s">
        <v>269</v>
      </c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266</v>
      </c>
      <c r="N4" s="9" t="s">
        <v>270</v>
      </c>
      <c r="O4" s="9">
        <f>B9*9</f>
        <v>9</v>
      </c>
      <c r="P4" s="9" t="s">
        <v>271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267</v>
      </c>
      <c r="N5" s="9" t="s">
        <v>273</v>
      </c>
      <c r="O5" s="9">
        <f>B9*3.6</f>
        <v>3.6</v>
      </c>
      <c r="P5" s="9" t="s">
        <v>272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268</v>
      </c>
      <c r="N6" s="9" t="s">
        <v>275</v>
      </c>
      <c r="O6" s="9">
        <f>B9*3</f>
        <v>3</v>
      </c>
      <c r="P6" s="9" t="s">
        <v>274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0.45</v>
      </c>
      <c r="C7" s="17">
        <f t="shared" si="0"/>
        <v>0.9</v>
      </c>
      <c r="D7" s="17">
        <f t="shared" si="1"/>
        <v>1.35</v>
      </c>
      <c r="E7" s="17">
        <f t="shared" si="2"/>
        <v>1.8</v>
      </c>
      <c r="F7" s="17">
        <f t="shared" si="3"/>
        <v>2.25</v>
      </c>
      <c r="G7" s="17">
        <f t="shared" si="4"/>
        <v>2.7</v>
      </c>
    </row>
    <row r="8" spans="1:19" ht="15.75" thickTop="1" x14ac:dyDescent="0.25"/>
    <row r="9" spans="1:19" x14ac:dyDescent="0.25">
      <c r="A9" t="s">
        <v>35</v>
      </c>
      <c r="B9">
        <v>1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73</v>
      </c>
      <c r="Q12" s="9" t="s">
        <v>245</v>
      </c>
      <c r="R12" s="9" t="s">
        <v>76</v>
      </c>
      <c r="S12" s="9" t="s">
        <v>75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25.95</v>
      </c>
      <c r="D13" s="9">
        <v>26</v>
      </c>
      <c r="E13" s="9">
        <v>71</v>
      </c>
      <c r="F13" s="9">
        <v>100</v>
      </c>
      <c r="M13" s="7" t="s">
        <v>47</v>
      </c>
      <c r="N13" s="9" t="s">
        <v>61</v>
      </c>
      <c r="O13" s="9" t="s">
        <v>73</v>
      </c>
      <c r="P13" s="9" t="s">
        <v>31</v>
      </c>
      <c r="Q13" s="9" t="s">
        <v>128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16.3</v>
      </c>
      <c r="D14" s="9">
        <v>16</v>
      </c>
      <c r="E14" s="9">
        <v>46</v>
      </c>
      <c r="F14" s="9">
        <v>65</v>
      </c>
      <c r="M14" s="7" t="s">
        <v>48</v>
      </c>
      <c r="N14" s="9" t="s">
        <v>276</v>
      </c>
      <c r="O14" s="9" t="s">
        <v>247</v>
      </c>
      <c r="P14" s="9" t="s">
        <v>156</v>
      </c>
      <c r="Q14" s="9" t="s">
        <v>31</v>
      </c>
      <c r="R14" s="9" t="s">
        <v>58</v>
      </c>
      <c r="S14" s="9" t="s">
        <v>104</v>
      </c>
    </row>
    <row r="15" spans="1:19" ht="16.5" thickTop="1" thickBot="1" x14ac:dyDescent="0.3">
      <c r="A15" s="10" t="s">
        <v>1</v>
      </c>
      <c r="B15" s="9">
        <v>8</v>
      </c>
      <c r="C15" s="9">
        <f>B15+$B$9*($B$10+1)*B7</f>
        <v>9.35</v>
      </c>
      <c r="D15" s="9">
        <v>9</v>
      </c>
      <c r="E15" s="9">
        <v>22</v>
      </c>
      <c r="F15" s="9">
        <v>30</v>
      </c>
      <c r="M15" s="19" t="s">
        <v>49</v>
      </c>
      <c r="N15" s="9" t="s">
        <v>277</v>
      </c>
      <c r="O15" s="9" t="s">
        <v>154</v>
      </c>
      <c r="P15" s="9" t="s">
        <v>138</v>
      </c>
      <c r="Q15" s="9" t="s">
        <v>278</v>
      </c>
      <c r="R15" s="9" t="s">
        <v>73</v>
      </c>
      <c r="S15" s="9" t="s">
        <v>136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641</v>
      </c>
      <c r="D16" s="9">
        <v>641</v>
      </c>
      <c r="E16" s="9">
        <v>1443</v>
      </c>
      <c r="F16" s="9">
        <v>1978</v>
      </c>
      <c r="M16" s="19" t="s">
        <v>50</v>
      </c>
      <c r="N16" s="9" t="s">
        <v>276</v>
      </c>
      <c r="O16" s="9" t="s">
        <v>110</v>
      </c>
      <c r="P16" s="9" t="s">
        <v>68</v>
      </c>
      <c r="Q16" s="9" t="s">
        <v>102</v>
      </c>
      <c r="R16" s="9" t="s">
        <v>279</v>
      </c>
      <c r="S16" s="9" t="s">
        <v>104</v>
      </c>
    </row>
    <row r="17" spans="1:19" ht="16.5" thickTop="1" thickBot="1" x14ac:dyDescent="0.3">
      <c r="A17" s="10" t="s">
        <v>15</v>
      </c>
      <c r="B17" s="9">
        <v>36</v>
      </c>
      <c r="C17" s="9">
        <f>ROUND(B17+C13+C15*Common!$B$2,0)</f>
        <v>66</v>
      </c>
      <c r="D17" s="9">
        <v>66</v>
      </c>
      <c r="E17" s="9">
        <v>116</v>
      </c>
      <c r="F17" s="9">
        <v>148</v>
      </c>
      <c r="M17" s="19" t="s">
        <v>51</v>
      </c>
      <c r="N17" s="9" t="s">
        <v>144</v>
      </c>
      <c r="O17" s="9" t="s">
        <v>155</v>
      </c>
      <c r="P17" s="9" t="s">
        <v>146</v>
      </c>
      <c r="Q17" s="9" t="s">
        <v>112</v>
      </c>
      <c r="R17" s="9" t="s">
        <v>127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39</v>
      </c>
      <c r="D18" s="9">
        <v>38</v>
      </c>
      <c r="E18" s="9">
        <v>109</v>
      </c>
      <c r="F18" s="9">
        <v>157</v>
      </c>
      <c r="M18" s="18" t="s">
        <v>52</v>
      </c>
      <c r="N18" s="9" t="s">
        <v>109</v>
      </c>
      <c r="O18" s="9" t="s">
        <v>125</v>
      </c>
      <c r="P18" s="9" t="s">
        <v>100</v>
      </c>
      <c r="Q18" s="9" t="s">
        <v>106</v>
      </c>
      <c r="R18" s="9" t="s">
        <v>147</v>
      </c>
      <c r="S18" s="9" t="s">
        <v>104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5</v>
      </c>
      <c r="D19" s="13">
        <v>2</v>
      </c>
      <c r="E19" s="13">
        <v>9</v>
      </c>
      <c r="F19" s="13">
        <v>15</v>
      </c>
      <c r="G19" s="3"/>
      <c r="H19" s="3"/>
      <c r="I19" s="3"/>
      <c r="M19" s="18" t="s">
        <v>53</v>
      </c>
      <c r="N19" s="9" t="s">
        <v>152</v>
      </c>
      <c r="O19" s="9" t="s">
        <v>113</v>
      </c>
      <c r="P19" s="9" t="s">
        <v>280</v>
      </c>
      <c r="Q19" s="9" t="s">
        <v>250</v>
      </c>
      <c r="R19" s="9" t="s">
        <v>128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2</v>
      </c>
      <c r="E20" s="9">
        <v>5</v>
      </c>
      <c r="F20" s="9">
        <v>7</v>
      </c>
      <c r="M20" s="18" t="s">
        <v>118</v>
      </c>
      <c r="N20" s="9" t="s">
        <v>120</v>
      </c>
      <c r="O20" s="9" t="s">
        <v>281</v>
      </c>
      <c r="P20" s="9" t="s">
        <v>110</v>
      </c>
      <c r="Q20" s="9" t="s">
        <v>105</v>
      </c>
      <c r="R20" s="9" t="s">
        <v>73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3.74</v>
      </c>
      <c r="D21" s="9">
        <v>4</v>
      </c>
      <c r="E21" s="9">
        <v>9</v>
      </c>
      <c r="F21" s="9">
        <v>12</v>
      </c>
      <c r="M21" s="18" t="s">
        <v>119</v>
      </c>
      <c r="N21" s="9" t="s">
        <v>115</v>
      </c>
      <c r="O21" s="9" t="s">
        <v>123</v>
      </c>
      <c r="P21" s="9" t="s">
        <v>188</v>
      </c>
      <c r="Q21" s="9" t="s">
        <v>277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5" sqref="J5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234</v>
      </c>
      <c r="M2" t="s">
        <v>43</v>
      </c>
    </row>
    <row r="3" spans="1:19" ht="15.75" thickBot="1" x14ac:dyDescent="0.3">
      <c r="M3" s="8" t="s">
        <v>394</v>
      </c>
      <c r="N3" s="9" t="s">
        <v>397</v>
      </c>
      <c r="O3" s="9"/>
      <c r="P3" s="9"/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203</v>
      </c>
      <c r="N4" s="9" t="s">
        <v>54</v>
      </c>
      <c r="O4" s="9">
        <f>B9*16.5</f>
        <v>165</v>
      </c>
      <c r="P4" s="9" t="s">
        <v>400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</v>
      </c>
      <c r="C5" s="17">
        <f>B5*2</f>
        <v>2.6</v>
      </c>
      <c r="D5" s="17">
        <f>B5*3</f>
        <v>3.9000000000000004</v>
      </c>
      <c r="E5" s="17">
        <f>B5*4</f>
        <v>5.2</v>
      </c>
      <c r="F5" s="17">
        <f>B5*5</f>
        <v>6.5</v>
      </c>
      <c r="G5" s="17">
        <f>B5*6</f>
        <v>7.8000000000000007</v>
      </c>
      <c r="M5" s="19" t="s">
        <v>395</v>
      </c>
      <c r="N5" s="9" t="s">
        <v>54</v>
      </c>
      <c r="O5" s="9">
        <f>B9*11</f>
        <v>110</v>
      </c>
      <c r="P5" s="9" t="s">
        <v>398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396</v>
      </c>
      <c r="N6" s="9" t="s">
        <v>54</v>
      </c>
      <c r="O6" s="9">
        <f>B9*11</f>
        <v>110</v>
      </c>
      <c r="P6" s="9" t="s">
        <v>399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326</v>
      </c>
      <c r="Q12" s="9" t="s">
        <v>326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54</v>
      </c>
      <c r="D13" s="9">
        <v>19</v>
      </c>
      <c r="E13" s="9">
        <v>54</v>
      </c>
      <c r="F13" s="9"/>
      <c r="M13" s="7" t="s">
        <v>47</v>
      </c>
      <c r="N13" s="9" t="s">
        <v>131</v>
      </c>
      <c r="O13" s="9" t="s">
        <v>98</v>
      </c>
      <c r="P13" s="9" t="s">
        <v>128</v>
      </c>
      <c r="Q13" s="9" t="s">
        <v>128</v>
      </c>
      <c r="R13" s="9" t="s">
        <v>31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61</v>
      </c>
      <c r="D14" s="9">
        <v>28</v>
      </c>
      <c r="E14" s="9">
        <v>61</v>
      </c>
      <c r="F14" s="9"/>
      <c r="M14" s="7" t="s">
        <v>48</v>
      </c>
      <c r="N14" s="9" t="s">
        <v>129</v>
      </c>
      <c r="O14" s="9" t="s">
        <v>68</v>
      </c>
      <c r="P14" s="9" t="s">
        <v>247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44</v>
      </c>
      <c r="D15" s="9">
        <v>17</v>
      </c>
      <c r="E15" s="9">
        <v>44</v>
      </c>
      <c r="F15" s="9"/>
      <c r="M15" s="19" t="s">
        <v>49</v>
      </c>
      <c r="N15" s="9" t="s">
        <v>146</v>
      </c>
      <c r="O15" s="9" t="s">
        <v>154</v>
      </c>
      <c r="P15" s="9" t="s">
        <v>153</v>
      </c>
      <c r="Q15" s="9" t="s">
        <v>127</v>
      </c>
      <c r="R15" s="9" t="s">
        <v>147</v>
      </c>
      <c r="S15" s="9" t="s">
        <v>143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1135</v>
      </c>
      <c r="D16" s="9">
        <v>504</v>
      </c>
      <c r="E16" s="9">
        <v>1135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153</v>
      </c>
      <c r="R16" s="9" t="s">
        <v>128</v>
      </c>
      <c r="S16" s="9" t="s">
        <v>143</v>
      </c>
    </row>
    <row r="17" spans="1:19" ht="16.5" thickTop="1" thickBot="1" x14ac:dyDescent="0.3">
      <c r="A17" s="10" t="s">
        <v>15</v>
      </c>
      <c r="B17" s="9">
        <v>16</v>
      </c>
      <c r="C17" s="9">
        <f>ROUND(B17+C14+C15*Common!$B$2,0)</f>
        <v>95</v>
      </c>
      <c r="D17" s="9">
        <v>51</v>
      </c>
      <c r="E17" s="9">
        <v>95</v>
      </c>
      <c r="F17" s="9"/>
      <c r="M17" s="19" t="s">
        <v>51</v>
      </c>
      <c r="N17" s="9" t="s">
        <v>161</v>
      </c>
      <c r="O17" s="9" t="s">
        <v>155</v>
      </c>
      <c r="P17" s="9" t="s">
        <v>183</v>
      </c>
      <c r="Q17" s="9" t="s">
        <v>139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146</v>
      </c>
      <c r="D18" s="9">
        <v>67</v>
      </c>
      <c r="E18" s="9">
        <v>145</v>
      </c>
      <c r="F18" s="9"/>
      <c r="M18" s="18" t="s">
        <v>52</v>
      </c>
      <c r="N18" s="9" t="s">
        <v>144</v>
      </c>
      <c r="O18" s="9" t="s">
        <v>116</v>
      </c>
      <c r="P18" s="9" t="s">
        <v>121</v>
      </c>
      <c r="Q18" s="9" t="s">
        <v>68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11</v>
      </c>
      <c r="D19" s="9">
        <v>2</v>
      </c>
      <c r="E19" s="9">
        <v>10</v>
      </c>
      <c r="F19" s="9"/>
      <c r="G19" s="3"/>
      <c r="H19" s="3"/>
      <c r="I19" s="3"/>
      <c r="M19" s="18" t="s">
        <v>53</v>
      </c>
      <c r="N19" s="9" t="s">
        <v>152</v>
      </c>
      <c r="O19" s="9" t="s">
        <v>109</v>
      </c>
      <c r="P19" s="9" t="s">
        <v>113</v>
      </c>
      <c r="Q19" s="9" t="s">
        <v>247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6</v>
      </c>
      <c r="F20" s="9"/>
      <c r="M20" s="18" t="s">
        <v>118</v>
      </c>
      <c r="N20" s="9" t="s">
        <v>327</v>
      </c>
      <c r="O20" s="9" t="s">
        <v>149</v>
      </c>
      <c r="P20" s="9" t="s">
        <v>146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17.600000000000001</v>
      </c>
      <c r="D21" s="9">
        <v>7</v>
      </c>
      <c r="E21" s="9">
        <v>18</v>
      </c>
      <c r="F21" s="9"/>
      <c r="M21" s="18" t="s">
        <v>119</v>
      </c>
      <c r="N21" s="9" t="s">
        <v>115</v>
      </c>
      <c r="O21" s="9" t="s">
        <v>328</v>
      </c>
      <c r="P21" s="9" t="s">
        <v>144</v>
      </c>
      <c r="Q21" s="9" t="s">
        <v>110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7" sqref="C17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254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282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283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284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G12" s="10">
        <v>30</v>
      </c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103</v>
      </c>
      <c r="D13" s="9">
        <v>16</v>
      </c>
      <c r="E13" s="9">
        <v>43</v>
      </c>
      <c r="F13" s="9">
        <v>73</v>
      </c>
      <c r="G13" s="9">
        <v>103</v>
      </c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97</v>
      </c>
      <c r="D14" s="9">
        <v>19</v>
      </c>
      <c r="E14" s="9">
        <v>43</v>
      </c>
      <c r="F14" s="9">
        <v>70</v>
      </c>
      <c r="G14" s="9">
        <v>97</v>
      </c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143</v>
      </c>
      <c r="D15" s="9">
        <v>21</v>
      </c>
      <c r="E15" s="9">
        <v>59</v>
      </c>
      <c r="F15" s="9">
        <v>101</v>
      </c>
      <c r="G15" s="9">
        <v>143</v>
      </c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2019</v>
      </c>
      <c r="D16" s="9">
        <v>453</v>
      </c>
      <c r="E16" s="9">
        <v>939</v>
      </c>
      <c r="F16" s="9">
        <v>1479</v>
      </c>
      <c r="G16" s="9">
        <v>2019</v>
      </c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210</v>
      </c>
      <c r="D17" s="9">
        <v>40</v>
      </c>
      <c r="E17" s="9">
        <v>93</v>
      </c>
      <c r="F17" s="9">
        <v>152</v>
      </c>
      <c r="G17" s="9">
        <v>210</v>
      </c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233</v>
      </c>
      <c r="D18" s="9">
        <v>45</v>
      </c>
      <c r="E18" s="9">
        <v>103</v>
      </c>
      <c r="F18" s="9">
        <v>168</v>
      </c>
      <c r="G18" s="9">
        <v>233</v>
      </c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25</v>
      </c>
      <c r="D19" s="13">
        <v>3</v>
      </c>
      <c r="E19" s="13">
        <v>10</v>
      </c>
      <c r="F19" s="13">
        <v>18</v>
      </c>
      <c r="G19" s="13">
        <v>26</v>
      </c>
      <c r="H19" s="3"/>
      <c r="I19" s="3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4</v>
      </c>
      <c r="F20" s="9">
        <v>7</v>
      </c>
      <c r="G20" s="9">
        <v>10</v>
      </c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57.2</v>
      </c>
      <c r="D21" s="9">
        <v>9</v>
      </c>
      <c r="E21" s="9">
        <v>24</v>
      </c>
      <c r="F21" s="9">
        <v>40</v>
      </c>
      <c r="G21" s="9">
        <v>57</v>
      </c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9" spans="1:19" x14ac:dyDescent="0.25">
      <c r="N29">
        <v>6</v>
      </c>
      <c r="O29">
        <v>16</v>
      </c>
    </row>
    <row r="30" spans="1:19" x14ac:dyDescent="0.25">
      <c r="N30">
        <v>10</v>
      </c>
      <c r="O30">
        <v>9</v>
      </c>
    </row>
    <row r="31" spans="1:19" x14ac:dyDescent="0.25">
      <c r="N31">
        <v>12</v>
      </c>
      <c r="O31">
        <v>8</v>
      </c>
    </row>
    <row r="32" spans="1:19" x14ac:dyDescent="0.25">
      <c r="N32">
        <v>17</v>
      </c>
      <c r="O32">
        <v>7</v>
      </c>
    </row>
    <row r="33" spans="14:15" x14ac:dyDescent="0.25">
      <c r="N33">
        <v>18</v>
      </c>
      <c r="O33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J7" sqref="J7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79</v>
      </c>
      <c r="N3" t="s">
        <v>83</v>
      </c>
      <c r="O3">
        <f>B9</f>
        <v>56</v>
      </c>
      <c r="P3" t="s">
        <v>84</v>
      </c>
      <c r="Q3">
        <f>15*$B$9</f>
        <v>840</v>
      </c>
      <c r="R3" t="s">
        <v>85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80</v>
      </c>
      <c r="N4" t="s">
        <v>83</v>
      </c>
      <c r="O4">
        <f>$B$9</f>
        <v>56</v>
      </c>
      <c r="P4" t="s">
        <v>84</v>
      </c>
      <c r="Q4">
        <f>B9*12</f>
        <v>672</v>
      </c>
      <c r="R4" t="s">
        <v>167</v>
      </c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81</v>
      </c>
      <c r="N5" t="s">
        <v>54</v>
      </c>
      <c r="O5">
        <f>B9*12</f>
        <v>672</v>
      </c>
      <c r="P5" t="s">
        <v>312</v>
      </c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82</v>
      </c>
      <c r="N6" t="s">
        <v>313</v>
      </c>
      <c r="O6">
        <f>B9*3</f>
        <v>168</v>
      </c>
      <c r="P6" t="s">
        <v>314</v>
      </c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56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A12" s="5" t="s">
        <v>96</v>
      </c>
      <c r="B12" s="10" t="s">
        <v>34</v>
      </c>
      <c r="C12" s="10" t="s">
        <v>37</v>
      </c>
      <c r="D12" s="10">
        <v>1</v>
      </c>
      <c r="E12" s="10">
        <v>2</v>
      </c>
      <c r="F12" s="10">
        <v>10</v>
      </c>
      <c r="M12" s="4" t="s">
        <v>22</v>
      </c>
      <c r="N12" s="9" t="s">
        <v>73</v>
      </c>
      <c r="O12" s="9" t="s">
        <v>73</v>
      </c>
      <c r="P12" s="9" t="s">
        <v>74</v>
      </c>
      <c r="Q12" s="9" t="s">
        <v>75</v>
      </c>
      <c r="R12" s="9" t="s">
        <v>29</v>
      </c>
      <c r="S12" s="9" t="s">
        <v>31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205.79999999999998</v>
      </c>
      <c r="D13" s="9">
        <v>24</v>
      </c>
      <c r="E13" s="9">
        <v>28</v>
      </c>
      <c r="F13" s="9">
        <v>54</v>
      </c>
      <c r="M13" s="7" t="s">
        <v>47</v>
      </c>
      <c r="N13" s="9" t="s">
        <v>30</v>
      </c>
      <c r="O13" s="9" t="s">
        <v>76</v>
      </c>
      <c r="P13" s="9" t="s">
        <v>73</v>
      </c>
      <c r="Q13" s="9" t="s">
        <v>77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139.20000000000002</v>
      </c>
      <c r="D14" s="9">
        <v>18</v>
      </c>
      <c r="E14" s="9">
        <v>20</v>
      </c>
      <c r="F14" s="9">
        <v>38</v>
      </c>
      <c r="M14" s="7" t="s">
        <v>48</v>
      </c>
      <c r="N14" s="9" t="s">
        <v>97</v>
      </c>
      <c r="O14" s="9" t="s">
        <v>68</v>
      </c>
      <c r="P14" s="9" t="s">
        <v>78</v>
      </c>
      <c r="Q14" s="9" t="s">
        <v>78</v>
      </c>
      <c r="R14" s="9" t="s">
        <v>98</v>
      </c>
      <c r="S14" s="9" t="s">
        <v>99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85.8</v>
      </c>
      <c r="D15" s="9">
        <v>14</v>
      </c>
      <c r="E15" s="9">
        <v>16</v>
      </c>
      <c r="F15" s="9">
        <v>26</v>
      </c>
      <c r="M15" s="19" t="s">
        <v>49</v>
      </c>
      <c r="N15" s="9" t="s">
        <v>100</v>
      </c>
      <c r="O15" s="9" t="s">
        <v>101</v>
      </c>
      <c r="P15" s="9" t="s">
        <v>102</v>
      </c>
      <c r="Q15" s="9" t="s">
        <v>103</v>
      </c>
      <c r="R15" s="9" t="s">
        <v>58</v>
      </c>
      <c r="S15" s="9" t="s">
        <v>104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3878</v>
      </c>
      <c r="D16" s="9">
        <v>611</v>
      </c>
      <c r="E16" s="9">
        <v>671</v>
      </c>
      <c r="F16" s="9">
        <v>1146</v>
      </c>
      <c r="M16" s="19" t="s">
        <v>50</v>
      </c>
      <c r="N16" s="9" t="s">
        <v>105</v>
      </c>
      <c r="O16" s="9" t="s">
        <v>106</v>
      </c>
      <c r="P16" s="9" t="s">
        <v>107</v>
      </c>
      <c r="Q16" s="9" t="s">
        <v>61</v>
      </c>
      <c r="R16" s="9" t="s">
        <v>108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263</v>
      </c>
      <c r="D17" s="9">
        <v>52</v>
      </c>
      <c r="E17" s="9">
        <v>56</v>
      </c>
      <c r="F17" s="9">
        <v>87</v>
      </c>
      <c r="M17" s="19" t="s">
        <v>51</v>
      </c>
      <c r="N17" s="9" t="s">
        <v>109</v>
      </c>
      <c r="O17" s="9" t="s">
        <v>110</v>
      </c>
      <c r="P17" s="9" t="s">
        <v>111</v>
      </c>
      <c r="Q17" s="9" t="s">
        <v>112</v>
      </c>
      <c r="R17" s="9" t="s">
        <v>68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334</v>
      </c>
      <c r="D18" s="9">
        <v>44</v>
      </c>
      <c r="E18" s="9">
        <v>49</v>
      </c>
      <c r="F18" s="9">
        <v>91</v>
      </c>
      <c r="M18" s="18" t="s">
        <v>52</v>
      </c>
      <c r="N18" s="9" t="s">
        <v>113</v>
      </c>
      <c r="O18" s="9" t="s">
        <v>105</v>
      </c>
      <c r="P18" s="9" t="s">
        <v>100</v>
      </c>
      <c r="Q18" s="9" t="s">
        <v>97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14">
        <v>-1</v>
      </c>
      <c r="C19" s="15">
        <f>B19+ROUND(C13/7,0)+ROUND(C15/14,0)</f>
        <v>34</v>
      </c>
      <c r="D19" s="15">
        <v>3</v>
      </c>
      <c r="E19" s="15">
        <v>4</v>
      </c>
      <c r="F19" s="15">
        <v>9</v>
      </c>
      <c r="G19" s="3"/>
      <c r="H19" s="3"/>
      <c r="I19" s="3"/>
      <c r="M19" s="18" t="s">
        <v>53</v>
      </c>
      <c r="N19" s="9" t="s">
        <v>115</v>
      </c>
      <c r="O19" s="9" t="s">
        <v>116</v>
      </c>
      <c r="P19" s="9" t="s">
        <v>106</v>
      </c>
      <c r="Q19" s="9" t="s">
        <v>117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14</v>
      </c>
      <c r="D20" s="9">
        <v>2</v>
      </c>
      <c r="E20" s="9">
        <v>2</v>
      </c>
      <c r="F20" s="9">
        <v>4</v>
      </c>
      <c r="M20" s="18" t="s">
        <v>118</v>
      </c>
      <c r="N20" s="9" t="s">
        <v>120</v>
      </c>
      <c r="O20" s="9" t="s">
        <v>121</v>
      </c>
      <c r="P20" s="9" t="s">
        <v>110</v>
      </c>
      <c r="Q20" s="9" t="s">
        <v>122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34.32</v>
      </c>
      <c r="D21" s="9">
        <v>6</v>
      </c>
      <c r="E21" s="9">
        <v>6</v>
      </c>
      <c r="F21" s="9">
        <v>10</v>
      </c>
      <c r="M21" s="18" t="s">
        <v>119</v>
      </c>
      <c r="N21" s="9" t="s">
        <v>123</v>
      </c>
      <c r="O21" s="9" t="s">
        <v>124</v>
      </c>
      <c r="P21" s="9" t="s">
        <v>125</v>
      </c>
      <c r="Q21" s="9" t="s">
        <v>100</v>
      </c>
      <c r="R21" s="9" t="s">
        <v>68</v>
      </c>
      <c r="S21" s="9" t="s">
        <v>114</v>
      </c>
    </row>
    <row r="22" spans="1:19" ht="15.75" thickTop="1" x14ac:dyDescent="0.25"/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9" sqref="C19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168</v>
      </c>
      <c r="N3" s="9" t="s">
        <v>173</v>
      </c>
      <c r="O3" s="9">
        <f>B9*5</f>
        <v>50</v>
      </c>
      <c r="P3" s="9"/>
      <c r="Q3" s="9" t="s">
        <v>172</v>
      </c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169</v>
      </c>
      <c r="N4" s="9" t="s">
        <v>54</v>
      </c>
      <c r="O4" s="9">
        <f>11*B9</f>
        <v>110</v>
      </c>
      <c r="P4" s="9"/>
      <c r="Q4" s="9" t="s">
        <v>174</v>
      </c>
      <c r="R4" s="9"/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170</v>
      </c>
      <c r="N5" s="9" t="s">
        <v>209</v>
      </c>
      <c r="O5" s="9">
        <f>B9</f>
        <v>10</v>
      </c>
      <c r="P5" s="9"/>
      <c r="Q5" s="9" t="s">
        <v>213</v>
      </c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171</v>
      </c>
      <c r="N6" s="9" t="s">
        <v>214</v>
      </c>
      <c r="O6" s="9">
        <f>B9*0.5</f>
        <v>5</v>
      </c>
      <c r="P6" s="9"/>
      <c r="Q6" s="9" t="s">
        <v>215</v>
      </c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22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32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M13" s="7" t="s">
        <v>47</v>
      </c>
      <c r="N13" s="9" t="s">
        <v>127</v>
      </c>
      <c r="O13" s="9" t="s">
        <v>128</v>
      </c>
      <c r="P13" s="9" t="s">
        <v>58</v>
      </c>
      <c r="Q13" s="9" t="s">
        <v>98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43</v>
      </c>
      <c r="D14" s="9">
        <v>16</v>
      </c>
      <c r="E14" s="9">
        <v>43</v>
      </c>
      <c r="M14" s="7" t="s">
        <v>48</v>
      </c>
      <c r="N14" s="9" t="s">
        <v>129</v>
      </c>
      <c r="O14" s="9" t="s">
        <v>130</v>
      </c>
      <c r="P14" s="9" t="s">
        <v>61</v>
      </c>
      <c r="Q14" s="9" t="s">
        <v>131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37</v>
      </c>
      <c r="D15" s="9">
        <v>19</v>
      </c>
      <c r="E15" s="9">
        <v>37</v>
      </c>
      <c r="M15" s="19" t="s">
        <v>49</v>
      </c>
      <c r="N15" s="9" t="s">
        <v>132</v>
      </c>
      <c r="O15" s="9" t="s">
        <v>133</v>
      </c>
      <c r="P15" s="9" t="s">
        <v>134</v>
      </c>
      <c r="Q15" s="9" t="s">
        <v>102</v>
      </c>
      <c r="R15" s="9" t="s">
        <v>135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M16" s="19" t="s">
        <v>50</v>
      </c>
      <c r="N16" s="9" t="s">
        <v>137</v>
      </c>
      <c r="O16" s="9" t="s">
        <v>138</v>
      </c>
      <c r="P16" s="9" t="s">
        <v>139</v>
      </c>
      <c r="Q16" s="9" t="s">
        <v>129</v>
      </c>
      <c r="R16" s="9" t="s">
        <v>140</v>
      </c>
      <c r="S16" s="9" t="s">
        <v>104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86</v>
      </c>
      <c r="D17" s="9">
        <v>52</v>
      </c>
      <c r="E17" s="9">
        <v>86</v>
      </c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142</v>
      </c>
      <c r="R17" s="9" t="s">
        <v>126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103</v>
      </c>
      <c r="D18" s="9">
        <v>39</v>
      </c>
      <c r="E18" s="9">
        <v>104</v>
      </c>
      <c r="M18" s="18" t="s">
        <v>52</v>
      </c>
      <c r="N18" s="9" t="s">
        <v>144</v>
      </c>
      <c r="O18" s="9" t="s">
        <v>145</v>
      </c>
      <c r="P18" s="9" t="s">
        <v>146</v>
      </c>
      <c r="Q18" s="9" t="s">
        <v>112</v>
      </c>
      <c r="R18" s="9" t="s">
        <v>147</v>
      </c>
      <c r="S18" s="9" t="s">
        <v>143</v>
      </c>
    </row>
    <row r="19" spans="1:19" ht="16.5" thickTop="1" thickBot="1" x14ac:dyDescent="0.3">
      <c r="A19" s="10" t="s">
        <v>17</v>
      </c>
      <c r="B19" s="14">
        <v>0</v>
      </c>
      <c r="C19" s="15">
        <f>B19+ROUND(C13/7,0)+ROUND(C15/14,0)</f>
        <v>7</v>
      </c>
      <c r="D19" s="15">
        <v>4</v>
      </c>
      <c r="E19" s="15">
        <v>7</v>
      </c>
      <c r="F19" s="3"/>
      <c r="G19" s="3"/>
      <c r="H19" s="3"/>
      <c r="I19" s="3"/>
      <c r="M19" s="18" t="s">
        <v>53</v>
      </c>
      <c r="N19" s="9" t="s">
        <v>115</v>
      </c>
      <c r="O19" s="9" t="s">
        <v>148</v>
      </c>
      <c r="P19" s="9" t="s">
        <v>149</v>
      </c>
      <c r="Q19" s="9" t="s">
        <v>103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M20" s="18" t="s">
        <v>118</v>
      </c>
      <c r="N20" s="9" t="s">
        <v>150</v>
      </c>
      <c r="O20" s="9" t="s">
        <v>113</v>
      </c>
      <c r="P20" s="9" t="s">
        <v>151</v>
      </c>
      <c r="Q20" s="9" t="s">
        <v>129</v>
      </c>
      <c r="R20" s="9" t="s">
        <v>139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14.8</v>
      </c>
      <c r="D21" s="9">
        <v>8</v>
      </c>
      <c r="E21" s="9">
        <v>15</v>
      </c>
      <c r="M21" s="18" t="s">
        <v>119</v>
      </c>
      <c r="N21" s="9" t="s">
        <v>152</v>
      </c>
      <c r="O21" s="9" t="s">
        <v>116</v>
      </c>
      <c r="P21" s="9" t="s">
        <v>144</v>
      </c>
      <c r="Q21" s="9" t="s">
        <v>146</v>
      </c>
      <c r="R21" s="9" t="s">
        <v>132</v>
      </c>
      <c r="S21" s="9" t="s">
        <v>114</v>
      </c>
    </row>
    <row r="22" spans="1:19" ht="15.75" thickTop="1" x14ac:dyDescent="0.25"/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I29" sqref="I29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238</v>
      </c>
      <c r="N3" s="9" t="s">
        <v>407</v>
      </c>
      <c r="O3" s="9">
        <f>11*B9</f>
        <v>110</v>
      </c>
      <c r="P3" s="9" t="s">
        <v>408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239</v>
      </c>
      <c r="N4" s="9" t="s">
        <v>54</v>
      </c>
      <c r="O4" s="9">
        <f>20*B9</f>
        <v>200</v>
      </c>
      <c r="P4" s="9" t="s">
        <v>406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240</v>
      </c>
      <c r="N5" s="9" t="s">
        <v>404</v>
      </c>
      <c r="O5" s="9">
        <f>B9</f>
        <v>10</v>
      </c>
      <c r="P5" s="9" t="s">
        <v>405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1.8</v>
      </c>
      <c r="C6" s="17">
        <f t="shared" ref="C6:C7" si="0">B6*2</f>
        <v>3.6</v>
      </c>
      <c r="D6" s="17">
        <f t="shared" ref="D6:D7" si="1">B6*3</f>
        <v>5.4</v>
      </c>
      <c r="E6" s="17">
        <f t="shared" ref="E6:E7" si="2">B6*4</f>
        <v>7.2</v>
      </c>
      <c r="F6" s="17">
        <f t="shared" ref="F6:F7" si="3">B6*5</f>
        <v>9</v>
      </c>
      <c r="G6" s="17">
        <f t="shared" ref="G6:G7" si="4">B6*6</f>
        <v>10.8</v>
      </c>
      <c r="M6" s="18" t="s">
        <v>241</v>
      </c>
      <c r="N6" s="9" t="s">
        <v>403</v>
      </c>
      <c r="O6">
        <f>B9</f>
        <v>10</v>
      </c>
      <c r="P6" s="9" t="s">
        <v>402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0.5</v>
      </c>
      <c r="C7" s="17">
        <f t="shared" si="0"/>
        <v>1</v>
      </c>
      <c r="D7" s="17">
        <f t="shared" si="1"/>
        <v>1.5</v>
      </c>
      <c r="E7" s="17">
        <f t="shared" si="2"/>
        <v>2</v>
      </c>
      <c r="F7" s="17">
        <f t="shared" si="3"/>
        <v>2.5</v>
      </c>
      <c r="G7" s="17">
        <f t="shared" si="4"/>
        <v>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12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73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53.5</v>
      </c>
      <c r="D13" s="9">
        <v>20</v>
      </c>
      <c r="E13" s="9">
        <v>53</v>
      </c>
      <c r="F13" s="9">
        <v>61</v>
      </c>
      <c r="M13" s="7" t="s">
        <v>47</v>
      </c>
      <c r="N13" s="9" t="s">
        <v>236</v>
      </c>
      <c r="O13" s="9" t="s">
        <v>98</v>
      </c>
      <c r="P13" s="9" t="s">
        <v>58</v>
      </c>
      <c r="Q13" s="9" t="s">
        <v>98</v>
      </c>
      <c r="R13" s="9" t="s">
        <v>128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76</v>
      </c>
      <c r="D14" s="9">
        <v>27</v>
      </c>
      <c r="E14" s="9">
        <v>76</v>
      </c>
      <c r="F14" s="9">
        <v>87</v>
      </c>
      <c r="M14" s="7" t="s">
        <v>48</v>
      </c>
      <c r="N14" s="9" t="s">
        <v>142</v>
      </c>
      <c r="O14" s="9" t="s">
        <v>130</v>
      </c>
      <c r="P14" s="9" t="s">
        <v>129</v>
      </c>
      <c r="Q14" s="9" t="s">
        <v>127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17</v>
      </c>
      <c r="E15" s="9">
        <v>30</v>
      </c>
      <c r="F15" s="9">
        <v>33</v>
      </c>
      <c r="M15" s="19" t="s">
        <v>49</v>
      </c>
      <c r="N15" s="9" t="s">
        <v>154</v>
      </c>
      <c r="O15" s="9" t="s">
        <v>129</v>
      </c>
      <c r="P15" s="9" t="s">
        <v>130</v>
      </c>
      <c r="Q15" s="9" t="s">
        <v>131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1129</v>
      </c>
      <c r="D16" s="9">
        <v>519</v>
      </c>
      <c r="E16" s="9">
        <v>1126</v>
      </c>
      <c r="F16" s="9">
        <v>1261</v>
      </c>
      <c r="M16" s="19" t="s">
        <v>50</v>
      </c>
      <c r="N16" s="9" t="s">
        <v>183</v>
      </c>
      <c r="O16" s="9" t="s">
        <v>132</v>
      </c>
      <c r="P16" s="9" t="s">
        <v>142</v>
      </c>
      <c r="Q16" s="9" t="s">
        <v>133</v>
      </c>
      <c r="R16" s="9" t="s">
        <v>126</v>
      </c>
      <c r="S16" s="9" t="s">
        <v>136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116</v>
      </c>
      <c r="D17" s="9">
        <v>51</v>
      </c>
      <c r="E17" s="9">
        <v>105</v>
      </c>
      <c r="F17" s="9">
        <v>117</v>
      </c>
      <c r="M17" s="19" t="s">
        <v>51</v>
      </c>
      <c r="N17" s="9" t="s">
        <v>144</v>
      </c>
      <c r="O17" s="9" t="s">
        <v>138</v>
      </c>
      <c r="P17" s="9" t="s">
        <v>237</v>
      </c>
      <c r="Q17" s="9" t="s">
        <v>131</v>
      </c>
      <c r="R17" s="9" t="s">
        <v>130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182</v>
      </c>
      <c r="D18" s="9">
        <v>66</v>
      </c>
      <c r="E18" s="9">
        <v>182</v>
      </c>
      <c r="F18" s="9">
        <v>208</v>
      </c>
      <c r="M18" s="18" t="s">
        <v>52</v>
      </c>
      <c r="N18" s="9" t="s">
        <v>184</v>
      </c>
      <c r="O18" s="9" t="s">
        <v>155</v>
      </c>
      <c r="P18" s="9" t="s">
        <v>146</v>
      </c>
      <c r="Q18" s="9" t="s">
        <v>147</v>
      </c>
      <c r="R18" s="9" t="s">
        <v>127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10</v>
      </c>
      <c r="D19" s="9">
        <v>3</v>
      </c>
      <c r="E19" s="9">
        <v>9</v>
      </c>
      <c r="F19" s="9">
        <v>10</v>
      </c>
      <c r="M19" s="18" t="s">
        <v>53</v>
      </c>
      <c r="N19" s="9" t="s">
        <v>185</v>
      </c>
      <c r="O19" s="9" t="s">
        <v>149</v>
      </c>
      <c r="P19" s="9" t="s">
        <v>113</v>
      </c>
      <c r="Q19" s="9" t="s">
        <v>142</v>
      </c>
      <c r="R19" s="9" t="s">
        <v>130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3</v>
      </c>
      <c r="E20" s="9">
        <v>8</v>
      </c>
      <c r="F20" s="9">
        <v>9</v>
      </c>
      <c r="M20" s="18" t="s">
        <v>118</v>
      </c>
      <c r="N20" s="9" t="s">
        <v>160</v>
      </c>
      <c r="O20" s="9" t="s">
        <v>159</v>
      </c>
      <c r="P20" s="9" t="s">
        <v>116</v>
      </c>
      <c r="Q20" s="9" t="s">
        <v>129</v>
      </c>
      <c r="R20" s="9" t="s">
        <v>140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7</v>
      </c>
      <c r="E21" s="9">
        <v>12</v>
      </c>
      <c r="F21" s="9">
        <v>13</v>
      </c>
      <c r="M21" s="18" t="s">
        <v>119</v>
      </c>
      <c r="N21" s="9" t="s">
        <v>152</v>
      </c>
      <c r="O21" s="9" t="s">
        <v>162</v>
      </c>
      <c r="P21" s="9" t="s">
        <v>144</v>
      </c>
      <c r="Q21" s="9" t="s">
        <v>132</v>
      </c>
      <c r="R21" s="9" t="s">
        <v>130</v>
      </c>
      <c r="S21" s="9" t="s">
        <v>114</v>
      </c>
    </row>
    <row r="22" spans="1:19" ht="15.75" thickTop="1" x14ac:dyDescent="0.25"/>
    <row r="25" spans="1:19" x14ac:dyDescent="0.25">
      <c r="A25" s="21" t="s">
        <v>264</v>
      </c>
    </row>
    <row r="26" spans="1:19" x14ac:dyDescent="0.25">
      <c r="A26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N12" sqref="N12:S21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564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565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566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567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95</v>
      </c>
      <c r="D13" s="9"/>
      <c r="E13" s="9">
        <v>95</v>
      </c>
      <c r="F13" s="9"/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11</v>
      </c>
      <c r="C14" s="9">
        <f>B14+$B$9*($B$10+1)*B6</f>
        <v>77</v>
      </c>
      <c r="D14" s="9"/>
      <c r="E14" s="9">
        <v>77</v>
      </c>
      <c r="F14" s="9"/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54</v>
      </c>
      <c r="D15" s="9"/>
      <c r="E15" s="9">
        <v>54</v>
      </c>
      <c r="F15" s="9"/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1886</v>
      </c>
      <c r="D16" s="9"/>
      <c r="E16" s="9">
        <v>1886</v>
      </c>
      <c r="F16" s="9"/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22</v>
      </c>
      <c r="C17" s="9">
        <f>ROUND(B17+C13+C15*Common!$B$2,0)</f>
        <v>139</v>
      </c>
      <c r="D17" s="9"/>
      <c r="E17" s="9">
        <v>139</v>
      </c>
      <c r="F17" s="9"/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185</v>
      </c>
      <c r="D18" s="9"/>
      <c r="E18" s="9">
        <v>185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21</v>
      </c>
      <c r="D19" s="9"/>
      <c r="E19" s="9">
        <v>18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21.6</v>
      </c>
      <c r="D21" s="9"/>
      <c r="E21" s="9">
        <v>22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F20" sqref="F20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72</v>
      </c>
    </row>
    <row r="3" spans="1:19" ht="15.75" thickBot="1" x14ac:dyDescent="0.3">
      <c r="M3" s="8" t="s">
        <v>163</v>
      </c>
      <c r="N3" s="9" t="s">
        <v>54</v>
      </c>
      <c r="O3" s="9">
        <f>B9*39.6</f>
        <v>396</v>
      </c>
      <c r="P3" s="9"/>
      <c r="Q3" s="9"/>
      <c r="R3" s="9" t="s">
        <v>221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164</v>
      </c>
      <c r="N4" s="9" t="s">
        <v>54</v>
      </c>
      <c r="O4" s="9">
        <f>10.56*B9</f>
        <v>105.60000000000001</v>
      </c>
      <c r="P4" s="9"/>
      <c r="Q4" s="9"/>
      <c r="R4" s="9" t="s">
        <v>222</v>
      </c>
      <c r="S4" s="9"/>
    </row>
    <row r="5" spans="1:19" ht="16.5" thickTop="1" thickBot="1" x14ac:dyDescent="0.3">
      <c r="A5" s="10" t="s">
        <v>4</v>
      </c>
      <c r="B5" s="20">
        <v>0.75</v>
      </c>
      <c r="C5" s="20">
        <f>B5*2</f>
        <v>1.5</v>
      </c>
      <c r="D5" s="20">
        <f>B5*3</f>
        <v>2.25</v>
      </c>
      <c r="E5" s="20">
        <f>B5*4</f>
        <v>3</v>
      </c>
      <c r="F5" s="20">
        <f>B5*5</f>
        <v>3.75</v>
      </c>
      <c r="G5" s="20">
        <f>B5*6</f>
        <v>4.5</v>
      </c>
      <c r="M5" s="19" t="s">
        <v>165</v>
      </c>
      <c r="N5" s="9" t="s">
        <v>54</v>
      </c>
      <c r="O5" s="9">
        <f>B9*11</f>
        <v>110</v>
      </c>
      <c r="P5" s="9" t="s">
        <v>217</v>
      </c>
      <c r="Q5" s="9">
        <f>B9</f>
        <v>10</v>
      </c>
      <c r="R5" s="9" t="s">
        <v>218</v>
      </c>
      <c r="S5" s="9"/>
    </row>
    <row r="6" spans="1:19" ht="16.5" thickTop="1" thickBot="1" x14ac:dyDescent="0.3">
      <c r="A6" s="10" t="s">
        <v>5</v>
      </c>
      <c r="B6" s="20">
        <v>1.6</v>
      </c>
      <c r="C6" s="20">
        <f t="shared" ref="C6:C7" si="0">B6*2</f>
        <v>3.2</v>
      </c>
      <c r="D6" s="20">
        <f t="shared" ref="D6:D7" si="1">B6*3</f>
        <v>4.8000000000000007</v>
      </c>
      <c r="E6" s="20">
        <f t="shared" ref="E6:E7" si="2">B6*4</f>
        <v>6.4</v>
      </c>
      <c r="F6" s="20">
        <f t="shared" ref="F6:F7" si="3">B6*5</f>
        <v>8</v>
      </c>
      <c r="G6" s="20">
        <f t="shared" ref="G6:G7" si="4">B6*6</f>
        <v>9.6000000000000014</v>
      </c>
      <c r="M6" s="18" t="s">
        <v>166</v>
      </c>
      <c r="N6" s="9" t="s">
        <v>220</v>
      </c>
      <c r="O6" s="9">
        <f>B9*0.5</f>
        <v>5</v>
      </c>
      <c r="P6" s="9"/>
      <c r="Q6" s="9"/>
      <c r="R6" s="9" t="s">
        <v>219</v>
      </c>
      <c r="S6" s="9"/>
    </row>
    <row r="7" spans="1:19" ht="16.5" thickTop="1" thickBot="1" x14ac:dyDescent="0.3">
      <c r="A7" s="10" t="s">
        <v>6</v>
      </c>
      <c r="B7" s="20">
        <v>0.75</v>
      </c>
      <c r="C7" s="20">
        <f t="shared" si="0"/>
        <v>1.5</v>
      </c>
      <c r="D7" s="20">
        <f t="shared" si="1"/>
        <v>2.25</v>
      </c>
      <c r="E7" s="20">
        <f t="shared" si="2"/>
        <v>3</v>
      </c>
      <c r="F7" s="20">
        <f t="shared" si="3"/>
        <v>3.75</v>
      </c>
      <c r="G7" s="20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32</v>
      </c>
      <c r="D13" s="9">
        <v>18</v>
      </c>
      <c r="E13" s="9">
        <v>32</v>
      </c>
      <c r="M13" s="7" t="s">
        <v>47</v>
      </c>
      <c r="N13" s="9" t="s">
        <v>127</v>
      </c>
      <c r="O13" s="9" t="s">
        <v>131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53</v>
      </c>
      <c r="D14" s="9">
        <v>24</v>
      </c>
      <c r="E14" s="9">
        <v>53</v>
      </c>
      <c r="M14" s="7" t="s">
        <v>48</v>
      </c>
      <c r="N14" s="9" t="s">
        <v>142</v>
      </c>
      <c r="O14" s="9" t="s">
        <v>153</v>
      </c>
      <c r="P14" s="9" t="s">
        <v>129</v>
      </c>
      <c r="Q14" s="9" t="s">
        <v>58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16</v>
      </c>
      <c r="E15" s="9">
        <v>30</v>
      </c>
      <c r="M15" s="19" t="s">
        <v>49</v>
      </c>
      <c r="N15" s="9" t="s">
        <v>154</v>
      </c>
      <c r="O15" s="9" t="s">
        <v>132</v>
      </c>
      <c r="P15" s="9" t="s">
        <v>127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159</v>
      </c>
      <c r="C16" s="9">
        <f>ROUNDDOWN(B16+C13*Common!$B$1,0)</f>
        <v>735</v>
      </c>
      <c r="D16" s="9">
        <v>492</v>
      </c>
      <c r="E16" s="9">
        <v>735</v>
      </c>
      <c r="M16" s="19" t="s">
        <v>50</v>
      </c>
      <c r="N16" s="9" t="s">
        <v>154</v>
      </c>
      <c r="O16" s="9" t="s">
        <v>146</v>
      </c>
      <c r="P16" s="9" t="s">
        <v>110</v>
      </c>
      <c r="Q16" s="9" t="s">
        <v>127</v>
      </c>
      <c r="R16" s="9" t="s">
        <v>131</v>
      </c>
      <c r="S16" s="9" t="s">
        <v>136</v>
      </c>
    </row>
    <row r="17" spans="1:19" ht="16.5" thickTop="1" thickBot="1" x14ac:dyDescent="0.3">
      <c r="A17" s="10" t="s">
        <v>15</v>
      </c>
      <c r="B17" s="9">
        <v>15</v>
      </c>
      <c r="C17" s="9">
        <f>ROUND(B17+C14+C15*Common!$B$2,0)</f>
        <v>80</v>
      </c>
      <c r="D17" s="9">
        <v>46</v>
      </c>
      <c r="E17" s="9">
        <v>80</v>
      </c>
      <c r="M17" s="19" t="s">
        <v>51</v>
      </c>
      <c r="N17" s="9" t="s">
        <v>155</v>
      </c>
      <c r="O17" s="9" t="s">
        <v>149</v>
      </c>
      <c r="P17" s="9" t="s">
        <v>133</v>
      </c>
      <c r="Q17" s="9" t="s">
        <v>127</v>
      </c>
      <c r="R17" s="9" t="s">
        <v>78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58</v>
      </c>
      <c r="E18" s="9">
        <v>127</v>
      </c>
      <c r="M18" s="18" t="s">
        <v>52</v>
      </c>
      <c r="N18" s="9" t="s">
        <v>121</v>
      </c>
      <c r="O18" s="9" t="s">
        <v>144</v>
      </c>
      <c r="P18" s="9" t="s">
        <v>146</v>
      </c>
      <c r="Q18" s="9" t="s">
        <v>127</v>
      </c>
      <c r="R18" s="9" t="s">
        <v>156</v>
      </c>
      <c r="S18" s="9" t="s">
        <v>157</v>
      </c>
    </row>
    <row r="19" spans="1:19" ht="16.5" thickTop="1" thickBot="1" x14ac:dyDescent="0.3">
      <c r="A19" s="10" t="s">
        <v>17</v>
      </c>
      <c r="B19" s="14">
        <v>-2</v>
      </c>
      <c r="C19" s="15">
        <f>B19+ROUND(C13/7,0)+ROUND(C15/14,0)</f>
        <v>5</v>
      </c>
      <c r="D19" s="15">
        <v>2</v>
      </c>
      <c r="E19" s="15">
        <v>5</v>
      </c>
      <c r="F19" s="3"/>
      <c r="G19" s="3"/>
      <c r="H19" s="3"/>
      <c r="I19" s="3"/>
      <c r="M19" s="18" t="s">
        <v>53</v>
      </c>
      <c r="N19" s="9" t="s">
        <v>152</v>
      </c>
      <c r="O19" s="9" t="s">
        <v>158</v>
      </c>
      <c r="P19" s="9" t="s">
        <v>151</v>
      </c>
      <c r="Q19" s="9" t="s">
        <v>153</v>
      </c>
      <c r="R19" s="9" t="s">
        <v>153</v>
      </c>
      <c r="S19" s="9" t="s">
        <v>157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159</v>
      </c>
      <c r="O20" s="9" t="s">
        <v>160</v>
      </c>
      <c r="P20" s="9" t="s">
        <v>161</v>
      </c>
      <c r="Q20" s="9" t="s">
        <v>112</v>
      </c>
      <c r="R20" s="9" t="s">
        <v>142</v>
      </c>
      <c r="S20" s="9" t="s">
        <v>157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6</v>
      </c>
      <c r="E21" s="9">
        <v>12</v>
      </c>
      <c r="M21" s="18" t="s">
        <v>119</v>
      </c>
      <c r="N21" s="9" t="s">
        <v>162</v>
      </c>
      <c r="O21" s="9" t="s">
        <v>115</v>
      </c>
      <c r="P21" s="9" t="s">
        <v>144</v>
      </c>
      <c r="Q21" s="9" t="s">
        <v>132</v>
      </c>
      <c r="R21" s="9" t="s">
        <v>110</v>
      </c>
      <c r="S21" s="9" t="s">
        <v>157</v>
      </c>
    </row>
    <row r="22" spans="1:19" ht="15.75" thickTop="1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N6" sqref="N6:S6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179</v>
      </c>
    </row>
    <row r="3" spans="1:19" ht="15.75" thickBot="1" x14ac:dyDescent="0.3">
      <c r="M3" s="8" t="s">
        <v>175</v>
      </c>
      <c r="N3" s="9" t="s">
        <v>54</v>
      </c>
      <c r="O3" s="9">
        <f>B9*17.6</f>
        <v>176</v>
      </c>
      <c r="P3" s="9"/>
      <c r="Q3" s="9"/>
      <c r="R3" s="9" t="s">
        <v>181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176</v>
      </c>
      <c r="N4" s="9" t="s">
        <v>54</v>
      </c>
      <c r="O4" s="9">
        <f>8.8*B9</f>
        <v>88</v>
      </c>
      <c r="P4" s="9"/>
      <c r="Q4" s="9"/>
      <c r="R4" s="9" t="s">
        <v>180</v>
      </c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177</v>
      </c>
      <c r="N5" s="9" t="s">
        <v>206</v>
      </c>
      <c r="O5" s="9">
        <f>B9*16.5</f>
        <v>165</v>
      </c>
      <c r="P5" s="9" t="s">
        <v>224</v>
      </c>
      <c r="Q5" s="9">
        <f>B9</f>
        <v>10</v>
      </c>
      <c r="R5" s="9" t="s">
        <v>225</v>
      </c>
      <c r="S5" s="9"/>
    </row>
    <row r="6" spans="1:19" ht="16.5" thickTop="1" thickBot="1" x14ac:dyDescent="0.3">
      <c r="A6" s="10" t="s">
        <v>5</v>
      </c>
      <c r="B6" s="17">
        <v>1.35</v>
      </c>
      <c r="C6" s="17">
        <f t="shared" ref="C6:C7" si="0">B6*2</f>
        <v>2.7</v>
      </c>
      <c r="D6" s="17">
        <f t="shared" ref="D6:D7" si="1">B6*3</f>
        <v>4.0500000000000007</v>
      </c>
      <c r="E6" s="17">
        <f t="shared" ref="E6:E7" si="2">B6*4</f>
        <v>5.4</v>
      </c>
      <c r="F6" s="17">
        <f t="shared" ref="F6:F7" si="3">B6*5</f>
        <v>6.75</v>
      </c>
      <c r="G6" s="17">
        <f t="shared" ref="G6:G7" si="4">B6*6</f>
        <v>8.1000000000000014</v>
      </c>
      <c r="M6" s="18" t="s">
        <v>178</v>
      </c>
      <c r="N6" s="9" t="s">
        <v>226</v>
      </c>
      <c r="O6" s="9">
        <f>B9*12</f>
        <v>120</v>
      </c>
      <c r="P6" s="9"/>
      <c r="Q6" s="9"/>
      <c r="R6" s="9" t="s">
        <v>227</v>
      </c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/>
      <c r="F12" s="10">
        <v>10</v>
      </c>
      <c r="M12" s="4" t="s">
        <v>235</v>
      </c>
      <c r="N12" s="9" t="s">
        <v>30</v>
      </c>
      <c r="O12" s="9" t="s">
        <v>30</v>
      </c>
      <c r="P12" s="9" t="s">
        <v>310</v>
      </c>
      <c r="Q12" s="9" t="s">
        <v>310</v>
      </c>
      <c r="R12" s="9" t="s">
        <v>311</v>
      </c>
      <c r="S12" s="9" t="s">
        <v>74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40</v>
      </c>
      <c r="D13" s="9">
        <v>19</v>
      </c>
      <c r="E13" s="9"/>
      <c r="F13" s="9">
        <v>40</v>
      </c>
      <c r="M13" s="7" t="s">
        <v>47</v>
      </c>
      <c r="N13" s="9" t="s">
        <v>135</v>
      </c>
      <c r="O13" s="9" t="s">
        <v>128</v>
      </c>
      <c r="P13" s="9" t="s">
        <v>128</v>
      </c>
      <c r="Q13" s="9" t="s">
        <v>182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44</v>
      </c>
      <c r="D14" s="9">
        <v>20</v>
      </c>
      <c r="E14" s="9"/>
      <c r="F14" s="9">
        <v>44</v>
      </c>
      <c r="M14" s="7" t="s">
        <v>48</v>
      </c>
      <c r="N14" s="9" t="s">
        <v>129</v>
      </c>
      <c r="O14" s="9" t="s">
        <v>61</v>
      </c>
      <c r="P14" s="9" t="s">
        <v>156</v>
      </c>
      <c r="Q14" s="9" t="s">
        <v>128</v>
      </c>
      <c r="R14" s="9" t="s">
        <v>128</v>
      </c>
      <c r="S14" s="9" t="s">
        <v>136</v>
      </c>
    </row>
    <row r="15" spans="1:19" ht="16.5" thickTop="1" thickBot="1" x14ac:dyDescent="0.3">
      <c r="A15" s="10" t="s">
        <v>1</v>
      </c>
      <c r="B15" s="9">
        <v>10</v>
      </c>
      <c r="C15" s="9">
        <f>B15+$B$9*($B$10+1)*B7</f>
        <v>22</v>
      </c>
      <c r="D15" s="9">
        <v>11</v>
      </c>
      <c r="E15" s="9"/>
      <c r="F15" s="9">
        <v>22</v>
      </c>
      <c r="M15" s="19" t="s">
        <v>49</v>
      </c>
      <c r="N15" s="9" t="s">
        <v>132</v>
      </c>
      <c r="O15" s="9" t="s">
        <v>146</v>
      </c>
      <c r="P15" s="9" t="s">
        <v>103</v>
      </c>
      <c r="Q15" s="9" t="s">
        <v>127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164</v>
      </c>
      <c r="C16" s="9">
        <f>ROUNDDOWN(B16+C13*Common!$B$1,0)</f>
        <v>884</v>
      </c>
      <c r="D16" s="9">
        <v>511</v>
      </c>
      <c r="E16" s="9"/>
      <c r="F16" s="9">
        <v>884</v>
      </c>
      <c r="M16" s="19" t="s">
        <v>50</v>
      </c>
      <c r="N16" s="9" t="s">
        <v>133</v>
      </c>
      <c r="O16" s="9" t="s">
        <v>138</v>
      </c>
      <c r="P16" s="9" t="s">
        <v>183</v>
      </c>
      <c r="Q16" s="9" t="s">
        <v>156</v>
      </c>
      <c r="R16" s="9" t="s">
        <v>76</v>
      </c>
      <c r="S16" s="9" t="s">
        <v>136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74</v>
      </c>
      <c r="D17" s="9">
        <v>45</v>
      </c>
      <c r="E17" s="9"/>
      <c r="F17" s="9">
        <v>74</v>
      </c>
      <c r="M17" s="19" t="s">
        <v>51</v>
      </c>
      <c r="N17" s="9" t="s">
        <v>149</v>
      </c>
      <c r="O17" s="9" t="s">
        <v>151</v>
      </c>
      <c r="P17" s="9" t="s">
        <v>110</v>
      </c>
      <c r="Q17" s="9" t="s">
        <v>129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106</v>
      </c>
      <c r="D18" s="9">
        <v>48</v>
      </c>
      <c r="E18" s="9"/>
      <c r="F18" s="9">
        <v>106</v>
      </c>
      <c r="M18" s="18" t="s">
        <v>52</v>
      </c>
      <c r="N18" s="9" t="s">
        <v>144</v>
      </c>
      <c r="O18" s="9" t="s">
        <v>184</v>
      </c>
      <c r="P18" s="9" t="s">
        <v>132</v>
      </c>
      <c r="Q18" s="9" t="s">
        <v>129</v>
      </c>
      <c r="R18" s="9" t="s">
        <v>156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B19+C13/7+C15/14</f>
        <v>7.2857142857142856</v>
      </c>
      <c r="D19" s="13">
        <v>3</v>
      </c>
      <c r="E19" s="13"/>
      <c r="F19" s="13">
        <v>7</v>
      </c>
      <c r="G19" s="3"/>
      <c r="H19" s="3"/>
      <c r="I19" s="3"/>
      <c r="M19" s="18" t="s">
        <v>53</v>
      </c>
      <c r="N19" s="9" t="s">
        <v>185</v>
      </c>
      <c r="O19" s="9" t="s">
        <v>121</v>
      </c>
      <c r="P19" s="9" t="s">
        <v>151</v>
      </c>
      <c r="Q19" s="9" t="s">
        <v>141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/>
      <c r="F20" s="9">
        <v>4</v>
      </c>
      <c r="M20" s="18" t="s">
        <v>118</v>
      </c>
      <c r="N20" s="9" t="s">
        <v>159</v>
      </c>
      <c r="O20" s="9" t="s">
        <v>149</v>
      </c>
      <c r="P20" s="9" t="s">
        <v>186</v>
      </c>
      <c r="Q20" s="9" t="s">
        <v>153</v>
      </c>
      <c r="R20" s="9" t="s">
        <v>127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8.8000000000000007</v>
      </c>
      <c r="D21" s="9">
        <v>4</v>
      </c>
      <c r="E21" s="9"/>
      <c r="F21" s="9">
        <v>9</v>
      </c>
      <c r="M21" s="18" t="s">
        <v>119</v>
      </c>
      <c r="N21" s="9" t="s">
        <v>115</v>
      </c>
      <c r="O21" s="9" t="s">
        <v>187</v>
      </c>
      <c r="P21" s="9" t="s">
        <v>188</v>
      </c>
      <c r="Q21" s="9" t="s">
        <v>110</v>
      </c>
      <c r="R21" s="9" t="s">
        <v>132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H6" sqref="H6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320</v>
      </c>
      <c r="N3" s="9" t="s">
        <v>321</v>
      </c>
      <c r="O3" s="9">
        <f>B9</f>
        <v>20</v>
      </c>
      <c r="P3" s="9" t="s">
        <v>322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</v>
      </c>
      <c r="N4" s="9" t="s">
        <v>54</v>
      </c>
      <c r="O4" s="9">
        <f>7*B9</f>
        <v>140</v>
      </c>
      <c r="P4" s="9" t="s">
        <v>323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45</v>
      </c>
      <c r="N5" s="9" t="s">
        <v>206</v>
      </c>
      <c r="O5" s="9">
        <f>11*B9</f>
        <v>220</v>
      </c>
      <c r="P5" s="9" t="s">
        <v>321</v>
      </c>
      <c r="Q5" s="9">
        <f>B9</f>
        <v>20</v>
      </c>
      <c r="R5" s="9" t="s">
        <v>324</v>
      </c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46</v>
      </c>
      <c r="N6" s="9" t="s">
        <v>354</v>
      </c>
      <c r="O6" s="9">
        <f>B9*0.5</f>
        <v>10</v>
      </c>
      <c r="P6" s="9" t="s">
        <v>355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8</v>
      </c>
      <c r="F12" s="10">
        <v>20</v>
      </c>
      <c r="G12" s="10"/>
      <c r="M12" t="s">
        <v>235</v>
      </c>
      <c r="N12" s="9" t="s">
        <v>30</v>
      </c>
      <c r="O12" s="9" t="s">
        <v>30</v>
      </c>
      <c r="P12" s="9" t="s">
        <v>31</v>
      </c>
      <c r="Q12" s="9" t="s">
        <v>30</v>
      </c>
      <c r="R12" s="9" t="s">
        <v>29</v>
      </c>
      <c r="S12" s="9" t="s">
        <v>32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94</v>
      </c>
      <c r="D13" s="9">
        <v>22</v>
      </c>
      <c r="E13" s="9">
        <v>49</v>
      </c>
      <c r="F13" s="9">
        <v>94</v>
      </c>
      <c r="G13" s="9"/>
      <c r="M13" s="7" t="s">
        <v>47</v>
      </c>
      <c r="N13" s="9" t="s">
        <v>55</v>
      </c>
      <c r="O13" s="9" t="s">
        <v>56</v>
      </c>
      <c r="P13" s="9" t="s">
        <v>57</v>
      </c>
      <c r="Q13" s="9" t="s">
        <v>58</v>
      </c>
      <c r="R13" s="9" t="s">
        <v>56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73</v>
      </c>
      <c r="D14" s="9">
        <v>19</v>
      </c>
      <c r="E14" s="9">
        <v>39</v>
      </c>
      <c r="F14" s="9">
        <v>73</v>
      </c>
      <c r="G14" s="9"/>
      <c r="M14" s="7" t="s">
        <v>48</v>
      </c>
      <c r="N14" s="9" t="s">
        <v>60</v>
      </c>
      <c r="O14" s="9" t="s">
        <v>61</v>
      </c>
      <c r="P14" s="9" t="s">
        <v>56</v>
      </c>
      <c r="Q14" s="9" t="s">
        <v>62</v>
      </c>
      <c r="R14" s="9" t="s">
        <v>63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102</v>
      </c>
      <c r="D15" s="9">
        <v>22</v>
      </c>
      <c r="E15" s="9">
        <v>52</v>
      </c>
      <c r="F15" s="9">
        <v>102</v>
      </c>
      <c r="G15" s="9"/>
      <c r="M15" s="19" t="s">
        <v>49</v>
      </c>
      <c r="N15" s="9" t="s">
        <v>64</v>
      </c>
      <c r="O15" s="9" t="s">
        <v>65</v>
      </c>
      <c r="P15" s="9" t="s">
        <v>66</v>
      </c>
      <c r="Q15" s="9" t="s">
        <v>67</v>
      </c>
      <c r="R15" s="9" t="s">
        <v>68</v>
      </c>
      <c r="S15" s="9" t="s">
        <v>69</v>
      </c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1857</v>
      </c>
      <c r="D16" s="9">
        <v>575</v>
      </c>
      <c r="E16" s="9">
        <v>1048</v>
      </c>
      <c r="F16" s="9">
        <v>1858</v>
      </c>
      <c r="G16" s="9"/>
      <c r="M16" s="19" t="s">
        <v>50</v>
      </c>
      <c r="N16" s="9" t="s">
        <v>111</v>
      </c>
      <c r="O16" s="9" t="s">
        <v>193</v>
      </c>
      <c r="P16" s="9" t="s">
        <v>106</v>
      </c>
      <c r="Q16" s="9" t="s">
        <v>60</v>
      </c>
      <c r="R16" s="9" t="s">
        <v>315</v>
      </c>
      <c r="S16" s="9" t="s">
        <v>69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159</v>
      </c>
      <c r="D17" s="9">
        <v>47</v>
      </c>
      <c r="E17" s="9">
        <v>88</v>
      </c>
      <c r="F17" s="9">
        <v>159</v>
      </c>
      <c r="G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62</v>
      </c>
      <c r="R17" s="9" t="s">
        <v>192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175</v>
      </c>
      <c r="D18" s="9">
        <v>45</v>
      </c>
      <c r="E18" s="9">
        <v>93</v>
      </c>
      <c r="F18" s="9">
        <v>175</v>
      </c>
      <c r="G18" s="9"/>
      <c r="M18" s="18" t="s">
        <v>52</v>
      </c>
      <c r="N18" s="9" t="s">
        <v>316</v>
      </c>
      <c r="O18" s="23" t="s">
        <v>281</v>
      </c>
      <c r="P18" s="23" t="s">
        <v>103</v>
      </c>
      <c r="Q18" s="23" t="s">
        <v>68</v>
      </c>
      <c r="R18" s="23" t="s">
        <v>317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23</v>
      </c>
      <c r="D19" s="9">
        <v>7</v>
      </c>
      <c r="E19" s="9">
        <v>14</v>
      </c>
      <c r="F19" s="9">
        <v>24</v>
      </c>
      <c r="G19" s="9"/>
      <c r="H19" s="3"/>
      <c r="I19" s="3"/>
      <c r="M19" s="18" t="s">
        <v>53</v>
      </c>
      <c r="N19" s="9" t="s">
        <v>200</v>
      </c>
      <c r="O19" s="9" t="s">
        <v>113</v>
      </c>
      <c r="P19" s="9" t="s">
        <v>151</v>
      </c>
      <c r="Q19" s="9" t="s">
        <v>60</v>
      </c>
      <c r="R19" s="9" t="s">
        <v>62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2</v>
      </c>
      <c r="E20" s="9">
        <v>4</v>
      </c>
      <c r="F20" s="9">
        <v>7</v>
      </c>
      <c r="G20" s="9"/>
      <c r="M20" s="18" t="s">
        <v>118</v>
      </c>
      <c r="N20" s="9" t="s">
        <v>120</v>
      </c>
      <c r="O20" s="9" t="s">
        <v>318</v>
      </c>
      <c r="P20" s="9" t="s">
        <v>109</v>
      </c>
      <c r="Q20" s="9" t="s">
        <v>112</v>
      </c>
      <c r="R20" s="9" t="s">
        <v>147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40.800000000000004</v>
      </c>
      <c r="D21" s="9">
        <v>9</v>
      </c>
      <c r="E21" s="9">
        <v>21</v>
      </c>
      <c r="F21" s="9">
        <v>41</v>
      </c>
      <c r="G21" s="9"/>
      <c r="M21" s="18" t="s">
        <v>119</v>
      </c>
      <c r="N21" s="9" t="s">
        <v>200</v>
      </c>
      <c r="O21" s="9" t="s">
        <v>115</v>
      </c>
      <c r="P21" s="9" t="s">
        <v>124</v>
      </c>
      <c r="Q21" s="9" t="s">
        <v>319</v>
      </c>
      <c r="R21" s="9" t="s">
        <v>68</v>
      </c>
      <c r="S21" s="9" t="s">
        <v>114</v>
      </c>
    </row>
    <row r="22" spans="1:19" ht="15.75" thickTop="1" x14ac:dyDescent="0.25"/>
    <row r="50" spans="1:19" x14ac:dyDescent="0.25">
      <c r="D50" t="s">
        <v>34</v>
      </c>
      <c r="E50" t="s">
        <v>37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3" t="s">
        <v>17</v>
      </c>
      <c r="D57" s="6">
        <v>3</v>
      </c>
      <c r="E57" s="3" t="e">
        <f>D57+E51/7+E53/14</f>
        <v>#VALUE!</v>
      </c>
      <c r="F57" s="3">
        <v>7</v>
      </c>
      <c r="G57" s="3">
        <v>9</v>
      </c>
      <c r="H57" s="3">
        <v>10</v>
      </c>
      <c r="I57" s="3">
        <v>11</v>
      </c>
      <c r="J57" s="3">
        <v>14</v>
      </c>
      <c r="K57" s="3">
        <v>24</v>
      </c>
      <c r="N57" s="9" t="s">
        <v>30</v>
      </c>
      <c r="O57" s="9" t="s">
        <v>30</v>
      </c>
      <c r="P57" s="9" t="s">
        <v>31</v>
      </c>
      <c r="Q57" s="9" t="s">
        <v>30</v>
      </c>
      <c r="R57" s="9" t="s">
        <v>29</v>
      </c>
      <c r="S57" s="9" t="s">
        <v>32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9" t="s">
        <v>55</v>
      </c>
      <c r="O58" s="9" t="s">
        <v>56</v>
      </c>
      <c r="P58" s="9" t="s">
        <v>57</v>
      </c>
      <c r="Q58" s="9" t="s">
        <v>58</v>
      </c>
      <c r="R58" s="9" t="s">
        <v>56</v>
      </c>
      <c r="S58" s="9" t="s">
        <v>59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9" t="s">
        <v>60</v>
      </c>
      <c r="O59" s="9" t="s">
        <v>61</v>
      </c>
      <c r="P59" s="9" t="s">
        <v>56</v>
      </c>
      <c r="Q59" s="9" t="s">
        <v>62</v>
      </c>
      <c r="R59" s="9" t="s">
        <v>63</v>
      </c>
      <c r="S59" s="9" t="s">
        <v>59</v>
      </c>
    </row>
    <row r="60" spans="1:19" x14ac:dyDescent="0.25">
      <c r="N60" s="9" t="s">
        <v>64</v>
      </c>
      <c r="O60" s="9" t="s">
        <v>65</v>
      </c>
      <c r="P60" s="9" t="s">
        <v>66</v>
      </c>
      <c r="Q60" s="9" t="s">
        <v>67</v>
      </c>
      <c r="R60" s="9" t="s">
        <v>68</v>
      </c>
      <c r="S60" s="9" t="s">
        <v>69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M1" sqref="M1:S21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201</v>
      </c>
      <c r="N3" t="s">
        <v>205</v>
      </c>
      <c r="O3">
        <f>B9*7</f>
        <v>70</v>
      </c>
      <c r="Q3" t="s">
        <v>207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202</v>
      </c>
      <c r="N4" t="s">
        <v>206</v>
      </c>
      <c r="O4">
        <f>14*B9</f>
        <v>140</v>
      </c>
      <c r="Q4" t="s">
        <v>208</v>
      </c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203</v>
      </c>
      <c r="N5" t="s">
        <v>209</v>
      </c>
      <c r="O5">
        <f>B9</f>
        <v>10</v>
      </c>
      <c r="Q5" t="s">
        <v>210</v>
      </c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204</v>
      </c>
      <c r="N6" t="s">
        <v>211</v>
      </c>
      <c r="O6">
        <f>B9*8</f>
        <v>80</v>
      </c>
      <c r="Q6" t="s">
        <v>212</v>
      </c>
    </row>
    <row r="7" spans="1:19" ht="16.5" thickTop="1" thickBot="1" x14ac:dyDescent="0.3">
      <c r="A7" s="10" t="s">
        <v>6</v>
      </c>
      <c r="B7" s="17">
        <v>1.2</v>
      </c>
      <c r="C7" s="17">
        <f t="shared" si="0"/>
        <v>2.4</v>
      </c>
      <c r="D7" s="17">
        <f t="shared" si="1"/>
        <v>3.5999999999999996</v>
      </c>
      <c r="E7" s="17">
        <f t="shared" si="2"/>
        <v>4.8</v>
      </c>
      <c r="F7" s="17">
        <f t="shared" si="3"/>
        <v>6</v>
      </c>
      <c r="G7" s="17">
        <f t="shared" si="4"/>
        <v>7.1999999999999993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76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189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33</v>
      </c>
      <c r="D14" s="9">
        <v>16</v>
      </c>
      <c r="E14" s="9">
        <v>33</v>
      </c>
      <c r="M14" s="7" t="s">
        <v>48</v>
      </c>
      <c r="N14" s="9" t="s">
        <v>66</v>
      </c>
      <c r="O14" s="9" t="s">
        <v>190</v>
      </c>
      <c r="P14" s="9" t="s">
        <v>67</v>
      </c>
      <c r="Q14" s="9" t="s">
        <v>62</v>
      </c>
      <c r="R14" s="9" t="s">
        <v>97</v>
      </c>
      <c r="S14" s="9" t="s">
        <v>191</v>
      </c>
    </row>
    <row r="15" spans="1:19" ht="16.5" thickTop="1" thickBot="1" x14ac:dyDescent="0.3">
      <c r="A15" s="10" t="s">
        <v>1</v>
      </c>
      <c r="B15" s="9">
        <v>24</v>
      </c>
      <c r="C15" s="9">
        <f>B15+$B$9*($B$10+1)*B7</f>
        <v>48</v>
      </c>
      <c r="D15" s="9">
        <v>27</v>
      </c>
      <c r="E15" s="9">
        <v>48</v>
      </c>
      <c r="M15" s="19" t="s">
        <v>49</v>
      </c>
      <c r="N15" s="9" t="s">
        <v>56</v>
      </c>
      <c r="O15" s="9" t="s">
        <v>66</v>
      </c>
      <c r="P15" s="9" t="s">
        <v>105</v>
      </c>
      <c r="Q15" s="9" t="s">
        <v>100</v>
      </c>
      <c r="R15" s="9" t="s">
        <v>60</v>
      </c>
      <c r="S15" s="9" t="s">
        <v>69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799</v>
      </c>
      <c r="D16" s="9">
        <v>475</v>
      </c>
      <c r="E16" s="9">
        <v>799</v>
      </c>
      <c r="M16" s="19" t="s">
        <v>50</v>
      </c>
      <c r="N16" s="9" t="s">
        <v>62</v>
      </c>
      <c r="O16" s="9" t="s">
        <v>192</v>
      </c>
      <c r="P16" s="9" t="s">
        <v>193</v>
      </c>
      <c r="Q16" s="9" t="s">
        <v>111</v>
      </c>
      <c r="R16" s="9" t="s">
        <v>190</v>
      </c>
      <c r="S16" s="9" t="s">
        <v>69</v>
      </c>
    </row>
    <row r="17" spans="1:19" ht="16.5" thickTop="1" thickBot="1" x14ac:dyDescent="0.3">
      <c r="A17" s="10" t="s">
        <v>15</v>
      </c>
      <c r="B17" s="9">
        <v>17</v>
      </c>
      <c r="C17" s="9">
        <f>ROUND(B17+C15+C15*Common!$B$2,0)</f>
        <v>84</v>
      </c>
      <c r="D17" s="9">
        <v>54</v>
      </c>
      <c r="E17" s="9">
        <v>84</v>
      </c>
      <c r="M17" s="19" t="s">
        <v>51</v>
      </c>
      <c r="N17" s="9" t="s">
        <v>110</v>
      </c>
      <c r="O17" s="9" t="s">
        <v>67</v>
      </c>
      <c r="P17" s="9" t="s">
        <v>194</v>
      </c>
      <c r="Q17" s="9" t="s">
        <v>195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37</v>
      </c>
      <c r="E18" s="9">
        <v>78</v>
      </c>
      <c r="M18" s="18" t="s">
        <v>52</v>
      </c>
      <c r="N18" s="9" t="s">
        <v>196</v>
      </c>
      <c r="O18" s="9" t="s">
        <v>97</v>
      </c>
      <c r="P18" s="9" t="s">
        <v>197</v>
      </c>
      <c r="Q18" s="9" t="s">
        <v>111</v>
      </c>
      <c r="R18" s="9" t="s">
        <v>198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8</v>
      </c>
      <c r="D19" s="13">
        <v>3</v>
      </c>
      <c r="E19" s="13">
        <v>7</v>
      </c>
      <c r="F19" s="3"/>
      <c r="G19" s="3"/>
      <c r="H19" s="3"/>
      <c r="I19" s="3"/>
      <c r="M19" s="18" t="s">
        <v>53</v>
      </c>
      <c r="N19" s="9" t="s">
        <v>60</v>
      </c>
      <c r="O19" s="9" t="s">
        <v>199</v>
      </c>
      <c r="P19" s="9" t="s">
        <v>200</v>
      </c>
      <c r="Q19" s="9" t="s">
        <v>64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190</v>
      </c>
      <c r="O20" s="9" t="s">
        <v>112</v>
      </c>
      <c r="P20" s="9" t="s">
        <v>120</v>
      </c>
      <c r="Q20" s="9" t="s">
        <v>125</v>
      </c>
      <c r="R20" s="9" t="s">
        <v>193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19.200000000000003</v>
      </c>
      <c r="D21" s="9">
        <v>11</v>
      </c>
      <c r="E21" s="9">
        <v>19</v>
      </c>
      <c r="M21" s="18" t="s">
        <v>119</v>
      </c>
      <c r="N21" s="9" t="s">
        <v>100</v>
      </c>
      <c r="O21" s="9" t="s">
        <v>193</v>
      </c>
      <c r="P21" s="9" t="s">
        <v>123</v>
      </c>
      <c r="Q21" s="9" t="s">
        <v>109</v>
      </c>
      <c r="R21" s="9" t="s">
        <v>194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H19" sqref="H19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384</v>
      </c>
      <c r="N3" t="s">
        <v>54</v>
      </c>
      <c r="O3">
        <f>B9*16.5</f>
        <v>429</v>
      </c>
      <c r="P3" t="s">
        <v>388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385</v>
      </c>
      <c r="N4" t="s">
        <v>206</v>
      </c>
      <c r="O4">
        <f>8*B9+26</f>
        <v>234</v>
      </c>
      <c r="P4" t="s">
        <v>389</v>
      </c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386</v>
      </c>
      <c r="N5" t="s">
        <v>391</v>
      </c>
      <c r="O5">
        <f>B9*3+2</f>
        <v>80</v>
      </c>
      <c r="P5" t="s">
        <v>390</v>
      </c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387</v>
      </c>
      <c r="N6" t="s">
        <v>393</v>
      </c>
      <c r="O6">
        <f>B9</f>
        <v>26</v>
      </c>
      <c r="P6" t="s">
        <v>392</v>
      </c>
    </row>
    <row r="7" spans="1:19" ht="16.5" thickTop="1" thickBot="1" x14ac:dyDescent="0.3">
      <c r="A7" s="10" t="s">
        <v>6</v>
      </c>
      <c r="B7" s="17">
        <v>1.45</v>
      </c>
      <c r="C7" s="17">
        <f t="shared" si="0"/>
        <v>2.9</v>
      </c>
      <c r="D7" s="17">
        <f t="shared" si="1"/>
        <v>4.3499999999999996</v>
      </c>
      <c r="E7" s="17">
        <f t="shared" si="2"/>
        <v>5.8</v>
      </c>
      <c r="F7" s="17">
        <f t="shared" si="3"/>
        <v>7.25</v>
      </c>
      <c r="G7" s="17">
        <f t="shared" si="4"/>
        <v>8.6999999999999993</v>
      </c>
    </row>
    <row r="8" spans="1:19" ht="15.75" thickTop="1" x14ac:dyDescent="0.25"/>
    <row r="9" spans="1:19" x14ac:dyDescent="0.25">
      <c r="A9" t="s">
        <v>35</v>
      </c>
      <c r="B9">
        <v>26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29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58.199999999999996</v>
      </c>
      <c r="D13" s="9">
        <v>16</v>
      </c>
      <c r="E13" s="9">
        <v>31</v>
      </c>
      <c r="F13" s="9">
        <v>48</v>
      </c>
      <c r="M13" s="7" t="s">
        <v>47</v>
      </c>
      <c r="N13" s="9" t="s">
        <v>56</v>
      </c>
      <c r="O13" s="9" t="s">
        <v>56</v>
      </c>
      <c r="P13" s="9" t="s">
        <v>189</v>
      </c>
      <c r="Q13" s="9" t="s">
        <v>381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66.599999999999994</v>
      </c>
      <c r="D14" s="9">
        <v>15</v>
      </c>
      <c r="E14" s="9">
        <v>33</v>
      </c>
      <c r="F14" s="9">
        <v>54</v>
      </c>
      <c r="M14" s="7" t="s">
        <v>48</v>
      </c>
      <c r="N14" s="9" t="s">
        <v>196</v>
      </c>
      <c r="O14" s="9" t="s">
        <v>382</v>
      </c>
      <c r="P14" s="9" t="s">
        <v>383</v>
      </c>
      <c r="Q14" s="9" t="s">
        <v>60</v>
      </c>
      <c r="R14" s="9" t="s">
        <v>55</v>
      </c>
      <c r="S14" s="9" t="s">
        <v>69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93.399999999999991</v>
      </c>
      <c r="D15" s="9">
        <v>21</v>
      </c>
      <c r="E15" s="9">
        <v>47</v>
      </c>
      <c r="F15" s="9">
        <v>76</v>
      </c>
      <c r="M15" s="19" t="s">
        <v>49</v>
      </c>
      <c r="N15" s="9" t="s">
        <v>67</v>
      </c>
      <c r="O15" s="9" t="s">
        <v>111</v>
      </c>
      <c r="P15" s="9" t="s">
        <v>190</v>
      </c>
      <c r="Q15" s="9" t="s">
        <v>189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1218</v>
      </c>
      <c r="D16" s="9">
        <v>454</v>
      </c>
      <c r="E16" s="9">
        <v>729</v>
      </c>
      <c r="F16" s="9">
        <v>1035</v>
      </c>
      <c r="M16" s="19" t="s">
        <v>50</v>
      </c>
      <c r="N16" s="9" t="s">
        <v>193</v>
      </c>
      <c r="O16" s="9" t="s">
        <v>111</v>
      </c>
      <c r="P16" s="9" t="s">
        <v>247</v>
      </c>
      <c r="Q16" s="9" t="s">
        <v>383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141</v>
      </c>
      <c r="D17" s="9">
        <v>39</v>
      </c>
      <c r="E17" s="9">
        <v>76</v>
      </c>
      <c r="F17" s="9">
        <v>116</v>
      </c>
      <c r="M17" s="19" t="s">
        <v>51</v>
      </c>
      <c r="N17" s="9" t="s">
        <v>194</v>
      </c>
      <c r="O17" s="9" t="s">
        <v>106</v>
      </c>
      <c r="P17" s="9" t="s">
        <v>196</v>
      </c>
      <c r="Q17" s="9" t="s">
        <v>382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160</v>
      </c>
      <c r="D18" s="9">
        <v>35</v>
      </c>
      <c r="E18" s="9">
        <v>80</v>
      </c>
      <c r="F18" s="9">
        <v>131</v>
      </c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15</v>
      </c>
      <c r="D19" s="9">
        <v>3</v>
      </c>
      <c r="E19" s="9">
        <v>7</v>
      </c>
      <c r="F19" s="9">
        <v>12</v>
      </c>
      <c r="M19" s="18" t="s">
        <v>53</v>
      </c>
      <c r="N19" s="9" t="s">
        <v>200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1</v>
      </c>
      <c r="E20" s="9">
        <v>3</v>
      </c>
      <c r="F20" s="9">
        <v>5</v>
      </c>
      <c r="M20" s="18" t="s">
        <v>118</v>
      </c>
      <c r="N20" s="9" t="s">
        <v>123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37.36</v>
      </c>
      <c r="D21" s="9">
        <v>8</v>
      </c>
      <c r="E21" s="9">
        <v>19</v>
      </c>
      <c r="F21" s="9">
        <v>30</v>
      </c>
      <c r="M21" s="18" t="s">
        <v>119</v>
      </c>
      <c r="N21" s="9" t="s">
        <v>120</v>
      </c>
      <c r="O21" s="9" t="s">
        <v>200</v>
      </c>
      <c r="P21" s="9" t="s">
        <v>297</v>
      </c>
      <c r="Q21" s="9" t="s">
        <v>194</v>
      </c>
      <c r="R21" s="9" t="s">
        <v>111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5" t="s">
        <v>42</v>
      </c>
      <c r="B1" s="9">
        <v>18</v>
      </c>
    </row>
    <row r="2" spans="1:2" x14ac:dyDescent="0.25">
      <c r="A2" s="5" t="s">
        <v>38</v>
      </c>
      <c r="B2" s="9">
        <v>0.4</v>
      </c>
    </row>
    <row r="3" spans="1:2" x14ac:dyDescent="0.25">
      <c r="A3" s="5" t="s">
        <v>39</v>
      </c>
      <c r="B3" s="9">
        <v>2.4</v>
      </c>
    </row>
    <row r="4" spans="1:2" x14ac:dyDescent="0.25">
      <c r="A4" s="5" t="s">
        <v>40</v>
      </c>
      <c r="B4" s="9">
        <v>0.1</v>
      </c>
    </row>
    <row r="5" spans="1:2" x14ac:dyDescent="0.25">
      <c r="A5" s="5" t="s">
        <v>41</v>
      </c>
      <c r="B5" s="9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E33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565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1.45</v>
      </c>
      <c r="C5" s="17">
        <f>B5*2</f>
        <v>2.9</v>
      </c>
      <c r="D5" s="17">
        <f>B5*3</f>
        <v>4.3499999999999996</v>
      </c>
      <c r="E5" s="17">
        <f>B5*4</f>
        <v>5.8</v>
      </c>
      <c r="F5" s="17">
        <f>B5*5</f>
        <v>7.25</v>
      </c>
      <c r="G5" s="17">
        <f>B5*6</f>
        <v>8.6999999999999993</v>
      </c>
      <c r="M5" s="19" t="s">
        <v>566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567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73</v>
      </c>
      <c r="Q12" s="9" t="s">
        <v>73</v>
      </c>
      <c r="R12" s="9" t="s">
        <v>31</v>
      </c>
      <c r="S12" s="9" t="s">
        <v>555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48</v>
      </c>
      <c r="D13" s="9">
        <v>22</v>
      </c>
      <c r="E13" s="9">
        <v>48</v>
      </c>
      <c r="F13" s="9"/>
      <c r="M13" s="7" t="s">
        <v>47</v>
      </c>
      <c r="N13" s="9" t="s">
        <v>556</v>
      </c>
      <c r="O13" s="9" t="s">
        <v>147</v>
      </c>
      <c r="P13" s="9" t="s">
        <v>78</v>
      </c>
      <c r="Q13" s="9" t="s">
        <v>78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28</v>
      </c>
      <c r="D14" s="9">
        <v>14</v>
      </c>
      <c r="E14" s="9">
        <v>28</v>
      </c>
      <c r="F14" s="9"/>
      <c r="M14" s="7" t="s">
        <v>48</v>
      </c>
      <c r="N14" s="9" t="s">
        <v>140</v>
      </c>
      <c r="O14" s="9" t="s">
        <v>557</v>
      </c>
      <c r="P14" s="9" t="s">
        <v>139</v>
      </c>
      <c r="Q14" s="9" t="s">
        <v>108</v>
      </c>
      <c r="R14" s="9" t="s">
        <v>558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31</v>
      </c>
      <c r="D15" s="9">
        <v>17</v>
      </c>
      <c r="E15" s="9">
        <v>31</v>
      </c>
      <c r="F15" s="9"/>
      <c r="M15" s="19" t="s">
        <v>49</v>
      </c>
      <c r="N15" s="9" t="s">
        <v>107</v>
      </c>
      <c r="O15" s="9" t="s">
        <v>559</v>
      </c>
      <c r="P15" s="9" t="s">
        <v>560</v>
      </c>
      <c r="Q15" s="9" t="s">
        <v>78</v>
      </c>
      <c r="R15" s="9" t="s">
        <v>247</v>
      </c>
      <c r="S15" s="9" t="s">
        <v>99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565</v>
      </c>
      <c r="E16" s="9">
        <v>1035</v>
      </c>
      <c r="F16" s="9"/>
      <c r="M16" s="19" t="s">
        <v>50</v>
      </c>
      <c r="N16" s="9" t="s">
        <v>106</v>
      </c>
      <c r="O16" s="9" t="s">
        <v>105</v>
      </c>
      <c r="P16" s="9" t="s">
        <v>382</v>
      </c>
      <c r="Q16" s="9" t="s">
        <v>68</v>
      </c>
      <c r="R16" s="9" t="s">
        <v>558</v>
      </c>
      <c r="S16" s="9" t="s">
        <v>99</v>
      </c>
    </row>
    <row r="17" spans="1:19" ht="16.5" thickTop="1" thickBot="1" x14ac:dyDescent="0.3">
      <c r="A17" s="10" t="s">
        <v>15</v>
      </c>
      <c r="B17" s="9">
        <v>26</v>
      </c>
      <c r="C17" s="9">
        <f>ROUND(B17+C13+C15*Common!$B$2,0)</f>
        <v>86</v>
      </c>
      <c r="D17" s="9">
        <v>54</v>
      </c>
      <c r="E17" s="9">
        <v>86</v>
      </c>
      <c r="F17" s="9"/>
      <c r="M17" s="19" t="s">
        <v>51</v>
      </c>
      <c r="N17" s="9" t="s">
        <v>561</v>
      </c>
      <c r="O17" s="9" t="s">
        <v>110</v>
      </c>
      <c r="P17" s="9" t="s">
        <v>199</v>
      </c>
      <c r="Q17" s="9" t="s">
        <v>61</v>
      </c>
      <c r="R17" s="9" t="s">
        <v>246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67</v>
      </c>
      <c r="D18" s="9">
        <v>33</v>
      </c>
      <c r="E18" s="9">
        <v>68</v>
      </c>
      <c r="F18" s="9"/>
      <c r="M18" s="18" t="s">
        <v>52</v>
      </c>
      <c r="N18" s="9" t="s">
        <v>113</v>
      </c>
      <c r="O18" s="9" t="s">
        <v>148</v>
      </c>
      <c r="P18" s="9" t="s">
        <v>147</v>
      </c>
      <c r="Q18" s="9" t="s">
        <v>198</v>
      </c>
      <c r="R18" s="9" t="s">
        <v>105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12</v>
      </c>
      <c r="D19" s="9">
        <v>3</v>
      </c>
      <c r="E19" s="9">
        <v>8</v>
      </c>
      <c r="F19" s="9"/>
      <c r="M19" s="18" t="s">
        <v>53</v>
      </c>
      <c r="N19" s="9" t="s">
        <v>115</v>
      </c>
      <c r="O19" s="9" t="s">
        <v>299</v>
      </c>
      <c r="P19" s="9" t="s">
        <v>562</v>
      </c>
      <c r="Q19" s="9" t="s">
        <v>563</v>
      </c>
      <c r="R19" s="9" t="s">
        <v>111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362</v>
      </c>
      <c r="O20" s="9" t="s">
        <v>342</v>
      </c>
      <c r="P20" s="9" t="s">
        <v>300</v>
      </c>
      <c r="Q20" s="9" t="s">
        <v>448</v>
      </c>
      <c r="R20" s="9" t="s">
        <v>65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12.4</v>
      </c>
      <c r="D21" s="9">
        <v>7</v>
      </c>
      <c r="E21" s="9">
        <v>13</v>
      </c>
      <c r="F21" s="9"/>
      <c r="M21" s="18" t="s">
        <v>119</v>
      </c>
      <c r="N21" s="9" t="s">
        <v>123</v>
      </c>
      <c r="O21" s="9" t="s">
        <v>124</v>
      </c>
      <c r="P21" s="9" t="s">
        <v>197</v>
      </c>
      <c r="Q21" s="9" t="s">
        <v>106</v>
      </c>
      <c r="R21" s="9" t="s">
        <v>107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6" sqref="M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552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553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554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1.55</v>
      </c>
      <c r="C7" s="17">
        <f t="shared" si="0"/>
        <v>3.1</v>
      </c>
      <c r="D7" s="17">
        <f t="shared" si="1"/>
        <v>4.6500000000000004</v>
      </c>
      <c r="E7" s="17">
        <f t="shared" si="2"/>
        <v>6.2</v>
      </c>
      <c r="F7" s="17">
        <f t="shared" si="3"/>
        <v>7.75</v>
      </c>
      <c r="G7" s="17">
        <f t="shared" si="4"/>
        <v>9.3000000000000007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12</v>
      </c>
      <c r="C13" s="9">
        <f>B13+$B$9*($B$10+1)*B5</f>
        <v>46</v>
      </c>
      <c r="D13" s="9">
        <v>16</v>
      </c>
      <c r="E13" s="9">
        <v>46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58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53</v>
      </c>
      <c r="D14" s="9">
        <v>21</v>
      </c>
      <c r="E14" s="9">
        <v>53</v>
      </c>
      <c r="M14" s="7" t="s">
        <v>48</v>
      </c>
      <c r="N14" s="9" t="s">
        <v>60</v>
      </c>
      <c r="O14" s="9" t="s">
        <v>63</v>
      </c>
      <c r="P14" s="9" t="s">
        <v>61</v>
      </c>
      <c r="Q14" s="9" t="s">
        <v>189</v>
      </c>
      <c r="R14" s="9" t="s">
        <v>56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80</v>
      </c>
      <c r="D15" s="9">
        <v>24</v>
      </c>
      <c r="E15" s="9">
        <v>80</v>
      </c>
      <c r="M15" s="19" t="s">
        <v>49</v>
      </c>
      <c r="N15" s="9" t="s">
        <v>67</v>
      </c>
      <c r="O15" s="9" t="s">
        <v>111</v>
      </c>
      <c r="P15" s="9" t="s">
        <v>138</v>
      </c>
      <c r="Q15" s="9" t="s">
        <v>343</v>
      </c>
      <c r="R15" s="9" t="s">
        <v>56</v>
      </c>
      <c r="S15" s="9" t="s">
        <v>59</v>
      </c>
    </row>
    <row r="16" spans="1:19" ht="16.5" thickTop="1" thickBot="1" x14ac:dyDescent="0.3">
      <c r="A16" s="10" t="s">
        <v>14</v>
      </c>
      <c r="B16" s="9">
        <v>173</v>
      </c>
      <c r="C16" s="9">
        <f>ROUNDDOWN(B16+C13*Common!$B$1,0)</f>
        <v>1001</v>
      </c>
      <c r="D16" s="9">
        <v>451</v>
      </c>
      <c r="E16" s="9">
        <v>1001</v>
      </c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190</v>
      </c>
      <c r="R16" s="9" t="s">
        <v>103</v>
      </c>
      <c r="S16" s="9" t="s">
        <v>69</v>
      </c>
    </row>
    <row r="17" spans="1:19" ht="16.5" thickTop="1" thickBot="1" x14ac:dyDescent="0.3">
      <c r="A17" s="10" t="s">
        <v>15</v>
      </c>
      <c r="B17" s="9">
        <v>24</v>
      </c>
      <c r="C17" s="9">
        <f>ROUND(B17+C15+C15*Common!$B$2,0)</f>
        <v>136</v>
      </c>
      <c r="D17" s="9">
        <v>58</v>
      </c>
      <c r="E17" s="9">
        <v>136</v>
      </c>
      <c r="M17" s="19" t="s">
        <v>51</v>
      </c>
      <c r="N17" s="9" t="s">
        <v>194</v>
      </c>
      <c r="O17" s="9" t="s">
        <v>193</v>
      </c>
      <c r="P17" s="9" t="s">
        <v>64</v>
      </c>
      <c r="Q17" s="9" t="s">
        <v>296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50</v>
      </c>
      <c r="E18" s="9">
        <v>128</v>
      </c>
      <c r="M18" s="18" t="s">
        <v>52</v>
      </c>
      <c r="N18" s="9" t="s">
        <v>297</v>
      </c>
      <c r="O18" s="9" t="s">
        <v>151</v>
      </c>
      <c r="P18" s="9" t="s">
        <v>196</v>
      </c>
      <c r="Q18" s="9" t="s">
        <v>190</v>
      </c>
      <c r="R18" s="9" t="s">
        <v>56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13</v>
      </c>
      <c r="D19" s="9">
        <v>3</v>
      </c>
      <c r="E19" s="9">
        <v>12</v>
      </c>
      <c r="M19" s="18" t="s">
        <v>53</v>
      </c>
      <c r="N19" s="9" t="s">
        <v>550</v>
      </c>
      <c r="O19" s="9" t="s">
        <v>194</v>
      </c>
      <c r="P19" s="9" t="s">
        <v>151</v>
      </c>
      <c r="Q19" s="9" t="s">
        <v>198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123</v>
      </c>
      <c r="O20" s="9" t="s">
        <v>125</v>
      </c>
      <c r="P20" s="9" t="s">
        <v>151</v>
      </c>
      <c r="Q20" s="9" t="s">
        <v>196</v>
      </c>
      <c r="R20" s="9" t="s">
        <v>97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32</v>
      </c>
      <c r="D21" s="9">
        <v>9</v>
      </c>
      <c r="E21" s="9">
        <v>32</v>
      </c>
      <c r="M21" s="18" t="s">
        <v>119</v>
      </c>
      <c r="N21" s="9" t="s">
        <v>120</v>
      </c>
      <c r="O21" s="9" t="s">
        <v>188</v>
      </c>
      <c r="P21" s="9" t="s">
        <v>121</v>
      </c>
      <c r="Q21" s="9" t="s">
        <v>551</v>
      </c>
      <c r="R21" s="9" t="s">
        <v>110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O3" sqref="O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541</v>
      </c>
      <c r="N3" s="9" t="s">
        <v>273</v>
      </c>
      <c r="O3" s="9">
        <f>7.04*B9</f>
        <v>140.80000000000001</v>
      </c>
      <c r="P3" s="9" t="s">
        <v>549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542</v>
      </c>
      <c r="N4" s="9" t="s">
        <v>54</v>
      </c>
      <c r="O4" s="9">
        <f>16.5*B9</f>
        <v>330</v>
      </c>
      <c r="P4" s="9" t="s">
        <v>545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543</v>
      </c>
      <c r="N5" s="9" t="s">
        <v>54</v>
      </c>
      <c r="O5" s="9">
        <f>9.9*B9</f>
        <v>198</v>
      </c>
      <c r="P5" s="9" t="s">
        <v>546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544</v>
      </c>
      <c r="N6" s="9" t="s">
        <v>548</v>
      </c>
      <c r="O6" s="9">
        <f>3*B9</f>
        <v>60</v>
      </c>
      <c r="P6" s="9" t="s">
        <v>547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131</v>
      </c>
      <c r="O13" s="9" t="s">
        <v>126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18</v>
      </c>
      <c r="C14" s="9">
        <f>B14+$B$9*($B$10+1)*B6</f>
        <v>102</v>
      </c>
      <c r="D14" s="9">
        <v>22</v>
      </c>
      <c r="E14" s="9">
        <v>102</v>
      </c>
      <c r="M14" s="7" t="s">
        <v>48</v>
      </c>
      <c r="N14" s="9" t="s">
        <v>534</v>
      </c>
      <c r="O14" s="9" t="s">
        <v>102</v>
      </c>
      <c r="P14" s="9" t="s">
        <v>236</v>
      </c>
      <c r="Q14" s="9" t="s">
        <v>98</v>
      </c>
      <c r="R14" s="9" t="s">
        <v>128</v>
      </c>
      <c r="S14" s="9" t="s">
        <v>191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64</v>
      </c>
      <c r="D15" s="9">
        <v>17</v>
      </c>
      <c r="E15" s="9">
        <v>64</v>
      </c>
      <c r="M15" s="19" t="s">
        <v>49</v>
      </c>
      <c r="N15" s="9" t="s">
        <v>146</v>
      </c>
      <c r="O15" s="9" t="s">
        <v>535</v>
      </c>
      <c r="P15" s="25" t="s">
        <v>61</v>
      </c>
      <c r="Q15" s="9" t="s">
        <v>127</v>
      </c>
      <c r="R15" s="9" t="s">
        <v>31</v>
      </c>
      <c r="S15" s="9" t="s">
        <v>143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1341</v>
      </c>
      <c r="D16" s="9">
        <v>469</v>
      </c>
      <c r="E16" s="9">
        <v>1341</v>
      </c>
      <c r="M16" s="19" t="s">
        <v>50</v>
      </c>
      <c r="N16" s="9" t="s">
        <v>183</v>
      </c>
      <c r="O16" s="9" t="s">
        <v>250</v>
      </c>
      <c r="P16" s="9" t="s">
        <v>68</v>
      </c>
      <c r="Q16" s="9" t="s">
        <v>128</v>
      </c>
      <c r="R16" s="9" t="s">
        <v>78</v>
      </c>
      <c r="S16" s="9" t="s">
        <v>143</v>
      </c>
    </row>
    <row r="17" spans="1:19" ht="16.5" thickTop="1" thickBot="1" x14ac:dyDescent="0.3">
      <c r="A17" s="10" t="s">
        <v>15</v>
      </c>
      <c r="B17" s="9">
        <v>13</v>
      </c>
      <c r="C17" s="9">
        <f>ROUND(B17+C14+C15*Common!$B$2,0)</f>
        <v>141</v>
      </c>
      <c r="D17" s="9">
        <v>43</v>
      </c>
      <c r="E17" s="9">
        <v>141</v>
      </c>
      <c r="M17" s="19" t="s">
        <v>51</v>
      </c>
      <c r="N17" s="9" t="s">
        <v>144</v>
      </c>
      <c r="O17" s="9" t="s">
        <v>341</v>
      </c>
      <c r="P17" s="9" t="s">
        <v>360</v>
      </c>
      <c r="Q17" s="9" t="s">
        <v>333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245</v>
      </c>
      <c r="D18" s="9">
        <v>54</v>
      </c>
      <c r="E18" s="9">
        <v>245</v>
      </c>
      <c r="M18" s="18" t="s">
        <v>52</v>
      </c>
      <c r="N18" s="9" t="s">
        <v>536</v>
      </c>
      <c r="O18" s="9" t="s">
        <v>253</v>
      </c>
      <c r="P18" s="9" t="s">
        <v>517</v>
      </c>
      <c r="Q18" s="9" t="s">
        <v>142</v>
      </c>
      <c r="R18" s="9" t="s">
        <v>127</v>
      </c>
      <c r="S18" s="9" t="s">
        <v>537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2</v>
      </c>
      <c r="E19" s="9">
        <v>13</v>
      </c>
      <c r="M19" s="18" t="s">
        <v>53</v>
      </c>
      <c r="N19" s="9" t="s">
        <v>152</v>
      </c>
      <c r="O19" s="9" t="s">
        <v>149</v>
      </c>
      <c r="P19" s="9" t="s">
        <v>538</v>
      </c>
      <c r="Q19" s="9" t="s">
        <v>141</v>
      </c>
      <c r="R19" s="9" t="s">
        <v>68</v>
      </c>
      <c r="S19" s="9" t="s">
        <v>537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10</v>
      </c>
      <c r="M20" s="18" t="s">
        <v>118</v>
      </c>
      <c r="N20" s="9" t="s">
        <v>116</v>
      </c>
      <c r="O20" s="9" t="s">
        <v>121</v>
      </c>
      <c r="P20" s="9" t="s">
        <v>539</v>
      </c>
      <c r="Q20" s="9" t="s">
        <v>151</v>
      </c>
      <c r="R20" s="9" t="s">
        <v>129</v>
      </c>
      <c r="S20" s="9" t="s">
        <v>537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25.6</v>
      </c>
      <c r="D21" s="9">
        <v>7</v>
      </c>
      <c r="E21" s="9">
        <v>26</v>
      </c>
      <c r="M21" s="18" t="s">
        <v>119</v>
      </c>
      <c r="N21" s="9" t="s">
        <v>115</v>
      </c>
      <c r="O21" s="9" t="s">
        <v>144</v>
      </c>
      <c r="P21" s="9" t="s">
        <v>540</v>
      </c>
      <c r="Q21" s="9" t="s">
        <v>250</v>
      </c>
      <c r="R21" s="9" t="s">
        <v>110</v>
      </c>
      <c r="S21" s="9" t="s">
        <v>537</v>
      </c>
    </row>
    <row r="22" spans="1:19" ht="15.75" thickTop="1" x14ac:dyDescent="0.25"/>
    <row r="24" spans="1:19" x14ac:dyDescent="0.25">
      <c r="A24" s="21" t="s">
        <v>264</v>
      </c>
    </row>
    <row r="27" spans="1:19" x14ac:dyDescent="0.25">
      <c r="L27">
        <v>7.04</v>
      </c>
    </row>
    <row r="29" spans="1:19" x14ac:dyDescent="0.25"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20" sqref="A1:XFD104857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518</v>
      </c>
      <c r="N3" s="9" t="s">
        <v>273</v>
      </c>
      <c r="O3" s="9">
        <f>17.6*B9</f>
        <v>176</v>
      </c>
      <c r="P3" s="9" t="s">
        <v>527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519</v>
      </c>
      <c r="N4" s="9" t="s">
        <v>526</v>
      </c>
      <c r="O4" s="9">
        <f>5*B9</f>
        <v>50</v>
      </c>
      <c r="P4" s="9" t="s">
        <v>525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0.95</v>
      </c>
      <c r="C5" s="17">
        <f>B5*2</f>
        <v>1.9</v>
      </c>
      <c r="D5" s="17">
        <f>B5*3</f>
        <v>2.8499999999999996</v>
      </c>
      <c r="E5" s="17">
        <f>B5*4</f>
        <v>3.8</v>
      </c>
      <c r="F5" s="17">
        <f>B5*5</f>
        <v>4.75</v>
      </c>
      <c r="G5" s="17">
        <f>B5*6</f>
        <v>5.6999999999999993</v>
      </c>
      <c r="M5" s="19" t="s">
        <v>520</v>
      </c>
      <c r="N5" s="9" t="s">
        <v>54</v>
      </c>
      <c r="O5" s="9">
        <f>11*B9</f>
        <v>110</v>
      </c>
      <c r="P5" s="9" t="s">
        <v>524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521</v>
      </c>
      <c r="N6" s="9" t="s">
        <v>522</v>
      </c>
      <c r="O6" s="9">
        <f>2*B9</f>
        <v>20</v>
      </c>
      <c r="P6" s="9" t="s">
        <v>523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75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34</v>
      </c>
      <c r="D13" s="9">
        <v>17</v>
      </c>
      <c r="E13" s="9">
        <v>34</v>
      </c>
      <c r="M13" s="7" t="s">
        <v>47</v>
      </c>
      <c r="N13" s="9" t="s">
        <v>66</v>
      </c>
      <c r="O13" s="9" t="s">
        <v>56</v>
      </c>
      <c r="P13" s="9" t="s">
        <v>78</v>
      </c>
      <c r="Q13" s="9" t="s">
        <v>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32</v>
      </c>
      <c r="D14" s="9">
        <v>17</v>
      </c>
      <c r="E14" s="9">
        <v>32</v>
      </c>
      <c r="M14" s="7" t="s">
        <v>48</v>
      </c>
      <c r="N14" s="9" t="s">
        <v>60</v>
      </c>
      <c r="O14" s="9" t="s">
        <v>247</v>
      </c>
      <c r="P14" s="9" t="s">
        <v>515</v>
      </c>
      <c r="Q14" s="9" t="s">
        <v>63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M15" s="19" t="s">
        <v>49</v>
      </c>
      <c r="N15" s="9" t="s">
        <v>67</v>
      </c>
      <c r="O15" s="9" t="s">
        <v>64</v>
      </c>
      <c r="P15" s="9" t="s">
        <v>196</v>
      </c>
      <c r="Q15" s="9" t="s">
        <v>97</v>
      </c>
      <c r="R15" s="9" t="s">
        <v>190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781</v>
      </c>
      <c r="D16" s="9">
        <v>473</v>
      </c>
      <c r="E16" s="9">
        <v>781</v>
      </c>
      <c r="M16" s="19" t="s">
        <v>50</v>
      </c>
      <c r="N16" s="9" t="s">
        <v>110</v>
      </c>
      <c r="O16" s="9" t="s">
        <v>111</v>
      </c>
      <c r="P16" s="9" t="s">
        <v>193</v>
      </c>
      <c r="Q16" s="9" t="s">
        <v>112</v>
      </c>
      <c r="R16" s="9" t="s">
        <v>147</v>
      </c>
      <c r="S16" s="9" t="s">
        <v>104</v>
      </c>
    </row>
    <row r="17" spans="1:19" ht="16.5" thickTop="1" thickBot="1" x14ac:dyDescent="0.3">
      <c r="A17" s="10" t="s">
        <v>15</v>
      </c>
      <c r="B17" s="9">
        <v>6</v>
      </c>
      <c r="C17" s="9">
        <f>ROUND(B17+C15+C15*Common!$B$2,0)</f>
        <v>69</v>
      </c>
      <c r="D17" s="9">
        <v>34</v>
      </c>
      <c r="E17" s="9">
        <v>69</v>
      </c>
      <c r="M17" s="19" t="s">
        <v>51</v>
      </c>
      <c r="N17" s="9" t="s">
        <v>148</v>
      </c>
      <c r="O17" s="9" t="s">
        <v>151</v>
      </c>
      <c r="P17" s="9" t="s">
        <v>516</v>
      </c>
      <c r="Q17" s="9" t="s">
        <v>515</v>
      </c>
      <c r="R17" s="9" t="s">
        <v>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77</v>
      </c>
      <c r="D18" s="9">
        <v>41</v>
      </c>
      <c r="E18" s="9">
        <v>78</v>
      </c>
      <c r="M18" s="18" t="s">
        <v>52</v>
      </c>
      <c r="N18" s="9" t="s">
        <v>125</v>
      </c>
      <c r="O18" s="9" t="s">
        <v>194</v>
      </c>
      <c r="P18" s="9" t="s">
        <v>110</v>
      </c>
      <c r="Q18" s="9" t="s">
        <v>333</v>
      </c>
      <c r="R18" s="9" t="s">
        <v>63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8</v>
      </c>
      <c r="D19" s="9">
        <v>3</v>
      </c>
      <c r="E19" s="9">
        <v>7</v>
      </c>
      <c r="M19" s="18" t="s">
        <v>53</v>
      </c>
      <c r="N19" s="9" t="s">
        <v>200</v>
      </c>
      <c r="O19" s="9" t="s">
        <v>113</v>
      </c>
      <c r="P19" s="9" t="s">
        <v>316</v>
      </c>
      <c r="Q19" s="9" t="s">
        <v>199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120</v>
      </c>
      <c r="O20" s="9" t="s">
        <v>188</v>
      </c>
      <c r="P20" s="9" t="s">
        <v>318</v>
      </c>
      <c r="Q20" s="9" t="s">
        <v>97</v>
      </c>
      <c r="R20" s="9" t="s">
        <v>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M21" s="18" t="s">
        <v>119</v>
      </c>
      <c r="N21" s="9" t="s">
        <v>115</v>
      </c>
      <c r="O21" s="9" t="s">
        <v>160</v>
      </c>
      <c r="P21" s="9" t="s">
        <v>297</v>
      </c>
      <c r="Q21" s="9" t="s">
        <v>517</v>
      </c>
      <c r="R21" s="9" t="s">
        <v>382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3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442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444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35</v>
      </c>
      <c r="F12" s="10"/>
      <c r="M12" t="s">
        <v>235</v>
      </c>
      <c r="N12" s="9" t="s">
        <v>73</v>
      </c>
      <c r="O12" s="9" t="s">
        <v>73</v>
      </c>
      <c r="P12" s="9" t="s">
        <v>74</v>
      </c>
      <c r="Q12" s="9" t="s">
        <v>29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251</v>
      </c>
      <c r="D13" s="9"/>
      <c r="E13" s="9">
        <v>251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368</v>
      </c>
      <c r="R13" s="9" t="s">
        <v>479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83</v>
      </c>
      <c r="D14" s="9"/>
      <c r="E14" s="9">
        <v>83</v>
      </c>
      <c r="F14" s="9"/>
      <c r="M14" s="7" t="s">
        <v>48</v>
      </c>
      <c r="N14" s="9" t="s">
        <v>97</v>
      </c>
      <c r="O14" s="9" t="s">
        <v>199</v>
      </c>
      <c r="P14" s="9" t="s">
        <v>480</v>
      </c>
      <c r="Q14" s="9" t="s">
        <v>61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210</v>
      </c>
      <c r="D15" s="9"/>
      <c r="E15" s="9">
        <v>210</v>
      </c>
      <c r="F15" s="9"/>
      <c r="M15" s="19" t="s">
        <v>49</v>
      </c>
      <c r="N15" s="9" t="s">
        <v>132</v>
      </c>
      <c r="O15" s="9" t="s">
        <v>103</v>
      </c>
      <c r="P15" s="9" t="s">
        <v>62</v>
      </c>
      <c r="Q15" s="9"/>
      <c r="R15" s="9" t="s">
        <v>368</v>
      </c>
      <c r="S15" s="9" t="s">
        <v>99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4693</v>
      </c>
      <c r="D16" s="9"/>
      <c r="E16" s="9">
        <v>4693</v>
      </c>
      <c r="F16" s="9"/>
      <c r="M16" s="19" t="s">
        <v>50</v>
      </c>
      <c r="N16" s="9" t="s">
        <v>106</v>
      </c>
      <c r="O16" s="9" t="s">
        <v>481</v>
      </c>
      <c r="P16" s="9" t="s">
        <v>58</v>
      </c>
      <c r="Q16" s="9" t="s">
        <v>247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27</v>
      </c>
      <c r="C17" s="9">
        <f>ROUND(B17+C13+C15*Common!$B$2,0)</f>
        <v>362</v>
      </c>
      <c r="D17" s="9"/>
      <c r="E17" s="9">
        <v>362</v>
      </c>
      <c r="F17" s="9"/>
      <c r="M17" s="19" t="s">
        <v>51</v>
      </c>
      <c r="N17" s="9" t="s">
        <v>340</v>
      </c>
      <c r="O17" s="9" t="s">
        <v>482</v>
      </c>
      <c r="P17" s="9" t="s">
        <v>193</v>
      </c>
      <c r="Q17" s="9" t="s">
        <v>369</v>
      </c>
      <c r="R17" s="9" t="s">
        <v>483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199</v>
      </c>
      <c r="D18" s="9"/>
      <c r="E18" s="9">
        <v>199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54</v>
      </c>
      <c r="D19" s="9"/>
      <c r="E19" s="9">
        <v>54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84</v>
      </c>
      <c r="D21" s="9"/>
      <c r="E21" s="9">
        <v>84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Q9" sqref="Q9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485</v>
      </c>
      <c r="N3" s="9" t="s">
        <v>488</v>
      </c>
      <c r="O3" s="9">
        <f>6.82*B9</f>
        <v>388.74</v>
      </c>
      <c r="P3" s="9" t="s">
        <v>489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486</v>
      </c>
      <c r="N4" s="9" t="s">
        <v>54</v>
      </c>
      <c r="O4" s="9">
        <f>14.3*B9</f>
        <v>815.1</v>
      </c>
      <c r="P4" s="9" t="s">
        <v>490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203</v>
      </c>
      <c r="N5" s="9" t="s">
        <v>491</v>
      </c>
      <c r="O5" s="9">
        <f>B9</f>
        <v>57</v>
      </c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487</v>
      </c>
      <c r="N6" s="9" t="s">
        <v>226</v>
      </c>
      <c r="O6" s="9">
        <f>B9*12</f>
        <v>684</v>
      </c>
      <c r="P6" s="9" t="s">
        <v>227</v>
      </c>
      <c r="Q6" s="9"/>
      <c r="S6" s="9"/>
    </row>
    <row r="7" spans="1:19" ht="16.5" thickTop="1" thickBot="1" x14ac:dyDescent="0.3">
      <c r="A7" s="10" t="s">
        <v>6</v>
      </c>
      <c r="B7" s="17">
        <v>0.7</v>
      </c>
      <c r="C7" s="17">
        <f t="shared" si="0"/>
        <v>1.4</v>
      </c>
      <c r="D7" s="17">
        <f t="shared" si="1"/>
        <v>2.0999999999999996</v>
      </c>
      <c r="E7" s="17">
        <f t="shared" si="2"/>
        <v>2.8</v>
      </c>
      <c r="F7" s="17">
        <f t="shared" si="3"/>
        <v>3.5</v>
      </c>
      <c r="G7" s="17">
        <f t="shared" si="4"/>
        <v>4.1999999999999993</v>
      </c>
    </row>
    <row r="8" spans="1:19" ht="15.75" thickTop="1" x14ac:dyDescent="0.25"/>
    <row r="9" spans="1:19" x14ac:dyDescent="0.25">
      <c r="A9" t="s">
        <v>35</v>
      </c>
      <c r="B9">
        <v>57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57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205.10000000000002</v>
      </c>
      <c r="D13" s="9"/>
      <c r="E13" s="9">
        <v>205</v>
      </c>
      <c r="F13" s="9"/>
      <c r="M13" s="7" t="s">
        <v>47</v>
      </c>
      <c r="N13" s="9" t="s">
        <v>147</v>
      </c>
      <c r="O13" s="9" t="s">
        <v>127</v>
      </c>
      <c r="P13" s="9" t="s">
        <v>128</v>
      </c>
      <c r="Q13" s="9" t="s">
        <v>128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273.5</v>
      </c>
      <c r="D14" s="9"/>
      <c r="E14" s="9">
        <v>274</v>
      </c>
      <c r="F14" s="9"/>
      <c r="M14" s="7" t="s">
        <v>48</v>
      </c>
      <c r="N14" s="9" t="s">
        <v>129</v>
      </c>
      <c r="O14" s="9" t="s">
        <v>68</v>
      </c>
      <c r="P14" s="9" t="s">
        <v>477</v>
      </c>
      <c r="Q14" s="9" t="s">
        <v>156</v>
      </c>
      <c r="R14" s="9" t="s">
        <v>248</v>
      </c>
      <c r="S14" s="9" t="s">
        <v>191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131.69999999999999</v>
      </c>
      <c r="D15" s="9"/>
      <c r="E15" s="9">
        <v>132</v>
      </c>
      <c r="F15" s="9"/>
      <c r="M15" s="19" t="s">
        <v>49</v>
      </c>
      <c r="N15" s="9" t="s">
        <v>250</v>
      </c>
      <c r="O15" s="9" t="s">
        <v>138</v>
      </c>
      <c r="P15" s="9" t="s">
        <v>333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3857</v>
      </c>
      <c r="D16" s="9"/>
      <c r="E16" s="9">
        <v>3857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247</v>
      </c>
      <c r="R16" s="9" t="s">
        <v>330</v>
      </c>
      <c r="S16" s="9" t="s">
        <v>136</v>
      </c>
    </row>
    <row r="17" spans="1:19" ht="16.5" thickTop="1" thickBot="1" x14ac:dyDescent="0.3">
      <c r="A17" s="10" t="s">
        <v>15</v>
      </c>
      <c r="B17" s="9">
        <v>25</v>
      </c>
      <c r="C17" s="9">
        <f>ROUND(B17+C14+C15*Common!$B$2,0)</f>
        <v>351</v>
      </c>
      <c r="D17" s="9"/>
      <c r="E17" s="9">
        <v>351</v>
      </c>
      <c r="F17" s="9"/>
      <c r="M17" s="19" t="s">
        <v>51</v>
      </c>
      <c r="N17" s="9" t="s">
        <v>116</v>
      </c>
      <c r="O17" s="9" t="s">
        <v>183</v>
      </c>
      <c r="P17" s="9" t="s">
        <v>361</v>
      </c>
      <c r="Q17" s="9" t="s">
        <v>68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656</v>
      </c>
      <c r="D18" s="9"/>
      <c r="E18" s="9">
        <v>656</v>
      </c>
      <c r="F18" s="9"/>
      <c r="M18" s="18" t="s">
        <v>52</v>
      </c>
      <c r="N18" s="9" t="s">
        <v>144</v>
      </c>
      <c r="O18" s="9" t="s">
        <v>161</v>
      </c>
      <c r="P18" s="9" t="s">
        <v>361</v>
      </c>
      <c r="Q18" s="9" t="s">
        <v>246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40</v>
      </c>
      <c r="D19" s="9"/>
      <c r="E19" s="9">
        <v>40</v>
      </c>
      <c r="F19" s="9"/>
      <c r="M19" s="18" t="s">
        <v>53</v>
      </c>
      <c r="N19" s="9" t="s">
        <v>152</v>
      </c>
      <c r="O19" s="9" t="s">
        <v>184</v>
      </c>
      <c r="P19" s="9" t="s">
        <v>194</v>
      </c>
      <c r="Q19" s="9" t="s">
        <v>365</v>
      </c>
      <c r="R19" s="9" t="s">
        <v>142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27</v>
      </c>
      <c r="D20" s="9"/>
      <c r="E20" s="9">
        <v>27</v>
      </c>
      <c r="F20" s="9"/>
      <c r="M20" s="18" t="s">
        <v>118</v>
      </c>
      <c r="N20" s="9" t="s">
        <v>160</v>
      </c>
      <c r="O20" s="9" t="s">
        <v>113</v>
      </c>
      <c r="P20" s="9" t="s">
        <v>366</v>
      </c>
      <c r="Q20" s="9" t="s">
        <v>247</v>
      </c>
      <c r="R20" s="9" t="s">
        <v>129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52.68</v>
      </c>
      <c r="D21" s="9"/>
      <c r="E21" s="9">
        <v>53</v>
      </c>
      <c r="F21" s="9"/>
      <c r="M21" s="18" t="s">
        <v>119</v>
      </c>
      <c r="N21" s="9" t="s">
        <v>478</v>
      </c>
      <c r="O21" s="9" t="s">
        <v>185</v>
      </c>
      <c r="P21" s="9" t="s">
        <v>121</v>
      </c>
      <c r="Q21" s="9" t="s">
        <v>110</v>
      </c>
      <c r="R21" s="9" t="s">
        <v>102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All</vt:lpstr>
      <vt:lpstr>Statuses</vt:lpstr>
      <vt:lpstr>Phoenix (China)</vt:lpstr>
      <vt:lpstr>Vanguard Warrior</vt:lpstr>
      <vt:lpstr>Vengeance Spirit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2014-12-07T06:56:22Z</dcterms:modified>
</cp:coreProperties>
</file>