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heroes charge\HeroChargeTool\excel\"/>
    </mc:Choice>
  </mc:AlternateContent>
  <bookViews>
    <workbookView xWindow="0" yWindow="0" windowWidth="28800" windowHeight="12375" activeTab="1"/>
  </bookViews>
  <sheets>
    <sheet name="All" sheetId="11" r:id="rId1"/>
    <sheet name="Statuses" sheetId="10" r:id="rId2"/>
    <sheet name="Old Curse" sheetId="37" r:id="rId3"/>
    <sheet name="Phoenix (China)" sheetId="36" r:id="rId4"/>
    <sheet name="Vanguard Warrior" sheetId="35" r:id="rId5"/>
    <sheet name="Vengeance Spirit" sheetId="34" r:id="rId6"/>
    <sheet name="Ice Mage" sheetId="33" r:id="rId7"/>
    <sheet name="Commando" sheetId="32" r:id="rId8"/>
    <sheet name="Drunken Master" sheetId="31" r:id="rId9"/>
    <sheet name="Death Mage" sheetId="30" r:id="rId10"/>
    <sheet name="Tusked Storm" sheetId="29" r:id="rId11"/>
    <sheet name="Master Mage" sheetId="28" r:id="rId12"/>
    <sheet name="Shallow Keeper" sheetId="27" r:id="rId13"/>
    <sheet name="Succubus" sheetId="26" r:id="rId14"/>
    <sheet name="Cleric" sheetId="25" r:id="rId15"/>
    <sheet name="Machinist" sheetId="24" r:id="rId16"/>
    <sheet name="Arcane Sapper" sheetId="23" r:id="rId17"/>
    <sheet name="Sniper" sheetId="22" r:id="rId18"/>
    <sheet name="Psychic Sword" sheetId="21" r:id="rId19"/>
    <sheet name="Mystic" sheetId="20" r:id="rId20"/>
    <sheet name="Bear Warrior" sheetId="19" r:id="rId21"/>
    <sheet name="Professional Killer" sheetId="18" r:id="rId22"/>
    <sheet name="Psychopath" sheetId="17" r:id="rId23"/>
    <sheet name="Frost Mage" sheetId="16" r:id="rId24"/>
    <sheet name="Mountain" sheetId="15" r:id="rId25"/>
    <sheet name="Silencer" sheetId="14" r:id="rId26"/>
    <sheet name="Ferryman" sheetId="13" r:id="rId27"/>
    <sheet name="Admiral" sheetId="5" r:id="rId28"/>
    <sheet name="Chaplain" sheetId="9" r:id="rId29"/>
    <sheet name="Necromancer" sheetId="12" r:id="rId30"/>
    <sheet name="Emberstar" sheetId="7" r:id="rId31"/>
    <sheet name="Lightning Master" sheetId="8" r:id="rId32"/>
    <sheet name="Depths Voice" sheetId="1" r:id="rId33"/>
    <sheet name="Leaves Shadows" sheetId="6" r:id="rId34"/>
    <sheet name="Rifleman" sheetId="2" r:id="rId35"/>
    <sheet name="Lightning Elemental" sheetId="3" r:id="rId36"/>
    <sheet name="Common" sheetId="4" r:id="rId3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9" l="1"/>
  <c r="O4" i="19"/>
  <c r="O5" i="19"/>
  <c r="O6" i="19"/>
  <c r="C15" i="19"/>
  <c r="C21" i="19" s="1"/>
  <c r="C14" i="19"/>
  <c r="C18" i="19" s="1"/>
  <c r="C13" i="19"/>
  <c r="C19" i="19" s="1"/>
  <c r="G7" i="19"/>
  <c r="F7" i="19"/>
  <c r="E7" i="19"/>
  <c r="D7" i="19"/>
  <c r="C7" i="19"/>
  <c r="G6" i="19"/>
  <c r="F6" i="19"/>
  <c r="E6" i="19"/>
  <c r="D6" i="19"/>
  <c r="C6" i="19"/>
  <c r="G5" i="19"/>
  <c r="F5" i="19"/>
  <c r="E5" i="19"/>
  <c r="D5" i="19"/>
  <c r="C5" i="19"/>
  <c r="C20" i="19" l="1"/>
  <c r="C16" i="19"/>
  <c r="C17" i="19"/>
  <c r="O6" i="31"/>
  <c r="O5" i="31"/>
  <c r="O4" i="31"/>
  <c r="O3" i="31"/>
  <c r="C13" i="37" l="1"/>
  <c r="C15" i="37"/>
  <c r="C21" i="37" s="1"/>
  <c r="C14" i="37"/>
  <c r="C18" i="37" s="1"/>
  <c r="C19" i="37"/>
  <c r="G7" i="37"/>
  <c r="F7" i="37"/>
  <c r="E7" i="37"/>
  <c r="D7" i="37"/>
  <c r="C7" i="37"/>
  <c r="G6" i="37"/>
  <c r="F6" i="37"/>
  <c r="E6" i="37"/>
  <c r="D6" i="37"/>
  <c r="C6" i="37"/>
  <c r="G5" i="37"/>
  <c r="F5" i="37"/>
  <c r="E5" i="37"/>
  <c r="D5" i="37"/>
  <c r="C5" i="37"/>
  <c r="C17" i="37" l="1"/>
  <c r="C20" i="37"/>
  <c r="C16" i="37"/>
  <c r="C15" i="36"/>
  <c r="C21" i="36" s="1"/>
  <c r="C14" i="36"/>
  <c r="C18" i="36" s="1"/>
  <c r="C13" i="36"/>
  <c r="C17" i="36" s="1"/>
  <c r="G7" i="36"/>
  <c r="F7" i="36"/>
  <c r="E7" i="36"/>
  <c r="D7" i="36"/>
  <c r="C7" i="36"/>
  <c r="G6" i="36"/>
  <c r="F6" i="36"/>
  <c r="E6" i="36"/>
  <c r="D6" i="36"/>
  <c r="C6" i="36"/>
  <c r="G5" i="36"/>
  <c r="F5" i="36"/>
  <c r="E5" i="36"/>
  <c r="D5" i="36"/>
  <c r="C5" i="36"/>
  <c r="C20" i="36" l="1"/>
  <c r="C16" i="36"/>
  <c r="C19" i="36"/>
  <c r="C15" i="35"/>
  <c r="C21" i="35" s="1"/>
  <c r="C14" i="35"/>
  <c r="C20" i="35" s="1"/>
  <c r="C13" i="35"/>
  <c r="C16" i="35" s="1"/>
  <c r="G7" i="35"/>
  <c r="F7" i="35"/>
  <c r="E7" i="35"/>
  <c r="D7" i="35"/>
  <c r="C7" i="35"/>
  <c r="G6" i="35"/>
  <c r="F6" i="35"/>
  <c r="E6" i="35"/>
  <c r="D6" i="35"/>
  <c r="C6" i="35"/>
  <c r="G5" i="35"/>
  <c r="F5" i="35"/>
  <c r="E5" i="35"/>
  <c r="D5" i="35"/>
  <c r="C5" i="35"/>
  <c r="C17" i="35" l="1"/>
  <c r="C18" i="35"/>
  <c r="C19" i="35"/>
  <c r="C15" i="34"/>
  <c r="C21" i="34" s="1"/>
  <c r="C14" i="34"/>
  <c r="C20" i="34" s="1"/>
  <c r="C13" i="34"/>
  <c r="C16" i="34" s="1"/>
  <c r="G7" i="34"/>
  <c r="F7" i="34"/>
  <c r="E7" i="34"/>
  <c r="D7" i="34"/>
  <c r="C7" i="34"/>
  <c r="G6" i="34"/>
  <c r="F6" i="34"/>
  <c r="E6" i="34"/>
  <c r="D6" i="34"/>
  <c r="C6" i="34"/>
  <c r="G5" i="34"/>
  <c r="F5" i="34"/>
  <c r="E5" i="34"/>
  <c r="D5" i="34"/>
  <c r="C5" i="34"/>
  <c r="C17" i="34" l="1"/>
  <c r="C18" i="34"/>
  <c r="C19" i="34"/>
  <c r="O3" i="33"/>
  <c r="O6" i="33"/>
  <c r="O5" i="33"/>
  <c r="O4" i="33"/>
  <c r="C17" i="33"/>
  <c r="C15" i="33"/>
  <c r="C21" i="33" s="1"/>
  <c r="C14" i="33"/>
  <c r="C20" i="33" s="1"/>
  <c r="C13" i="33"/>
  <c r="C16" i="33" s="1"/>
  <c r="G7" i="33"/>
  <c r="F7" i="33"/>
  <c r="E7" i="33"/>
  <c r="D7" i="33"/>
  <c r="C7" i="33"/>
  <c r="G6" i="33"/>
  <c r="F6" i="33"/>
  <c r="E6" i="33"/>
  <c r="D6" i="33"/>
  <c r="C6" i="33"/>
  <c r="G5" i="33"/>
  <c r="F5" i="33"/>
  <c r="E5" i="33"/>
  <c r="D5" i="33"/>
  <c r="C5" i="33"/>
  <c r="C19" i="33" l="1"/>
  <c r="C18" i="33"/>
  <c r="O5" i="29"/>
  <c r="O6" i="29"/>
  <c r="O4" i="29"/>
  <c r="O3" i="29"/>
  <c r="O3" i="32"/>
  <c r="O4" i="32"/>
  <c r="O5" i="32"/>
  <c r="O6" i="32"/>
  <c r="C15" i="32"/>
  <c r="C21" i="32" s="1"/>
  <c r="C14" i="32"/>
  <c r="C20" i="32" s="1"/>
  <c r="C13" i="32"/>
  <c r="C16" i="32" s="1"/>
  <c r="G7" i="32"/>
  <c r="F7" i="32"/>
  <c r="E7" i="32"/>
  <c r="D7" i="32"/>
  <c r="C7" i="32"/>
  <c r="G6" i="32"/>
  <c r="F6" i="32"/>
  <c r="E6" i="32"/>
  <c r="D6" i="32"/>
  <c r="C6" i="32"/>
  <c r="G5" i="32"/>
  <c r="F5" i="32"/>
  <c r="E5" i="32"/>
  <c r="D5" i="32"/>
  <c r="C5" i="32"/>
  <c r="C17" i="32" l="1"/>
  <c r="C19" i="32"/>
  <c r="C18" i="32"/>
  <c r="O3" i="25"/>
  <c r="O5" i="25"/>
  <c r="O4" i="25"/>
  <c r="O6" i="25"/>
  <c r="O6" i="23"/>
  <c r="O5" i="23"/>
  <c r="Q4" i="23"/>
  <c r="O4" i="23"/>
  <c r="O3" i="23"/>
  <c r="O6" i="30"/>
  <c r="O5" i="30"/>
  <c r="O4" i="30"/>
  <c r="O3" i="30"/>
  <c r="C15" i="31" l="1"/>
  <c r="C21" i="31" s="1"/>
  <c r="C14" i="31"/>
  <c r="C13" i="31"/>
  <c r="C16" i="31" s="1"/>
  <c r="G7" i="31"/>
  <c r="F7" i="31"/>
  <c r="E7" i="31"/>
  <c r="D7" i="31"/>
  <c r="C7" i="31"/>
  <c r="G6" i="31"/>
  <c r="F6" i="31"/>
  <c r="E6" i="31"/>
  <c r="D6" i="31"/>
  <c r="C6" i="31"/>
  <c r="G5" i="31"/>
  <c r="F5" i="31"/>
  <c r="E5" i="31"/>
  <c r="D5" i="31"/>
  <c r="C5" i="31"/>
  <c r="C17" i="30"/>
  <c r="C17" i="31" l="1"/>
  <c r="C18" i="31"/>
  <c r="C19" i="31"/>
  <c r="C20" i="31"/>
  <c r="C15" i="30"/>
  <c r="C21" i="30" s="1"/>
  <c r="C14" i="30"/>
  <c r="C20" i="30" s="1"/>
  <c r="C13" i="30"/>
  <c r="C16" i="30" s="1"/>
  <c r="G7" i="30"/>
  <c r="F7" i="30"/>
  <c r="E7" i="30"/>
  <c r="D7" i="30"/>
  <c r="C7" i="30"/>
  <c r="G6" i="30"/>
  <c r="F6" i="30"/>
  <c r="E6" i="30"/>
  <c r="D6" i="30"/>
  <c r="C6" i="30"/>
  <c r="G5" i="30"/>
  <c r="F5" i="30"/>
  <c r="E5" i="30"/>
  <c r="D5" i="30"/>
  <c r="C5" i="30"/>
  <c r="O5" i="28"/>
  <c r="C17" i="29"/>
  <c r="C16" i="29"/>
  <c r="C15" i="29"/>
  <c r="C21" i="29" s="1"/>
  <c r="C14" i="29"/>
  <c r="C20" i="29" s="1"/>
  <c r="C13" i="29"/>
  <c r="G7" i="29"/>
  <c r="F7" i="29"/>
  <c r="E7" i="29"/>
  <c r="D7" i="29"/>
  <c r="C7" i="29"/>
  <c r="G6" i="29"/>
  <c r="F6" i="29"/>
  <c r="E6" i="29"/>
  <c r="D6" i="29"/>
  <c r="C6" i="29"/>
  <c r="G5" i="29"/>
  <c r="F5" i="29"/>
  <c r="E5" i="29"/>
  <c r="D5" i="29"/>
  <c r="C5" i="29"/>
  <c r="C19" i="30" l="1"/>
  <c r="C18" i="30"/>
  <c r="C18" i="29"/>
  <c r="C19" i="29"/>
  <c r="O3" i="28"/>
  <c r="O4" i="28"/>
  <c r="O6" i="28"/>
  <c r="C15" i="28"/>
  <c r="C21" i="28" s="1"/>
  <c r="C14" i="28"/>
  <c r="C20" i="28" s="1"/>
  <c r="C13" i="28"/>
  <c r="G7" i="28"/>
  <c r="F7" i="28"/>
  <c r="E7" i="28"/>
  <c r="D7" i="28"/>
  <c r="C7" i="28"/>
  <c r="G6" i="28"/>
  <c r="F6" i="28"/>
  <c r="E6" i="28"/>
  <c r="D6" i="28"/>
  <c r="C6" i="28"/>
  <c r="G5" i="28"/>
  <c r="F5" i="28"/>
  <c r="E5" i="28"/>
  <c r="D5" i="28"/>
  <c r="C5" i="28"/>
  <c r="O3" i="22"/>
  <c r="O4" i="22"/>
  <c r="O5" i="22"/>
  <c r="O6" i="22"/>
  <c r="O3" i="17"/>
  <c r="R4" i="17"/>
  <c r="O4" i="17"/>
  <c r="O5" i="17"/>
  <c r="O3" i="12"/>
  <c r="O4" i="12"/>
  <c r="O5" i="12"/>
  <c r="O6" i="12"/>
  <c r="O4" i="14"/>
  <c r="O6" i="14"/>
  <c r="O5" i="14"/>
  <c r="O6" i="2"/>
  <c r="O5" i="2"/>
  <c r="O4" i="2"/>
  <c r="O3" i="2"/>
  <c r="C15" i="2"/>
  <c r="C17" i="2" s="1"/>
  <c r="C14" i="2"/>
  <c r="C18" i="2" s="1"/>
  <c r="C13" i="2"/>
  <c r="C16" i="2" s="1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O6" i="27"/>
  <c r="O5" i="27"/>
  <c r="Q4" i="27"/>
  <c r="O4" i="27"/>
  <c r="O3" i="27"/>
  <c r="C17" i="27"/>
  <c r="C15" i="27"/>
  <c r="C21" i="27" s="1"/>
  <c r="C14" i="27"/>
  <c r="C20" i="27" s="1"/>
  <c r="C13" i="27"/>
  <c r="G7" i="27"/>
  <c r="F7" i="27"/>
  <c r="E7" i="27"/>
  <c r="D7" i="27"/>
  <c r="C7" i="27"/>
  <c r="G6" i="27"/>
  <c r="F6" i="27"/>
  <c r="E6" i="27"/>
  <c r="D6" i="27"/>
  <c r="C6" i="27"/>
  <c r="G5" i="27"/>
  <c r="F5" i="27"/>
  <c r="E5" i="27"/>
  <c r="D5" i="27"/>
  <c r="C5" i="27"/>
  <c r="C17" i="28" l="1"/>
  <c r="C18" i="28"/>
  <c r="C19" i="28"/>
  <c r="C16" i="28"/>
  <c r="C20" i="2"/>
  <c r="C19" i="2"/>
  <c r="C21" i="2"/>
  <c r="C16" i="27"/>
  <c r="C18" i="27"/>
  <c r="C19" i="27"/>
  <c r="C15" i="26"/>
  <c r="C21" i="26" s="1"/>
  <c r="C14" i="26"/>
  <c r="C13" i="26"/>
  <c r="C16" i="26" s="1"/>
  <c r="G7" i="26"/>
  <c r="F7" i="26"/>
  <c r="E7" i="26"/>
  <c r="D7" i="26"/>
  <c r="C7" i="26"/>
  <c r="G6" i="26"/>
  <c r="F6" i="26"/>
  <c r="E6" i="26"/>
  <c r="D6" i="26"/>
  <c r="C6" i="26"/>
  <c r="G5" i="26"/>
  <c r="F5" i="26"/>
  <c r="E5" i="26"/>
  <c r="D5" i="26"/>
  <c r="C5" i="26"/>
  <c r="C15" i="25"/>
  <c r="C21" i="25" s="1"/>
  <c r="C14" i="25"/>
  <c r="C20" i="25" s="1"/>
  <c r="C13" i="25"/>
  <c r="C16" i="25" s="1"/>
  <c r="G7" i="25"/>
  <c r="F7" i="25"/>
  <c r="E7" i="25"/>
  <c r="D7" i="25"/>
  <c r="C7" i="25"/>
  <c r="G6" i="25"/>
  <c r="F6" i="25"/>
  <c r="E6" i="25"/>
  <c r="D6" i="25"/>
  <c r="C6" i="25"/>
  <c r="G5" i="25"/>
  <c r="F5" i="25"/>
  <c r="E5" i="25"/>
  <c r="D5" i="25"/>
  <c r="C5" i="25"/>
  <c r="C20" i="26" l="1"/>
  <c r="C17" i="26"/>
  <c r="C18" i="26"/>
  <c r="C19" i="26"/>
  <c r="C17" i="25"/>
  <c r="C18" i="25"/>
  <c r="C19" i="25"/>
  <c r="O3" i="16"/>
  <c r="O6" i="1"/>
  <c r="C15" i="24"/>
  <c r="C14" i="24"/>
  <c r="C20" i="24" s="1"/>
  <c r="C13" i="24"/>
  <c r="C16" i="24" s="1"/>
  <c r="G7" i="24"/>
  <c r="F7" i="24"/>
  <c r="E7" i="24"/>
  <c r="D7" i="24"/>
  <c r="C7" i="24"/>
  <c r="G6" i="24"/>
  <c r="F6" i="24"/>
  <c r="E6" i="24"/>
  <c r="D6" i="24"/>
  <c r="C6" i="24"/>
  <c r="G5" i="24"/>
  <c r="F5" i="24"/>
  <c r="E5" i="24"/>
  <c r="D5" i="24"/>
  <c r="C5" i="24"/>
  <c r="C15" i="22"/>
  <c r="C21" i="22" s="1"/>
  <c r="C14" i="22"/>
  <c r="C20" i="22" s="1"/>
  <c r="C13" i="22"/>
  <c r="C16" i="22" s="1"/>
  <c r="G7" i="22"/>
  <c r="F7" i="22"/>
  <c r="E7" i="22"/>
  <c r="D7" i="22"/>
  <c r="C7" i="22"/>
  <c r="G6" i="22"/>
  <c r="F6" i="22"/>
  <c r="E6" i="22"/>
  <c r="D6" i="22"/>
  <c r="C6" i="22"/>
  <c r="G5" i="22"/>
  <c r="F5" i="22"/>
  <c r="E5" i="22"/>
  <c r="D5" i="22"/>
  <c r="C5" i="22"/>
  <c r="C15" i="23"/>
  <c r="C21" i="23" s="1"/>
  <c r="C14" i="23"/>
  <c r="C20" i="23" s="1"/>
  <c r="C13" i="23"/>
  <c r="C16" i="23" s="1"/>
  <c r="G7" i="23"/>
  <c r="F7" i="23"/>
  <c r="E7" i="23"/>
  <c r="D7" i="23"/>
  <c r="C7" i="23"/>
  <c r="G6" i="23"/>
  <c r="F6" i="23"/>
  <c r="E6" i="23"/>
  <c r="D6" i="23"/>
  <c r="C6" i="23"/>
  <c r="G5" i="23"/>
  <c r="F5" i="23"/>
  <c r="E5" i="23"/>
  <c r="D5" i="23"/>
  <c r="C5" i="23"/>
  <c r="C15" i="17"/>
  <c r="C14" i="17"/>
  <c r="C18" i="17" s="1"/>
  <c r="C13" i="17"/>
  <c r="C16" i="17" s="1"/>
  <c r="G7" i="17"/>
  <c r="F7" i="17"/>
  <c r="E7" i="17"/>
  <c r="D7" i="17"/>
  <c r="C7" i="17"/>
  <c r="G6" i="17"/>
  <c r="F6" i="17"/>
  <c r="E6" i="17"/>
  <c r="D6" i="17"/>
  <c r="C6" i="17"/>
  <c r="G5" i="17"/>
  <c r="F5" i="17"/>
  <c r="E5" i="17"/>
  <c r="D5" i="17"/>
  <c r="C5" i="17"/>
  <c r="C15" i="14"/>
  <c r="C21" i="14" s="1"/>
  <c r="C14" i="14"/>
  <c r="C18" i="14" s="1"/>
  <c r="C13" i="14"/>
  <c r="C16" i="14" s="1"/>
  <c r="G7" i="14"/>
  <c r="F7" i="14"/>
  <c r="E7" i="14"/>
  <c r="D7" i="14"/>
  <c r="C7" i="14"/>
  <c r="G6" i="14"/>
  <c r="F6" i="14"/>
  <c r="E6" i="14"/>
  <c r="D6" i="14"/>
  <c r="C6" i="14"/>
  <c r="G5" i="14"/>
  <c r="F5" i="14"/>
  <c r="E5" i="14"/>
  <c r="D5" i="14"/>
  <c r="C5" i="14"/>
  <c r="C17" i="24" l="1"/>
  <c r="C21" i="24"/>
  <c r="C18" i="24"/>
  <c r="C19" i="24"/>
  <c r="C17" i="22"/>
  <c r="C18" i="22"/>
  <c r="C19" i="22"/>
  <c r="C17" i="23"/>
  <c r="C18" i="23"/>
  <c r="C19" i="23"/>
  <c r="C17" i="17"/>
  <c r="C20" i="17"/>
  <c r="C21" i="17"/>
  <c r="C19" i="17"/>
  <c r="C17" i="14"/>
  <c r="C20" i="14"/>
  <c r="C19" i="14"/>
  <c r="Q5" i="1"/>
  <c r="O5" i="1"/>
  <c r="O4" i="1"/>
  <c r="O3" i="1"/>
  <c r="C19" i="13"/>
  <c r="C15" i="1"/>
  <c r="C17" i="1" s="1"/>
  <c r="C14" i="1"/>
  <c r="C18" i="1" s="1"/>
  <c r="C13" i="1"/>
  <c r="C16" i="1" s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O6" i="5"/>
  <c r="O5" i="5"/>
  <c r="C19" i="1" l="1"/>
  <c r="C20" i="1"/>
  <c r="C21" i="1"/>
  <c r="C19" i="12"/>
  <c r="C19" i="6"/>
  <c r="O6" i="18" l="1"/>
  <c r="O5" i="18"/>
  <c r="O4" i="18"/>
  <c r="Q3" i="18"/>
  <c r="O3" i="18"/>
  <c r="C15" i="18"/>
  <c r="C21" i="18" s="1"/>
  <c r="C14" i="18"/>
  <c r="C18" i="18" s="1"/>
  <c r="C13" i="18"/>
  <c r="G7" i="18"/>
  <c r="F7" i="18"/>
  <c r="E7" i="18"/>
  <c r="D7" i="18"/>
  <c r="C7" i="18"/>
  <c r="G6" i="18"/>
  <c r="F6" i="18"/>
  <c r="E6" i="18"/>
  <c r="D6" i="18"/>
  <c r="C6" i="18"/>
  <c r="G5" i="18"/>
  <c r="F5" i="18"/>
  <c r="E5" i="18"/>
  <c r="D5" i="18"/>
  <c r="C5" i="18"/>
  <c r="C19" i="18" l="1"/>
  <c r="C17" i="18"/>
  <c r="C20" i="18"/>
  <c r="C16" i="18"/>
  <c r="O6" i="15"/>
  <c r="O5" i="15"/>
  <c r="O3" i="15"/>
  <c r="O4" i="15"/>
  <c r="C15" i="15"/>
  <c r="C21" i="15" s="1"/>
  <c r="C14" i="15"/>
  <c r="C18" i="15" s="1"/>
  <c r="C13" i="15"/>
  <c r="G7" i="15"/>
  <c r="F7" i="15"/>
  <c r="E7" i="15"/>
  <c r="D7" i="15"/>
  <c r="C7" i="15"/>
  <c r="G6" i="15"/>
  <c r="F6" i="15"/>
  <c r="E6" i="15"/>
  <c r="D6" i="15"/>
  <c r="C6" i="15"/>
  <c r="G5" i="15"/>
  <c r="F5" i="15"/>
  <c r="E5" i="15"/>
  <c r="D5" i="15"/>
  <c r="C5" i="15"/>
  <c r="O5" i="16"/>
  <c r="O6" i="16"/>
  <c r="O4" i="16"/>
  <c r="Q3" i="16"/>
  <c r="C15" i="13"/>
  <c r="C14" i="13"/>
  <c r="C20" i="13" s="1"/>
  <c r="C13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C16" i="15" l="1"/>
  <c r="C19" i="15"/>
  <c r="C16" i="13"/>
  <c r="C21" i="13"/>
  <c r="C17" i="13"/>
  <c r="C17" i="15"/>
  <c r="C20" i="15"/>
  <c r="C18" i="13"/>
  <c r="C15" i="16"/>
  <c r="C21" i="16" s="1"/>
  <c r="C14" i="16"/>
  <c r="C13" i="16"/>
  <c r="C19" i="16" s="1"/>
  <c r="G7" i="16"/>
  <c r="F7" i="16"/>
  <c r="E7" i="16"/>
  <c r="D7" i="16"/>
  <c r="C7" i="16"/>
  <c r="G6" i="16"/>
  <c r="F6" i="16"/>
  <c r="E6" i="16"/>
  <c r="D6" i="16"/>
  <c r="C6" i="16"/>
  <c r="G5" i="16"/>
  <c r="F5" i="16"/>
  <c r="E5" i="16"/>
  <c r="D5" i="16"/>
  <c r="C5" i="16"/>
  <c r="C15" i="12"/>
  <c r="C21" i="12" s="1"/>
  <c r="C14" i="12"/>
  <c r="C20" i="12" s="1"/>
  <c r="C13" i="12"/>
  <c r="C16" i="12" s="1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L33" i="9"/>
  <c r="N33" i="9"/>
  <c r="L32" i="9"/>
  <c r="N32" i="9"/>
  <c r="N31" i="9"/>
  <c r="N30" i="9"/>
  <c r="N29" i="9"/>
  <c r="N28" i="9"/>
  <c r="N27" i="9"/>
  <c r="L31" i="9"/>
  <c r="L30" i="9"/>
  <c r="L29" i="9"/>
  <c r="L28" i="9"/>
  <c r="L27" i="9"/>
  <c r="C18" i="16" l="1"/>
  <c r="C17" i="16"/>
  <c r="C16" i="16"/>
  <c r="C20" i="16"/>
  <c r="C17" i="12"/>
  <c r="C18" i="12"/>
  <c r="O6" i="8"/>
  <c r="O5" i="8"/>
  <c r="Q5" i="8"/>
  <c r="O6" i="7"/>
  <c r="Q5" i="7"/>
  <c r="O5" i="7"/>
  <c r="O6" i="9"/>
  <c r="O5" i="9"/>
  <c r="O6" i="6"/>
  <c r="O5" i="6"/>
  <c r="O4" i="6"/>
  <c r="O3" i="6"/>
  <c r="O4" i="8"/>
  <c r="O3" i="8"/>
  <c r="O4" i="9"/>
  <c r="O3" i="9"/>
  <c r="Q4" i="5"/>
  <c r="O4" i="7"/>
  <c r="O3" i="7"/>
  <c r="C15" i="9" l="1"/>
  <c r="C14" i="9"/>
  <c r="C18" i="9" s="1"/>
  <c r="C13" i="9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O4" i="5"/>
  <c r="Q3" i="5"/>
  <c r="C15" i="8"/>
  <c r="C14" i="8"/>
  <c r="C13" i="8"/>
  <c r="C16" i="8" s="1"/>
  <c r="G7" i="8"/>
  <c r="F7" i="8"/>
  <c r="E7" i="8"/>
  <c r="D7" i="8"/>
  <c r="C7" i="8"/>
  <c r="G6" i="8"/>
  <c r="F6" i="8"/>
  <c r="E6" i="8"/>
  <c r="D6" i="8"/>
  <c r="C6" i="8"/>
  <c r="G5" i="8"/>
  <c r="F5" i="8"/>
  <c r="E5" i="8"/>
  <c r="D5" i="8"/>
  <c r="C5" i="8"/>
  <c r="C15" i="7"/>
  <c r="C21" i="7" s="1"/>
  <c r="C14" i="7"/>
  <c r="C13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C15" i="6"/>
  <c r="C14" i="6"/>
  <c r="C18" i="6" s="1"/>
  <c r="C13" i="6"/>
  <c r="C16" i="6" s="1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C15" i="5"/>
  <c r="C14" i="5"/>
  <c r="C18" i="5" s="1"/>
  <c r="C13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O3" i="5"/>
  <c r="C19" i="7" l="1"/>
  <c r="C16" i="9"/>
  <c r="C19" i="9"/>
  <c r="C16" i="5"/>
  <c r="C19" i="5"/>
  <c r="C21" i="6"/>
  <c r="C17" i="6"/>
  <c r="C20" i="6"/>
  <c r="C20" i="8"/>
  <c r="C17" i="8"/>
  <c r="C21" i="8"/>
  <c r="C20" i="5"/>
  <c r="C16" i="7"/>
  <c r="C18" i="7"/>
  <c r="C17" i="7"/>
  <c r="C17" i="9"/>
  <c r="C21" i="9"/>
  <c r="C20" i="9"/>
  <c r="C17" i="5"/>
  <c r="C18" i="8"/>
  <c r="C19" i="8"/>
  <c r="C20" i="7"/>
  <c r="C21" i="5"/>
  <c r="E53" i="1"/>
  <c r="E55" i="1" s="1"/>
  <c r="E52" i="1"/>
  <c r="E58" i="1" s="1"/>
  <c r="E51" i="1"/>
  <c r="E54" i="1" s="1"/>
  <c r="E57" i="1" l="1"/>
  <c r="E56" i="1"/>
  <c r="E59" i="1"/>
</calcChain>
</file>

<file path=xl/sharedStrings.xml><?xml version="1.0" encoding="utf-8"?>
<sst xmlns="http://schemas.openxmlformats.org/spreadsheetml/2006/main" count="4013" uniqueCount="644">
  <si>
    <t>Type</t>
  </si>
  <si>
    <t>Agility</t>
  </si>
  <si>
    <t>Line</t>
  </si>
  <si>
    <t>Front</t>
  </si>
  <si>
    <t>Str Growth</t>
  </si>
  <si>
    <t>Int Growth</t>
  </si>
  <si>
    <t>Agil Growth</t>
  </si>
  <si>
    <t>★</t>
  </si>
  <si>
    <t>★★</t>
  </si>
  <si>
    <t>★★★</t>
  </si>
  <si>
    <t>★★★★</t>
  </si>
  <si>
    <t>★★★★★</t>
  </si>
  <si>
    <t>Strength</t>
  </si>
  <si>
    <t>Intelect</t>
  </si>
  <si>
    <t>Max HP</t>
  </si>
  <si>
    <t>Physical Attack</t>
  </si>
  <si>
    <t>Magic Power</t>
  </si>
  <si>
    <t>Armor</t>
  </si>
  <si>
    <t>Magic Resistance</t>
  </si>
  <si>
    <t>Physical Crit</t>
  </si>
  <si>
    <t>Start stats</t>
  </si>
  <si>
    <t>Items</t>
  </si>
  <si>
    <t>Grey</t>
  </si>
  <si>
    <t>Slot #1</t>
  </si>
  <si>
    <t>Slot #2</t>
  </si>
  <si>
    <t>Slot #3</t>
  </si>
  <si>
    <t>Slot #4</t>
  </si>
  <si>
    <t>Slot #5</t>
  </si>
  <si>
    <t>Slot #6</t>
  </si>
  <si>
    <t>Wak-dol Blade</t>
  </si>
  <si>
    <t>Inho Berry</t>
  </si>
  <si>
    <t>Buckler</t>
  </si>
  <si>
    <t>Ceramic Bracelet</t>
  </si>
  <si>
    <t>Fleet Feet</t>
  </si>
  <si>
    <t>Base</t>
  </si>
  <si>
    <t>Level</t>
  </si>
  <si>
    <t>Star</t>
  </si>
  <si>
    <t>Current</t>
  </si>
  <si>
    <t>Physical Attack Mod</t>
  </si>
  <si>
    <t>Magic Power Mod</t>
  </si>
  <si>
    <t>Magic Resistance Mod</t>
  </si>
  <si>
    <t>Physical Crit Mod</t>
  </si>
  <si>
    <t>HP Mod</t>
  </si>
  <si>
    <t>Skills</t>
  </si>
  <si>
    <t>Blade Halo</t>
  </si>
  <si>
    <t>Entrap</t>
  </si>
  <si>
    <t>Untouchable</t>
  </si>
  <si>
    <t>Green</t>
  </si>
  <si>
    <t>Green +1</t>
  </si>
  <si>
    <t>Blue</t>
  </si>
  <si>
    <t>Blue+1</t>
  </si>
  <si>
    <t>Blue+2</t>
  </si>
  <si>
    <t>Purple</t>
  </si>
  <si>
    <t>Purple+1</t>
  </si>
  <si>
    <t>Total damage</t>
  </si>
  <si>
    <t>Hole Stopmpers</t>
  </si>
  <si>
    <t>Torc of Sight</t>
  </si>
  <si>
    <t>Coward's Shield</t>
  </si>
  <si>
    <t>Bellath's Fang</t>
  </si>
  <si>
    <t>Shoes</t>
  </si>
  <si>
    <t>Double Dirks</t>
  </si>
  <si>
    <t>Magic Wand</t>
  </si>
  <si>
    <t>Sanadorian Warden Helm</t>
  </si>
  <si>
    <t>Corax's Sight</t>
  </si>
  <si>
    <t>Lulithan's Toothpick</t>
  </si>
  <si>
    <t>Ascendant of Kron Medal</t>
  </si>
  <si>
    <t>Hole Stompers</t>
  </si>
  <si>
    <t>Chulashi'ta-ok</t>
  </si>
  <si>
    <t>Death Kite</t>
  </si>
  <si>
    <t>Emerald Training Boots</t>
  </si>
  <si>
    <t>Back</t>
  </si>
  <si>
    <t>Intellect</t>
  </si>
  <si>
    <t>Central</t>
  </si>
  <si>
    <t>Fist of Tyre</t>
  </si>
  <si>
    <t>Recovery Ring</t>
  </si>
  <si>
    <t>Solak Soulbranch</t>
  </si>
  <si>
    <t>Emerald Torc</t>
  </si>
  <si>
    <t>Helm of Magnus Throne</t>
  </si>
  <si>
    <t>Wrist of Boaz</t>
  </si>
  <si>
    <t>Ancient Sails</t>
  </si>
  <si>
    <t>Waterspout</t>
  </si>
  <si>
    <t>Tsunami Pierce</t>
  </si>
  <si>
    <t>Elder Strength</t>
  </si>
  <si>
    <t>Stun hit rate 100% at</t>
  </si>
  <si>
    <t xml:space="preserve">Total damage </t>
  </si>
  <si>
    <t>Damage per lvl=15, AOE stun</t>
  </si>
  <si>
    <t>Admiral</t>
  </si>
  <si>
    <t>Hero</t>
  </si>
  <si>
    <t>Status</t>
  </si>
  <si>
    <t>Chaplain</t>
  </si>
  <si>
    <t>Emberstar</t>
  </si>
  <si>
    <t>Depths Voice</t>
  </si>
  <si>
    <t>Leaves Shadows</t>
  </si>
  <si>
    <t>Riflman</t>
  </si>
  <si>
    <t>Ligtning Elemental</t>
  </si>
  <si>
    <t>Gears</t>
  </si>
  <si>
    <t>Stats</t>
  </si>
  <si>
    <t>Spark of Tyr</t>
  </si>
  <si>
    <t>Recovery towel</t>
  </si>
  <si>
    <t>Training Boots</t>
  </si>
  <si>
    <t>Vastro Tooth</t>
  </si>
  <si>
    <t>Hazard'ar Acolyte Mask</t>
  </si>
  <si>
    <t>Brazer of Zarrad</t>
  </si>
  <si>
    <t>Fireseed</t>
  </si>
  <si>
    <t>Phase Boots</t>
  </si>
  <si>
    <t>Dirks of Cicero</t>
  </si>
  <si>
    <t>Moon of Lulithan</t>
  </si>
  <si>
    <t>Blade Mail</t>
  </si>
  <si>
    <t>Chest Scale</t>
  </si>
  <si>
    <t>Nedan Bone Chest</t>
  </si>
  <si>
    <t>Pale Gazer</t>
  </si>
  <si>
    <t>Nedan's Tear</t>
  </si>
  <si>
    <t>Chest Plate</t>
  </si>
  <si>
    <t>Ball Lightning</t>
  </si>
  <si>
    <t>Hazad'ar Boots</t>
  </si>
  <si>
    <t>Moonglow</t>
  </si>
  <si>
    <t>Pipe</t>
  </si>
  <si>
    <t>Sanadorian Wardem Helm</t>
  </si>
  <si>
    <t>Purple+2</t>
  </si>
  <si>
    <t>Purple+3</t>
  </si>
  <si>
    <t>Yew Bolt Thrower</t>
  </si>
  <si>
    <t>Dragon Glass</t>
  </si>
  <si>
    <t>Kraln Masher</t>
  </si>
  <si>
    <t>Kreln Horn</t>
  </si>
  <si>
    <t>Gullak Aertahn</t>
  </si>
  <si>
    <t>Kelossian Crusher</t>
  </si>
  <si>
    <t>Mask of Orrelhim</t>
  </si>
  <si>
    <t>Pure Earth</t>
  </si>
  <si>
    <t>Pendant of Kenaris</t>
  </si>
  <si>
    <t>Mark of Corvus</t>
  </si>
  <si>
    <t>Pendant of the Quinnard</t>
  </si>
  <si>
    <t>Hood of Dark Sight</t>
  </si>
  <si>
    <t>Jachin's Stone Rod</t>
  </si>
  <si>
    <t>Eul's Scepter of Divinity</t>
  </si>
  <si>
    <t>Bulwar War-Drum</t>
  </si>
  <si>
    <t>Void Gem</t>
  </si>
  <si>
    <t>Swiftboots</t>
  </si>
  <si>
    <t>Pendant of the Quinnard LV2</t>
  </si>
  <si>
    <t>Blood Rock</t>
  </si>
  <si>
    <t>Hazad'ar Acolyte Mask</t>
  </si>
  <si>
    <t>War Axe</t>
  </si>
  <si>
    <t>Geometry of Fire</t>
  </si>
  <si>
    <t>Boaz Startap</t>
  </si>
  <si>
    <t>Blessed Training Boots</t>
  </si>
  <si>
    <t>Sol'sketh</t>
  </si>
  <si>
    <t>Pendant of the Quinnard LV3</t>
  </si>
  <si>
    <t>Corvus Amok</t>
  </si>
  <si>
    <t>Gol'can Tir</t>
  </si>
  <si>
    <t>Nedan Bote Chest</t>
  </si>
  <si>
    <t>Ice Staff</t>
  </si>
  <si>
    <t>Pendant of the Quinnard LV4</t>
  </si>
  <si>
    <t>Bloody Eye</t>
  </si>
  <si>
    <t>Bag of Holding</t>
  </si>
  <si>
    <t>Bully Stick</t>
  </si>
  <si>
    <t>Jachin's Ruby</t>
  </si>
  <si>
    <t>Jachin's Ruby LV2</t>
  </si>
  <si>
    <t>Simple Band</t>
  </si>
  <si>
    <t>Hazar'ar Boots</t>
  </si>
  <si>
    <t>Ball Lighting</t>
  </si>
  <si>
    <t>Jachin's Ruby LV3</t>
  </si>
  <si>
    <t>The Negotiator</t>
  </si>
  <si>
    <t>Emerald Fork</t>
  </si>
  <si>
    <t>Jachin's Ruby LV4</t>
  </si>
  <si>
    <t>Emberstorm</t>
  </si>
  <si>
    <t>The Crucible</t>
  </si>
  <si>
    <t>Caldera of Ash</t>
  </si>
  <si>
    <t>Phoenix Feather</t>
  </si>
  <si>
    <t>Damage per lvl=12, Single target stun</t>
  </si>
  <si>
    <t>Kindred</t>
  </si>
  <si>
    <t>Pilum</t>
  </si>
  <si>
    <t>Convert</t>
  </si>
  <si>
    <t>Inviolability</t>
  </si>
  <si>
    <t>Mass heal by 5 per lvl</t>
  </si>
  <si>
    <t>Total heal</t>
  </si>
  <si>
    <t>Mag. damage 11 per lvl, single target</t>
  </si>
  <si>
    <t>Lightning Bolt</t>
  </si>
  <si>
    <t>Conductivity</t>
  </si>
  <si>
    <t>Overload</t>
  </si>
  <si>
    <t>Electrostatic field</t>
  </si>
  <si>
    <t>Center</t>
  </si>
  <si>
    <t>AOE magic damage at 8,8 per lvl</t>
  </si>
  <si>
    <t>AOE magic damage at 17,6 per lvl</t>
  </si>
  <si>
    <t>Solak Soubranch</t>
  </si>
  <si>
    <t>Charges of Shadow Wardens</t>
  </si>
  <si>
    <t>Charges of Shadow Wardens LV2</t>
  </si>
  <si>
    <t>Charges of Shadow Wardens LV3</t>
  </si>
  <si>
    <t>Ball Ligtning</t>
  </si>
  <si>
    <t>Bag of  Holding</t>
  </si>
  <si>
    <t>Shazad'amok</t>
  </si>
  <si>
    <t>Tusk Sigil</t>
  </si>
  <si>
    <t>Bramblestick</t>
  </si>
  <si>
    <t>Emerald Boots</t>
  </si>
  <si>
    <t>Spear</t>
  </si>
  <si>
    <t>Mote</t>
  </si>
  <si>
    <t>Stainless Axe</t>
  </si>
  <si>
    <t>mask of madness</t>
  </si>
  <si>
    <t>Hammer</t>
  </si>
  <si>
    <t>Heaven's Halberd</t>
  </si>
  <si>
    <t>Kreln Masher</t>
  </si>
  <si>
    <t>Longsword</t>
  </si>
  <si>
    <t>Kreln Leaf</t>
  </si>
  <si>
    <t>Arrow Raing</t>
  </si>
  <si>
    <t>Icepark</t>
  </si>
  <si>
    <t>Silence</t>
  </si>
  <si>
    <t>Forest Rage</t>
  </si>
  <si>
    <t>Damage per Arrow</t>
  </si>
  <si>
    <t>Damage</t>
  </si>
  <si>
    <t>Phys. damage per arrow per lvl 7, AOE (several arrows, can be in one target)</t>
  </si>
  <si>
    <t>Mag. Damage per lvl 14, slowing single target</t>
  </si>
  <si>
    <t>Hit rate at 100%</t>
  </si>
  <si>
    <t>Silense group of enemyes</t>
  </si>
  <si>
    <t>Team damage bonus</t>
  </si>
  <si>
    <t>Team buff, 8 damage per lvl</t>
  </si>
  <si>
    <t>Convert enemy for period of time, go throw magic immunity</t>
  </si>
  <si>
    <t>Reduce phy. damage by</t>
  </si>
  <si>
    <t>passive reduce incoming phy. Damage per 0,5% per lvl</t>
  </si>
  <si>
    <t>Done</t>
  </si>
  <si>
    <t>stun rate at 100%</t>
  </si>
  <si>
    <t>Single magic damage per 11 per lvl, single stun</t>
  </si>
  <si>
    <t>Every atack inclease energy per 0,5 per lvl</t>
  </si>
  <si>
    <t>Total energy per atack</t>
  </si>
  <si>
    <t xml:space="preserve">maigc damage 39,6 per lvl </t>
  </si>
  <si>
    <t>magic AOE damage 10,56 per lvl</t>
  </si>
  <si>
    <t>Lighting Master</t>
  </si>
  <si>
    <t>Microstun rate at 100%</t>
  </si>
  <si>
    <t>Single target magic damage at 16,5 per lvl, microstun</t>
  </si>
  <si>
    <t>Bonus magic power</t>
  </si>
  <si>
    <t>bonus magic power 12 per lvl</t>
  </si>
  <si>
    <t>Necromancer</t>
  </si>
  <si>
    <t>Ferryman</t>
  </si>
  <si>
    <t>Silencer</t>
  </si>
  <si>
    <t>Mountain</t>
  </si>
  <si>
    <t>Frost Mage</t>
  </si>
  <si>
    <t>Psychopath</t>
  </si>
  <si>
    <t>Middle</t>
  </si>
  <si>
    <t>White</t>
  </si>
  <si>
    <t>Banded Buckler</t>
  </si>
  <si>
    <t>Kreln Amuk</t>
  </si>
  <si>
    <t>Vampiric Strike</t>
  </si>
  <si>
    <t>Kreln Shout</t>
  </si>
  <si>
    <t>Exile</t>
  </si>
  <si>
    <t>Sacred Sigil</t>
  </si>
  <si>
    <t>Ice Halo</t>
  </si>
  <si>
    <t>Force Blast</t>
  </si>
  <si>
    <t>Terrible Presense</t>
  </si>
  <si>
    <t>Psionist's Cape</t>
  </si>
  <si>
    <t>Gul'tak Tir</t>
  </si>
  <si>
    <t>Bulwak War-Drum</t>
  </si>
  <si>
    <t>Zarrodic Hood</t>
  </si>
  <si>
    <t>Bearknuckles</t>
  </si>
  <si>
    <t>Eul</t>
  </si>
  <si>
    <t>Hazad'ar Accolyte Mask</t>
  </si>
  <si>
    <t>Hazzad'ar Boots</t>
  </si>
  <si>
    <t>Rod of Atos</t>
  </si>
  <si>
    <t>Tortured Spirits</t>
  </si>
  <si>
    <t>Total Maigc damage</t>
  </si>
  <si>
    <t>Maigc Damage per blast</t>
  </si>
  <si>
    <t>Total Magic damage</t>
  </si>
  <si>
    <t>Small AOE damage per lvl 11</t>
  </si>
  <si>
    <t>Maigc damage per blast per lvl 9,9</t>
  </si>
  <si>
    <t>Aura: reduce magic resist by 0,8 per lvl</t>
  </si>
  <si>
    <t>Total magic reduse</t>
  </si>
  <si>
    <t>Temporary encrese armor for target for 2 per lvl</t>
  </si>
  <si>
    <t>Total encrease armor</t>
  </si>
  <si>
    <t>Questions</t>
  </si>
  <si>
    <t>Throw</t>
  </si>
  <si>
    <t>Caber</t>
  </si>
  <si>
    <t>Rockslide</t>
  </si>
  <si>
    <t>Stoneskin</t>
  </si>
  <si>
    <t>Magic damage per blast per lvl 12 in small AOE, change order of enemies</t>
  </si>
  <si>
    <t>Additional Damage</t>
  </si>
  <si>
    <t>damage per lvl 9</t>
  </si>
  <si>
    <t>Additional magic damage AOE = 3,6 per lvl, stun rate = lvl</t>
  </si>
  <si>
    <t>Total magic damage</t>
  </si>
  <si>
    <t>Increase armor by 3 per lvl</t>
  </si>
  <si>
    <t>Total armor increse</t>
  </si>
  <si>
    <t>Ghulashi'ta-ok</t>
  </si>
  <si>
    <t>Jackin's Stone Rod</t>
  </si>
  <si>
    <t>magic Wand</t>
  </si>
  <si>
    <t>Hazzad'ar Acolyte Mask</t>
  </si>
  <si>
    <t>Blade mail</t>
  </si>
  <si>
    <t>Cooper Cudgel</t>
  </si>
  <si>
    <t>Shades</t>
  </si>
  <si>
    <t>Mastery of Death</t>
  </si>
  <si>
    <t>Haunting of Dark Lord</t>
  </si>
  <si>
    <t>Professional Killer</t>
  </si>
  <si>
    <t>Bear Warrior</t>
  </si>
  <si>
    <t>Mystic</t>
  </si>
  <si>
    <t>Psychic Sword</t>
  </si>
  <si>
    <t>Sniper</t>
  </si>
  <si>
    <t>Dark Contract</t>
  </si>
  <si>
    <t>Blast Shot</t>
  </si>
  <si>
    <t>Poison Shot</t>
  </si>
  <si>
    <t>Embrace of Shadows</t>
  </si>
  <si>
    <t>Torc os Sight</t>
  </si>
  <si>
    <t>Maigc Wand</t>
  </si>
  <si>
    <t>Mask of Madness</t>
  </si>
  <si>
    <t>Copper Cudgel</t>
  </si>
  <si>
    <t>Yew Bol Thrower</t>
  </si>
  <si>
    <t>Stone of Boaz</t>
  </si>
  <si>
    <t>Raven's Beak</t>
  </si>
  <si>
    <t>Restore 60 HP increase 6 attack damage</t>
  </si>
  <si>
    <t>Total HP restore</t>
  </si>
  <si>
    <t>Total damage encrise</t>
  </si>
  <si>
    <t>Bonus phy damage 14 per lvl</t>
  </si>
  <si>
    <t>Total phy damage</t>
  </si>
  <si>
    <t>Temp. increase attack speed by 1% per lvl</t>
  </si>
  <si>
    <t>Total attack inc.</t>
  </si>
  <si>
    <t>Passsive: inc. crit. Strike by 2 per lvl</t>
  </si>
  <si>
    <t>Total crit.</t>
  </si>
  <si>
    <t>Psyonist's Cape</t>
  </si>
  <si>
    <t>Mask of of Orrelhim</t>
  </si>
  <si>
    <t>Small AOE phy damage 12 per lvl</t>
  </si>
  <si>
    <t>Total strength</t>
  </si>
  <si>
    <t>Strength 3 per lvl</t>
  </si>
  <si>
    <t>Wa Axe</t>
  </si>
  <si>
    <t>Lulithan's Toothpick LV2</t>
  </si>
  <si>
    <t>Helm of magnus Throne</t>
  </si>
  <si>
    <t>Lulithan's Toothpick LV3</t>
  </si>
  <si>
    <t>Shazad\amok</t>
  </si>
  <si>
    <t>Siren song</t>
  </si>
  <si>
    <t>hit rate at 100%</t>
  </si>
  <si>
    <t xml:space="preserve">AOE sleep </t>
  </si>
  <si>
    <t>Small AOE phy damage 7 per lvl</t>
  </si>
  <si>
    <t>magic damage 11 per lvl, disable target</t>
  </si>
  <si>
    <t>Machinist</t>
  </si>
  <si>
    <t>emerald Torc</t>
  </si>
  <si>
    <t>Jachins Ruby LV3</t>
  </si>
  <si>
    <t>Jachins Ruby LV4</t>
  </si>
  <si>
    <t>Psionists'Cape</t>
  </si>
  <si>
    <t>mask of Orrelhim</t>
  </si>
  <si>
    <t>recovery Ring</t>
  </si>
  <si>
    <t>Hood of Dark Sght</t>
  </si>
  <si>
    <t>Hazad'ar Acolyte mask</t>
  </si>
  <si>
    <t>Hood of Jachin</t>
  </si>
  <si>
    <t>Arcane Sapper</t>
  </si>
  <si>
    <t>Torc of Sigt</t>
  </si>
  <si>
    <t>Hood of jachin</t>
  </si>
  <si>
    <t>Hamer</t>
  </si>
  <si>
    <t>Hazad'ar Acokyte mask</t>
  </si>
  <si>
    <t>Demon Edge</t>
  </si>
  <si>
    <t>pale Gazer</t>
  </si>
  <si>
    <t>Staff of Rawlis</t>
  </si>
  <si>
    <t>Helm of Magnus Thorne</t>
  </si>
  <si>
    <t>sanadorian Warden Helm</t>
  </si>
  <si>
    <t>Mask ofmadness</t>
  </si>
  <si>
    <t>reln Master</t>
  </si>
  <si>
    <t>Kreln Lead</t>
  </si>
  <si>
    <t>stainless Axe</t>
  </si>
  <si>
    <t>Psionist;s Cape</t>
  </si>
  <si>
    <t>Bully Stik</t>
  </si>
  <si>
    <t>Bellath's Fag</t>
  </si>
  <si>
    <t>Pendant of Qunnard</t>
  </si>
  <si>
    <t>emerald Fork</t>
  </si>
  <si>
    <t>Inc. dodge by</t>
  </si>
  <si>
    <t>inc. dodge 0,5 per lvl</t>
  </si>
  <si>
    <t>Cleric</t>
  </si>
  <si>
    <t>reovery ring</t>
  </si>
  <si>
    <t>Gultak Tir</t>
  </si>
  <si>
    <t>Signet Ring</t>
  </si>
  <si>
    <t>mark of Corvus</t>
  </si>
  <si>
    <t>Bloody eye</t>
  </si>
  <si>
    <t>Rough Hewn Axe</t>
  </si>
  <si>
    <t>Succubus</t>
  </si>
  <si>
    <t>Hool of Dark Sight</t>
  </si>
  <si>
    <t>Pendant of Quinnard</t>
  </si>
  <si>
    <t>ice Staff</t>
  </si>
  <si>
    <t>Shallow Keeper</t>
  </si>
  <si>
    <t>War Signet of Kreln</t>
  </si>
  <si>
    <t>Transmer of Amuns</t>
  </si>
  <si>
    <t>Training Bootrs</t>
  </si>
  <si>
    <t>Shallows Keeper</t>
  </si>
  <si>
    <t>Tidal Force</t>
  </si>
  <si>
    <t>Anchors Aweigh</t>
  </si>
  <si>
    <t>Shield of the Deep</t>
  </si>
  <si>
    <t>Damage per lvl=12, AOE stun</t>
  </si>
  <si>
    <t>Damage per lvl=12 , armor reduce 1 per lvl</t>
  </si>
  <si>
    <t>Armor reduce</t>
  </si>
  <si>
    <t>Phy damage to near foes 6 per lvl</t>
  </si>
  <si>
    <t>inc armor by 2 per lvl</t>
  </si>
  <si>
    <t>Total armor inc</t>
  </si>
  <si>
    <t>Helm of MagnusThorne</t>
  </si>
  <si>
    <t>Sansdorian Warden Helm</t>
  </si>
  <si>
    <t>mask of Madness</t>
  </si>
  <si>
    <t>Laser Cannon</t>
  </si>
  <si>
    <t>Stimulant</t>
  </si>
  <si>
    <t>Open Fire</t>
  </si>
  <si>
    <t>Penetration</t>
  </si>
  <si>
    <t>AOE Magic damage 16,5 per lvl</t>
  </si>
  <si>
    <t>Damage per lvl 8</t>
  </si>
  <si>
    <t>inc 3 damage per lvl</t>
  </si>
  <si>
    <t>buff</t>
  </si>
  <si>
    <t>inc armor penetration by 1 per lvl</t>
  </si>
  <si>
    <t>arm. Penetration</t>
  </si>
  <si>
    <t>Strategist</t>
  </si>
  <si>
    <t>Befuddle</t>
  </si>
  <si>
    <t>Searing Aura</t>
  </si>
  <si>
    <t>AOE silence</t>
  </si>
  <si>
    <t>Damage per lvl 11 los energy  2 per lvl, small AOE</t>
  </si>
  <si>
    <t>Holy damage per lvl =11</t>
  </si>
  <si>
    <t>Damage 16,5 per lvl, target silence</t>
  </si>
  <si>
    <t>Gears+Skills</t>
  </si>
  <si>
    <t>Aura: inc. magic resist for team</t>
  </si>
  <si>
    <t>magic resist</t>
  </si>
  <si>
    <t>Magic damage to target:</t>
  </si>
  <si>
    <t>Add 1% of damage per lvl</t>
  </si>
  <si>
    <t>Moderate AOE magic damage 20 per lvl</t>
  </si>
  <si>
    <t>steal HP per attack</t>
  </si>
  <si>
    <t>Steal 11 hp per lvl per attack</t>
  </si>
  <si>
    <t>Firebomb</t>
  </si>
  <si>
    <t>Blood Calll</t>
  </si>
  <si>
    <t>inc attack speed</t>
  </si>
  <si>
    <t>inc. attack speed by 0,5 per lvl</t>
  </si>
  <si>
    <t>Magic damage</t>
  </si>
  <si>
    <t>Bonus damage over time</t>
  </si>
  <si>
    <t xml:space="preserve">Magic damage </t>
  </si>
  <si>
    <t>17,6 per lvl</t>
  </si>
  <si>
    <t>total damage</t>
  </si>
  <si>
    <t>Is Kreln Shout AOE?</t>
  </si>
  <si>
    <t>How much strikes in Vampiric strike?</t>
  </si>
  <si>
    <t>Stunning Shot</t>
  </si>
  <si>
    <t>Fulmination Shot</t>
  </si>
  <si>
    <t>Agility Boots</t>
  </si>
  <si>
    <t xml:space="preserve">inc agi </t>
  </si>
  <si>
    <t>inc agi by 3 per lvl</t>
  </si>
  <si>
    <t>Small AOE Magic damage by 8,25 per lvl</t>
  </si>
  <si>
    <t>Phy damage 10,5 per lvl, stun</t>
  </si>
  <si>
    <t>Phy Damage 25,2 per lvl</t>
  </si>
  <si>
    <t>Master Mage</t>
  </si>
  <si>
    <t>Sunsphere</t>
  </si>
  <si>
    <t>Fireball</t>
  </si>
  <si>
    <t>Black Mark</t>
  </si>
  <si>
    <t>Third Eye</t>
  </si>
  <si>
    <t>Inc intelect by 3 per lvl</t>
  </si>
  <si>
    <t>Total intelect</t>
  </si>
  <si>
    <t>Magic damage 14,3 per lvl</t>
  </si>
  <si>
    <t>AOE magic damage 26,4 per lvl</t>
  </si>
  <si>
    <t>center</t>
  </si>
  <si>
    <t>Inhp Berry</t>
  </si>
  <si>
    <t>Blessed Emerald Boots</t>
  </si>
  <si>
    <t>Tusked Storm</t>
  </si>
  <si>
    <t>Agile</t>
  </si>
  <si>
    <t>Battle Focus</t>
  </si>
  <si>
    <t>Whirlwind Axe</t>
  </si>
  <si>
    <t>Axe Skill</t>
  </si>
  <si>
    <t>Battle Fever</t>
  </si>
  <si>
    <t>Ceramic Blacelet</t>
  </si>
  <si>
    <t>Torc of Sught</t>
  </si>
  <si>
    <t>Jammer Grips</t>
  </si>
  <si>
    <t>Bellath's fang</t>
  </si>
  <si>
    <t>hazad'ar Boots</t>
  </si>
  <si>
    <t>Hide time 0,03 per lvl</t>
  </si>
  <si>
    <t>Totao tiime</t>
  </si>
  <si>
    <t>Ice Mage</t>
  </si>
  <si>
    <t>Commando</t>
  </si>
  <si>
    <t>War Chief</t>
  </si>
  <si>
    <t>Savage One</t>
  </si>
  <si>
    <t>Sadow Shaman</t>
  </si>
  <si>
    <t>Old Curse</t>
  </si>
  <si>
    <t>Wind Master</t>
  </si>
  <si>
    <t>Vengeance Spirit</t>
  </si>
  <si>
    <t>Imperial Executioner</t>
  </si>
  <si>
    <t>Swordmaster</t>
  </si>
  <si>
    <t>Brute</t>
  </si>
  <si>
    <t>Warrior Monk</t>
  </si>
  <si>
    <t>Lunar Guardian</t>
  </si>
  <si>
    <t>Pilot</t>
  </si>
  <si>
    <t>Poisoned One</t>
  </si>
  <si>
    <t>Death Mage</t>
  </si>
  <si>
    <t>Deathknight</t>
  </si>
  <si>
    <t>Drunken Master</t>
  </si>
  <si>
    <t>Fallen Dominion</t>
  </si>
  <si>
    <t>Deathgore</t>
  </si>
  <si>
    <t>Iron Hoof</t>
  </si>
  <si>
    <t>Cloud Walker</t>
  </si>
  <si>
    <t>Vanguard Warrior</t>
  </si>
  <si>
    <t>magic wand</t>
  </si>
  <si>
    <t>Moondglow</t>
  </si>
  <si>
    <t>Simple band</t>
  </si>
  <si>
    <t>Dath Kite</t>
  </si>
  <si>
    <t>Nedan;s Tear</t>
  </si>
  <si>
    <t>Gorgieran Glaive</t>
  </si>
  <si>
    <t>Skills+Gears</t>
  </si>
  <si>
    <t>Summon Wraiths</t>
  </si>
  <si>
    <t>Swarm of Bats</t>
  </si>
  <si>
    <t>Siniser Aspect</t>
  </si>
  <si>
    <t>Total damage per attack</t>
  </si>
  <si>
    <t>AOE Magic damage per attack per lvl 6,82</t>
  </si>
  <si>
    <t>AOE Magic damage 14,3 per lvl</t>
  </si>
  <si>
    <t>Silence lvl</t>
  </si>
  <si>
    <t>Energy Void</t>
  </si>
  <si>
    <t>Energy Burn</t>
  </si>
  <si>
    <t>Agile Blade</t>
  </si>
  <si>
    <t>Anti-Mage Shield</t>
  </si>
  <si>
    <t>AOE magic damage per lvl 11</t>
  </si>
  <si>
    <t>magic damage 9,8 ,lose 40+ 0.5 energy per lvl</t>
  </si>
  <si>
    <t>Energy lose</t>
  </si>
  <si>
    <t>Inc agile by 3 per lvl</t>
  </si>
  <si>
    <t>Total inc agile</t>
  </si>
  <si>
    <t>Inc magic resist by 1 per lvl</t>
  </si>
  <si>
    <t>Total magic resist</t>
  </si>
  <si>
    <t>Soulhunter</t>
  </si>
  <si>
    <t>Phoenix (China)</t>
  </si>
  <si>
    <t>Armor of Spirit</t>
  </si>
  <si>
    <t>Divine Light</t>
  </si>
  <si>
    <t>Counter Curse</t>
  </si>
  <si>
    <t>Blessing</t>
  </si>
  <si>
    <t>Reduce incoming phy damage for whole team by 0,1 per lvl</t>
  </si>
  <si>
    <t>total reduce</t>
  </si>
  <si>
    <t>Heal by 8 per lvl</t>
  </si>
  <si>
    <t>Absorb 60 phy damage per lvl</t>
  </si>
  <si>
    <t>Total absorb</t>
  </si>
  <si>
    <t>Absorb 50 magic damage per lvl</t>
  </si>
  <si>
    <t>Sansdiroan Warden Helm</t>
  </si>
  <si>
    <t>Kreln masher</t>
  </si>
  <si>
    <t>jachin's Ruby</t>
  </si>
  <si>
    <t>Meteor Shwer</t>
  </si>
  <si>
    <t>Inspiration</t>
  </si>
  <si>
    <t>Overdraw</t>
  </si>
  <si>
    <t>Motivate</t>
  </si>
  <si>
    <t>Inc team agi</t>
  </si>
  <si>
    <t>inc team agi by 2 per lvl</t>
  </si>
  <si>
    <t>Magic damage 11 per lvl, stun=lvl</t>
  </si>
  <si>
    <t>inc team phi/magic power by 5 per lvl</t>
  </si>
  <si>
    <t>Total inc</t>
  </si>
  <si>
    <t>Magic damage 17,6 per lvl ,up to 5 meteors</t>
  </si>
  <si>
    <t>Team buff psy and magic by 5 per lvl</t>
  </si>
  <si>
    <t>total buf</t>
  </si>
  <si>
    <t>Damage per lvl=10,5</t>
  </si>
  <si>
    <t>int attack speed by 0,5% per lvl</t>
  </si>
  <si>
    <t>Total attack speed</t>
  </si>
  <si>
    <t>Damage per lvl=12,AOE</t>
  </si>
  <si>
    <t>Bulwak war-Drum</t>
  </si>
  <si>
    <t>jachin's Stone Rod</t>
  </si>
  <si>
    <t>Ball Lighning</t>
  </si>
  <si>
    <t>hazad'ar boots</t>
  </si>
  <si>
    <t>jachin's Ruby lv2</t>
  </si>
  <si>
    <t>jachin's Ruby lv3</t>
  </si>
  <si>
    <t>jachin's Ruby lv4</t>
  </si>
  <si>
    <t>Hunting the Maiden</t>
  </si>
  <si>
    <t>Cocoon of Ice</t>
  </si>
  <si>
    <t>Ice Prison</t>
  </si>
  <si>
    <t>Sigin of Arctus</t>
  </si>
  <si>
    <t>Magic damage 16,5 per lvl, freez</t>
  </si>
  <si>
    <t>AOE Magic damage 9,9 per lvl</t>
  </si>
  <si>
    <t>revocer team energy by 3 per lvl</t>
  </si>
  <si>
    <t>total recovery</t>
  </si>
  <si>
    <t>Magic damage 7,04 per wave pre lvl</t>
  </si>
  <si>
    <t>Kleln Leaf</t>
  </si>
  <si>
    <t>Stainles Axe</t>
  </si>
  <si>
    <t>Petrify</t>
  </si>
  <si>
    <t>Split Arrow</t>
  </si>
  <si>
    <t>Theft of Essence</t>
  </si>
  <si>
    <t>Wal=dol Blade</t>
  </si>
  <si>
    <t>War Siget of Kreln</t>
  </si>
  <si>
    <t>death kite</t>
  </si>
  <si>
    <t>War Signet of Krelm</t>
  </si>
  <si>
    <t>Transmer of Anums</t>
  </si>
  <si>
    <t>Glo'can Tir</t>
  </si>
  <si>
    <t>Nedan Bone Cest</t>
  </si>
  <si>
    <t>Chest sPlate</t>
  </si>
  <si>
    <t>Kellosian Crusher</t>
  </si>
  <si>
    <t>Phase Bash</t>
  </si>
  <si>
    <t>Charge of Valor</t>
  </si>
  <si>
    <t>Heavier Bash</t>
  </si>
  <si>
    <t>Concentration</t>
  </si>
  <si>
    <t>pendant of Kenaris</t>
  </si>
  <si>
    <t>Jachin's Sone Rod</t>
  </si>
  <si>
    <t>hazad'ar Acolyte mask</t>
  </si>
  <si>
    <t>Concussive Blow</t>
  </si>
  <si>
    <t>Drunken Haze</t>
  </si>
  <si>
    <t>Shaking Strike</t>
  </si>
  <si>
    <t>Elemental Forces</t>
  </si>
  <si>
    <t>Damage per attack</t>
  </si>
  <si>
    <t>Damager per lvl per attack 6</t>
  </si>
  <si>
    <t>Phy damage 10,2 per lvl, stun</t>
  </si>
  <si>
    <t>Magic damage 9 per lvl,  drunked</t>
  </si>
  <si>
    <t>Inc str</t>
  </si>
  <si>
    <t>inc str by 3 per lvl</t>
  </si>
  <si>
    <t>Maul</t>
  </si>
  <si>
    <t>Shockwave</t>
  </si>
  <si>
    <t>Ursine Focus</t>
  </si>
  <si>
    <t>Spirit of Ursa</t>
  </si>
  <si>
    <t>Total inc. attack</t>
  </si>
  <si>
    <t>inc. attack by 8 per lvl</t>
  </si>
  <si>
    <t>inc phy crit by 3 per lvl</t>
  </si>
  <si>
    <t>AOE phy damage 10 per lvl</t>
  </si>
  <si>
    <t>Each attack damage 7 per lvl</t>
  </si>
  <si>
    <t>Total each attack damage</t>
  </si>
  <si>
    <t>Purple+4</t>
  </si>
  <si>
    <t>Orange</t>
  </si>
  <si>
    <t>Crusade Shield</t>
  </si>
  <si>
    <t>Titan's Axe</t>
  </si>
  <si>
    <t>All Around Shoes</t>
  </si>
  <si>
    <t>?</t>
  </si>
  <si>
    <t>Immortal Guardian</t>
  </si>
  <si>
    <t>Dragon's Scale</t>
  </si>
  <si>
    <t>Emerald pendant</t>
  </si>
  <si>
    <t>Holy Garment</t>
  </si>
  <si>
    <t>Crystal Tower</t>
  </si>
  <si>
    <t>Crystal Ball</t>
  </si>
  <si>
    <t>Wizard's Hat</t>
  </si>
  <si>
    <t>Dark Moon Amulet</t>
  </si>
  <si>
    <t>Queen's Dress</t>
  </si>
  <si>
    <t>Emerald Pendant</t>
  </si>
  <si>
    <t>Nightless Staff</t>
  </si>
  <si>
    <t>Emerald Ring</t>
  </si>
  <si>
    <t>Void Crystal</t>
  </si>
  <si>
    <t>Deceiver's Sword</t>
  </si>
  <si>
    <t>Eagle Ring</t>
  </si>
  <si>
    <t>Shadow Book</t>
  </si>
  <si>
    <t>Marksman's Ring</t>
  </si>
  <si>
    <t>Thunder Sword</t>
  </si>
  <si>
    <t>Angel's Sword</t>
  </si>
  <si>
    <t>Star Shield</t>
  </si>
  <si>
    <t>Demon's Arrow</t>
  </si>
  <si>
    <t>Silver Lance</t>
  </si>
  <si>
    <t>Earth hammer</t>
  </si>
  <si>
    <t>Wizad's hat</t>
  </si>
  <si>
    <t>Destruction Amulet</t>
  </si>
  <si>
    <t>emerald Ring</t>
  </si>
  <si>
    <t>ball Lightning</t>
  </si>
  <si>
    <t>Eternal Icicle</t>
  </si>
  <si>
    <t>Cullak Aertahn</t>
  </si>
  <si>
    <t>ce Staff</t>
  </si>
  <si>
    <t>Angels Sword</t>
  </si>
  <si>
    <t>Fanged Harp</t>
  </si>
  <si>
    <t>Silver lance</t>
  </si>
  <si>
    <t>Titaln's Axe</t>
  </si>
  <si>
    <t>Wizard's Book</t>
  </si>
  <si>
    <t>Heaven's halberd</t>
  </si>
  <si>
    <t>Corgieran Glaive</t>
  </si>
  <si>
    <t>Book of the Sun</t>
  </si>
  <si>
    <t>Titan Axe</t>
  </si>
  <si>
    <t>Crystall ball</t>
  </si>
  <si>
    <t>Crystal ball</t>
  </si>
  <si>
    <t>ball Ligtning</t>
  </si>
  <si>
    <t>Shazed'amok</t>
  </si>
  <si>
    <t>Wizzard Hat</t>
  </si>
  <si>
    <t>Earth Hammer</t>
  </si>
  <si>
    <t>Fanged harp</t>
  </si>
  <si>
    <t>Wizard's hat</t>
  </si>
  <si>
    <t>Restruction Amulet</t>
  </si>
  <si>
    <t>Crusde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</si>
</sst>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6" fillId="6" borderId="3" applyNumberFormat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7" borderId="0" xfId="0" applyFill="1"/>
    <xf numFmtId="0" fontId="4" fillId="5" borderId="2" xfId="4"/>
    <xf numFmtId="0" fontId="2" fillId="3" borderId="0" xfId="2" applyNumberFormat="1"/>
    <xf numFmtId="0" fontId="0" fillId="8" borderId="0" xfId="0" applyFill="1"/>
    <xf numFmtId="0" fontId="0" fillId="10" borderId="0" xfId="0" applyFill="1" applyAlignment="1">
      <alignment horizontal="left"/>
    </xf>
    <xf numFmtId="0" fontId="5" fillId="5" borderId="1" xfId="5"/>
    <xf numFmtId="0" fontId="6" fillId="6" borderId="3" xfId="6"/>
    <xf numFmtId="0" fontId="8" fillId="0" borderId="0" xfId="7"/>
    <xf numFmtId="0" fontId="2" fillId="3" borderId="1" xfId="2" applyNumberFormat="1" applyBorder="1"/>
    <xf numFmtId="0" fontId="2" fillId="3" borderId="1" xfId="2" applyBorder="1"/>
    <xf numFmtId="0" fontId="5" fillId="12" borderId="1" xfId="5" applyNumberFormat="1" applyFill="1"/>
    <xf numFmtId="0" fontId="5" fillId="12" borderId="1" xfId="5" applyFill="1"/>
    <xf numFmtId="0" fontId="6" fillId="6" borderId="3" xfId="6" applyAlignment="1">
      <alignment horizontal="center"/>
    </xf>
    <xf numFmtId="0" fontId="5" fillId="5" borderId="1" xfId="5" applyAlignment="1">
      <alignment horizontal="center"/>
    </xf>
    <xf numFmtId="0" fontId="7" fillId="11" borderId="0" xfId="0" applyFont="1" applyFill="1"/>
    <xf numFmtId="0" fontId="7" fillId="9" borderId="0" xfId="0" applyFont="1" applyFill="1"/>
    <xf numFmtId="0" fontId="5" fillId="5" borderId="1" xfId="5" applyAlignment="1">
      <alignment horizontal="center" vertical="center"/>
    </xf>
    <xf numFmtId="0" fontId="6" fillId="6" borderId="0" xfId="6" applyBorder="1"/>
    <xf numFmtId="0" fontId="5" fillId="5" borderId="1" xfId="5" applyNumberFormat="1"/>
    <xf numFmtId="0" fontId="5" fillId="5" borderId="4" xfId="5" applyBorder="1"/>
    <xf numFmtId="0" fontId="5" fillId="5" borderId="0" xfId="5" applyBorder="1"/>
    <xf numFmtId="0" fontId="9" fillId="13" borderId="0" xfId="0" applyFont="1" applyFill="1" applyBorder="1"/>
    <xf numFmtId="0" fontId="8" fillId="5" borderId="2" xfId="7" applyFill="1" applyBorder="1"/>
  </cellXfs>
  <cellStyles count="8">
    <cellStyle name="Вывод" xfId="4" builtinId="21"/>
    <cellStyle name="Вычисление" xfId="5" builtinId="22"/>
    <cellStyle name="Гиперссылка" xfId="7" builtinId="8"/>
    <cellStyle name="Контрольная ячейка" xfId="6" builtinId="23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29766</xdr:colOff>
      <xdr:row>6</xdr:row>
      <xdr:rowOff>95250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6516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71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t="s">
        <v>483</v>
      </c>
      <c r="N3" s="9" t="s">
        <v>486</v>
      </c>
      <c r="O3" s="9">
        <f>6.82*B9</f>
        <v>388.74</v>
      </c>
      <c r="P3" s="9" t="s">
        <v>487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484</v>
      </c>
      <c r="N4" s="9" t="s">
        <v>54</v>
      </c>
      <c r="O4" s="9">
        <f>14.3*B9</f>
        <v>815.1</v>
      </c>
      <c r="P4" s="9" t="s">
        <v>488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1.1000000000000001</v>
      </c>
      <c r="C5" s="17">
        <f>B5*2</f>
        <v>2.2000000000000002</v>
      </c>
      <c r="D5" s="17">
        <f>B5*3</f>
        <v>3.3000000000000003</v>
      </c>
      <c r="E5" s="17">
        <f>B5*4</f>
        <v>4.4000000000000004</v>
      </c>
      <c r="F5" s="17">
        <f>B5*5</f>
        <v>5.5</v>
      </c>
      <c r="G5" s="17">
        <f>B5*6</f>
        <v>6.6000000000000005</v>
      </c>
      <c r="M5" s="19" t="s">
        <v>203</v>
      </c>
      <c r="N5" s="9" t="s">
        <v>489</v>
      </c>
      <c r="O5" s="9">
        <f>B9</f>
        <v>57</v>
      </c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485</v>
      </c>
      <c r="N6" s="9" t="s">
        <v>226</v>
      </c>
      <c r="O6" s="9">
        <f>B9*12</f>
        <v>684</v>
      </c>
      <c r="P6" s="9" t="s">
        <v>227</v>
      </c>
      <c r="Q6" s="9"/>
      <c r="S6" s="9"/>
    </row>
    <row r="7" spans="1:19" ht="16.5" thickTop="1" thickBot="1" x14ac:dyDescent="0.3">
      <c r="A7" s="10" t="s">
        <v>6</v>
      </c>
      <c r="B7" s="17">
        <v>0.7</v>
      </c>
      <c r="C7" s="17">
        <f t="shared" si="0"/>
        <v>1.4</v>
      </c>
      <c r="D7" s="17">
        <f t="shared" si="1"/>
        <v>2.0999999999999996</v>
      </c>
      <c r="E7" s="17">
        <f t="shared" si="2"/>
        <v>2.8</v>
      </c>
      <c r="F7" s="17">
        <f t="shared" si="3"/>
        <v>3.5</v>
      </c>
      <c r="G7" s="17">
        <f t="shared" si="4"/>
        <v>4.1999999999999993</v>
      </c>
    </row>
    <row r="8" spans="1:19" ht="15.75" thickTop="1" x14ac:dyDescent="0.25"/>
    <row r="9" spans="1:19" x14ac:dyDescent="0.25">
      <c r="A9" t="s">
        <v>35</v>
      </c>
      <c r="B9">
        <v>57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57</v>
      </c>
      <c r="F12" s="10"/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205.10000000000002</v>
      </c>
      <c r="D13" s="9"/>
      <c r="E13" s="9">
        <v>205</v>
      </c>
      <c r="F13" s="9"/>
      <c r="M13" s="7" t="s">
        <v>47</v>
      </c>
      <c r="N13" s="9" t="s">
        <v>147</v>
      </c>
      <c r="O13" s="9" t="s">
        <v>127</v>
      </c>
      <c r="P13" s="9" t="s">
        <v>128</v>
      </c>
      <c r="Q13" s="9" t="s">
        <v>128</v>
      </c>
      <c r="R13" s="9" t="s">
        <v>75</v>
      </c>
      <c r="S13" s="9" t="s">
        <v>59</v>
      </c>
    </row>
    <row r="14" spans="1:19" ht="16.5" thickTop="1" thickBot="1" x14ac:dyDescent="0.3">
      <c r="A14" s="10" t="s">
        <v>13</v>
      </c>
      <c r="B14" s="9">
        <v>17</v>
      </c>
      <c r="C14" s="9">
        <f>B14+$B$9*($B$10+1)*B6</f>
        <v>273.5</v>
      </c>
      <c r="D14" s="9"/>
      <c r="E14" s="9">
        <v>274</v>
      </c>
      <c r="F14" s="9"/>
      <c r="M14" s="7" t="s">
        <v>48</v>
      </c>
      <c r="N14" s="9" t="s">
        <v>129</v>
      </c>
      <c r="O14" s="9" t="s">
        <v>68</v>
      </c>
      <c r="P14" s="9" t="s">
        <v>476</v>
      </c>
      <c r="Q14" s="9" t="s">
        <v>156</v>
      </c>
      <c r="R14" s="9" t="s">
        <v>248</v>
      </c>
      <c r="S14" s="9" t="s">
        <v>191</v>
      </c>
    </row>
    <row r="15" spans="1:19" ht="16.5" thickTop="1" thickBot="1" x14ac:dyDescent="0.3">
      <c r="A15" s="10" t="s">
        <v>1</v>
      </c>
      <c r="B15" s="9">
        <v>12</v>
      </c>
      <c r="C15" s="9">
        <f>B15+$B$9*($B$10+1)*B7</f>
        <v>131.69999999999999</v>
      </c>
      <c r="D15" s="9"/>
      <c r="E15" s="9">
        <v>132</v>
      </c>
      <c r="F15" s="9"/>
      <c r="M15" s="19" t="s">
        <v>49</v>
      </c>
      <c r="N15" s="9" t="s">
        <v>250</v>
      </c>
      <c r="O15" s="9" t="s">
        <v>138</v>
      </c>
      <c r="P15" s="9" t="s">
        <v>333</v>
      </c>
      <c r="Q15" s="9" t="s">
        <v>131</v>
      </c>
      <c r="R15" s="9" t="s">
        <v>128</v>
      </c>
      <c r="S15" s="9" t="s">
        <v>136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3857</v>
      </c>
      <c r="D16" s="9"/>
      <c r="E16" s="9">
        <v>3857</v>
      </c>
      <c r="F16" s="9"/>
      <c r="M16" s="19" t="s">
        <v>50</v>
      </c>
      <c r="N16" s="9" t="s">
        <v>253</v>
      </c>
      <c r="O16" s="9" t="s">
        <v>100</v>
      </c>
      <c r="P16" s="9" t="s">
        <v>110</v>
      </c>
      <c r="Q16" s="9" t="s">
        <v>247</v>
      </c>
      <c r="R16" s="9" t="s">
        <v>330</v>
      </c>
      <c r="S16" s="9" t="s">
        <v>136</v>
      </c>
    </row>
    <row r="17" spans="1:19" ht="16.5" thickTop="1" thickBot="1" x14ac:dyDescent="0.3">
      <c r="A17" s="10" t="s">
        <v>15</v>
      </c>
      <c r="B17" s="9">
        <v>25</v>
      </c>
      <c r="C17" s="9">
        <f>ROUND(B17+C14+C15*Common!$B$2,0)</f>
        <v>351</v>
      </c>
      <c r="D17" s="9"/>
      <c r="E17" s="9">
        <v>351</v>
      </c>
      <c r="F17" s="9"/>
      <c r="M17" s="19" t="s">
        <v>51</v>
      </c>
      <c r="N17" s="9" t="s">
        <v>116</v>
      </c>
      <c r="O17" s="9" t="s">
        <v>183</v>
      </c>
      <c r="P17" s="9" t="s">
        <v>361</v>
      </c>
      <c r="Q17" s="9" t="s">
        <v>68</v>
      </c>
      <c r="R17" s="9" t="s">
        <v>128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656</v>
      </c>
      <c r="D18" s="9"/>
      <c r="E18" s="9">
        <v>656</v>
      </c>
      <c r="F18" s="9"/>
      <c r="M18" s="18" t="s">
        <v>52</v>
      </c>
      <c r="N18" s="9" t="s">
        <v>144</v>
      </c>
      <c r="O18" s="9" t="s">
        <v>161</v>
      </c>
      <c r="P18" s="9" t="s">
        <v>361</v>
      </c>
      <c r="Q18" s="9" t="s">
        <v>246</v>
      </c>
      <c r="R18" s="9" t="s">
        <v>128</v>
      </c>
      <c r="S18" s="9" t="s">
        <v>143</v>
      </c>
    </row>
    <row r="19" spans="1:19" ht="16.5" thickTop="1" thickBot="1" x14ac:dyDescent="0.3">
      <c r="A19" s="10" t="s">
        <v>17</v>
      </c>
      <c r="B19" s="22">
        <v>2</v>
      </c>
      <c r="C19" s="9">
        <f>B19+ROUND(C13/7,0)+ROUND(C15/14,0)</f>
        <v>40</v>
      </c>
      <c r="D19" s="9"/>
      <c r="E19" s="9">
        <v>40</v>
      </c>
      <c r="F19" s="9"/>
      <c r="M19" s="18" t="s">
        <v>53</v>
      </c>
      <c r="N19" s="9" t="s">
        <v>152</v>
      </c>
      <c r="O19" s="9" t="s">
        <v>184</v>
      </c>
      <c r="P19" s="9" t="s">
        <v>194</v>
      </c>
      <c r="Q19" s="9" t="s">
        <v>365</v>
      </c>
      <c r="R19" s="9" t="s">
        <v>142</v>
      </c>
      <c r="S19" s="9" t="s">
        <v>450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27</v>
      </c>
      <c r="D20" s="9"/>
      <c r="E20" s="9">
        <v>27</v>
      </c>
      <c r="F20" s="9"/>
      <c r="M20" s="18" t="s">
        <v>118</v>
      </c>
      <c r="N20" s="9" t="s">
        <v>160</v>
      </c>
      <c r="O20" s="9" t="s">
        <v>113</v>
      </c>
      <c r="P20" s="9" t="s">
        <v>366</v>
      </c>
      <c r="Q20" s="9" t="s">
        <v>247</v>
      </c>
      <c r="R20" s="9" t="s">
        <v>129</v>
      </c>
      <c r="S20" s="9" t="s">
        <v>450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52.68</v>
      </c>
      <c r="D21" s="9"/>
      <c r="E21" s="9">
        <v>53</v>
      </c>
      <c r="F21" s="9"/>
      <c r="M21" s="18" t="s">
        <v>119</v>
      </c>
      <c r="N21" s="9" t="s">
        <v>477</v>
      </c>
      <c r="O21" s="9" t="s">
        <v>185</v>
      </c>
      <c r="P21" s="9" t="s">
        <v>121</v>
      </c>
      <c r="Q21" s="9" t="s">
        <v>110</v>
      </c>
      <c r="R21" s="9" t="s">
        <v>102</v>
      </c>
      <c r="S21" s="9" t="s">
        <v>450</v>
      </c>
    </row>
    <row r="22" spans="1:19" ht="15.75" thickTop="1" x14ac:dyDescent="0.25">
      <c r="M22" s="18" t="s">
        <v>589</v>
      </c>
      <c r="N22" s="9" t="s">
        <v>605</v>
      </c>
      <c r="O22" s="9" t="s">
        <v>600</v>
      </c>
      <c r="P22" s="23" t="s">
        <v>152</v>
      </c>
      <c r="Q22" s="9" t="s">
        <v>144</v>
      </c>
      <c r="R22" s="23" t="s">
        <v>641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620</v>
      </c>
      <c r="P23" s="9" t="s">
        <v>642</v>
      </c>
      <c r="Q23" s="9" t="s">
        <v>603</v>
      </c>
      <c r="R23" s="9" t="s">
        <v>151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441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t="s">
        <v>442</v>
      </c>
      <c r="N3" s="9" t="s">
        <v>527</v>
      </c>
      <c r="O3" s="9">
        <f>5*B9</f>
        <v>50</v>
      </c>
      <c r="P3" s="9" t="s">
        <v>526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443</v>
      </c>
      <c r="N4" s="9" t="s">
        <v>54</v>
      </c>
      <c r="O4" s="9">
        <f>10.5*B9</f>
        <v>105</v>
      </c>
      <c r="P4" s="9" t="s">
        <v>528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1.1000000000000001</v>
      </c>
      <c r="C5" s="17">
        <f>B5*2</f>
        <v>2.2000000000000002</v>
      </c>
      <c r="D5" s="17">
        <f>B5*3</f>
        <v>3.3000000000000003</v>
      </c>
      <c r="E5" s="17">
        <f>B5*4</f>
        <v>4.4000000000000004</v>
      </c>
      <c r="F5" s="17">
        <f>B5*5</f>
        <v>5.5</v>
      </c>
      <c r="G5" s="17">
        <f>B5*6</f>
        <v>6.6000000000000005</v>
      </c>
      <c r="M5" s="19" t="s">
        <v>444</v>
      </c>
      <c r="N5" s="9" t="s">
        <v>54</v>
      </c>
      <c r="O5" s="9">
        <f>12*B9</f>
        <v>120</v>
      </c>
      <c r="P5" s="9" t="s">
        <v>531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0.5</v>
      </c>
      <c r="C6" s="17">
        <f t="shared" ref="C6:C7" si="0">B6*2</f>
        <v>1</v>
      </c>
      <c r="D6" s="17">
        <f t="shared" ref="D6:D7" si="1">B6*3</f>
        <v>1.5</v>
      </c>
      <c r="E6" s="17">
        <f t="shared" ref="E6:E7" si="2">B6*4</f>
        <v>2</v>
      </c>
      <c r="F6" s="17">
        <f t="shared" ref="F6:F7" si="3">B6*5</f>
        <v>2.5</v>
      </c>
      <c r="G6" s="17">
        <f t="shared" ref="G6:G7" si="4">B6*6</f>
        <v>3</v>
      </c>
      <c r="M6" s="18" t="s">
        <v>445</v>
      </c>
      <c r="N6" s="9" t="s">
        <v>530</v>
      </c>
      <c r="O6" s="9">
        <f>0.5*B9</f>
        <v>5</v>
      </c>
      <c r="P6" s="9" t="s">
        <v>529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446</v>
      </c>
      <c r="S12" s="9" t="s">
        <v>31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37</v>
      </c>
      <c r="D13" s="9">
        <v>17</v>
      </c>
      <c r="E13" s="9">
        <v>37</v>
      </c>
      <c r="F13" s="9"/>
      <c r="M13" s="7" t="s">
        <v>47</v>
      </c>
      <c r="N13" s="9" t="s">
        <v>189</v>
      </c>
      <c r="O13" s="9" t="s">
        <v>58</v>
      </c>
      <c r="P13" s="9" t="s">
        <v>447</v>
      </c>
      <c r="Q13" s="9" t="s">
        <v>447</v>
      </c>
      <c r="R13" s="9" t="s">
        <v>29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22</v>
      </c>
      <c r="D14" s="9">
        <v>13</v>
      </c>
      <c r="E14" s="9">
        <v>22</v>
      </c>
      <c r="F14" s="9"/>
      <c r="M14" s="7" t="s">
        <v>48</v>
      </c>
      <c r="N14" s="9" t="s">
        <v>337</v>
      </c>
      <c r="O14" s="9" t="s">
        <v>60</v>
      </c>
      <c r="P14" s="9" t="s">
        <v>61</v>
      </c>
      <c r="Q14" s="9" t="s">
        <v>147</v>
      </c>
      <c r="R14" s="9" t="s">
        <v>249</v>
      </c>
      <c r="S14" s="9" t="s">
        <v>59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46</v>
      </c>
      <c r="D15" s="9">
        <v>21</v>
      </c>
      <c r="E15" s="9">
        <v>46</v>
      </c>
      <c r="F15" s="9"/>
      <c r="M15" s="19" t="s">
        <v>49</v>
      </c>
      <c r="N15" s="9" t="s">
        <v>100</v>
      </c>
      <c r="O15" s="9" t="s">
        <v>448</v>
      </c>
      <c r="P15" s="9" t="s">
        <v>68</v>
      </c>
      <c r="Q15" s="9" t="s">
        <v>192</v>
      </c>
      <c r="R15" s="9" t="s">
        <v>368</v>
      </c>
      <c r="S15" s="9" t="s">
        <v>104</v>
      </c>
    </row>
    <row r="16" spans="1:19" ht="16.5" thickTop="1" thickBot="1" x14ac:dyDescent="0.3">
      <c r="A16" s="10" t="s">
        <v>14</v>
      </c>
      <c r="B16" s="9">
        <v>163</v>
      </c>
      <c r="C16" s="9">
        <f>ROUNDDOWN(B16+C13*Common!$B$1,0)</f>
        <v>829</v>
      </c>
      <c r="D16" s="9">
        <v>473</v>
      </c>
      <c r="E16" s="9">
        <v>829</v>
      </c>
      <c r="F16" s="9"/>
      <c r="M16" s="19" t="s">
        <v>50</v>
      </c>
      <c r="N16" s="9" t="s">
        <v>299</v>
      </c>
      <c r="O16" s="9" t="s">
        <v>333</v>
      </c>
      <c r="P16" s="9" t="s">
        <v>110</v>
      </c>
      <c r="Q16" s="9" t="s">
        <v>369</v>
      </c>
      <c r="R16" s="9" t="s">
        <v>63</v>
      </c>
      <c r="S16" s="9" t="s">
        <v>104</v>
      </c>
    </row>
    <row r="17" spans="1:19" ht="16.5" thickTop="1" thickBot="1" x14ac:dyDescent="0.3">
      <c r="A17" s="10" t="s">
        <v>15</v>
      </c>
      <c r="B17" s="9">
        <v>18</v>
      </c>
      <c r="C17" s="9">
        <f>ROUND(B17+C15+C15*Common!$B$2,0)</f>
        <v>82</v>
      </c>
      <c r="D17" s="9">
        <v>47</v>
      </c>
      <c r="E17" s="9">
        <v>82</v>
      </c>
      <c r="F17" s="9"/>
      <c r="M17" s="19" t="s">
        <v>51</v>
      </c>
      <c r="N17" s="9" t="s">
        <v>194</v>
      </c>
      <c r="O17" s="9" t="s">
        <v>193</v>
      </c>
      <c r="P17" s="9" t="s">
        <v>105</v>
      </c>
      <c r="Q17" s="9" t="s">
        <v>334</v>
      </c>
      <c r="R17" s="9" t="s">
        <v>112</v>
      </c>
      <c r="S17" s="9" t="s">
        <v>104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53</v>
      </c>
      <c r="D18" s="9">
        <v>31</v>
      </c>
      <c r="E18" s="9">
        <v>53</v>
      </c>
      <c r="F18" s="9"/>
      <c r="M18" s="18" t="s">
        <v>52</v>
      </c>
      <c r="N18" s="9" t="s">
        <v>148</v>
      </c>
      <c r="O18" s="9" t="s">
        <v>113</v>
      </c>
      <c r="P18" s="9" t="s">
        <v>340</v>
      </c>
      <c r="Q18" s="9" t="s">
        <v>68</v>
      </c>
      <c r="R18" s="9" t="s">
        <v>449</v>
      </c>
      <c r="S18" s="9" t="s">
        <v>450</v>
      </c>
    </row>
    <row r="19" spans="1:19" ht="16.5" thickTop="1" thickBot="1" x14ac:dyDescent="0.3">
      <c r="A19" s="10" t="s">
        <v>17</v>
      </c>
      <c r="B19" s="22"/>
      <c r="C19" s="9">
        <f>B19+ROUND(C13/7,0)+ROUND(C15/14,0)</f>
        <v>8</v>
      </c>
      <c r="D19" s="9">
        <v>3</v>
      </c>
      <c r="E19" s="9">
        <v>8</v>
      </c>
      <c r="F19" s="9"/>
      <c r="M19" s="18" t="s">
        <v>53</v>
      </c>
      <c r="N19" s="9" t="s">
        <v>200</v>
      </c>
      <c r="O19" s="9" t="s">
        <v>106</v>
      </c>
      <c r="P19" s="9" t="s">
        <v>193</v>
      </c>
      <c r="Q19" s="9" t="s">
        <v>448</v>
      </c>
      <c r="R19" s="9" t="s">
        <v>199</v>
      </c>
      <c r="S19" s="9" t="s">
        <v>450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</v>
      </c>
      <c r="D20" s="9">
        <v>1</v>
      </c>
      <c r="E20" s="9">
        <v>2</v>
      </c>
      <c r="F20" s="9"/>
      <c r="M20" s="18" t="s">
        <v>118</v>
      </c>
      <c r="N20" s="9" t="s">
        <v>300</v>
      </c>
      <c r="O20" s="9" t="s">
        <v>116</v>
      </c>
      <c r="P20" s="9" t="s">
        <v>100</v>
      </c>
      <c r="Q20" s="9" t="s">
        <v>196</v>
      </c>
      <c r="R20" s="9" t="s">
        <v>334</v>
      </c>
      <c r="S20" s="9" t="s">
        <v>450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18.400000000000002</v>
      </c>
      <c r="D21" s="9">
        <v>8</v>
      </c>
      <c r="E21" s="9">
        <v>18</v>
      </c>
      <c r="F21" s="9"/>
      <c r="M21" s="18" t="s">
        <v>119</v>
      </c>
      <c r="N21" s="9" t="s">
        <v>120</v>
      </c>
      <c r="O21" s="9" t="s">
        <v>115</v>
      </c>
      <c r="P21" s="9" t="s">
        <v>281</v>
      </c>
      <c r="Q21" s="9" t="s">
        <v>110</v>
      </c>
      <c r="R21" s="9" t="s">
        <v>68</v>
      </c>
      <c r="S21" s="9" t="s">
        <v>450</v>
      </c>
    </row>
    <row r="22" spans="1:19" ht="15.75" thickTop="1" x14ac:dyDescent="0.25">
      <c r="M22" s="18" t="s">
        <v>589</v>
      </c>
      <c r="N22" s="9" t="s">
        <v>608</v>
      </c>
      <c r="O22" s="9" t="s">
        <v>609</v>
      </c>
      <c r="P22" s="23" t="s">
        <v>123</v>
      </c>
      <c r="Q22" s="9" t="s">
        <v>115</v>
      </c>
      <c r="R22" s="23" t="s">
        <v>611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612</v>
      </c>
      <c r="P23" s="9" t="s">
        <v>613</v>
      </c>
      <c r="Q23" s="9" t="s">
        <v>186</v>
      </c>
      <c r="R23" s="9" t="s">
        <v>615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437</v>
      </c>
    </row>
    <row r="3" spans="1:19" ht="15.75" thickBot="1" x14ac:dyDescent="0.3">
      <c r="M3" t="s">
        <v>429</v>
      </c>
      <c r="N3" s="9" t="s">
        <v>257</v>
      </c>
      <c r="O3" s="9">
        <f>B9*26.4</f>
        <v>924</v>
      </c>
      <c r="P3" s="9" t="s">
        <v>436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430</v>
      </c>
      <c r="N4" s="9" t="s">
        <v>54</v>
      </c>
      <c r="O4" s="9">
        <f>14.3*B9</f>
        <v>500.5</v>
      </c>
      <c r="P4" s="9" t="s">
        <v>435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</v>
      </c>
      <c r="C5" s="17">
        <f>B5*2</f>
        <v>1.6</v>
      </c>
      <c r="D5" s="17">
        <f>B5*3</f>
        <v>2.4000000000000004</v>
      </c>
      <c r="E5" s="17">
        <f>B5*4</f>
        <v>3.2</v>
      </c>
      <c r="F5" s="17">
        <f>B5*5</f>
        <v>4</v>
      </c>
      <c r="G5" s="17">
        <f>B5*6</f>
        <v>4.8000000000000007</v>
      </c>
      <c r="M5" s="19" t="s">
        <v>431</v>
      </c>
      <c r="N5" s="9" t="s">
        <v>452</v>
      </c>
      <c r="O5" s="9">
        <f>0.03*B9+4.97</f>
        <v>6.02</v>
      </c>
      <c r="P5" s="9" t="s">
        <v>451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432</v>
      </c>
      <c r="N6" s="9" t="s">
        <v>434</v>
      </c>
      <c r="O6" s="9">
        <f>B9*3</f>
        <v>105</v>
      </c>
      <c r="P6" s="9" t="s">
        <v>433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0.85</v>
      </c>
      <c r="C7" s="17">
        <f t="shared" si="0"/>
        <v>1.7</v>
      </c>
      <c r="D7" s="17">
        <f t="shared" si="1"/>
        <v>2.5499999999999998</v>
      </c>
      <c r="E7" s="17">
        <f t="shared" si="2"/>
        <v>3.4</v>
      </c>
      <c r="F7" s="17">
        <f t="shared" si="3"/>
        <v>4.25</v>
      </c>
      <c r="G7" s="17">
        <f t="shared" si="4"/>
        <v>5.0999999999999996</v>
      </c>
    </row>
    <row r="8" spans="1:19" ht="15.75" thickTop="1" x14ac:dyDescent="0.25"/>
    <row r="9" spans="1:19" x14ac:dyDescent="0.25">
      <c r="A9" t="s">
        <v>35</v>
      </c>
      <c r="B9">
        <v>35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438</v>
      </c>
      <c r="O12" s="9" t="s">
        <v>438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129</v>
      </c>
      <c r="D13" s="9">
        <v>20</v>
      </c>
      <c r="E13" s="9">
        <v>49</v>
      </c>
      <c r="F13" s="9"/>
      <c r="M13" s="7" t="s">
        <v>47</v>
      </c>
      <c r="N13" s="9" t="s">
        <v>131</v>
      </c>
      <c r="O13" s="9" t="s">
        <v>131</v>
      </c>
      <c r="P13" s="9" t="s">
        <v>128</v>
      </c>
      <c r="Q13" s="9" t="s">
        <v>128</v>
      </c>
      <c r="R13" s="9" t="s">
        <v>98</v>
      </c>
      <c r="S13" s="9" t="s">
        <v>59</v>
      </c>
    </row>
    <row r="14" spans="1:19" ht="16.5" thickTop="1" thickBot="1" x14ac:dyDescent="0.3">
      <c r="A14" s="10" t="s">
        <v>13</v>
      </c>
      <c r="B14" s="9">
        <v>23</v>
      </c>
      <c r="C14" s="9">
        <f>B14+$B$9*($B$10+1)*B6</f>
        <v>233</v>
      </c>
      <c r="D14" s="9">
        <v>29</v>
      </c>
      <c r="E14" s="9">
        <v>83</v>
      </c>
      <c r="F14" s="9"/>
      <c r="M14" s="7" t="s">
        <v>48</v>
      </c>
      <c r="N14" s="9" t="s">
        <v>129</v>
      </c>
      <c r="O14" s="9" t="s">
        <v>130</v>
      </c>
      <c r="P14" s="9" t="s">
        <v>128</v>
      </c>
      <c r="Q14" s="9" t="s">
        <v>128</v>
      </c>
      <c r="R14" s="9" t="s">
        <v>127</v>
      </c>
      <c r="S14" s="9" t="s">
        <v>191</v>
      </c>
    </row>
    <row r="15" spans="1:19" ht="16.5" thickTop="1" thickBot="1" x14ac:dyDescent="0.3">
      <c r="A15" s="10" t="s">
        <v>1</v>
      </c>
      <c r="B15" s="9">
        <v>22</v>
      </c>
      <c r="C15" s="9">
        <f>B15+$B$9*($B$10+1)*B7</f>
        <v>141</v>
      </c>
      <c r="D15" s="9">
        <v>25</v>
      </c>
      <c r="E15" s="9">
        <v>56</v>
      </c>
      <c r="F15" s="9"/>
      <c r="M15" s="19" t="s">
        <v>49</v>
      </c>
      <c r="N15" s="9" t="s">
        <v>146</v>
      </c>
      <c r="O15" s="9" t="s">
        <v>129</v>
      </c>
      <c r="P15" s="9" t="s">
        <v>128</v>
      </c>
      <c r="Q15" s="9" t="s">
        <v>128</v>
      </c>
      <c r="R15" s="9" t="s">
        <v>246</v>
      </c>
      <c r="S15" s="9" t="s">
        <v>439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2493</v>
      </c>
      <c r="D16" s="9">
        <v>534</v>
      </c>
      <c r="E16" s="9">
        <v>1053</v>
      </c>
      <c r="F16" s="9"/>
      <c r="M16" s="19" t="s">
        <v>50</v>
      </c>
      <c r="N16" s="9" t="s">
        <v>132</v>
      </c>
      <c r="O16" s="9" t="s">
        <v>142</v>
      </c>
      <c r="P16" s="9" t="s">
        <v>110</v>
      </c>
      <c r="Q16" s="9" t="s">
        <v>61</v>
      </c>
      <c r="R16" s="9" t="s">
        <v>128</v>
      </c>
      <c r="S16" s="9" t="s">
        <v>439</v>
      </c>
    </row>
    <row r="17" spans="1:19" ht="16.5" thickTop="1" thickBot="1" x14ac:dyDescent="0.3">
      <c r="A17" s="10" t="s">
        <v>15</v>
      </c>
      <c r="B17" s="9">
        <v>21</v>
      </c>
      <c r="C17" s="9">
        <f>ROUND(B17+C14+C15*Common!$B$2,0)</f>
        <v>310</v>
      </c>
      <c r="D17" s="9">
        <v>59</v>
      </c>
      <c r="E17" s="9">
        <v>126</v>
      </c>
      <c r="F17" s="9"/>
      <c r="M17" s="19" t="s">
        <v>51</v>
      </c>
      <c r="N17" s="9" t="s">
        <v>144</v>
      </c>
      <c r="O17" s="9" t="s">
        <v>237</v>
      </c>
      <c r="P17" s="9" t="s">
        <v>138</v>
      </c>
      <c r="Q17" s="9" t="s">
        <v>153</v>
      </c>
      <c r="R17" s="9" t="s">
        <v>128</v>
      </c>
      <c r="S17" s="9" t="s">
        <v>439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559</v>
      </c>
      <c r="D18" s="9">
        <v>69</v>
      </c>
      <c r="E18" s="9">
        <v>198</v>
      </c>
      <c r="F18" s="9"/>
      <c r="M18" s="18" t="s">
        <v>52</v>
      </c>
      <c r="N18" s="9" t="s">
        <v>186</v>
      </c>
      <c r="O18" s="9" t="s">
        <v>149</v>
      </c>
      <c r="P18" s="9" t="s">
        <v>146</v>
      </c>
      <c r="Q18" s="9" t="s">
        <v>153</v>
      </c>
      <c r="R18" s="9" t="s">
        <v>128</v>
      </c>
      <c r="S18" s="9" t="s">
        <v>114</v>
      </c>
    </row>
    <row r="19" spans="1:19" ht="16.5" thickTop="1" thickBot="1" x14ac:dyDescent="0.3">
      <c r="A19" s="10" t="s">
        <v>17</v>
      </c>
      <c r="B19" s="22">
        <v>1</v>
      </c>
      <c r="C19" s="9">
        <f>B19+ROUND(C13/7,0)+ROUND(C15/14,0)</f>
        <v>29</v>
      </c>
      <c r="D19" s="9">
        <v>6</v>
      </c>
      <c r="E19" s="9">
        <v>13</v>
      </c>
      <c r="F19" s="9"/>
      <c r="M19" s="18" t="s">
        <v>53</v>
      </c>
      <c r="N19" s="9" t="s">
        <v>152</v>
      </c>
      <c r="O19" s="9" t="s">
        <v>188</v>
      </c>
      <c r="P19" s="9" t="s">
        <v>361</v>
      </c>
      <c r="Q19" s="9" t="s">
        <v>129</v>
      </c>
      <c r="R19" s="9" t="s">
        <v>131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23</v>
      </c>
      <c r="D20" s="9">
        <v>3</v>
      </c>
      <c r="E20" s="9">
        <v>8</v>
      </c>
      <c r="F20" s="9"/>
      <c r="M20" s="18" t="s">
        <v>118</v>
      </c>
      <c r="N20" s="9" t="s">
        <v>160</v>
      </c>
      <c r="O20" s="9" t="s">
        <v>161</v>
      </c>
      <c r="P20" s="9" t="s">
        <v>149</v>
      </c>
      <c r="Q20" s="9" t="s">
        <v>237</v>
      </c>
      <c r="R20" s="9" t="s">
        <v>131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56.400000000000006</v>
      </c>
      <c r="D21" s="9">
        <v>10</v>
      </c>
      <c r="E21" s="9">
        <v>22</v>
      </c>
      <c r="F21" s="9"/>
      <c r="M21" s="18" t="s">
        <v>119</v>
      </c>
      <c r="N21" s="9" t="s">
        <v>115</v>
      </c>
      <c r="O21" s="9" t="s">
        <v>144</v>
      </c>
      <c r="P21" s="9" t="s">
        <v>121</v>
      </c>
      <c r="Q21" s="9" t="s">
        <v>110</v>
      </c>
      <c r="R21" s="9" t="s">
        <v>142</v>
      </c>
      <c r="S21" s="9" t="s">
        <v>114</v>
      </c>
    </row>
    <row r="22" spans="1:19" ht="15.75" thickTop="1" x14ac:dyDescent="0.25">
      <c r="M22" s="18" t="s">
        <v>589</v>
      </c>
      <c r="N22" s="9" t="s">
        <v>605</v>
      </c>
      <c r="O22" s="9" t="s">
        <v>634</v>
      </c>
      <c r="P22" s="23" t="s">
        <v>603</v>
      </c>
      <c r="Q22" s="9" t="s">
        <v>149</v>
      </c>
      <c r="R22" s="23" t="s">
        <v>188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602</v>
      </c>
      <c r="P23" s="9" t="s">
        <v>152</v>
      </c>
      <c r="Q23" s="9" t="s">
        <v>113</v>
      </c>
      <c r="R23" s="9" t="s">
        <v>151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371</v>
      </c>
      <c r="N3" s="9" t="s">
        <v>54</v>
      </c>
      <c r="O3" s="9">
        <f>12*B9</f>
        <v>360</v>
      </c>
      <c r="P3" s="9" t="s">
        <v>375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372</v>
      </c>
      <c r="N4" s="9" t="s">
        <v>54</v>
      </c>
      <c r="O4" s="9">
        <f>12*B9</f>
        <v>360</v>
      </c>
      <c r="P4" s="9" t="s">
        <v>377</v>
      </c>
      <c r="Q4" s="9">
        <f>B9</f>
        <v>30</v>
      </c>
      <c r="R4" s="9" t="s">
        <v>376</v>
      </c>
      <c r="S4" s="9"/>
    </row>
    <row r="5" spans="1:19" ht="16.5" thickTop="1" thickBot="1" x14ac:dyDescent="0.3">
      <c r="A5" s="10" t="s">
        <v>4</v>
      </c>
      <c r="B5" s="17">
        <v>1.5</v>
      </c>
      <c r="C5" s="17">
        <f>B5*2</f>
        <v>3</v>
      </c>
      <c r="D5" s="17">
        <f>B5*3</f>
        <v>4.5</v>
      </c>
      <c r="E5" s="17">
        <f>B5*4</f>
        <v>6</v>
      </c>
      <c r="F5" s="17">
        <f>B5*5</f>
        <v>7.5</v>
      </c>
      <c r="G5" s="17">
        <f>B5*6</f>
        <v>9</v>
      </c>
      <c r="M5" s="19" t="s">
        <v>373</v>
      </c>
      <c r="N5" s="9" t="s">
        <v>54</v>
      </c>
      <c r="O5" s="9">
        <f>6*B9</f>
        <v>180</v>
      </c>
      <c r="P5" s="9" t="s">
        <v>378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0.85</v>
      </c>
      <c r="C6" s="17">
        <f t="shared" ref="C6:C7" si="0">B6*2</f>
        <v>1.7</v>
      </c>
      <c r="D6" s="17">
        <f t="shared" ref="D6:D7" si="1">B6*3</f>
        <v>2.5499999999999998</v>
      </c>
      <c r="E6" s="17">
        <f t="shared" ref="E6:E7" si="2">B6*4</f>
        <v>3.4</v>
      </c>
      <c r="F6" s="17">
        <f t="shared" ref="F6:F7" si="3">B6*5</f>
        <v>4.25</v>
      </c>
      <c r="G6" s="17">
        <f t="shared" ref="G6:G7" si="4">B6*6</f>
        <v>5.0999999999999996</v>
      </c>
      <c r="M6" s="18" t="s">
        <v>374</v>
      </c>
      <c r="N6" s="9" t="s">
        <v>380</v>
      </c>
      <c r="O6" s="9">
        <f>2*B9</f>
        <v>60</v>
      </c>
      <c r="P6" s="9" t="s">
        <v>379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0.75</v>
      </c>
      <c r="C7" s="17">
        <f t="shared" si="0"/>
        <v>1.5</v>
      </c>
      <c r="D7" s="17">
        <f t="shared" si="1"/>
        <v>2.25</v>
      </c>
      <c r="E7" s="17">
        <f t="shared" si="2"/>
        <v>3</v>
      </c>
      <c r="F7" s="17">
        <f t="shared" si="3"/>
        <v>3.75</v>
      </c>
      <c r="G7" s="17">
        <f t="shared" si="4"/>
        <v>4.5</v>
      </c>
    </row>
    <row r="8" spans="1:19" ht="15.75" thickTop="1" x14ac:dyDescent="0.25"/>
    <row r="9" spans="1:19" x14ac:dyDescent="0.25">
      <c r="A9" t="s">
        <v>35</v>
      </c>
      <c r="B9">
        <v>30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30</v>
      </c>
      <c r="F12" s="10"/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75</v>
      </c>
      <c r="S12" s="9" t="s">
        <v>74</v>
      </c>
    </row>
    <row r="13" spans="1:19" ht="16.5" thickTop="1" thickBot="1" x14ac:dyDescent="0.3">
      <c r="A13" s="10" t="s">
        <v>12</v>
      </c>
      <c r="B13" s="9">
        <v>19</v>
      </c>
      <c r="C13" s="9">
        <f>B13+$B$9*($B$10+1)*B5</f>
        <v>109</v>
      </c>
      <c r="D13" s="9"/>
      <c r="E13" s="9">
        <v>109</v>
      </c>
      <c r="F13" s="9"/>
      <c r="M13" s="7" t="s">
        <v>47</v>
      </c>
      <c r="N13" s="9" t="s">
        <v>78</v>
      </c>
      <c r="O13" s="9" t="s">
        <v>78</v>
      </c>
      <c r="P13" s="9" t="s">
        <v>147</v>
      </c>
      <c r="Q13" s="9" t="s">
        <v>31</v>
      </c>
      <c r="R13" s="9" t="s">
        <v>156</v>
      </c>
      <c r="S13" s="9" t="s">
        <v>59</v>
      </c>
    </row>
    <row r="14" spans="1:19" ht="16.5" thickTop="1" thickBot="1" x14ac:dyDescent="0.3">
      <c r="A14" s="10" t="s">
        <v>13</v>
      </c>
      <c r="B14" s="9">
        <v>14</v>
      </c>
      <c r="C14" s="9">
        <f>B14+$B$9*($B$10+1)*B6</f>
        <v>65</v>
      </c>
      <c r="D14" s="9"/>
      <c r="E14" s="9">
        <v>65</v>
      </c>
      <c r="F14" s="9"/>
      <c r="M14" s="7" t="s">
        <v>48</v>
      </c>
      <c r="N14" s="9" t="s">
        <v>112</v>
      </c>
      <c r="O14" s="9" t="s">
        <v>68</v>
      </c>
      <c r="P14" s="9" t="s">
        <v>103</v>
      </c>
      <c r="Q14" s="9" t="s">
        <v>140</v>
      </c>
      <c r="R14" s="9" t="s">
        <v>368</v>
      </c>
      <c r="S14" s="9" t="s">
        <v>59</v>
      </c>
    </row>
    <row r="15" spans="1:19" ht="16.5" thickTop="1" thickBot="1" x14ac:dyDescent="0.3">
      <c r="A15" s="10" t="s">
        <v>1</v>
      </c>
      <c r="B15" s="9">
        <v>14</v>
      </c>
      <c r="C15" s="9">
        <f>B15+$B$9*($B$10+1)*B7</f>
        <v>59</v>
      </c>
      <c r="D15" s="9"/>
      <c r="E15" s="9">
        <v>59</v>
      </c>
      <c r="F15" s="9"/>
      <c r="M15" s="19" t="s">
        <v>49</v>
      </c>
      <c r="N15" s="9" t="s">
        <v>107</v>
      </c>
      <c r="O15" s="9" t="s">
        <v>139</v>
      </c>
      <c r="P15" s="9" t="s">
        <v>247</v>
      </c>
      <c r="Q15" s="9" t="s">
        <v>369</v>
      </c>
      <c r="R15" s="9" t="s">
        <v>108</v>
      </c>
      <c r="S15" s="9" t="s">
        <v>370</v>
      </c>
    </row>
    <row r="16" spans="1:19" ht="16.5" thickTop="1" thickBot="1" x14ac:dyDescent="0.3">
      <c r="A16" s="10" t="s">
        <v>14</v>
      </c>
      <c r="B16" s="9">
        <v>172</v>
      </c>
      <c r="C16" s="9">
        <f>ROUNDDOWN(B16+C13*Common!$B$1,0)</f>
        <v>2134</v>
      </c>
      <c r="D16" s="9"/>
      <c r="E16" s="9">
        <v>2134</v>
      </c>
      <c r="F16" s="9"/>
      <c r="M16" s="19" t="s">
        <v>50</v>
      </c>
      <c r="N16" s="9" t="s">
        <v>105</v>
      </c>
      <c r="O16" s="9" t="s">
        <v>110</v>
      </c>
      <c r="P16" s="9" t="s">
        <v>62</v>
      </c>
      <c r="Q16" s="9" t="s">
        <v>68</v>
      </c>
      <c r="R16" s="9" t="s">
        <v>368</v>
      </c>
      <c r="S16" s="9" t="s">
        <v>370</v>
      </c>
    </row>
    <row r="17" spans="1:19" ht="16.5" thickTop="1" thickBot="1" x14ac:dyDescent="0.3">
      <c r="A17" s="10" t="s">
        <v>15</v>
      </c>
      <c r="B17" s="9">
        <v>21</v>
      </c>
      <c r="C17" s="9">
        <f>ROUND(B17+C13+C15*Common!$B$2,0)</f>
        <v>154</v>
      </c>
      <c r="D17" s="9"/>
      <c r="E17" s="9">
        <v>154</v>
      </c>
      <c r="F17" s="9"/>
      <c r="M17" s="19" t="s">
        <v>51</v>
      </c>
      <c r="N17" s="9" t="s">
        <v>109</v>
      </c>
      <c r="O17" s="9" t="s">
        <v>106</v>
      </c>
      <c r="P17" s="9" t="s">
        <v>147</v>
      </c>
      <c r="Q17" s="9" t="s">
        <v>147</v>
      </c>
      <c r="R17" s="9" t="s">
        <v>78</v>
      </c>
      <c r="S17" s="9" t="s">
        <v>370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156</v>
      </c>
      <c r="D18" s="9"/>
      <c r="E18" s="9">
        <v>157</v>
      </c>
      <c r="F18" s="9"/>
      <c r="M18" s="18" t="s">
        <v>52</v>
      </c>
      <c r="N18" s="9" t="s">
        <v>121</v>
      </c>
      <c r="O18" s="9" t="s">
        <v>110</v>
      </c>
      <c r="P18" s="9" t="s">
        <v>112</v>
      </c>
      <c r="Q18" s="9" t="s">
        <v>103</v>
      </c>
      <c r="R18" s="9" t="s">
        <v>368</v>
      </c>
      <c r="S18" s="9" t="s">
        <v>114</v>
      </c>
    </row>
    <row r="19" spans="1:19" ht="16.5" thickTop="1" thickBot="1" x14ac:dyDescent="0.3">
      <c r="A19" s="10" t="s">
        <v>17</v>
      </c>
      <c r="B19" s="22">
        <v>1</v>
      </c>
      <c r="C19" s="9">
        <f>B19+ROUND(C13/7,0)+ROUND(C15/14,0)</f>
        <v>21</v>
      </c>
      <c r="D19" s="9"/>
      <c r="E19" s="9">
        <v>21</v>
      </c>
      <c r="F19" s="9"/>
      <c r="M19" s="18" t="s">
        <v>53</v>
      </c>
      <c r="N19" s="9" t="s">
        <v>152</v>
      </c>
      <c r="O19" s="9" t="s">
        <v>116</v>
      </c>
      <c r="P19" s="9" t="s">
        <v>112</v>
      </c>
      <c r="Q19" s="9" t="s">
        <v>369</v>
      </c>
      <c r="R19" s="9" t="s">
        <v>78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/>
      <c r="E20" s="9">
        <v>7</v>
      </c>
      <c r="F20" s="9"/>
      <c r="M20" s="18" t="s">
        <v>118</v>
      </c>
      <c r="N20" s="9" t="s">
        <v>115</v>
      </c>
      <c r="O20" s="9" t="s">
        <v>123</v>
      </c>
      <c r="P20" s="9" t="s">
        <v>105</v>
      </c>
      <c r="Q20" s="9" t="s">
        <v>68</v>
      </c>
      <c r="R20" s="9" t="s">
        <v>368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23.6</v>
      </c>
      <c r="D21" s="9"/>
      <c r="E21" s="9">
        <v>23</v>
      </c>
      <c r="F21" s="9"/>
      <c r="M21" s="18" t="s">
        <v>119</v>
      </c>
      <c r="N21" s="9" t="s">
        <v>115</v>
      </c>
      <c r="O21" s="9" t="s">
        <v>124</v>
      </c>
      <c r="P21" s="9" t="s">
        <v>116</v>
      </c>
      <c r="Q21" s="9" t="s">
        <v>110</v>
      </c>
      <c r="R21" s="9" t="s">
        <v>107</v>
      </c>
      <c r="S21" s="9" t="s">
        <v>114</v>
      </c>
    </row>
    <row r="22" spans="1:19" ht="15.75" thickTop="1" x14ac:dyDescent="0.25">
      <c r="M22" s="18" t="s">
        <v>589</v>
      </c>
      <c r="N22" s="9" t="s">
        <v>591</v>
      </c>
      <c r="O22" s="9" t="s">
        <v>633</v>
      </c>
      <c r="P22" s="23" t="s">
        <v>596</v>
      </c>
      <c r="Q22" s="9" t="s">
        <v>123</v>
      </c>
      <c r="R22" s="23" t="s">
        <v>194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595</v>
      </c>
      <c r="P23" s="9" t="s">
        <v>300</v>
      </c>
      <c r="Q23" s="9" t="s">
        <v>186</v>
      </c>
      <c r="R23" s="9" t="s">
        <v>151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290</v>
      </c>
      <c r="N3" s="9"/>
      <c r="O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291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292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1.25</v>
      </c>
      <c r="C6" s="17">
        <f t="shared" ref="C6:C7" si="0">B6*2</f>
        <v>2.5</v>
      </c>
      <c r="D6" s="17">
        <f t="shared" ref="D6:D7" si="1">B6*3</f>
        <v>3.75</v>
      </c>
      <c r="E6" s="17">
        <f t="shared" ref="E6:E7" si="2">B6*4</f>
        <v>5</v>
      </c>
      <c r="F6" s="17">
        <f t="shared" ref="F6:F7" si="3">B6*5</f>
        <v>6.25</v>
      </c>
      <c r="G6" s="17">
        <f t="shared" ref="G6:G7" si="4">B6*6</f>
        <v>7.5</v>
      </c>
      <c r="M6" s="18" t="s">
        <v>293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126</v>
      </c>
      <c r="S12" s="9" t="s">
        <v>75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48</v>
      </c>
      <c r="D13" s="9">
        <v>18</v>
      </c>
      <c r="E13" s="9">
        <v>48</v>
      </c>
      <c r="F13" s="9"/>
      <c r="M13" s="7" t="s">
        <v>47</v>
      </c>
      <c r="N13" s="9" t="s">
        <v>61</v>
      </c>
      <c r="O13" s="9" t="s">
        <v>364</v>
      </c>
      <c r="P13" s="9" t="s">
        <v>128</v>
      </c>
      <c r="Q13" s="9" t="s">
        <v>128</v>
      </c>
      <c r="R13" s="9" t="s">
        <v>58</v>
      </c>
      <c r="S13" s="9" t="s">
        <v>59</v>
      </c>
    </row>
    <row r="14" spans="1:19" ht="16.5" thickTop="1" thickBot="1" x14ac:dyDescent="0.3">
      <c r="A14" s="10" t="s">
        <v>13</v>
      </c>
      <c r="B14" s="9">
        <v>22</v>
      </c>
      <c r="C14" s="9">
        <f>B14+$B$9*($B$10+1)*B6</f>
        <v>72</v>
      </c>
      <c r="D14" s="9">
        <v>5</v>
      </c>
      <c r="E14" s="9">
        <v>72</v>
      </c>
      <c r="F14" s="9"/>
      <c r="M14" s="7" t="s">
        <v>48</v>
      </c>
      <c r="N14" s="9" t="s">
        <v>129</v>
      </c>
      <c r="O14" s="9" t="s">
        <v>247</v>
      </c>
      <c r="P14" s="9" t="s">
        <v>156</v>
      </c>
      <c r="Q14" s="9" t="s">
        <v>128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16</v>
      </c>
      <c r="C15" s="9">
        <f>B15+$B$9*($B$10+1)*B7</f>
        <v>56</v>
      </c>
      <c r="D15" s="9">
        <v>4</v>
      </c>
      <c r="E15" s="9">
        <v>56</v>
      </c>
      <c r="F15" s="9"/>
      <c r="M15" s="19" t="s">
        <v>49</v>
      </c>
      <c r="N15" s="9" t="s">
        <v>154</v>
      </c>
      <c r="O15" s="9" t="s">
        <v>250</v>
      </c>
      <c r="P15" s="9" t="s">
        <v>343</v>
      </c>
      <c r="Q15" s="9" t="s">
        <v>135</v>
      </c>
      <c r="R15" s="9" t="s">
        <v>128</v>
      </c>
      <c r="S15" s="9" t="s">
        <v>136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1035</v>
      </c>
      <c r="D16" s="9">
        <v>485</v>
      </c>
      <c r="E16" s="9">
        <v>1035</v>
      </c>
      <c r="F16" s="9"/>
      <c r="M16" s="19" t="s">
        <v>50</v>
      </c>
      <c r="N16" s="9" t="s">
        <v>237</v>
      </c>
      <c r="O16" s="9" t="s">
        <v>142</v>
      </c>
      <c r="P16" s="9" t="s">
        <v>132</v>
      </c>
      <c r="Q16" s="9" t="s">
        <v>365</v>
      </c>
      <c r="R16" s="9" t="s">
        <v>147</v>
      </c>
      <c r="S16" s="9" t="s">
        <v>136</v>
      </c>
    </row>
    <row r="17" spans="1:19" ht="16.5" thickTop="1" thickBot="1" x14ac:dyDescent="0.3">
      <c r="A17" s="10" t="s">
        <v>15</v>
      </c>
      <c r="B17" s="9">
        <v>18</v>
      </c>
      <c r="C17" s="9">
        <f>ROUND(B17+C14+C15*Common!$B$2,0)</f>
        <v>112</v>
      </c>
      <c r="D17" s="9">
        <v>52</v>
      </c>
      <c r="E17" s="9">
        <v>112</v>
      </c>
      <c r="F17" s="9"/>
      <c r="M17" s="19" t="s">
        <v>51</v>
      </c>
      <c r="N17" s="9" t="s">
        <v>144</v>
      </c>
      <c r="O17" s="9" t="s">
        <v>253</v>
      </c>
      <c r="P17" s="9" t="s">
        <v>110</v>
      </c>
      <c r="Q17" s="9" t="s">
        <v>129</v>
      </c>
      <c r="R17" s="9" t="s">
        <v>78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173</v>
      </c>
      <c r="D18" s="9">
        <v>64</v>
      </c>
      <c r="E18" s="9">
        <v>172</v>
      </c>
      <c r="F18" s="9"/>
      <c r="M18" s="18" t="s">
        <v>52</v>
      </c>
      <c r="N18" s="9" t="s">
        <v>155</v>
      </c>
      <c r="O18" s="9" t="s">
        <v>184</v>
      </c>
      <c r="P18" s="9" t="s">
        <v>237</v>
      </c>
      <c r="Q18" s="9" t="s">
        <v>153</v>
      </c>
      <c r="R18" s="9" t="s">
        <v>128</v>
      </c>
      <c r="S18" s="9" t="s">
        <v>143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11</v>
      </c>
      <c r="D19" s="9">
        <v>3</v>
      </c>
      <c r="E19" s="9">
        <v>11</v>
      </c>
      <c r="F19" s="13"/>
      <c r="G19" s="3"/>
      <c r="H19" s="3"/>
      <c r="I19" s="3"/>
      <c r="M19" s="18" t="s">
        <v>53</v>
      </c>
      <c r="N19" s="9" t="s">
        <v>152</v>
      </c>
      <c r="O19" s="9" t="s">
        <v>366</v>
      </c>
      <c r="P19" s="9" t="s">
        <v>129</v>
      </c>
      <c r="Q19" s="9" t="s">
        <v>350</v>
      </c>
      <c r="R19" s="9" t="s">
        <v>110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>
        <v>3</v>
      </c>
      <c r="E20" s="9">
        <v>7</v>
      </c>
      <c r="F20" s="9"/>
      <c r="M20" s="18" t="s">
        <v>118</v>
      </c>
      <c r="N20" s="9" t="s">
        <v>159</v>
      </c>
      <c r="O20" s="9" t="s">
        <v>185</v>
      </c>
      <c r="P20" s="9" t="s">
        <v>161</v>
      </c>
      <c r="Q20" s="9" t="s">
        <v>149</v>
      </c>
      <c r="R20" s="9" t="s">
        <v>129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22.400000000000002</v>
      </c>
      <c r="D21" s="9">
        <v>8</v>
      </c>
      <c r="E21" s="9">
        <v>22</v>
      </c>
      <c r="F21" s="9"/>
      <c r="M21" s="18" t="s">
        <v>119</v>
      </c>
      <c r="N21" s="9" t="s">
        <v>162</v>
      </c>
      <c r="O21" s="9" t="s">
        <v>115</v>
      </c>
      <c r="P21" s="9" t="s">
        <v>188</v>
      </c>
      <c r="Q21" s="9" t="s">
        <v>110</v>
      </c>
      <c r="R21" s="9" t="s">
        <v>142</v>
      </c>
      <c r="S21" s="9" t="s">
        <v>114</v>
      </c>
    </row>
    <row r="22" spans="1:19" ht="15.75" thickTop="1" x14ac:dyDescent="0.25">
      <c r="M22" s="18" t="s">
        <v>589</v>
      </c>
      <c r="N22" s="9" t="s">
        <v>605</v>
      </c>
      <c r="O22" s="9" t="s">
        <v>600</v>
      </c>
      <c r="P22" s="23" t="s">
        <v>603</v>
      </c>
      <c r="Q22" s="9" t="s">
        <v>161</v>
      </c>
      <c r="R22" s="23" t="s">
        <v>144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606</v>
      </c>
      <c r="P23" s="9" t="s">
        <v>601</v>
      </c>
      <c r="Q23" s="9" t="s">
        <v>619</v>
      </c>
      <c r="R23" s="9" t="s">
        <v>151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503</v>
      </c>
      <c r="N3" s="9" t="s">
        <v>511</v>
      </c>
      <c r="O3" s="9">
        <f>200+50*B9</f>
        <v>3450</v>
      </c>
      <c r="P3" t="s">
        <v>510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504</v>
      </c>
      <c r="N4" s="9" t="s">
        <v>173</v>
      </c>
      <c r="O4" s="9">
        <f>8*B9</f>
        <v>520</v>
      </c>
      <c r="P4" s="9" t="s">
        <v>509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1.35</v>
      </c>
      <c r="C5" s="17">
        <f>B5*2</f>
        <v>2.7</v>
      </c>
      <c r="D5" s="17">
        <f>B5*3</f>
        <v>4.0500000000000007</v>
      </c>
      <c r="E5" s="17">
        <f>B5*4</f>
        <v>5.4</v>
      </c>
      <c r="F5" s="17">
        <f>B5*5</f>
        <v>6.75</v>
      </c>
      <c r="G5" s="17">
        <f>B5*6</f>
        <v>8.1000000000000014</v>
      </c>
      <c r="M5" s="19" t="s">
        <v>505</v>
      </c>
      <c r="N5" s="9" t="s">
        <v>511</v>
      </c>
      <c r="O5" s="9">
        <f>60*B9</f>
        <v>3900</v>
      </c>
      <c r="P5" s="9" t="s">
        <v>512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506</v>
      </c>
      <c r="N6" s="9" t="s">
        <v>508</v>
      </c>
      <c r="O6" s="9">
        <f>0.1*B9</f>
        <v>6.5</v>
      </c>
      <c r="P6" s="9" t="s">
        <v>507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0.85</v>
      </c>
      <c r="C7" s="17">
        <f t="shared" si="0"/>
        <v>1.7</v>
      </c>
      <c r="D7" s="17">
        <f t="shared" si="1"/>
        <v>2.5499999999999998</v>
      </c>
      <c r="E7" s="17">
        <f t="shared" si="2"/>
        <v>3.4</v>
      </c>
      <c r="F7" s="17">
        <f t="shared" si="3"/>
        <v>4.25</v>
      </c>
      <c r="G7" s="17">
        <f t="shared" si="4"/>
        <v>5.0999999999999996</v>
      </c>
    </row>
    <row r="8" spans="1:19" ht="15.75" thickTop="1" x14ac:dyDescent="0.25"/>
    <row r="9" spans="1:19" x14ac:dyDescent="0.25">
      <c r="A9" t="s">
        <v>35</v>
      </c>
      <c r="B9">
        <v>65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30</v>
      </c>
      <c r="Q12" s="9" t="s">
        <v>76</v>
      </c>
      <c r="R12" s="9" t="s">
        <v>126</v>
      </c>
      <c r="S12" s="9" t="s">
        <v>357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192.5</v>
      </c>
      <c r="D13" s="9">
        <v>20</v>
      </c>
      <c r="E13" s="9">
        <v>44</v>
      </c>
      <c r="F13" s="9"/>
      <c r="M13" s="7" t="s">
        <v>47</v>
      </c>
      <c r="N13" s="9" t="s">
        <v>156</v>
      </c>
      <c r="O13" s="9" t="s">
        <v>98</v>
      </c>
      <c r="P13" s="9" t="s">
        <v>58</v>
      </c>
      <c r="Q13" s="9" t="s">
        <v>31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132</v>
      </c>
      <c r="D14" s="9">
        <v>17</v>
      </c>
      <c r="E14" s="9">
        <v>33</v>
      </c>
      <c r="F14" s="9"/>
      <c r="M14" s="7" t="s">
        <v>48</v>
      </c>
      <c r="N14" s="9" t="s">
        <v>130</v>
      </c>
      <c r="O14" s="9" t="s">
        <v>139</v>
      </c>
      <c r="P14" s="9" t="s">
        <v>68</v>
      </c>
      <c r="Q14" s="9" t="s">
        <v>126</v>
      </c>
      <c r="R14" s="9" t="s">
        <v>74</v>
      </c>
      <c r="S14" s="9" t="s">
        <v>59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123.5</v>
      </c>
      <c r="D15" s="9">
        <v>15</v>
      </c>
      <c r="E15" s="9">
        <v>30</v>
      </c>
      <c r="F15" s="9"/>
      <c r="M15" s="19" t="s">
        <v>49</v>
      </c>
      <c r="N15" s="9" t="s">
        <v>138</v>
      </c>
      <c r="O15" s="9" t="s">
        <v>102</v>
      </c>
      <c r="P15" s="9" t="s">
        <v>65</v>
      </c>
      <c r="Q15" s="9" t="s">
        <v>358</v>
      </c>
      <c r="R15" s="9" t="s">
        <v>78</v>
      </c>
      <c r="S15" s="9" t="s">
        <v>136</v>
      </c>
    </row>
    <row r="16" spans="1:19" ht="16.5" thickTop="1" thickBot="1" x14ac:dyDescent="0.3">
      <c r="A16" s="10" t="s">
        <v>14</v>
      </c>
      <c r="B16" s="9">
        <v>176</v>
      </c>
      <c r="C16" s="9">
        <f>ROUNDDOWN(B16+C13*Common!$B$1,0)</f>
        <v>3641</v>
      </c>
      <c r="D16" s="9">
        <v>531</v>
      </c>
      <c r="E16" s="9">
        <v>968</v>
      </c>
      <c r="F16" s="9"/>
      <c r="M16" s="19" t="s">
        <v>50</v>
      </c>
      <c r="N16" s="9" t="s">
        <v>137</v>
      </c>
      <c r="O16" s="9" t="s">
        <v>146</v>
      </c>
      <c r="P16" s="9" t="s">
        <v>247</v>
      </c>
      <c r="Q16" s="9" t="s">
        <v>334</v>
      </c>
      <c r="R16" s="9" t="s">
        <v>359</v>
      </c>
      <c r="S16" s="9" t="s">
        <v>136</v>
      </c>
    </row>
    <row r="17" spans="1:19" ht="16.5" thickTop="1" thickBot="1" x14ac:dyDescent="0.3">
      <c r="A17" s="10" t="s">
        <v>15</v>
      </c>
      <c r="B17" s="9">
        <v>30</v>
      </c>
      <c r="C17" s="9">
        <f>ROUND(B17+C13+C15*Common!$B$2,0)</f>
        <v>272</v>
      </c>
      <c r="D17" s="9">
        <v>56</v>
      </c>
      <c r="E17" s="9">
        <v>86</v>
      </c>
      <c r="F17" s="9"/>
      <c r="M17" s="19" t="s">
        <v>51</v>
      </c>
      <c r="N17" s="9" t="s">
        <v>116</v>
      </c>
      <c r="O17" s="9" t="s">
        <v>141</v>
      </c>
      <c r="P17" s="9" t="s">
        <v>110</v>
      </c>
      <c r="Q17" s="9" t="s">
        <v>139</v>
      </c>
      <c r="R17" s="9" t="s">
        <v>135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317</v>
      </c>
      <c r="D18" s="9">
        <v>41</v>
      </c>
      <c r="E18" s="9">
        <v>80</v>
      </c>
      <c r="F18" s="9"/>
      <c r="M18" s="18" t="s">
        <v>52</v>
      </c>
      <c r="N18" s="9" t="s">
        <v>145</v>
      </c>
      <c r="O18" s="9" t="s">
        <v>113</v>
      </c>
      <c r="P18" s="9" t="s">
        <v>140</v>
      </c>
      <c r="Q18" s="9" t="s">
        <v>360</v>
      </c>
      <c r="R18" s="9" t="s">
        <v>103</v>
      </c>
      <c r="S18" s="9" t="s">
        <v>114</v>
      </c>
    </row>
    <row r="19" spans="1:19" ht="16.5" thickTop="1" thickBot="1" x14ac:dyDescent="0.3">
      <c r="A19" s="10" t="s">
        <v>17</v>
      </c>
      <c r="B19" s="22">
        <v>2</v>
      </c>
      <c r="C19" s="9">
        <f>B19+ROUND(C13/7,0)+ROUND(C15/14,0)</f>
        <v>39</v>
      </c>
      <c r="D19" s="9">
        <v>5</v>
      </c>
      <c r="E19" s="9">
        <v>10</v>
      </c>
      <c r="F19" s="9"/>
      <c r="M19" s="18" t="s">
        <v>53</v>
      </c>
      <c r="N19" s="9" t="s">
        <v>152</v>
      </c>
      <c r="O19" s="9" t="s">
        <v>121</v>
      </c>
      <c r="P19" s="9" t="s">
        <v>149</v>
      </c>
      <c r="Q19" s="9" t="s">
        <v>361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13</v>
      </c>
      <c r="D20" s="9">
        <v>2</v>
      </c>
      <c r="E20" s="9">
        <v>3</v>
      </c>
      <c r="F20" s="9"/>
      <c r="M20" s="18" t="s">
        <v>118</v>
      </c>
      <c r="N20" s="9" t="s">
        <v>150</v>
      </c>
      <c r="O20" s="9" t="s">
        <v>144</v>
      </c>
      <c r="P20" s="9" t="s">
        <v>362</v>
      </c>
      <c r="Q20" s="9" t="s">
        <v>112</v>
      </c>
      <c r="R20" s="9" t="s">
        <v>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49.400000000000006</v>
      </c>
      <c r="D21" s="9">
        <v>6</v>
      </c>
      <c r="E21" s="9">
        <v>12</v>
      </c>
      <c r="F21" s="9"/>
      <c r="M21" s="18" t="s">
        <v>119</v>
      </c>
      <c r="N21" s="9" t="s">
        <v>115</v>
      </c>
      <c r="O21" s="9" t="s">
        <v>109</v>
      </c>
      <c r="P21" s="9" t="s">
        <v>113</v>
      </c>
      <c r="Q21" s="9" t="s">
        <v>146</v>
      </c>
      <c r="R21" s="9" t="s">
        <v>110</v>
      </c>
      <c r="S21" s="9" t="s">
        <v>114</v>
      </c>
    </row>
    <row r="22" spans="1:19" ht="15.75" thickTop="1" x14ac:dyDescent="0.25">
      <c r="M22" s="18" t="s">
        <v>589</v>
      </c>
      <c r="N22" s="9" t="s">
        <v>599</v>
      </c>
      <c r="O22" s="9" t="s">
        <v>592</v>
      </c>
      <c r="P22" s="23" t="s">
        <v>596</v>
      </c>
      <c r="Q22" s="9" t="s">
        <v>603</v>
      </c>
      <c r="R22" s="23" t="s">
        <v>340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595</v>
      </c>
      <c r="P23" s="9" t="s">
        <v>610</v>
      </c>
      <c r="Q23" s="9" t="s">
        <v>598</v>
      </c>
      <c r="R23" s="9" t="s">
        <v>151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290</v>
      </c>
      <c r="N3" s="9"/>
      <c r="O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291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</v>
      </c>
      <c r="C5" s="17">
        <f>B5*2</f>
        <v>2</v>
      </c>
      <c r="D5" s="17">
        <f>B5*3</f>
        <v>3</v>
      </c>
      <c r="E5" s="17">
        <f>B5*4</f>
        <v>4</v>
      </c>
      <c r="F5" s="17">
        <f>B5*5</f>
        <v>5</v>
      </c>
      <c r="G5" s="17">
        <f>B5*6</f>
        <v>6</v>
      </c>
      <c r="M5" s="19" t="s">
        <v>292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293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0.6</v>
      </c>
      <c r="C7" s="17">
        <f t="shared" si="0"/>
        <v>1.2</v>
      </c>
      <c r="D7" s="17">
        <f t="shared" si="1"/>
        <v>1.7999999999999998</v>
      </c>
      <c r="E7" s="17">
        <f t="shared" si="2"/>
        <v>2.4</v>
      </c>
      <c r="F7" s="17">
        <f t="shared" si="3"/>
        <v>3</v>
      </c>
      <c r="G7" s="17">
        <f t="shared" si="4"/>
        <v>3.5999999999999996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349</v>
      </c>
      <c r="Q12" s="9" t="s">
        <v>349</v>
      </c>
      <c r="R12" s="9" t="s">
        <v>330</v>
      </c>
      <c r="S12" s="9" t="s">
        <v>74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35</v>
      </c>
      <c r="D13" s="9">
        <v>17</v>
      </c>
      <c r="E13" s="9">
        <v>35</v>
      </c>
      <c r="F13" s="9"/>
      <c r="M13" s="7" t="s">
        <v>47</v>
      </c>
      <c r="N13" s="9" t="s">
        <v>156</v>
      </c>
      <c r="O13" s="9" t="s">
        <v>128</v>
      </c>
      <c r="P13" s="9" t="s">
        <v>128</v>
      </c>
      <c r="Q13" s="9" t="s">
        <v>128</v>
      </c>
      <c r="R13" s="9" t="s">
        <v>330</v>
      </c>
      <c r="S13" s="9" t="s">
        <v>59</v>
      </c>
    </row>
    <row r="14" spans="1:19" ht="16.5" thickTop="1" thickBot="1" x14ac:dyDescent="0.3">
      <c r="A14" s="10" t="s">
        <v>13</v>
      </c>
      <c r="B14" s="9">
        <v>25</v>
      </c>
      <c r="C14" s="9">
        <f>B14+$B$9*($B$10+1)*B6</f>
        <v>55</v>
      </c>
      <c r="D14" s="9">
        <v>28</v>
      </c>
      <c r="E14" s="9">
        <v>55</v>
      </c>
      <c r="F14" s="9"/>
      <c r="M14" s="7" t="s">
        <v>48</v>
      </c>
      <c r="N14" s="9" t="s">
        <v>129</v>
      </c>
      <c r="O14" s="9" t="s">
        <v>332</v>
      </c>
      <c r="P14" s="9" t="s">
        <v>350</v>
      </c>
      <c r="Q14" s="9" t="s">
        <v>128</v>
      </c>
      <c r="R14" s="9" t="s">
        <v>351</v>
      </c>
      <c r="S14" s="9" t="s">
        <v>59</v>
      </c>
    </row>
    <row r="15" spans="1:19" ht="16.5" thickTop="1" thickBot="1" x14ac:dyDescent="0.3">
      <c r="A15" s="10" t="s">
        <v>1</v>
      </c>
      <c r="B15" s="9">
        <v>12</v>
      </c>
      <c r="C15" s="9">
        <f>B15+$B$9*($B$10+1)*B7</f>
        <v>24</v>
      </c>
      <c r="D15" s="9">
        <v>1.2</v>
      </c>
      <c r="E15" s="9">
        <v>24</v>
      </c>
      <c r="F15" s="9"/>
      <c r="M15" s="19" t="s">
        <v>49</v>
      </c>
      <c r="N15" s="9" t="s">
        <v>154</v>
      </c>
      <c r="O15" s="9" t="s">
        <v>146</v>
      </c>
      <c r="P15" s="9" t="s">
        <v>135</v>
      </c>
      <c r="Q15" s="9" t="s">
        <v>246</v>
      </c>
      <c r="R15" s="9" t="s">
        <v>128</v>
      </c>
      <c r="S15" s="9" t="s">
        <v>114</v>
      </c>
    </row>
    <row r="16" spans="1:19" ht="16.5" thickTop="1" thickBot="1" x14ac:dyDescent="0.3">
      <c r="A16" s="10" t="s">
        <v>14</v>
      </c>
      <c r="B16" s="9">
        <v>167</v>
      </c>
      <c r="C16" s="9">
        <f>ROUNDDOWN(B16+C13*Common!$B$1,0)</f>
        <v>797</v>
      </c>
      <c r="D16" s="9">
        <v>473</v>
      </c>
      <c r="E16" s="9">
        <v>797</v>
      </c>
      <c r="F16" s="9"/>
      <c r="M16" s="19" t="s">
        <v>50</v>
      </c>
      <c r="N16" s="9" t="s">
        <v>154</v>
      </c>
      <c r="O16" s="9" t="s">
        <v>142</v>
      </c>
      <c r="P16" s="9" t="s">
        <v>100</v>
      </c>
      <c r="Q16" s="9" t="s">
        <v>129</v>
      </c>
      <c r="R16" s="9" t="s">
        <v>128</v>
      </c>
      <c r="S16" s="9" t="s">
        <v>114</v>
      </c>
    </row>
    <row r="17" spans="1:19" ht="16.5" thickTop="1" thickBot="1" x14ac:dyDescent="0.3">
      <c r="A17" s="10" t="s">
        <v>15</v>
      </c>
      <c r="B17" s="9">
        <v>19</v>
      </c>
      <c r="C17" s="9">
        <f>ROUND(B17+C14+C15*Common!$B$2,0)</f>
        <v>84</v>
      </c>
      <c r="D17" s="9">
        <v>53</v>
      </c>
      <c r="E17" s="9">
        <v>84</v>
      </c>
      <c r="F17" s="9"/>
      <c r="M17" s="19" t="s">
        <v>51</v>
      </c>
      <c r="N17" s="9" t="s">
        <v>144</v>
      </c>
      <c r="O17" s="9" t="s">
        <v>183</v>
      </c>
      <c r="P17" s="9" t="s">
        <v>110</v>
      </c>
      <c r="Q17" s="9" t="s">
        <v>333</v>
      </c>
      <c r="R17" s="9" t="s">
        <v>127</v>
      </c>
      <c r="S17" s="9" t="s">
        <v>114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132</v>
      </c>
      <c r="D18" s="9">
        <v>67</v>
      </c>
      <c r="E18" s="9">
        <v>132</v>
      </c>
      <c r="F18" s="9"/>
      <c r="M18" s="18" t="s">
        <v>52</v>
      </c>
      <c r="N18" s="9" t="s">
        <v>155</v>
      </c>
      <c r="O18" s="9" t="s">
        <v>113</v>
      </c>
      <c r="P18" s="9" t="s">
        <v>237</v>
      </c>
      <c r="Q18" s="9" t="s">
        <v>352</v>
      </c>
      <c r="R18" s="9" t="s">
        <v>127</v>
      </c>
      <c r="S18" s="9" t="s">
        <v>114</v>
      </c>
    </row>
    <row r="19" spans="1:19" ht="16.5" thickTop="1" thickBot="1" x14ac:dyDescent="0.3">
      <c r="A19" s="10" t="s">
        <v>17</v>
      </c>
      <c r="B19" s="12">
        <v>1</v>
      </c>
      <c r="C19" s="13">
        <f>B19+ROUND(C13/7,0)+ROUND(C15/14,0)</f>
        <v>8</v>
      </c>
      <c r="D19" s="9">
        <v>5</v>
      </c>
      <c r="E19" s="9">
        <v>8</v>
      </c>
      <c r="F19" s="13"/>
      <c r="G19" s="3"/>
      <c r="H19" s="3"/>
      <c r="I19" s="3"/>
      <c r="M19" s="18" t="s">
        <v>53</v>
      </c>
      <c r="N19" s="9" t="s">
        <v>152</v>
      </c>
      <c r="O19" s="9" t="s">
        <v>151</v>
      </c>
      <c r="P19" s="9" t="s">
        <v>149</v>
      </c>
      <c r="Q19" s="9" t="s">
        <v>153</v>
      </c>
      <c r="R19" s="9" t="s">
        <v>140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6</v>
      </c>
      <c r="D20" s="9">
        <v>3</v>
      </c>
      <c r="E20" s="9">
        <v>5</v>
      </c>
      <c r="F20" s="9"/>
      <c r="M20" s="18" t="s">
        <v>118</v>
      </c>
      <c r="N20" s="9" t="s">
        <v>159</v>
      </c>
      <c r="O20" s="9" t="s">
        <v>194</v>
      </c>
      <c r="P20" s="9" t="s">
        <v>144</v>
      </c>
      <c r="Q20" s="9" t="s">
        <v>153</v>
      </c>
      <c r="R20" s="9" t="s">
        <v>129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9.6000000000000014</v>
      </c>
      <c r="D21" s="9">
        <v>5</v>
      </c>
      <c r="E21" s="9">
        <v>10</v>
      </c>
      <c r="F21" s="9"/>
      <c r="M21" s="18" t="s">
        <v>119</v>
      </c>
      <c r="N21" s="9" t="s">
        <v>162</v>
      </c>
      <c r="O21" s="9" t="s">
        <v>188</v>
      </c>
      <c r="P21" s="9" t="s">
        <v>353</v>
      </c>
      <c r="Q21" s="9" t="s">
        <v>113</v>
      </c>
      <c r="R21" s="9" t="s">
        <v>341</v>
      </c>
      <c r="S21" s="9" t="s">
        <v>114</v>
      </c>
    </row>
    <row r="22" spans="1:19" ht="15.75" thickTop="1" x14ac:dyDescent="0.25">
      <c r="M22" s="18" t="s">
        <v>589</v>
      </c>
      <c r="N22" s="9" t="s">
        <v>605</v>
      </c>
      <c r="O22" s="9" t="s">
        <v>600</v>
      </c>
      <c r="P22" s="23" t="s">
        <v>144</v>
      </c>
      <c r="Q22" s="9" t="s">
        <v>619</v>
      </c>
      <c r="R22" s="23" t="s">
        <v>149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602</v>
      </c>
      <c r="P23" s="9" t="s">
        <v>603</v>
      </c>
      <c r="Q23" s="9" t="s">
        <v>113</v>
      </c>
      <c r="R23" s="9" t="s">
        <v>151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490</v>
      </c>
      <c r="N3" s="9" t="s">
        <v>54</v>
      </c>
      <c r="O3" s="9">
        <f>B9*11</f>
        <v>110</v>
      </c>
      <c r="P3" s="9"/>
      <c r="Q3" s="9"/>
      <c r="R3" s="9" t="s">
        <v>494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491</v>
      </c>
      <c r="N4" s="9" t="s">
        <v>54</v>
      </c>
      <c r="O4" s="9">
        <f>9.8*B9</f>
        <v>98</v>
      </c>
      <c r="P4" s="9" t="s">
        <v>496</v>
      </c>
      <c r="Q4" s="9">
        <f>40+0.5*B9</f>
        <v>45</v>
      </c>
      <c r="R4" s="9" t="s">
        <v>495</v>
      </c>
      <c r="S4" s="9"/>
    </row>
    <row r="5" spans="1:19" ht="16.5" thickTop="1" thickBot="1" x14ac:dyDescent="0.3">
      <c r="A5" s="10" t="s">
        <v>4</v>
      </c>
      <c r="B5" s="17">
        <v>0.6</v>
      </c>
      <c r="C5" s="17">
        <f>B5*2</f>
        <v>1.2</v>
      </c>
      <c r="D5" s="17">
        <f>B5*3</f>
        <v>1.7999999999999998</v>
      </c>
      <c r="E5" s="17">
        <f>B5*4</f>
        <v>2.4</v>
      </c>
      <c r="F5" s="17">
        <f>B5*5</f>
        <v>3</v>
      </c>
      <c r="G5" s="17">
        <f>B5*6</f>
        <v>3.5999999999999996</v>
      </c>
      <c r="M5" s="19" t="s">
        <v>492</v>
      </c>
      <c r="N5" s="9" t="s">
        <v>498</v>
      </c>
      <c r="O5" s="9">
        <f>3*B9</f>
        <v>30</v>
      </c>
      <c r="P5" s="9"/>
      <c r="Q5" s="9"/>
      <c r="R5" s="9" t="s">
        <v>497</v>
      </c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493</v>
      </c>
      <c r="N6" s="9" t="s">
        <v>500</v>
      </c>
      <c r="O6" s="9">
        <f>2+B9</f>
        <v>12</v>
      </c>
      <c r="P6" s="9"/>
      <c r="Q6" s="9"/>
      <c r="R6" s="9" t="s">
        <v>499</v>
      </c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31</v>
      </c>
      <c r="R12" s="9" t="s">
        <v>29</v>
      </c>
      <c r="S12" s="9" t="s">
        <v>76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27</v>
      </c>
      <c r="D13" s="9">
        <v>16</v>
      </c>
      <c r="E13" s="9">
        <v>27</v>
      </c>
      <c r="F13" s="9"/>
      <c r="M13" s="7" t="s">
        <v>47</v>
      </c>
      <c r="N13" s="9" t="s">
        <v>135</v>
      </c>
      <c r="O13" s="9" t="s">
        <v>336</v>
      </c>
      <c r="P13" s="9" t="s">
        <v>31</v>
      </c>
      <c r="Q13" s="9" t="s">
        <v>78</v>
      </c>
      <c r="R13" s="9" t="s">
        <v>58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31</v>
      </c>
      <c r="D14" s="9">
        <v>15</v>
      </c>
      <c r="E14" s="9">
        <v>31</v>
      </c>
      <c r="F14" s="9"/>
      <c r="M14" s="7" t="s">
        <v>48</v>
      </c>
      <c r="N14" s="9" t="s">
        <v>247</v>
      </c>
      <c r="O14" s="9" t="s">
        <v>103</v>
      </c>
      <c r="P14" s="9" t="s">
        <v>56</v>
      </c>
      <c r="Q14" s="9" t="s">
        <v>56</v>
      </c>
      <c r="R14" s="9" t="s">
        <v>29</v>
      </c>
      <c r="S14" s="9" t="s">
        <v>59</v>
      </c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45</v>
      </c>
      <c r="D15" s="9">
        <v>20</v>
      </c>
      <c r="E15" s="9">
        <v>45</v>
      </c>
      <c r="F15" s="9"/>
      <c r="M15" s="19" t="s">
        <v>49</v>
      </c>
      <c r="N15" s="9" t="s">
        <v>100</v>
      </c>
      <c r="O15" s="9" t="s">
        <v>190</v>
      </c>
      <c r="P15" s="9" t="s">
        <v>337</v>
      </c>
      <c r="Q15" s="9" t="s">
        <v>31</v>
      </c>
      <c r="R15" s="9" t="s">
        <v>78</v>
      </c>
      <c r="S15" s="9" t="s">
        <v>69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652</v>
      </c>
      <c r="D16" s="9">
        <v>458</v>
      </c>
      <c r="E16" s="9">
        <v>652</v>
      </c>
      <c r="F16" s="9"/>
      <c r="M16" s="19" t="s">
        <v>50</v>
      </c>
      <c r="N16" s="9" t="s">
        <v>106</v>
      </c>
      <c r="O16" s="9" t="s">
        <v>338</v>
      </c>
      <c r="P16" s="9" t="s">
        <v>68</v>
      </c>
      <c r="Q16" s="9" t="s">
        <v>339</v>
      </c>
      <c r="R16" s="9" t="s">
        <v>29</v>
      </c>
      <c r="S16" s="9" t="s">
        <v>69</v>
      </c>
    </row>
    <row r="17" spans="1:19" ht="16.5" thickTop="1" thickBot="1" x14ac:dyDescent="0.3">
      <c r="A17" s="10" t="s">
        <v>15</v>
      </c>
      <c r="B17" s="9">
        <v>29</v>
      </c>
      <c r="C17" s="9">
        <f>ROUND(B17+C15+C15*Common!$B$2,0)</f>
        <v>92</v>
      </c>
      <c r="D17" s="9">
        <v>56</v>
      </c>
      <c r="E17" s="9">
        <v>92</v>
      </c>
      <c r="F17" s="9"/>
      <c r="M17" s="19" t="s">
        <v>51</v>
      </c>
      <c r="N17" s="9" t="s">
        <v>194</v>
      </c>
      <c r="O17" s="9" t="s">
        <v>340</v>
      </c>
      <c r="P17" s="9" t="s">
        <v>341</v>
      </c>
      <c r="Q17" s="9" t="s">
        <v>57</v>
      </c>
      <c r="R17" s="9" t="s">
        <v>337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74</v>
      </c>
      <c r="D18" s="9">
        <v>36</v>
      </c>
      <c r="E18" s="9">
        <v>75</v>
      </c>
      <c r="F18" s="9"/>
      <c r="M18" s="18" t="s">
        <v>52</v>
      </c>
      <c r="N18" s="9" t="s">
        <v>297</v>
      </c>
      <c r="O18" s="9" t="s">
        <v>106</v>
      </c>
      <c r="P18" s="9" t="s">
        <v>67</v>
      </c>
      <c r="Q18" s="9" t="s">
        <v>100</v>
      </c>
      <c r="R18" s="9" t="s">
        <v>62</v>
      </c>
      <c r="S18" s="9" t="s">
        <v>114</v>
      </c>
    </row>
    <row r="19" spans="1:19" ht="16.5" thickTop="1" thickBot="1" x14ac:dyDescent="0.3">
      <c r="A19" s="10" t="s">
        <v>17</v>
      </c>
      <c r="B19" s="12">
        <v>1</v>
      </c>
      <c r="C19" s="13">
        <f>B19+ROUND(C13/7,0)+ROUND(C15/14,0)</f>
        <v>8</v>
      </c>
      <c r="D19" s="9">
        <v>4</v>
      </c>
      <c r="E19" s="9">
        <v>8</v>
      </c>
      <c r="F19" s="13"/>
      <c r="G19" s="3"/>
      <c r="H19" s="3"/>
      <c r="I19" s="3"/>
      <c r="M19" s="18" t="s">
        <v>53</v>
      </c>
      <c r="N19" s="9" t="s">
        <v>200</v>
      </c>
      <c r="O19" s="9" t="s">
        <v>342</v>
      </c>
      <c r="P19" s="9" t="s">
        <v>105</v>
      </c>
      <c r="Q19" s="9" t="s">
        <v>247</v>
      </c>
      <c r="R19" s="9"/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2</v>
      </c>
      <c r="E20" s="9">
        <v>3</v>
      </c>
      <c r="F20" s="9"/>
      <c r="M20" s="18" t="s">
        <v>118</v>
      </c>
      <c r="N20" s="9" t="s">
        <v>300</v>
      </c>
      <c r="O20" s="9" t="s">
        <v>194</v>
      </c>
      <c r="P20" s="9" t="s">
        <v>151</v>
      </c>
      <c r="Q20" s="9" t="s">
        <v>299</v>
      </c>
      <c r="R20" s="9" t="s">
        <v>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</v>
      </c>
      <c r="D21" s="9">
        <v>8</v>
      </c>
      <c r="E21" s="9">
        <v>18</v>
      </c>
      <c r="F21" s="9"/>
      <c r="M21" s="18" t="s">
        <v>119</v>
      </c>
      <c r="N21" s="9" t="s">
        <v>200</v>
      </c>
      <c r="O21" s="9" t="s">
        <v>120</v>
      </c>
      <c r="P21" s="9" t="s">
        <v>188</v>
      </c>
      <c r="Q21" s="9" t="s">
        <v>110</v>
      </c>
      <c r="R21" s="9" t="s">
        <v>62</v>
      </c>
      <c r="S21" s="9" t="s">
        <v>114</v>
      </c>
    </row>
    <row r="22" spans="1:19" ht="15.75" thickTop="1" x14ac:dyDescent="0.25">
      <c r="M22" s="18" t="s">
        <v>589</v>
      </c>
      <c r="N22" s="9" t="s">
        <v>591</v>
      </c>
      <c r="O22" s="9" t="s">
        <v>592</v>
      </c>
      <c r="P22" s="23" t="s">
        <v>151</v>
      </c>
      <c r="Q22" s="9" t="s">
        <v>631</v>
      </c>
      <c r="R22" s="23" t="s">
        <v>340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632</v>
      </c>
      <c r="P23" s="9" t="s">
        <v>194</v>
      </c>
      <c r="Q23" s="9" t="s">
        <v>616</v>
      </c>
      <c r="R23" s="9" t="s">
        <v>615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289</v>
      </c>
      <c r="N3" s="9" t="s">
        <v>54</v>
      </c>
      <c r="O3" s="9">
        <f>25.2*B9</f>
        <v>252</v>
      </c>
      <c r="P3" s="9" t="s">
        <v>427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420</v>
      </c>
      <c r="N4" s="9" t="s">
        <v>54</v>
      </c>
      <c r="O4" s="9">
        <f>10.5*B9</f>
        <v>105</v>
      </c>
      <c r="P4" s="9" t="s">
        <v>426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421</v>
      </c>
      <c r="N5" s="9" t="s">
        <v>54</v>
      </c>
      <c r="O5" s="9">
        <f>8.25*B9</f>
        <v>82.5</v>
      </c>
      <c r="P5" s="9" t="s">
        <v>425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1.05</v>
      </c>
      <c r="C6" s="17">
        <f t="shared" ref="C6:C7" si="0">B6*2</f>
        <v>2.1</v>
      </c>
      <c r="D6" s="17">
        <f t="shared" ref="D6:D7" si="1">B6*3</f>
        <v>3.1500000000000004</v>
      </c>
      <c r="E6" s="17">
        <f t="shared" ref="E6:E7" si="2">B6*4</f>
        <v>4.2</v>
      </c>
      <c r="F6" s="17">
        <f t="shared" ref="F6:F7" si="3">B6*5</f>
        <v>5.25</v>
      </c>
      <c r="G6" s="17">
        <f t="shared" ref="G6:G7" si="4">B6*6</f>
        <v>6.3000000000000007</v>
      </c>
      <c r="M6" s="18" t="s">
        <v>422</v>
      </c>
      <c r="N6" s="9" t="s">
        <v>423</v>
      </c>
      <c r="O6" s="9">
        <f>3*B9</f>
        <v>30</v>
      </c>
      <c r="P6" s="9" t="s">
        <v>424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33</v>
      </c>
      <c r="S12" s="9" t="s">
        <v>31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31</v>
      </c>
      <c r="D13" s="9">
        <v>16</v>
      </c>
      <c r="E13" s="9">
        <v>31</v>
      </c>
      <c r="F13" s="9"/>
      <c r="M13" s="7" t="s">
        <v>47</v>
      </c>
      <c r="N13" s="9" t="s">
        <v>56</v>
      </c>
      <c r="O13" s="9" t="s">
        <v>56</v>
      </c>
      <c r="P13" s="9" t="s">
        <v>66</v>
      </c>
      <c r="Q13" s="9" t="s">
        <v>343</v>
      </c>
      <c r="R13" s="9" t="s">
        <v>57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33</v>
      </c>
      <c r="D14" s="9">
        <v>15</v>
      </c>
      <c r="E14" s="9">
        <v>33</v>
      </c>
      <c r="F14" s="9"/>
      <c r="M14" s="7" t="s">
        <v>48</v>
      </c>
      <c r="N14" s="9" t="s">
        <v>196</v>
      </c>
      <c r="O14" s="9" t="s">
        <v>344</v>
      </c>
      <c r="P14" s="9" t="s">
        <v>345</v>
      </c>
      <c r="Q14" s="9" t="s">
        <v>60</v>
      </c>
      <c r="R14" s="9" t="s">
        <v>66</v>
      </c>
      <c r="S14" s="9" t="s">
        <v>69</v>
      </c>
    </row>
    <row r="15" spans="1:19" ht="16.5" thickTop="1" thickBot="1" x14ac:dyDescent="0.3">
      <c r="A15" s="10" t="s">
        <v>1</v>
      </c>
      <c r="B15" s="9">
        <v>19</v>
      </c>
      <c r="C15" s="9">
        <f>B15+$B$9*($B$10+1)*B7</f>
        <v>47</v>
      </c>
      <c r="D15" s="9">
        <v>21</v>
      </c>
      <c r="E15" s="9">
        <v>47</v>
      </c>
      <c r="F15" s="9"/>
      <c r="M15" s="19" t="s">
        <v>49</v>
      </c>
      <c r="N15" s="9" t="s">
        <v>100</v>
      </c>
      <c r="O15" s="9" t="s">
        <v>111</v>
      </c>
      <c r="P15" s="9" t="s">
        <v>190</v>
      </c>
      <c r="Q15" s="9" t="s">
        <v>66</v>
      </c>
      <c r="R15" s="9" t="s">
        <v>56</v>
      </c>
      <c r="S15" s="9" t="s">
        <v>104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729</v>
      </c>
      <c r="D16" s="9">
        <v>454</v>
      </c>
      <c r="E16" s="9">
        <v>729</v>
      </c>
      <c r="F16" s="9"/>
      <c r="M16" s="19" t="s">
        <v>50</v>
      </c>
      <c r="N16" s="9" t="s">
        <v>193</v>
      </c>
      <c r="O16" s="9" t="s">
        <v>346</v>
      </c>
      <c r="P16" s="9" t="s">
        <v>105</v>
      </c>
      <c r="Q16" s="9" t="s">
        <v>63</v>
      </c>
      <c r="R16" s="9" t="s">
        <v>56</v>
      </c>
      <c r="S16" s="9" t="s">
        <v>136</v>
      </c>
    </row>
    <row r="17" spans="1:19" ht="16.5" thickTop="1" thickBot="1" x14ac:dyDescent="0.3">
      <c r="A17" s="10" t="s">
        <v>15</v>
      </c>
      <c r="B17" s="9">
        <v>10</v>
      </c>
      <c r="C17" s="9">
        <f>ROUND(B17+C15+C15*Common!$B$2,0)</f>
        <v>76</v>
      </c>
      <c r="D17" s="9">
        <v>39</v>
      </c>
      <c r="E17" s="9">
        <v>76</v>
      </c>
      <c r="F17" s="9"/>
      <c r="M17" s="19" t="s">
        <v>51</v>
      </c>
      <c r="N17" s="9" t="s">
        <v>340</v>
      </c>
      <c r="O17" s="9" t="s">
        <v>151</v>
      </c>
      <c r="P17" s="9" t="s">
        <v>196</v>
      </c>
      <c r="Q17" s="9" t="s">
        <v>62</v>
      </c>
      <c r="R17" s="9" t="s">
        <v>67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79</v>
      </c>
      <c r="D18" s="9">
        <v>35</v>
      </c>
      <c r="E18" s="9">
        <v>80</v>
      </c>
      <c r="F18" s="9"/>
      <c r="M18" s="18" t="s">
        <v>52</v>
      </c>
      <c r="N18" s="9" t="s">
        <v>194</v>
      </c>
      <c r="O18" s="9" t="s">
        <v>297</v>
      </c>
      <c r="P18" s="9" t="s">
        <v>110</v>
      </c>
      <c r="Q18" s="9" t="s">
        <v>97</v>
      </c>
      <c r="R18" s="9" t="s">
        <v>199</v>
      </c>
      <c r="S18" s="9" t="s">
        <v>114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7</v>
      </c>
      <c r="D19" s="9">
        <v>3</v>
      </c>
      <c r="E19" s="9">
        <v>7</v>
      </c>
      <c r="F19" s="9"/>
      <c r="M19" s="18" t="s">
        <v>53</v>
      </c>
      <c r="N19" s="9" t="s">
        <v>347</v>
      </c>
      <c r="O19" s="9" t="s">
        <v>340</v>
      </c>
      <c r="P19" s="9" t="s">
        <v>193</v>
      </c>
      <c r="Q19" s="9" t="s">
        <v>105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1</v>
      </c>
      <c r="E20" s="9">
        <v>3</v>
      </c>
      <c r="F20" s="9"/>
      <c r="M20" s="18" t="s">
        <v>118</v>
      </c>
      <c r="N20" s="9" t="s">
        <v>160</v>
      </c>
      <c r="O20" s="9" t="s">
        <v>109</v>
      </c>
      <c r="P20" s="9" t="s">
        <v>111</v>
      </c>
      <c r="Q20" s="9" t="s">
        <v>110</v>
      </c>
      <c r="R20" s="9" t="s">
        <v>192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18.8</v>
      </c>
      <c r="D21" s="9">
        <v>8</v>
      </c>
      <c r="E21" s="9">
        <v>19</v>
      </c>
      <c r="F21" s="9"/>
      <c r="M21" s="18" t="s">
        <v>119</v>
      </c>
      <c r="N21" s="9" t="s">
        <v>120</v>
      </c>
      <c r="O21" s="9" t="s">
        <v>348</v>
      </c>
      <c r="P21" s="9" t="s">
        <v>297</v>
      </c>
      <c r="Q21" s="9" t="s">
        <v>125</v>
      </c>
      <c r="R21" s="9" t="s">
        <v>100</v>
      </c>
      <c r="S21" s="9" t="s">
        <v>114</v>
      </c>
    </row>
    <row r="22" spans="1:19" ht="15.75" thickTop="1" x14ac:dyDescent="0.25">
      <c r="M22" s="18" t="s">
        <v>589</v>
      </c>
      <c r="N22" s="9" t="s">
        <v>614</v>
      </c>
      <c r="O22" s="9" t="s">
        <v>609</v>
      </c>
      <c r="P22" s="23" t="s">
        <v>625</v>
      </c>
      <c r="Q22" s="9" t="s">
        <v>629</v>
      </c>
      <c r="R22" s="23" t="s">
        <v>630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612</v>
      </c>
      <c r="P23" s="9" t="s">
        <v>123</v>
      </c>
      <c r="Q23" s="9" t="s">
        <v>342</v>
      </c>
      <c r="R23" s="9" t="s">
        <v>340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16" workbookViewId="0">
      <selection activeCell="A30" sqref="A30"/>
    </sheetView>
  </sheetViews>
  <sheetFormatPr defaultRowHeight="15" x14ac:dyDescent="0.25"/>
  <cols>
    <col min="1" max="1" width="21.42578125" customWidth="1"/>
    <col min="2" max="2" width="18.5703125" customWidth="1"/>
  </cols>
  <sheetData>
    <row r="1" spans="1:3" ht="16.5" thickTop="1" thickBot="1" x14ac:dyDescent="0.3">
      <c r="A1" s="10" t="s">
        <v>87</v>
      </c>
      <c r="B1" s="10" t="s">
        <v>88</v>
      </c>
    </row>
    <row r="2" spans="1:3" ht="15.75" thickTop="1" x14ac:dyDescent="0.25">
      <c r="A2" s="5" t="s">
        <v>86</v>
      </c>
      <c r="B2" s="1" t="s">
        <v>216</v>
      </c>
      <c r="C2" s="11"/>
    </row>
    <row r="3" spans="1:3" x14ac:dyDescent="0.25">
      <c r="A3" s="5" t="s">
        <v>89</v>
      </c>
      <c r="B3" s="1" t="s">
        <v>216</v>
      </c>
    </row>
    <row r="4" spans="1:3" x14ac:dyDescent="0.25">
      <c r="A4" s="5" t="s">
        <v>90</v>
      </c>
      <c r="B4" s="1" t="s">
        <v>216</v>
      </c>
    </row>
    <row r="5" spans="1:3" x14ac:dyDescent="0.25">
      <c r="A5" s="5" t="s">
        <v>91</v>
      </c>
      <c r="B5" s="1" t="s">
        <v>216</v>
      </c>
    </row>
    <row r="6" spans="1:3" x14ac:dyDescent="0.25">
      <c r="A6" s="5" t="s">
        <v>92</v>
      </c>
      <c r="B6" s="1" t="s">
        <v>216</v>
      </c>
    </row>
    <row r="7" spans="1:3" x14ac:dyDescent="0.25">
      <c r="A7" s="5" t="s">
        <v>93</v>
      </c>
      <c r="B7" s="1" t="s">
        <v>216</v>
      </c>
    </row>
    <row r="8" spans="1:3" x14ac:dyDescent="0.25">
      <c r="A8" s="5" t="s">
        <v>94</v>
      </c>
    </row>
    <row r="9" spans="1:3" x14ac:dyDescent="0.25">
      <c r="A9" s="5" t="s">
        <v>223</v>
      </c>
      <c r="B9" s="1" t="s">
        <v>216</v>
      </c>
    </row>
    <row r="10" spans="1:3" x14ac:dyDescent="0.25">
      <c r="A10" s="5" t="s">
        <v>228</v>
      </c>
      <c r="B10" s="1" t="s">
        <v>216</v>
      </c>
    </row>
    <row r="11" spans="1:3" x14ac:dyDescent="0.25">
      <c r="A11" s="5" t="s">
        <v>229</v>
      </c>
      <c r="B11" t="s">
        <v>401</v>
      </c>
    </row>
    <row r="12" spans="1:3" x14ac:dyDescent="0.25">
      <c r="A12" s="5" t="s">
        <v>230</v>
      </c>
      <c r="B12" s="1" t="s">
        <v>216</v>
      </c>
    </row>
    <row r="13" spans="1:3" x14ac:dyDescent="0.25">
      <c r="A13" s="5" t="s">
        <v>231</v>
      </c>
      <c r="B13" s="1" t="s">
        <v>216</v>
      </c>
    </row>
    <row r="14" spans="1:3" x14ac:dyDescent="0.25">
      <c r="A14" s="5" t="s">
        <v>232</v>
      </c>
      <c r="B14" s="1" t="s">
        <v>216</v>
      </c>
    </row>
    <row r="15" spans="1:3" x14ac:dyDescent="0.25">
      <c r="A15" s="5" t="s">
        <v>233</v>
      </c>
      <c r="B15" s="1" t="s">
        <v>216</v>
      </c>
    </row>
    <row r="16" spans="1:3" x14ac:dyDescent="0.25">
      <c r="A16" s="5" t="s">
        <v>285</v>
      </c>
      <c r="B16" s="1" t="s">
        <v>216</v>
      </c>
    </row>
    <row r="17" spans="1:2" x14ac:dyDescent="0.25">
      <c r="A17" s="5" t="s">
        <v>286</v>
      </c>
      <c r="B17" s="1" t="s">
        <v>216</v>
      </c>
    </row>
    <row r="18" spans="1:2" x14ac:dyDescent="0.25">
      <c r="A18" s="5" t="s">
        <v>287</v>
      </c>
    </row>
    <row r="19" spans="1:2" x14ac:dyDescent="0.25">
      <c r="A19" s="5" t="s">
        <v>288</v>
      </c>
    </row>
    <row r="20" spans="1:2" x14ac:dyDescent="0.25">
      <c r="A20" s="5" t="s">
        <v>289</v>
      </c>
      <c r="B20" s="1" t="s">
        <v>216</v>
      </c>
    </row>
    <row r="21" spans="1:2" x14ac:dyDescent="0.25">
      <c r="A21" s="5" t="s">
        <v>335</v>
      </c>
      <c r="B21" s="1" t="s">
        <v>216</v>
      </c>
    </row>
    <row r="22" spans="1:2" x14ac:dyDescent="0.25">
      <c r="A22" s="5" t="s">
        <v>325</v>
      </c>
      <c r="B22" t="s">
        <v>43</v>
      </c>
    </row>
    <row r="23" spans="1:2" x14ac:dyDescent="0.25">
      <c r="A23" s="5" t="s">
        <v>356</v>
      </c>
      <c r="B23" s="1" t="s">
        <v>216</v>
      </c>
    </row>
    <row r="24" spans="1:2" x14ac:dyDescent="0.25">
      <c r="A24" s="5" t="s">
        <v>363</v>
      </c>
      <c r="B24" t="s">
        <v>43</v>
      </c>
    </row>
    <row r="25" spans="1:2" x14ac:dyDescent="0.25">
      <c r="A25" s="5" t="s">
        <v>367</v>
      </c>
      <c r="B25" s="1" t="s">
        <v>216</v>
      </c>
    </row>
    <row r="26" spans="1:2" x14ac:dyDescent="0.25">
      <c r="A26" s="5" t="s">
        <v>428</v>
      </c>
      <c r="B26" s="1" t="s">
        <v>216</v>
      </c>
    </row>
    <row r="27" spans="1:2" x14ac:dyDescent="0.25">
      <c r="A27" s="5" t="s">
        <v>440</v>
      </c>
      <c r="B27" s="1" t="s">
        <v>216</v>
      </c>
    </row>
    <row r="28" spans="1:2" x14ac:dyDescent="0.25">
      <c r="A28" s="5" t="s">
        <v>453</v>
      </c>
      <c r="B28" s="1" t="s">
        <v>216</v>
      </c>
    </row>
    <row r="29" spans="1:2" x14ac:dyDescent="0.25">
      <c r="A29" s="26" t="s">
        <v>454</v>
      </c>
      <c r="B29" s="1" t="s">
        <v>216</v>
      </c>
    </row>
    <row r="30" spans="1:2" x14ac:dyDescent="0.25">
      <c r="A30" s="5" t="s">
        <v>455</v>
      </c>
    </row>
    <row r="31" spans="1:2" x14ac:dyDescent="0.25">
      <c r="A31" s="5" t="s">
        <v>456</v>
      </c>
    </row>
    <row r="32" spans="1:2" x14ac:dyDescent="0.25">
      <c r="A32" s="5" t="s">
        <v>457</v>
      </c>
    </row>
    <row r="33" spans="1:2" x14ac:dyDescent="0.25">
      <c r="A33" s="5" t="s">
        <v>458</v>
      </c>
      <c r="B33" t="s">
        <v>43</v>
      </c>
    </row>
    <row r="34" spans="1:2" x14ac:dyDescent="0.25">
      <c r="A34" s="5" t="s">
        <v>459</v>
      </c>
    </row>
    <row r="35" spans="1:2" x14ac:dyDescent="0.25">
      <c r="A35" s="5" t="s">
        <v>460</v>
      </c>
      <c r="B35" t="s">
        <v>43</v>
      </c>
    </row>
    <row r="36" spans="1:2" x14ac:dyDescent="0.25">
      <c r="A36" s="5" t="s">
        <v>461</v>
      </c>
    </row>
    <row r="37" spans="1:2" x14ac:dyDescent="0.25">
      <c r="A37" s="5" t="s">
        <v>462</v>
      </c>
    </row>
    <row r="38" spans="1:2" x14ac:dyDescent="0.25">
      <c r="A38" s="5" t="s">
        <v>463</v>
      </c>
    </row>
    <row r="39" spans="1:2" x14ac:dyDescent="0.25">
      <c r="A39" s="5" t="s">
        <v>464</v>
      </c>
    </row>
    <row r="40" spans="1:2" x14ac:dyDescent="0.25">
      <c r="A40" s="5" t="s">
        <v>465</v>
      </c>
    </row>
    <row r="41" spans="1:2" x14ac:dyDescent="0.25">
      <c r="A41" s="5" t="s">
        <v>466</v>
      </c>
    </row>
    <row r="42" spans="1:2" x14ac:dyDescent="0.25">
      <c r="A42" s="5" t="s">
        <v>467</v>
      </c>
    </row>
    <row r="43" spans="1:2" x14ac:dyDescent="0.25">
      <c r="A43" s="5" t="s">
        <v>468</v>
      </c>
      <c r="B43" s="1" t="s">
        <v>216</v>
      </c>
    </row>
    <row r="44" spans="1:2" x14ac:dyDescent="0.25">
      <c r="A44" s="5" t="s">
        <v>469</v>
      </c>
    </row>
    <row r="45" spans="1:2" x14ac:dyDescent="0.25">
      <c r="A45" s="5" t="s">
        <v>470</v>
      </c>
      <c r="B45" t="s">
        <v>216</v>
      </c>
    </row>
    <row r="46" spans="1:2" x14ac:dyDescent="0.25">
      <c r="A46" s="5" t="s">
        <v>471</v>
      </c>
    </row>
    <row r="47" spans="1:2" x14ac:dyDescent="0.25">
      <c r="A47" s="5" t="s">
        <v>472</v>
      </c>
    </row>
    <row r="48" spans="1:2" x14ac:dyDescent="0.25">
      <c r="A48" s="5" t="s">
        <v>473</v>
      </c>
    </row>
    <row r="49" spans="1:2" x14ac:dyDescent="0.25">
      <c r="A49" s="5" t="s">
        <v>474</v>
      </c>
    </row>
    <row r="50" spans="1:2" x14ac:dyDescent="0.25">
      <c r="A50" s="5" t="s">
        <v>475</v>
      </c>
      <c r="B50" t="s">
        <v>43</v>
      </c>
    </row>
    <row r="51" spans="1:2" x14ac:dyDescent="0.25">
      <c r="A51" s="5" t="s">
        <v>501</v>
      </c>
    </row>
    <row r="52" spans="1:2" x14ac:dyDescent="0.25">
      <c r="A52" s="5" t="s">
        <v>502</v>
      </c>
      <c r="B52" t="s">
        <v>482</v>
      </c>
    </row>
  </sheetData>
  <hyperlinks>
    <hyperlink ref="A2" location="Admiral!A1" tooltip="Admiral" display="Admiral"/>
    <hyperlink ref="A3" location="Chaplain!A1" display="Chaplain!A1"/>
    <hyperlink ref="A4" location="Emberstar!A1" display="Emberstar!A1"/>
    <hyperlink ref="A5" location="'Depths Voice'!A1" display="Depths Voice"/>
    <hyperlink ref="A6" location="'Leaves Shadows'!A1" display="Leaves Shadows"/>
    <hyperlink ref="A7" location="Rifleman!A1" display="Riflman"/>
    <hyperlink ref="A8" location="'Lightning Elemental'!A1" display="Ligtning Elemental"/>
    <hyperlink ref="A9" location="'Lightning Master'!A1" display="Lighting Master"/>
    <hyperlink ref="A10" location="Necromancer!A1" display="Necromancer"/>
    <hyperlink ref="A11" location="Ferryman!A1" display="Ferryman"/>
    <hyperlink ref="A12" location="Silencer!A1" display="Silencer"/>
    <hyperlink ref="A13" location="Mountain!A1" display="Mountain"/>
    <hyperlink ref="A14" location="'Frost Mage'!A1" display="Frost Mage"/>
    <hyperlink ref="A15" location="Psychopath!A1" display="Psychopath"/>
    <hyperlink ref="A16" location="'Professional Killer'!A1" display="Professional Killer"/>
    <hyperlink ref="A17" location="'Bear Warrior'!A1" display="Bear Warrior"/>
    <hyperlink ref="A18" location="Mystic!A1" display="Mystic"/>
    <hyperlink ref="A19" location="'Psychic Sword'!A1" display="Psychic Sword"/>
    <hyperlink ref="A20" location="Sniper!A1" display="Sniper"/>
    <hyperlink ref="A21" location="'Arcane Sapper'!A1" display="Arcane Sapper"/>
    <hyperlink ref="A22" location="Machinist!A1" display="Machinist"/>
    <hyperlink ref="A23" location="Cleric!A1" display="Cleric"/>
    <hyperlink ref="A24" location="Succubus!A1" display="Succubus"/>
    <hyperlink ref="A25" location="'Shallow Keeper'!A1" display="Shallow Keeper"/>
    <hyperlink ref="A26" location="'Master Mage'!A1" display="Master Mage"/>
    <hyperlink ref="A43" location="'Death Mage'!A1" display="Death Mage"/>
    <hyperlink ref="A45" location="'Drunken Master'!A1" display="Drunken Master"/>
    <hyperlink ref="A27" location="'Tusked Storm'!A1" display="Tusked Storm"/>
    <hyperlink ref="A28" location="'Ice Mage'!A1" display="Ice Mage"/>
    <hyperlink ref="A35" location="'Vengeance Spirit'!A1" display="Vengeance Spirit"/>
    <hyperlink ref="A50" location="'Vanguard Warrior'!A1" display="Vanguard Warrior"/>
    <hyperlink ref="A52" location="'Phoenix (China)'!A1" display="Phoenix (China)"/>
    <hyperlink ref="A33" location="'Old Curse'!A1" display="Old Curse"/>
    <hyperlink ref="A29" location="Commando!A1" display="Commando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579</v>
      </c>
      <c r="N3" s="9" t="s">
        <v>588</v>
      </c>
      <c r="O3" s="9">
        <f>7*B9</f>
        <v>70</v>
      </c>
      <c r="P3" t="s">
        <v>587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580</v>
      </c>
      <c r="N4" s="9" t="s">
        <v>305</v>
      </c>
      <c r="O4" s="9">
        <f>10*B9</f>
        <v>100</v>
      </c>
      <c r="P4" s="9" t="s">
        <v>586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1.575</v>
      </c>
      <c r="C5" s="17">
        <f>B5*2</f>
        <v>3.15</v>
      </c>
      <c r="D5" s="17">
        <f>B5*3</f>
        <v>4.7249999999999996</v>
      </c>
      <c r="E5" s="17">
        <f>B5*4</f>
        <v>6.3</v>
      </c>
      <c r="F5" s="17">
        <f>B5*5</f>
        <v>7.875</v>
      </c>
      <c r="G5" s="17">
        <f>B5*6</f>
        <v>9.4499999999999993</v>
      </c>
      <c r="M5" s="19" t="s">
        <v>581</v>
      </c>
      <c r="N5" s="9" t="s">
        <v>307</v>
      </c>
      <c r="O5" s="9">
        <f>B9*3</f>
        <v>30</v>
      </c>
      <c r="P5" s="9" t="s">
        <v>585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0.52500000000000002</v>
      </c>
      <c r="C6" s="17">
        <f t="shared" ref="C6:C7" si="0">B6*2</f>
        <v>1.05</v>
      </c>
      <c r="D6" s="17">
        <f t="shared" ref="D6:D7" si="1">B6*3</f>
        <v>1.5750000000000002</v>
      </c>
      <c r="E6" s="17">
        <f t="shared" ref="E6:E7" si="2">B6*4</f>
        <v>2.1</v>
      </c>
      <c r="F6" s="17">
        <f t="shared" ref="F6:F7" si="3">B6*5</f>
        <v>2.625</v>
      </c>
      <c r="G6" s="17">
        <f t="shared" ref="G6:G7" si="4">B6*6</f>
        <v>3.1500000000000004</v>
      </c>
      <c r="M6" s="18" t="s">
        <v>582</v>
      </c>
      <c r="N6" s="9" t="s">
        <v>583</v>
      </c>
      <c r="O6" s="9">
        <f>8*B9</f>
        <v>80</v>
      </c>
      <c r="P6" s="9" t="s">
        <v>584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1.2749999999999999</v>
      </c>
      <c r="C7" s="17">
        <f t="shared" si="0"/>
        <v>2.5499999999999998</v>
      </c>
      <c r="D7" s="17">
        <f t="shared" si="1"/>
        <v>3.8249999999999997</v>
      </c>
      <c r="E7" s="17">
        <f t="shared" si="2"/>
        <v>5.0999999999999996</v>
      </c>
      <c r="F7" s="17">
        <f t="shared" si="3"/>
        <v>6.375</v>
      </c>
      <c r="G7" s="17">
        <f t="shared" si="4"/>
        <v>7.6499999999999995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32</v>
      </c>
      <c r="S12" s="9" t="s">
        <v>31</v>
      </c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83</v>
      </c>
      <c r="D13" s="9">
        <v>26</v>
      </c>
      <c r="E13" s="9">
        <v>83</v>
      </c>
      <c r="F13" s="9"/>
      <c r="M13" s="7" t="s">
        <v>47</v>
      </c>
      <c r="N13" s="9" t="s">
        <v>189</v>
      </c>
      <c r="O13" s="9" t="s">
        <v>58</v>
      </c>
      <c r="P13" s="9" t="s">
        <v>56</v>
      </c>
      <c r="Q13" s="9" t="s">
        <v>56</v>
      </c>
      <c r="R13" s="9" t="s">
        <v>29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36</v>
      </c>
      <c r="D14" s="9">
        <v>17</v>
      </c>
      <c r="E14" s="9">
        <v>36</v>
      </c>
      <c r="F14" s="9"/>
      <c r="M14" s="7" t="s">
        <v>48</v>
      </c>
      <c r="N14" s="9" t="s">
        <v>334</v>
      </c>
      <c r="O14" s="9" t="s">
        <v>140</v>
      </c>
      <c r="P14" s="9" t="s">
        <v>61</v>
      </c>
      <c r="Q14" s="9" t="s">
        <v>147</v>
      </c>
      <c r="R14" s="9" t="s">
        <v>249</v>
      </c>
      <c r="S14" s="9" t="s">
        <v>59</v>
      </c>
    </row>
    <row r="15" spans="1:19" ht="16.5" thickTop="1" thickBot="1" x14ac:dyDescent="0.3">
      <c r="A15" s="10" t="s">
        <v>1</v>
      </c>
      <c r="B15" s="9">
        <v>16</v>
      </c>
      <c r="C15" s="9">
        <f>B15+$B$9*($B$10+1)*B7</f>
        <v>67</v>
      </c>
      <c r="D15" s="9">
        <v>21</v>
      </c>
      <c r="E15" s="9">
        <v>67</v>
      </c>
      <c r="F15" s="9"/>
      <c r="M15" s="19" t="s">
        <v>49</v>
      </c>
      <c r="N15" s="9" t="s">
        <v>100</v>
      </c>
      <c r="O15" s="9" t="s">
        <v>448</v>
      </c>
      <c r="P15" s="9" t="s">
        <v>68</v>
      </c>
      <c r="Q15" s="9" t="s">
        <v>192</v>
      </c>
      <c r="R15" s="9" t="s">
        <v>368</v>
      </c>
      <c r="S15" s="9" t="s">
        <v>104</v>
      </c>
    </row>
    <row r="16" spans="1:19" ht="16.5" thickTop="1" thickBot="1" x14ac:dyDescent="0.3">
      <c r="A16" s="10" t="s">
        <v>14</v>
      </c>
      <c r="B16" s="9">
        <v>175</v>
      </c>
      <c r="C16" s="9">
        <f>ROUNDDOWN(B16+C13*Common!$B$1,0)</f>
        <v>1669</v>
      </c>
      <c r="D16" s="9">
        <v>648</v>
      </c>
      <c r="E16" s="9">
        <v>1669</v>
      </c>
      <c r="F16" s="9"/>
      <c r="M16" s="19" t="s">
        <v>50</v>
      </c>
      <c r="N16" s="9" t="s">
        <v>299</v>
      </c>
      <c r="O16" s="9" t="s">
        <v>139</v>
      </c>
      <c r="P16" s="9" t="s">
        <v>110</v>
      </c>
      <c r="Q16" s="9" t="s">
        <v>369</v>
      </c>
      <c r="R16" s="9" t="s">
        <v>63</v>
      </c>
      <c r="S16" s="9" t="s">
        <v>104</v>
      </c>
    </row>
    <row r="17" spans="1:19" ht="16.5" thickTop="1" thickBot="1" x14ac:dyDescent="0.3">
      <c r="A17" s="10" t="s">
        <v>15</v>
      </c>
      <c r="B17" s="9">
        <v>16</v>
      </c>
      <c r="C17" s="9">
        <f>ROUND(B17+C15+C15*Common!$B$2,0)</f>
        <v>110</v>
      </c>
      <c r="D17" s="9">
        <v>46</v>
      </c>
      <c r="E17" s="9">
        <v>110</v>
      </c>
      <c r="F17" s="9"/>
      <c r="M17" s="19" t="s">
        <v>51</v>
      </c>
      <c r="N17" s="9" t="s">
        <v>194</v>
      </c>
      <c r="O17" s="9" t="s">
        <v>110</v>
      </c>
      <c r="P17" s="9" t="s">
        <v>105</v>
      </c>
      <c r="Q17" s="9" t="s">
        <v>337</v>
      </c>
      <c r="R17" s="9" t="s">
        <v>112</v>
      </c>
      <c r="S17" s="9" t="s">
        <v>104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86</v>
      </c>
      <c r="D18" s="9">
        <v>40</v>
      </c>
      <c r="E18" s="9">
        <v>85</v>
      </c>
      <c r="F18" s="9"/>
      <c r="M18" s="18" t="s">
        <v>52</v>
      </c>
      <c r="N18" s="9" t="s">
        <v>109</v>
      </c>
      <c r="O18" s="9" t="s">
        <v>534</v>
      </c>
      <c r="P18" s="9" t="s">
        <v>68</v>
      </c>
      <c r="Q18" s="9" t="s">
        <v>103</v>
      </c>
      <c r="R18" s="9" t="s">
        <v>140</v>
      </c>
      <c r="S18" s="9" t="s">
        <v>450</v>
      </c>
    </row>
    <row r="19" spans="1:19" ht="16.5" thickTop="1" thickBot="1" x14ac:dyDescent="0.3">
      <c r="A19" s="10" t="s">
        <v>17</v>
      </c>
      <c r="B19" s="12">
        <v>3</v>
      </c>
      <c r="C19" s="13">
        <f>B19+ROUND(C13/7,0)+ROUND(C15/14,0)</f>
        <v>20</v>
      </c>
      <c r="D19" s="13">
        <v>8</v>
      </c>
      <c r="E19" s="13">
        <v>20</v>
      </c>
      <c r="F19" s="13"/>
      <c r="G19" s="3"/>
      <c r="H19" s="3"/>
      <c r="I19" s="3"/>
      <c r="M19" s="18" t="s">
        <v>53</v>
      </c>
      <c r="N19" s="9" t="s">
        <v>115</v>
      </c>
      <c r="O19" s="9" t="s">
        <v>106</v>
      </c>
      <c r="P19" s="9" t="s">
        <v>110</v>
      </c>
      <c r="Q19" s="9" t="s">
        <v>448</v>
      </c>
      <c r="R19" s="9" t="s">
        <v>147</v>
      </c>
      <c r="S19" s="9" t="s">
        <v>450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>
        <v>4</v>
      </c>
      <c r="F20" s="9"/>
      <c r="M20" s="18" t="s">
        <v>118</v>
      </c>
      <c r="N20" s="9" t="s">
        <v>300</v>
      </c>
      <c r="O20" s="9" t="s">
        <v>116</v>
      </c>
      <c r="P20" s="9" t="s">
        <v>100</v>
      </c>
      <c r="Q20" s="9" t="s">
        <v>196</v>
      </c>
      <c r="R20" s="9" t="s">
        <v>334</v>
      </c>
      <c r="S20" s="9" t="s">
        <v>450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26.8</v>
      </c>
      <c r="D21" s="9">
        <v>8</v>
      </c>
      <c r="E21" s="9">
        <v>27</v>
      </c>
      <c r="F21" s="9"/>
      <c r="M21" s="18" t="s">
        <v>119</v>
      </c>
      <c r="N21" s="9" t="s">
        <v>115</v>
      </c>
      <c r="O21" s="9" t="s">
        <v>200</v>
      </c>
      <c r="P21" s="9" t="s">
        <v>534</v>
      </c>
      <c r="Q21" s="9" t="s">
        <v>110</v>
      </c>
      <c r="R21" s="9" t="s">
        <v>68</v>
      </c>
      <c r="S21" s="9" t="s">
        <v>450</v>
      </c>
    </row>
    <row r="22" spans="1:19" ht="15.75" thickTop="1" x14ac:dyDescent="0.25">
      <c r="M22" s="18" t="s">
        <v>589</v>
      </c>
      <c r="N22" s="9" t="s">
        <v>608</v>
      </c>
      <c r="O22" s="9" t="s">
        <v>628</v>
      </c>
      <c r="P22" s="23" t="s">
        <v>123</v>
      </c>
      <c r="Q22" s="9" t="s">
        <v>300</v>
      </c>
      <c r="R22" s="23" t="s">
        <v>611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612</v>
      </c>
      <c r="P23" s="9" t="s">
        <v>613</v>
      </c>
      <c r="Q23" s="9" t="s">
        <v>194</v>
      </c>
      <c r="R23" s="9" t="s">
        <v>151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290</v>
      </c>
      <c r="N3" s="9" t="s">
        <v>302</v>
      </c>
      <c r="O3" s="9">
        <f>60*B9</f>
        <v>600</v>
      </c>
      <c r="P3" t="s">
        <v>303</v>
      </c>
      <c r="Q3" s="9">
        <f>B9*6</f>
        <v>60</v>
      </c>
      <c r="R3" s="9" t="s">
        <v>301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291</v>
      </c>
      <c r="N4" s="9" t="s">
        <v>305</v>
      </c>
      <c r="O4" s="9">
        <f>14*B9</f>
        <v>140</v>
      </c>
      <c r="P4" s="9" t="s">
        <v>304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</v>
      </c>
      <c r="C5" s="17">
        <f>B5*2</f>
        <v>1.6</v>
      </c>
      <c r="D5" s="17">
        <f>B5*3</f>
        <v>2.4000000000000004</v>
      </c>
      <c r="E5" s="17">
        <f>B5*4</f>
        <v>3.2</v>
      </c>
      <c r="F5" s="17">
        <f>B5*5</f>
        <v>4</v>
      </c>
      <c r="G5" s="17">
        <f>B5*6</f>
        <v>4.8000000000000007</v>
      </c>
      <c r="M5" s="19" t="s">
        <v>292</v>
      </c>
      <c r="N5" s="9" t="s">
        <v>307</v>
      </c>
      <c r="O5" s="9">
        <f>B9</f>
        <v>10</v>
      </c>
      <c r="P5" s="9" t="s">
        <v>306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0.8</v>
      </c>
      <c r="C6" s="17">
        <f t="shared" ref="C6:C7" si="0">B6*2</f>
        <v>1.6</v>
      </c>
      <c r="D6" s="17">
        <f t="shared" ref="D6:D7" si="1">B6*3</f>
        <v>2.4000000000000004</v>
      </c>
      <c r="E6" s="17">
        <f t="shared" ref="E6:E7" si="2">B6*4</f>
        <v>3.2</v>
      </c>
      <c r="F6" s="17">
        <f t="shared" ref="F6:F7" si="3">B6*5</f>
        <v>4</v>
      </c>
      <c r="G6" s="17">
        <f t="shared" ref="G6:G7" si="4">B6*6</f>
        <v>4.8000000000000007</v>
      </c>
      <c r="M6" s="18" t="s">
        <v>293</v>
      </c>
      <c r="N6" s="9" t="s">
        <v>309</v>
      </c>
      <c r="O6" s="9">
        <f>2*B9</f>
        <v>20</v>
      </c>
      <c r="P6" s="9" t="s">
        <v>308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74</v>
      </c>
      <c r="S12" s="9" t="s">
        <v>126</v>
      </c>
    </row>
    <row r="13" spans="1:19" ht="16.5" thickTop="1" thickBot="1" x14ac:dyDescent="0.3">
      <c r="A13" s="10" t="s">
        <v>12</v>
      </c>
      <c r="B13" s="9">
        <v>13</v>
      </c>
      <c r="C13" s="9">
        <f>B13+$B$9*($B$10+1)*B5</f>
        <v>45</v>
      </c>
      <c r="D13" s="9">
        <v>17</v>
      </c>
      <c r="E13" s="9">
        <v>45</v>
      </c>
      <c r="F13" s="9"/>
      <c r="M13" s="7" t="s">
        <v>47</v>
      </c>
      <c r="N13" s="9" t="s">
        <v>294</v>
      </c>
      <c r="O13" s="9" t="s">
        <v>294</v>
      </c>
      <c r="P13" s="9" t="s">
        <v>190</v>
      </c>
      <c r="Q13" s="9" t="s">
        <v>75</v>
      </c>
      <c r="R13" s="9" t="s">
        <v>156</v>
      </c>
      <c r="S13" s="9" t="s">
        <v>59</v>
      </c>
    </row>
    <row r="14" spans="1:19" ht="16.5" thickTop="1" thickBot="1" x14ac:dyDescent="0.3">
      <c r="A14" s="10" t="s">
        <v>13</v>
      </c>
      <c r="B14" s="9">
        <v>14</v>
      </c>
      <c r="C14" s="9">
        <f>B14+$B$9*($B$10+1)*B6</f>
        <v>46</v>
      </c>
      <c r="D14" s="9">
        <v>18</v>
      </c>
      <c r="E14" s="9">
        <v>46</v>
      </c>
      <c r="F14" s="9"/>
      <c r="M14" s="7" t="s">
        <v>48</v>
      </c>
      <c r="N14" s="9" t="s">
        <v>192</v>
      </c>
      <c r="O14" s="9" t="s">
        <v>153</v>
      </c>
      <c r="P14" s="9" t="s">
        <v>295</v>
      </c>
      <c r="Q14" s="9" t="s">
        <v>190</v>
      </c>
      <c r="R14" s="9" t="s">
        <v>156</v>
      </c>
      <c r="S14" s="9" t="s">
        <v>69</v>
      </c>
    </row>
    <row r="15" spans="1:19" ht="16.5" thickTop="1" thickBot="1" x14ac:dyDescent="0.3">
      <c r="A15" s="10" t="s">
        <v>1</v>
      </c>
      <c r="B15" s="9">
        <v>19</v>
      </c>
      <c r="C15" s="9">
        <f>B15+$B$9*($B$10+1)*B7</f>
        <v>75</v>
      </c>
      <c r="D15" s="9">
        <v>25</v>
      </c>
      <c r="E15" s="9">
        <v>75</v>
      </c>
      <c r="F15" s="9"/>
      <c r="M15" s="19" t="s">
        <v>49</v>
      </c>
      <c r="N15" s="9" t="s">
        <v>111</v>
      </c>
      <c r="O15" s="9" t="s">
        <v>153</v>
      </c>
      <c r="P15" s="9" t="s">
        <v>296</v>
      </c>
      <c r="Q15" s="9" t="s">
        <v>190</v>
      </c>
      <c r="R15" s="9" t="s">
        <v>294</v>
      </c>
      <c r="S15" s="9" t="s">
        <v>69</v>
      </c>
    </row>
    <row r="16" spans="1:19" ht="16.5" thickTop="1" thickBot="1" x14ac:dyDescent="0.3">
      <c r="A16" s="10" t="s">
        <v>14</v>
      </c>
      <c r="B16" s="9">
        <v>172</v>
      </c>
      <c r="C16" s="9">
        <f>ROUNDDOWN(B16+C13*Common!$B$1,0)</f>
        <v>982</v>
      </c>
      <c r="D16" s="9">
        <v>464</v>
      </c>
      <c r="E16" s="9">
        <v>982</v>
      </c>
      <c r="F16" s="9"/>
      <c r="M16" s="19" t="s">
        <v>50</v>
      </c>
      <c r="N16" s="9" t="s">
        <v>110</v>
      </c>
      <c r="O16" s="9" t="s">
        <v>193</v>
      </c>
      <c r="P16" s="9" t="s">
        <v>153</v>
      </c>
      <c r="Q16" s="9" t="s">
        <v>65</v>
      </c>
      <c r="R16" s="9" t="s">
        <v>294</v>
      </c>
      <c r="S16" s="9" t="s">
        <v>69</v>
      </c>
    </row>
    <row r="17" spans="1:19" ht="16.5" thickTop="1" thickBot="1" x14ac:dyDescent="0.3">
      <c r="A17" s="10" t="s">
        <v>15</v>
      </c>
      <c r="B17" s="9">
        <v>9</v>
      </c>
      <c r="C17" s="9">
        <f>ROUND(B17+C15+C15*Common!$B$2,0)</f>
        <v>114</v>
      </c>
      <c r="D17" s="9">
        <v>44</v>
      </c>
      <c r="E17" s="9">
        <v>114</v>
      </c>
      <c r="F17" s="9"/>
      <c r="M17" s="19" t="s">
        <v>51</v>
      </c>
      <c r="N17" s="9" t="s">
        <v>161</v>
      </c>
      <c r="O17" s="9" t="s">
        <v>151</v>
      </c>
      <c r="P17" s="9" t="s">
        <v>196</v>
      </c>
      <c r="Q17" s="9" t="s">
        <v>62</v>
      </c>
      <c r="R17" s="9" t="s">
        <v>156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110</v>
      </c>
      <c r="D18" s="9">
        <v>42</v>
      </c>
      <c r="E18" s="9">
        <v>111</v>
      </c>
      <c r="F18" s="9"/>
      <c r="M18" s="18" t="s">
        <v>52</v>
      </c>
      <c r="N18" s="9" t="s">
        <v>188</v>
      </c>
      <c r="O18" s="9" t="s">
        <v>144</v>
      </c>
      <c r="P18" s="9" t="s">
        <v>105</v>
      </c>
      <c r="Q18" s="9" t="s">
        <v>61</v>
      </c>
      <c r="R18" s="9" t="s">
        <v>56</v>
      </c>
      <c r="S18" s="9" t="s">
        <v>114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11</v>
      </c>
      <c r="D19" s="13">
        <v>3</v>
      </c>
      <c r="E19" s="13">
        <v>12</v>
      </c>
      <c r="F19" s="13"/>
      <c r="G19" s="3"/>
      <c r="H19" s="3"/>
      <c r="I19" s="3"/>
      <c r="M19" s="18" t="s">
        <v>53</v>
      </c>
      <c r="N19" s="9" t="s">
        <v>200</v>
      </c>
      <c r="O19" s="9" t="s">
        <v>297</v>
      </c>
      <c r="P19" s="9" t="s">
        <v>110</v>
      </c>
      <c r="Q19" s="9" t="s">
        <v>190</v>
      </c>
      <c r="R19" s="9" t="s">
        <v>56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5</v>
      </c>
      <c r="D20" s="9">
        <v>2</v>
      </c>
      <c r="E20" s="9">
        <v>5</v>
      </c>
      <c r="F20" s="9"/>
      <c r="M20" s="18" t="s">
        <v>118</v>
      </c>
      <c r="N20" s="9" t="s">
        <v>298</v>
      </c>
      <c r="O20" s="9" t="s">
        <v>148</v>
      </c>
      <c r="P20" s="9" t="s">
        <v>299</v>
      </c>
      <c r="Q20" s="9" t="s">
        <v>97</v>
      </c>
      <c r="R20" s="9" t="s">
        <v>112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30</v>
      </c>
      <c r="D21" s="9">
        <v>10</v>
      </c>
      <c r="E21" s="9">
        <v>30</v>
      </c>
      <c r="F21" s="9"/>
      <c r="M21" s="18" t="s">
        <v>119</v>
      </c>
      <c r="N21" s="9" t="s">
        <v>300</v>
      </c>
      <c r="O21" s="9" t="s">
        <v>123</v>
      </c>
      <c r="P21" s="9" t="s">
        <v>194</v>
      </c>
      <c r="Q21" s="9" t="s">
        <v>110</v>
      </c>
      <c r="R21" s="9" t="s">
        <v>192</v>
      </c>
      <c r="S21" s="9" t="s">
        <v>114</v>
      </c>
    </row>
    <row r="22" spans="1:19" ht="15.75" thickTop="1" x14ac:dyDescent="0.25">
      <c r="M22" s="18" t="s">
        <v>589</v>
      </c>
      <c r="N22" s="9" t="s">
        <v>614</v>
      </c>
      <c r="O22" s="9" t="s">
        <v>609</v>
      </c>
      <c r="P22" s="23" t="s">
        <v>625</v>
      </c>
      <c r="Q22" s="9" t="s">
        <v>151</v>
      </c>
      <c r="R22" s="23" t="s">
        <v>116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612</v>
      </c>
      <c r="P23" s="9" t="s">
        <v>626</v>
      </c>
      <c r="Q23" s="9" t="s">
        <v>627</v>
      </c>
      <c r="R23" s="9" t="s">
        <v>297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71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239</v>
      </c>
      <c r="N3" s="9" t="s">
        <v>417</v>
      </c>
      <c r="O3" s="9">
        <f>17.6*B9</f>
        <v>176</v>
      </c>
      <c r="P3" s="9" t="s">
        <v>415</v>
      </c>
      <c r="Q3" s="9"/>
      <c r="R3" s="9" t="s">
        <v>416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409</v>
      </c>
      <c r="N4" s="9" t="s">
        <v>413</v>
      </c>
      <c r="O4" s="9">
        <f>B9*6.6</f>
        <v>66</v>
      </c>
      <c r="P4" s="9" t="s">
        <v>414</v>
      </c>
      <c r="Q4" s="9"/>
      <c r="R4" s="9">
        <f>B9*20</f>
        <v>200</v>
      </c>
      <c r="S4" s="9"/>
    </row>
    <row r="5" spans="1:19" ht="16.5" thickTop="1" thickBot="1" x14ac:dyDescent="0.3">
      <c r="A5" s="10" t="s">
        <v>4</v>
      </c>
      <c r="B5" s="17">
        <v>1.6</v>
      </c>
      <c r="C5" s="17">
        <f>B5*2</f>
        <v>3.2</v>
      </c>
      <c r="D5" s="17">
        <f>B5*3</f>
        <v>4.8000000000000007</v>
      </c>
      <c r="E5" s="17">
        <f>B5*4</f>
        <v>6.4</v>
      </c>
      <c r="F5" s="17">
        <f>B5*5</f>
        <v>8</v>
      </c>
      <c r="G5" s="17">
        <f>B5*6</f>
        <v>9.6000000000000014</v>
      </c>
      <c r="M5" s="19" t="s">
        <v>410</v>
      </c>
      <c r="N5" s="9" t="s">
        <v>411</v>
      </c>
      <c r="O5" s="9">
        <f>0.5*B9</f>
        <v>5</v>
      </c>
      <c r="P5" s="9" t="s">
        <v>412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1.2</v>
      </c>
      <c r="C6" s="17">
        <f t="shared" ref="C6:C7" si="0">B6*2</f>
        <v>2.4</v>
      </c>
      <c r="D6" s="17">
        <f t="shared" ref="D6:D7" si="1">B6*3</f>
        <v>3.5999999999999996</v>
      </c>
      <c r="E6" s="17">
        <f t="shared" ref="E6:E7" si="2">B6*4</f>
        <v>4.8</v>
      </c>
      <c r="F6" s="17">
        <f t="shared" ref="F6:F7" si="3">B6*5</f>
        <v>6</v>
      </c>
      <c r="G6" s="17">
        <f t="shared" ref="G6:G7" si="4">B6*6</f>
        <v>7.1999999999999993</v>
      </c>
      <c r="M6" s="18" t="s">
        <v>82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0.8</v>
      </c>
      <c r="C7" s="17">
        <f t="shared" si="0"/>
        <v>1.6</v>
      </c>
      <c r="D7" s="17">
        <f t="shared" si="1"/>
        <v>2.4000000000000004</v>
      </c>
      <c r="E7" s="17">
        <f t="shared" si="2"/>
        <v>3.2</v>
      </c>
      <c r="F7" s="17">
        <f t="shared" si="3"/>
        <v>4</v>
      </c>
      <c r="G7" s="17">
        <f t="shared" si="4"/>
        <v>4.8000000000000007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329</v>
      </c>
      <c r="Q12" s="9" t="s">
        <v>329</v>
      </c>
      <c r="R12" s="9" t="s">
        <v>330</v>
      </c>
      <c r="S12" s="9" t="s">
        <v>75</v>
      </c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52</v>
      </c>
      <c r="D13" s="9">
        <v>23</v>
      </c>
      <c r="E13" s="9">
        <v>52</v>
      </c>
      <c r="F13" s="9"/>
      <c r="M13" s="7" t="s">
        <v>47</v>
      </c>
      <c r="N13" s="9" t="s">
        <v>61</v>
      </c>
      <c r="O13" s="9" t="s">
        <v>331</v>
      </c>
      <c r="P13" s="9" t="s">
        <v>128</v>
      </c>
      <c r="Q13" s="9" t="s">
        <v>128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39</v>
      </c>
      <c r="D14" s="9">
        <v>17</v>
      </c>
      <c r="E14" s="9">
        <v>39</v>
      </c>
      <c r="F14" s="9"/>
      <c r="M14" s="7" t="s">
        <v>48</v>
      </c>
      <c r="N14" s="9" t="s">
        <v>129</v>
      </c>
      <c r="O14" s="9" t="s">
        <v>156</v>
      </c>
      <c r="P14" s="9" t="s">
        <v>247</v>
      </c>
      <c r="Q14" s="9" t="s">
        <v>128</v>
      </c>
      <c r="R14" s="9" t="s">
        <v>330</v>
      </c>
      <c r="S14" s="9" t="s">
        <v>59</v>
      </c>
    </row>
    <row r="15" spans="1:19" ht="16.5" thickTop="1" thickBot="1" x14ac:dyDescent="0.3">
      <c r="A15" s="10" t="s">
        <v>1</v>
      </c>
      <c r="B15" s="9">
        <v>12</v>
      </c>
      <c r="C15" s="9">
        <f>B15+$B$9*($B$10+1)*B7</f>
        <v>28</v>
      </c>
      <c r="D15" s="9">
        <v>14</v>
      </c>
      <c r="E15" s="9">
        <v>28</v>
      </c>
      <c r="F15" s="9"/>
      <c r="M15" s="19" t="s">
        <v>49</v>
      </c>
      <c r="N15" s="9" t="s">
        <v>154</v>
      </c>
      <c r="O15" s="9" t="s">
        <v>138</v>
      </c>
      <c r="P15" s="9" t="s">
        <v>140</v>
      </c>
      <c r="Q15" s="9" t="s">
        <v>246</v>
      </c>
      <c r="R15" s="9" t="s">
        <v>332</v>
      </c>
      <c r="S15" s="9" t="s">
        <v>104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1105</v>
      </c>
      <c r="D16" s="9">
        <v>587</v>
      </c>
      <c r="E16" s="9">
        <v>1105</v>
      </c>
      <c r="F16" s="9"/>
      <c r="M16" s="19" t="s">
        <v>50</v>
      </c>
      <c r="N16" s="9" t="s">
        <v>132</v>
      </c>
      <c r="O16" s="9" t="s">
        <v>183</v>
      </c>
      <c r="P16" s="9" t="s">
        <v>146</v>
      </c>
      <c r="Q16" s="9" t="s">
        <v>127</v>
      </c>
      <c r="R16" s="9" t="s">
        <v>128</v>
      </c>
      <c r="S16" s="9" t="s">
        <v>104</v>
      </c>
    </row>
    <row r="17" spans="1:19" ht="16.5" thickTop="1" thickBot="1" x14ac:dyDescent="0.3">
      <c r="A17" s="10" t="s">
        <v>15</v>
      </c>
      <c r="B17" s="9">
        <v>25</v>
      </c>
      <c r="C17" s="9">
        <f>ROUND(B17+C13+C15*Common!$B$2,0)</f>
        <v>88</v>
      </c>
      <c r="D17" s="9">
        <v>61</v>
      </c>
      <c r="E17" s="9">
        <v>88</v>
      </c>
      <c r="F17" s="9"/>
      <c r="M17" s="19" t="s">
        <v>51</v>
      </c>
      <c r="N17" s="9" t="s">
        <v>144</v>
      </c>
      <c r="O17" s="9" t="s">
        <v>155</v>
      </c>
      <c r="P17" s="9" t="s">
        <v>250</v>
      </c>
      <c r="Q17" s="9" t="s">
        <v>333</v>
      </c>
      <c r="R17" s="9" t="s">
        <v>153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94</v>
      </c>
      <c r="D18" s="9">
        <v>41</v>
      </c>
      <c r="E18" s="9">
        <v>93</v>
      </c>
      <c r="F18" s="9"/>
      <c r="M18" s="18" t="s">
        <v>52</v>
      </c>
      <c r="N18" s="9" t="s">
        <v>161</v>
      </c>
      <c r="O18" s="9" t="s">
        <v>116</v>
      </c>
      <c r="P18" s="9" t="s">
        <v>184</v>
      </c>
      <c r="Q18" s="9" t="s">
        <v>129</v>
      </c>
      <c r="R18" s="9" t="s">
        <v>112</v>
      </c>
      <c r="S18" s="9" t="s">
        <v>136</v>
      </c>
    </row>
    <row r="19" spans="1:19" ht="16.5" thickTop="1" thickBot="1" x14ac:dyDescent="0.3">
      <c r="A19" s="10" t="s">
        <v>17</v>
      </c>
      <c r="B19" s="22">
        <v>4</v>
      </c>
      <c r="C19" s="9">
        <f>B19+ROUND(C13/7,0)+ROUND(C15/14,0)</f>
        <v>13</v>
      </c>
      <c r="D19" s="9">
        <v>7</v>
      </c>
      <c r="E19" s="9">
        <v>13</v>
      </c>
      <c r="F19" s="9"/>
      <c r="M19" s="18" t="s">
        <v>53</v>
      </c>
      <c r="N19" s="9" t="s">
        <v>185</v>
      </c>
      <c r="O19" s="9" t="s">
        <v>152</v>
      </c>
      <c r="P19" s="9" t="s">
        <v>121</v>
      </c>
      <c r="Q19" s="9" t="s">
        <v>132</v>
      </c>
      <c r="R19" s="9" t="s">
        <v>127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>
        <v>4</v>
      </c>
      <c r="F20" s="9"/>
      <c r="M20" s="18" t="s">
        <v>118</v>
      </c>
      <c r="N20" s="9" t="s">
        <v>159</v>
      </c>
      <c r="O20" s="9" t="s">
        <v>149</v>
      </c>
      <c r="P20" s="9" t="s">
        <v>129</v>
      </c>
      <c r="Q20" s="9" t="s">
        <v>247</v>
      </c>
      <c r="R20" s="9" t="s">
        <v>128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11.200000000000001</v>
      </c>
      <c r="D21" s="9">
        <v>6</v>
      </c>
      <c r="E21" s="9">
        <v>11</v>
      </c>
      <c r="F21" s="9"/>
      <c r="M21" s="18" t="s">
        <v>119</v>
      </c>
      <c r="N21" s="9" t="s">
        <v>115</v>
      </c>
      <c r="O21" s="9" t="s">
        <v>162</v>
      </c>
      <c r="P21" s="9" t="s">
        <v>113</v>
      </c>
      <c r="Q21" s="9" t="s">
        <v>132</v>
      </c>
      <c r="R21" s="9" t="s">
        <v>334</v>
      </c>
      <c r="S21" s="9" t="s">
        <v>114</v>
      </c>
    </row>
    <row r="22" spans="1:19" ht="15.75" thickTop="1" x14ac:dyDescent="0.25">
      <c r="M22" s="18" t="s">
        <v>589</v>
      </c>
      <c r="N22" s="9" t="s">
        <v>591</v>
      </c>
      <c r="O22" s="9" t="s">
        <v>600</v>
      </c>
      <c r="P22" s="23" t="s">
        <v>149</v>
      </c>
      <c r="Q22" s="9" t="s">
        <v>603</v>
      </c>
      <c r="R22" s="23" t="s">
        <v>619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606</v>
      </c>
      <c r="P23" s="9" t="s">
        <v>152</v>
      </c>
      <c r="Q23" s="9" t="s">
        <v>186</v>
      </c>
      <c r="R23" s="9" t="s">
        <v>604</v>
      </c>
      <c r="S23" s="9" t="s">
        <v>593</v>
      </c>
    </row>
    <row r="24" spans="1:19" x14ac:dyDescent="0.25">
      <c r="A24" s="21" t="s">
        <v>264</v>
      </c>
    </row>
    <row r="26" spans="1:19" x14ac:dyDescent="0.25">
      <c r="A26" t="s">
        <v>418</v>
      </c>
    </row>
    <row r="30" spans="1:19" x14ac:dyDescent="0.25">
      <c r="N30">
        <v>52.8</v>
      </c>
    </row>
    <row r="31" spans="1:19" x14ac:dyDescent="0.25">
      <c r="N31">
        <v>70.400000000000006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242</v>
      </c>
      <c r="N3" s="9" t="s">
        <v>255</v>
      </c>
      <c r="O3" s="9">
        <f>5*Q3</f>
        <v>792</v>
      </c>
      <c r="P3" s="9" t="s">
        <v>256</v>
      </c>
      <c r="Q3" s="9">
        <f>9.9*B9</f>
        <v>158.4</v>
      </c>
      <c r="R3" s="9" t="s">
        <v>259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243</v>
      </c>
      <c r="N4" s="9" t="s">
        <v>257</v>
      </c>
      <c r="O4" s="9">
        <f>B9*11</f>
        <v>176</v>
      </c>
      <c r="P4" s="9" t="s">
        <v>258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</v>
      </c>
      <c r="C5" s="17">
        <f>B5*2</f>
        <v>1.6</v>
      </c>
      <c r="D5" s="17">
        <f>B5*3</f>
        <v>2.4000000000000004</v>
      </c>
      <c r="E5" s="17">
        <f>B5*4</f>
        <v>3.2</v>
      </c>
      <c r="F5" s="17">
        <f>B5*5</f>
        <v>4</v>
      </c>
      <c r="G5" s="17">
        <f>B5*6</f>
        <v>4.8000000000000007</v>
      </c>
      <c r="M5" s="19" t="s">
        <v>152</v>
      </c>
      <c r="N5" s="9" t="s">
        <v>263</v>
      </c>
      <c r="O5" s="9">
        <f>B9*2</f>
        <v>32</v>
      </c>
      <c r="P5" s="9" t="s">
        <v>262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1.65</v>
      </c>
      <c r="C6" s="17">
        <f t="shared" ref="C6:C7" si="0">B6*2</f>
        <v>3.3</v>
      </c>
      <c r="D6" s="17">
        <f t="shared" ref="D6:D7" si="1">B6*3</f>
        <v>4.9499999999999993</v>
      </c>
      <c r="E6" s="17">
        <f t="shared" ref="E6:E7" si="2">B6*4</f>
        <v>6.6</v>
      </c>
      <c r="F6" s="17">
        <f t="shared" ref="F6:F7" si="3">B6*5</f>
        <v>8.25</v>
      </c>
      <c r="G6" s="17">
        <f t="shared" ref="G6:G7" si="4">B6*6</f>
        <v>9.8999999999999986</v>
      </c>
      <c r="M6" s="18" t="s">
        <v>244</v>
      </c>
      <c r="N6" s="9" t="s">
        <v>261</v>
      </c>
      <c r="O6" s="9">
        <f>B9*0.8</f>
        <v>12.8</v>
      </c>
      <c r="P6" s="9" t="s">
        <v>260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16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16</v>
      </c>
      <c r="M12" t="s">
        <v>235</v>
      </c>
      <c r="N12" s="9" t="s">
        <v>30</v>
      </c>
      <c r="O12" s="9" t="s">
        <v>30</v>
      </c>
      <c r="P12" s="9" t="s">
        <v>245</v>
      </c>
      <c r="Q12" s="9" t="s">
        <v>76</v>
      </c>
      <c r="R12" s="9" t="s">
        <v>126</v>
      </c>
      <c r="S12" s="9" t="s">
        <v>75</v>
      </c>
    </row>
    <row r="13" spans="1:19" ht="16.5" thickTop="1" thickBot="1" x14ac:dyDescent="0.3">
      <c r="A13" s="10" t="s">
        <v>12</v>
      </c>
      <c r="B13" s="9">
        <v>16</v>
      </c>
      <c r="C13" s="9">
        <f>B13+$B$9*($B$10+1)*B5</f>
        <v>54.400000000000006</v>
      </c>
      <c r="D13" s="9">
        <v>19</v>
      </c>
      <c r="E13" s="9">
        <v>40</v>
      </c>
      <c r="F13" s="9">
        <v>55</v>
      </c>
      <c r="M13" s="7" t="s">
        <v>47</v>
      </c>
      <c r="N13" s="9" t="s">
        <v>61</v>
      </c>
      <c r="O13" s="9" t="s">
        <v>78</v>
      </c>
      <c r="P13" s="9" t="s">
        <v>128</v>
      </c>
      <c r="Q13" s="9" t="s">
        <v>128</v>
      </c>
      <c r="R13" s="9" t="s">
        <v>127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94.199999999999989</v>
      </c>
      <c r="D14" s="9">
        <v>20</v>
      </c>
      <c r="E14" s="9">
        <v>64</v>
      </c>
      <c r="F14" s="9">
        <v>94</v>
      </c>
      <c r="M14" s="7" t="s">
        <v>48</v>
      </c>
      <c r="N14" s="9" t="s">
        <v>129</v>
      </c>
      <c r="O14" s="9" t="s">
        <v>130</v>
      </c>
      <c r="P14" s="9" t="s">
        <v>247</v>
      </c>
      <c r="Q14" s="9" t="s">
        <v>246</v>
      </c>
      <c r="R14" s="9" t="s">
        <v>128</v>
      </c>
      <c r="S14" s="9" t="s">
        <v>59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61</v>
      </c>
      <c r="D15" s="9">
        <v>16</v>
      </c>
      <c r="E15" s="9">
        <v>43</v>
      </c>
      <c r="F15" s="9">
        <v>61</v>
      </c>
      <c r="M15" s="19" t="s">
        <v>49</v>
      </c>
      <c r="N15" s="9" t="s">
        <v>132</v>
      </c>
      <c r="O15" s="9" t="s">
        <v>146</v>
      </c>
      <c r="P15" s="9" t="s">
        <v>248</v>
      </c>
      <c r="Q15" s="9" t="s">
        <v>153</v>
      </c>
      <c r="R15" s="9" t="s">
        <v>249</v>
      </c>
      <c r="S15" s="9" t="s">
        <v>136</v>
      </c>
    </row>
    <row r="16" spans="1:19" ht="16.5" thickTop="1" thickBot="1" x14ac:dyDescent="0.3">
      <c r="A16" s="10" t="s">
        <v>14</v>
      </c>
      <c r="B16" s="9">
        <v>175</v>
      </c>
      <c r="C16" s="9">
        <f>ROUNDDOWN(B16+C13*Common!$B$1,0)</f>
        <v>1154</v>
      </c>
      <c r="D16" s="9">
        <v>506</v>
      </c>
      <c r="E16" s="9">
        <v>895</v>
      </c>
      <c r="F16" s="9">
        <v>1154</v>
      </c>
      <c r="M16" s="19" t="s">
        <v>50</v>
      </c>
      <c r="N16" s="9" t="s">
        <v>154</v>
      </c>
      <c r="O16" s="9" t="s">
        <v>250</v>
      </c>
      <c r="P16" s="9" t="s">
        <v>183</v>
      </c>
      <c r="Q16" s="9" t="s">
        <v>135</v>
      </c>
      <c r="R16" s="9" t="s">
        <v>108</v>
      </c>
      <c r="S16" s="9" t="s">
        <v>136</v>
      </c>
    </row>
    <row r="17" spans="1:19" ht="16.5" thickTop="1" thickBot="1" x14ac:dyDescent="0.3">
      <c r="A17" s="10" t="s">
        <v>15</v>
      </c>
      <c r="B17" s="9">
        <v>22</v>
      </c>
      <c r="C17" s="9">
        <f>ROUND(B17+C14+C15*Common!$B$2,0)</f>
        <v>141</v>
      </c>
      <c r="D17" s="9">
        <v>49</v>
      </c>
      <c r="E17" s="9">
        <v>104</v>
      </c>
      <c r="F17" s="9">
        <v>141</v>
      </c>
      <c r="M17" s="19" t="s">
        <v>51</v>
      </c>
      <c r="N17" s="9" t="s">
        <v>129</v>
      </c>
      <c r="O17" s="9" t="s">
        <v>161</v>
      </c>
      <c r="P17" s="9" t="s">
        <v>138</v>
      </c>
      <c r="Q17" s="9" t="s">
        <v>132</v>
      </c>
      <c r="R17" s="9" t="s">
        <v>102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226</v>
      </c>
      <c r="D18" s="9">
        <v>47</v>
      </c>
      <c r="E18" s="9">
        <v>154</v>
      </c>
      <c r="F18" s="9">
        <v>225</v>
      </c>
      <c r="M18" s="18" t="s">
        <v>52</v>
      </c>
      <c r="N18" s="9" t="s">
        <v>121</v>
      </c>
      <c r="O18" s="9" t="s">
        <v>144</v>
      </c>
      <c r="P18" s="9" t="s">
        <v>112</v>
      </c>
      <c r="Q18" s="9" t="s">
        <v>68</v>
      </c>
      <c r="R18" s="9" t="s">
        <v>251</v>
      </c>
      <c r="S18" s="9" t="s">
        <v>252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12</v>
      </c>
      <c r="D19" s="13">
        <v>3</v>
      </c>
      <c r="E19" s="13">
        <v>8</v>
      </c>
      <c r="F19" s="13">
        <v>12</v>
      </c>
      <c r="G19" s="3"/>
      <c r="H19" s="3"/>
      <c r="I19" s="3"/>
      <c r="M19" s="18" t="s">
        <v>53</v>
      </c>
      <c r="N19" s="9" t="s">
        <v>152</v>
      </c>
      <c r="O19" s="9" t="s">
        <v>116</v>
      </c>
      <c r="P19" s="9" t="s">
        <v>151</v>
      </c>
      <c r="Q19" s="9" t="s">
        <v>237</v>
      </c>
      <c r="R19" s="9" t="s">
        <v>247</v>
      </c>
      <c r="S19" s="9" t="s">
        <v>252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9</v>
      </c>
      <c r="D20" s="9">
        <v>2</v>
      </c>
      <c r="E20" s="9">
        <v>6</v>
      </c>
      <c r="F20" s="9">
        <v>9</v>
      </c>
      <c r="M20" s="18" t="s">
        <v>118</v>
      </c>
      <c r="N20" s="9" t="s">
        <v>159</v>
      </c>
      <c r="O20" s="9" t="s">
        <v>161</v>
      </c>
      <c r="P20" s="9" t="s">
        <v>184</v>
      </c>
      <c r="Q20" s="9" t="s">
        <v>253</v>
      </c>
      <c r="R20" s="9" t="s">
        <v>98</v>
      </c>
      <c r="S20" s="9" t="s">
        <v>252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24.400000000000002</v>
      </c>
      <c r="D21" s="9">
        <v>6</v>
      </c>
      <c r="E21" s="9">
        <v>17</v>
      </c>
      <c r="F21" s="9">
        <v>24</v>
      </c>
      <c r="M21" s="18" t="s">
        <v>119</v>
      </c>
      <c r="N21" s="9" t="s">
        <v>162</v>
      </c>
      <c r="O21" s="9" t="s">
        <v>185</v>
      </c>
      <c r="P21" s="9" t="s">
        <v>144</v>
      </c>
      <c r="Q21" s="9" t="s">
        <v>132</v>
      </c>
      <c r="R21" s="9" t="s">
        <v>68</v>
      </c>
      <c r="S21" s="9" t="s">
        <v>252</v>
      </c>
    </row>
    <row r="22" spans="1:19" ht="15.75" thickTop="1" x14ac:dyDescent="0.25">
      <c r="M22" s="18" t="s">
        <v>589</v>
      </c>
      <c r="N22" s="9" t="s">
        <v>605</v>
      </c>
      <c r="O22" s="9" t="s">
        <v>600</v>
      </c>
      <c r="P22" s="9" t="s">
        <v>603</v>
      </c>
      <c r="Q22" s="9" t="s">
        <v>601</v>
      </c>
      <c r="R22" s="23" t="s">
        <v>619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602</v>
      </c>
      <c r="P23" s="9" t="s">
        <v>624</v>
      </c>
      <c r="Q23" s="9" t="s">
        <v>152</v>
      </c>
      <c r="R23" s="9" t="s">
        <v>113</v>
      </c>
      <c r="S23" s="9" t="s">
        <v>593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265</v>
      </c>
      <c r="N3" s="9" t="s">
        <v>255</v>
      </c>
      <c r="O3" s="9">
        <f>12*B9</f>
        <v>12</v>
      </c>
      <c r="P3" s="9" t="s">
        <v>269</v>
      </c>
      <c r="Q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266</v>
      </c>
      <c r="N4" s="9" t="s">
        <v>270</v>
      </c>
      <c r="O4" s="9">
        <f>B9*9</f>
        <v>9</v>
      </c>
      <c r="P4" s="9" t="s">
        <v>271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1.65</v>
      </c>
      <c r="C5" s="17">
        <f>B5*2</f>
        <v>3.3</v>
      </c>
      <c r="D5" s="17">
        <f>B5*3</f>
        <v>4.9499999999999993</v>
      </c>
      <c r="E5" s="17">
        <f>B5*4</f>
        <v>6.6</v>
      </c>
      <c r="F5" s="17">
        <f>B5*5</f>
        <v>8.25</v>
      </c>
      <c r="G5" s="17">
        <f>B5*6</f>
        <v>9.8999999999999986</v>
      </c>
      <c r="M5" s="19" t="s">
        <v>267</v>
      </c>
      <c r="N5" s="9" t="s">
        <v>273</v>
      </c>
      <c r="O5" s="9">
        <f>B9*3.6</f>
        <v>3.6</v>
      </c>
      <c r="P5" s="9" t="s">
        <v>272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1.1000000000000001</v>
      </c>
      <c r="C6" s="17">
        <f t="shared" ref="C6:C7" si="0">B6*2</f>
        <v>2.2000000000000002</v>
      </c>
      <c r="D6" s="17">
        <f t="shared" ref="D6:D7" si="1">B6*3</f>
        <v>3.3000000000000003</v>
      </c>
      <c r="E6" s="17">
        <f t="shared" ref="E6:E7" si="2">B6*4</f>
        <v>4.4000000000000004</v>
      </c>
      <c r="F6" s="17">
        <f t="shared" ref="F6:F7" si="3">B6*5</f>
        <v>5.5</v>
      </c>
      <c r="G6" s="17">
        <f t="shared" ref="G6:G7" si="4">B6*6</f>
        <v>6.6000000000000005</v>
      </c>
      <c r="M6" s="18" t="s">
        <v>268</v>
      </c>
      <c r="N6" s="9" t="s">
        <v>275</v>
      </c>
      <c r="O6" s="9">
        <f>B9*3</f>
        <v>3</v>
      </c>
      <c r="P6" s="9" t="s">
        <v>274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0.45</v>
      </c>
      <c r="C7" s="17">
        <f t="shared" si="0"/>
        <v>0.9</v>
      </c>
      <c r="D7" s="17">
        <f t="shared" si="1"/>
        <v>1.35</v>
      </c>
      <c r="E7" s="17">
        <f t="shared" si="2"/>
        <v>1.8</v>
      </c>
      <c r="F7" s="17">
        <f t="shared" si="3"/>
        <v>2.25</v>
      </c>
      <c r="G7" s="17">
        <f t="shared" si="4"/>
        <v>2.7</v>
      </c>
    </row>
    <row r="8" spans="1:19" ht="15.75" thickTop="1" x14ac:dyDescent="0.25"/>
    <row r="9" spans="1:19" x14ac:dyDescent="0.25">
      <c r="A9" t="s">
        <v>35</v>
      </c>
      <c r="B9">
        <v>1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16</v>
      </c>
      <c r="M12" t="s">
        <v>235</v>
      </c>
      <c r="N12" s="9" t="s">
        <v>30</v>
      </c>
      <c r="O12" s="9" t="s">
        <v>30</v>
      </c>
      <c r="P12" s="9" t="s">
        <v>73</v>
      </c>
      <c r="Q12" s="9" t="s">
        <v>245</v>
      </c>
      <c r="R12" s="9" t="s">
        <v>76</v>
      </c>
      <c r="S12" s="9" t="s">
        <v>75</v>
      </c>
    </row>
    <row r="13" spans="1:19" ht="16.5" thickTop="1" thickBot="1" x14ac:dyDescent="0.3">
      <c r="A13" s="10" t="s">
        <v>12</v>
      </c>
      <c r="B13" s="9">
        <v>21</v>
      </c>
      <c r="C13" s="9">
        <f>B13+$B$9*($B$10+1)*B5</f>
        <v>25.95</v>
      </c>
      <c r="D13" s="9">
        <v>26</v>
      </c>
      <c r="E13" s="9">
        <v>71</v>
      </c>
      <c r="F13" s="9">
        <v>100</v>
      </c>
      <c r="M13" s="7" t="s">
        <v>47</v>
      </c>
      <c r="N13" s="9" t="s">
        <v>61</v>
      </c>
      <c r="O13" s="9" t="s">
        <v>73</v>
      </c>
      <c r="P13" s="9" t="s">
        <v>31</v>
      </c>
      <c r="Q13" s="9" t="s">
        <v>128</v>
      </c>
      <c r="R13" s="9" t="s">
        <v>249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16.3</v>
      </c>
      <c r="D14" s="9">
        <v>16</v>
      </c>
      <c r="E14" s="9">
        <v>46</v>
      </c>
      <c r="F14" s="9">
        <v>65</v>
      </c>
      <c r="M14" s="7" t="s">
        <v>48</v>
      </c>
      <c r="N14" s="9" t="s">
        <v>276</v>
      </c>
      <c r="O14" s="9" t="s">
        <v>247</v>
      </c>
      <c r="P14" s="9" t="s">
        <v>156</v>
      </c>
      <c r="Q14" s="9" t="s">
        <v>31</v>
      </c>
      <c r="R14" s="9" t="s">
        <v>58</v>
      </c>
      <c r="S14" s="9" t="s">
        <v>104</v>
      </c>
    </row>
    <row r="15" spans="1:19" ht="16.5" thickTop="1" thickBot="1" x14ac:dyDescent="0.3">
      <c r="A15" s="10" t="s">
        <v>1</v>
      </c>
      <c r="B15" s="9">
        <v>8</v>
      </c>
      <c r="C15" s="9">
        <f>B15+$B$9*($B$10+1)*B7</f>
        <v>9.35</v>
      </c>
      <c r="D15" s="9">
        <v>9</v>
      </c>
      <c r="E15" s="9">
        <v>22</v>
      </c>
      <c r="F15" s="9">
        <v>30</v>
      </c>
      <c r="M15" s="19" t="s">
        <v>49</v>
      </c>
      <c r="N15" s="9" t="s">
        <v>277</v>
      </c>
      <c r="O15" s="9" t="s">
        <v>154</v>
      </c>
      <c r="P15" s="9" t="s">
        <v>138</v>
      </c>
      <c r="Q15" s="9" t="s">
        <v>278</v>
      </c>
      <c r="R15" s="9" t="s">
        <v>73</v>
      </c>
      <c r="S15" s="9" t="s">
        <v>136</v>
      </c>
    </row>
    <row r="16" spans="1:19" ht="16.5" thickTop="1" thickBot="1" x14ac:dyDescent="0.3">
      <c r="A16" s="10" t="s">
        <v>14</v>
      </c>
      <c r="B16" s="9">
        <v>174</v>
      </c>
      <c r="C16" s="9">
        <f>ROUNDDOWN(B16+C13*Common!$B$1,0)</f>
        <v>641</v>
      </c>
      <c r="D16" s="9">
        <v>641</v>
      </c>
      <c r="E16" s="9">
        <v>1443</v>
      </c>
      <c r="F16" s="9">
        <v>1978</v>
      </c>
      <c r="M16" s="19" t="s">
        <v>50</v>
      </c>
      <c r="N16" s="9" t="s">
        <v>276</v>
      </c>
      <c r="O16" s="9" t="s">
        <v>110</v>
      </c>
      <c r="P16" s="9" t="s">
        <v>68</v>
      </c>
      <c r="Q16" s="9" t="s">
        <v>102</v>
      </c>
      <c r="R16" s="9" t="s">
        <v>279</v>
      </c>
      <c r="S16" s="9" t="s">
        <v>104</v>
      </c>
    </row>
    <row r="17" spans="1:19" ht="16.5" thickTop="1" thickBot="1" x14ac:dyDescent="0.3">
      <c r="A17" s="10" t="s">
        <v>15</v>
      </c>
      <c r="B17" s="9">
        <v>36</v>
      </c>
      <c r="C17" s="9">
        <f>ROUND(B17+C13+C15*Common!$B$2,0)</f>
        <v>66</v>
      </c>
      <c r="D17" s="9">
        <v>66</v>
      </c>
      <c r="E17" s="9">
        <v>116</v>
      </c>
      <c r="F17" s="9">
        <v>148</v>
      </c>
      <c r="M17" s="19" t="s">
        <v>51</v>
      </c>
      <c r="N17" s="9" t="s">
        <v>144</v>
      </c>
      <c r="O17" s="9" t="s">
        <v>155</v>
      </c>
      <c r="P17" s="9" t="s">
        <v>146</v>
      </c>
      <c r="Q17" s="9" t="s">
        <v>112</v>
      </c>
      <c r="R17" s="9" t="s">
        <v>127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39</v>
      </c>
      <c r="D18" s="9">
        <v>38</v>
      </c>
      <c r="E18" s="9">
        <v>109</v>
      </c>
      <c r="F18" s="9">
        <v>157</v>
      </c>
      <c r="M18" s="18" t="s">
        <v>52</v>
      </c>
      <c r="N18" s="9" t="s">
        <v>109</v>
      </c>
      <c r="O18" s="9" t="s">
        <v>125</v>
      </c>
      <c r="P18" s="9" t="s">
        <v>100</v>
      </c>
      <c r="Q18" s="9" t="s">
        <v>106</v>
      </c>
      <c r="R18" s="9" t="s">
        <v>147</v>
      </c>
      <c r="S18" s="9" t="s">
        <v>104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5</v>
      </c>
      <c r="D19" s="13">
        <v>2</v>
      </c>
      <c r="E19" s="13">
        <v>9</v>
      </c>
      <c r="F19" s="13">
        <v>15</v>
      </c>
      <c r="G19" s="3"/>
      <c r="H19" s="3"/>
      <c r="I19" s="3"/>
      <c r="M19" s="18" t="s">
        <v>53</v>
      </c>
      <c r="N19" s="9" t="s">
        <v>152</v>
      </c>
      <c r="O19" s="9" t="s">
        <v>113</v>
      </c>
      <c r="P19" s="9" t="s">
        <v>280</v>
      </c>
      <c r="Q19" s="9" t="s">
        <v>250</v>
      </c>
      <c r="R19" s="9" t="s">
        <v>128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</v>
      </c>
      <c r="D20" s="9">
        <v>2</v>
      </c>
      <c r="E20" s="9">
        <v>5</v>
      </c>
      <c r="F20" s="9">
        <v>7</v>
      </c>
      <c r="M20" s="18" t="s">
        <v>118</v>
      </c>
      <c r="N20" s="9" t="s">
        <v>120</v>
      </c>
      <c r="O20" s="9" t="s">
        <v>281</v>
      </c>
      <c r="P20" s="9" t="s">
        <v>110</v>
      </c>
      <c r="Q20" s="9" t="s">
        <v>105</v>
      </c>
      <c r="R20" s="9" t="s">
        <v>73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3.74</v>
      </c>
      <c r="D21" s="9">
        <v>4</v>
      </c>
      <c r="E21" s="9">
        <v>9</v>
      </c>
      <c r="F21" s="9">
        <v>12</v>
      </c>
      <c r="M21" s="18" t="s">
        <v>119</v>
      </c>
      <c r="N21" s="9" t="s">
        <v>115</v>
      </c>
      <c r="O21" s="9" t="s">
        <v>123</v>
      </c>
      <c r="P21" s="9" t="s">
        <v>188</v>
      </c>
      <c r="Q21" s="9" t="s">
        <v>277</v>
      </c>
      <c r="R21" s="9" t="s">
        <v>68</v>
      </c>
      <c r="S21" s="9" t="s">
        <v>114</v>
      </c>
    </row>
    <row r="22" spans="1:19" ht="15.75" thickTop="1" x14ac:dyDescent="0.25">
      <c r="M22" s="18" t="s">
        <v>589</v>
      </c>
      <c r="N22" s="9" t="s">
        <v>591</v>
      </c>
      <c r="O22" s="9" t="s">
        <v>592</v>
      </c>
      <c r="P22" s="9" t="s">
        <v>623</v>
      </c>
      <c r="Q22" s="9" t="s">
        <v>601</v>
      </c>
      <c r="R22" s="23" t="s">
        <v>121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595</v>
      </c>
      <c r="P23" s="9" t="s">
        <v>113</v>
      </c>
      <c r="Q23" s="9" t="s">
        <v>152</v>
      </c>
      <c r="R23" s="9" t="s">
        <v>340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</row>
    <row r="2" spans="1:19" x14ac:dyDescent="0.25">
      <c r="A2" t="s">
        <v>2</v>
      </c>
      <c r="B2" t="s">
        <v>234</v>
      </c>
      <c r="M2" t="s">
        <v>43</v>
      </c>
    </row>
    <row r="3" spans="1:19" ht="15.75" thickBot="1" x14ac:dyDescent="0.3">
      <c r="M3" s="8" t="s">
        <v>394</v>
      </c>
      <c r="N3" s="9" t="s">
        <v>397</v>
      </c>
      <c r="O3" s="9"/>
      <c r="P3" s="9"/>
      <c r="Q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203</v>
      </c>
      <c r="N4" s="9" t="s">
        <v>54</v>
      </c>
      <c r="O4" s="9">
        <f>B9*16.5</f>
        <v>165</v>
      </c>
      <c r="P4" s="9" t="s">
        <v>400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1.3</v>
      </c>
      <c r="C5" s="17">
        <f>B5*2</f>
        <v>2.6</v>
      </c>
      <c r="D5" s="17">
        <f>B5*3</f>
        <v>3.9000000000000004</v>
      </c>
      <c r="E5" s="17">
        <f>B5*4</f>
        <v>5.2</v>
      </c>
      <c r="F5" s="17">
        <f>B5*5</f>
        <v>6.5</v>
      </c>
      <c r="G5" s="17">
        <f>B5*6</f>
        <v>7.8000000000000007</v>
      </c>
      <c r="M5" s="19" t="s">
        <v>395</v>
      </c>
      <c r="N5" s="9" t="s">
        <v>54</v>
      </c>
      <c r="O5" s="9">
        <f>B9*11</f>
        <v>110</v>
      </c>
      <c r="P5" s="9" t="s">
        <v>398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1.2</v>
      </c>
      <c r="C6" s="17">
        <f t="shared" ref="C6:C7" si="0">B6*2</f>
        <v>2.4</v>
      </c>
      <c r="D6" s="17">
        <f t="shared" ref="D6:D7" si="1">B6*3</f>
        <v>3.5999999999999996</v>
      </c>
      <c r="E6" s="17">
        <f t="shared" ref="E6:E7" si="2">B6*4</f>
        <v>4.8</v>
      </c>
      <c r="F6" s="17">
        <f t="shared" ref="F6:F7" si="3">B6*5</f>
        <v>6</v>
      </c>
      <c r="G6" s="17">
        <f t="shared" ref="G6:G7" si="4">B6*6</f>
        <v>7.1999999999999993</v>
      </c>
      <c r="M6" s="18" t="s">
        <v>396</v>
      </c>
      <c r="N6" s="9" t="s">
        <v>54</v>
      </c>
      <c r="O6" s="9">
        <f>B9*11</f>
        <v>110</v>
      </c>
      <c r="P6" s="9" t="s">
        <v>399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16</v>
      </c>
      <c r="M12" t="s">
        <v>235</v>
      </c>
      <c r="N12" s="9" t="s">
        <v>30</v>
      </c>
      <c r="O12" s="9" t="s">
        <v>30</v>
      </c>
      <c r="P12" s="9" t="s">
        <v>326</v>
      </c>
      <c r="Q12" s="9" t="s">
        <v>326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54</v>
      </c>
      <c r="D13" s="9">
        <v>19</v>
      </c>
      <c r="E13" s="9">
        <v>54</v>
      </c>
      <c r="F13" s="9"/>
      <c r="M13" s="7" t="s">
        <v>47</v>
      </c>
      <c r="N13" s="9" t="s">
        <v>131</v>
      </c>
      <c r="O13" s="9" t="s">
        <v>98</v>
      </c>
      <c r="P13" s="9" t="s">
        <v>128</v>
      </c>
      <c r="Q13" s="9" t="s">
        <v>128</v>
      </c>
      <c r="R13" s="9" t="s">
        <v>31</v>
      </c>
      <c r="S13" s="9" t="s">
        <v>59</v>
      </c>
    </row>
    <row r="14" spans="1:19" ht="16.5" thickTop="1" thickBot="1" x14ac:dyDescent="0.3">
      <c r="A14" s="10" t="s">
        <v>13</v>
      </c>
      <c r="B14" s="9">
        <v>25</v>
      </c>
      <c r="C14" s="9">
        <f>B14+$B$9*($B$10+1)*B6</f>
        <v>61</v>
      </c>
      <c r="D14" s="9">
        <v>28</v>
      </c>
      <c r="E14" s="9">
        <v>61</v>
      </c>
      <c r="F14" s="9"/>
      <c r="M14" s="7" t="s">
        <v>48</v>
      </c>
      <c r="N14" s="9" t="s">
        <v>129</v>
      </c>
      <c r="O14" s="9" t="s">
        <v>68</v>
      </c>
      <c r="P14" s="9" t="s">
        <v>247</v>
      </c>
      <c r="Q14" s="9" t="s">
        <v>128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14</v>
      </c>
      <c r="C15" s="9">
        <f>B15+$B$9*($B$10+1)*B7</f>
        <v>44</v>
      </c>
      <c r="D15" s="9">
        <v>17</v>
      </c>
      <c r="E15" s="9">
        <v>44</v>
      </c>
      <c r="F15" s="9"/>
      <c r="M15" s="19" t="s">
        <v>49</v>
      </c>
      <c r="N15" s="9" t="s">
        <v>146</v>
      </c>
      <c r="O15" s="9" t="s">
        <v>154</v>
      </c>
      <c r="P15" s="9" t="s">
        <v>153</v>
      </c>
      <c r="Q15" s="9" t="s">
        <v>127</v>
      </c>
      <c r="R15" s="9" t="s">
        <v>147</v>
      </c>
      <c r="S15" s="9" t="s">
        <v>143</v>
      </c>
    </row>
    <row r="16" spans="1:19" ht="16.5" thickTop="1" thickBot="1" x14ac:dyDescent="0.3">
      <c r="A16" s="10" t="s">
        <v>14</v>
      </c>
      <c r="B16" s="9">
        <v>163</v>
      </c>
      <c r="C16" s="9">
        <f>ROUNDDOWN(B16+C13*Common!$B$1,0)</f>
        <v>1135</v>
      </c>
      <c r="D16" s="9">
        <v>504</v>
      </c>
      <c r="E16" s="9">
        <v>1135</v>
      </c>
      <c r="F16" s="9"/>
      <c r="M16" s="19" t="s">
        <v>50</v>
      </c>
      <c r="N16" s="9" t="s">
        <v>253</v>
      </c>
      <c r="O16" s="9" t="s">
        <v>100</v>
      </c>
      <c r="P16" s="9" t="s">
        <v>110</v>
      </c>
      <c r="Q16" s="9" t="s">
        <v>153</v>
      </c>
      <c r="R16" s="9" t="s">
        <v>128</v>
      </c>
      <c r="S16" s="9" t="s">
        <v>143</v>
      </c>
    </row>
    <row r="17" spans="1:19" ht="16.5" thickTop="1" thickBot="1" x14ac:dyDescent="0.3">
      <c r="A17" s="10" t="s">
        <v>15</v>
      </c>
      <c r="B17" s="9">
        <v>16</v>
      </c>
      <c r="C17" s="9">
        <f>ROUND(B17+C14+C15*Common!$B$2,0)</f>
        <v>95</v>
      </c>
      <c r="D17" s="9">
        <v>51</v>
      </c>
      <c r="E17" s="9">
        <v>95</v>
      </c>
      <c r="F17" s="9"/>
      <c r="M17" s="19" t="s">
        <v>51</v>
      </c>
      <c r="N17" s="9" t="s">
        <v>161</v>
      </c>
      <c r="O17" s="9" t="s">
        <v>155</v>
      </c>
      <c r="P17" s="9" t="s">
        <v>183</v>
      </c>
      <c r="Q17" s="9" t="s">
        <v>139</v>
      </c>
      <c r="R17" s="9" t="s">
        <v>131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146</v>
      </c>
      <c r="D18" s="9">
        <v>67</v>
      </c>
      <c r="E18" s="9">
        <v>145</v>
      </c>
      <c r="F18" s="9"/>
      <c r="M18" s="18" t="s">
        <v>52</v>
      </c>
      <c r="N18" s="9" t="s">
        <v>144</v>
      </c>
      <c r="O18" s="9" t="s">
        <v>116</v>
      </c>
      <c r="P18" s="9" t="s">
        <v>121</v>
      </c>
      <c r="Q18" s="9" t="s">
        <v>68</v>
      </c>
      <c r="R18" s="9" t="s">
        <v>112</v>
      </c>
      <c r="S18" s="9" t="s">
        <v>136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11</v>
      </c>
      <c r="D19" s="9">
        <v>2</v>
      </c>
      <c r="E19" s="9">
        <v>10</v>
      </c>
      <c r="F19" s="9"/>
      <c r="G19" s="3"/>
      <c r="H19" s="3"/>
      <c r="I19" s="3"/>
      <c r="M19" s="18" t="s">
        <v>53</v>
      </c>
      <c r="N19" s="9" t="s">
        <v>152</v>
      </c>
      <c r="O19" s="9" t="s">
        <v>109</v>
      </c>
      <c r="P19" s="9" t="s">
        <v>113</v>
      </c>
      <c r="Q19" s="9" t="s">
        <v>247</v>
      </c>
      <c r="R19" s="9" t="s">
        <v>153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6</v>
      </c>
      <c r="D20" s="9">
        <v>3</v>
      </c>
      <c r="E20" s="9">
        <v>6</v>
      </c>
      <c r="F20" s="9"/>
      <c r="M20" s="18" t="s">
        <v>118</v>
      </c>
      <c r="N20" s="9" t="s">
        <v>327</v>
      </c>
      <c r="O20" s="9" t="s">
        <v>149</v>
      </c>
      <c r="P20" s="9" t="s">
        <v>146</v>
      </c>
      <c r="Q20" s="9" t="s">
        <v>153</v>
      </c>
      <c r="R20" s="9" t="s">
        <v>129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17.600000000000001</v>
      </c>
      <c r="D21" s="9">
        <v>7</v>
      </c>
      <c r="E21" s="9">
        <v>18</v>
      </c>
      <c r="F21" s="9"/>
      <c r="M21" s="18" t="s">
        <v>119</v>
      </c>
      <c r="N21" s="9" t="s">
        <v>115</v>
      </c>
      <c r="O21" s="9" t="s">
        <v>328</v>
      </c>
      <c r="P21" s="9" t="s">
        <v>144</v>
      </c>
      <c r="Q21" s="9" t="s">
        <v>110</v>
      </c>
      <c r="R21" s="9" t="s">
        <v>68</v>
      </c>
      <c r="S21" s="9" t="s">
        <v>114</v>
      </c>
    </row>
    <row r="22" spans="1:19" ht="15.75" thickTop="1" x14ac:dyDescent="0.25">
      <c r="M22" s="18" t="s">
        <v>589</v>
      </c>
      <c r="N22" s="9" t="s">
        <v>605</v>
      </c>
      <c r="O22" s="9" t="s">
        <v>600</v>
      </c>
      <c r="P22" s="9" t="s">
        <v>603</v>
      </c>
      <c r="Q22" s="9" t="s">
        <v>152</v>
      </c>
      <c r="R22" s="23" t="s">
        <v>361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602</v>
      </c>
      <c r="P23" s="9" t="s">
        <v>115</v>
      </c>
      <c r="Q23" s="9" t="s">
        <v>601</v>
      </c>
      <c r="R23" s="9" t="s">
        <v>622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/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20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254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282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</v>
      </c>
      <c r="C5" s="17">
        <f>B5*2</f>
        <v>2</v>
      </c>
      <c r="D5" s="17">
        <f>B5*3</f>
        <v>3</v>
      </c>
      <c r="E5" s="17">
        <f>B5*4</f>
        <v>4</v>
      </c>
      <c r="F5" s="17">
        <f>B5*5</f>
        <v>5</v>
      </c>
      <c r="G5" s="17">
        <f>B5*6</f>
        <v>6</v>
      </c>
      <c r="M5" s="19" t="s">
        <v>283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284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30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20</v>
      </c>
      <c r="G12" s="10">
        <v>30</v>
      </c>
      <c r="M12" t="s">
        <v>235</v>
      </c>
      <c r="N12" s="9"/>
      <c r="O12" s="9"/>
      <c r="P12" s="9"/>
      <c r="Q12" s="9"/>
      <c r="R12" s="9"/>
      <c r="S12" s="9"/>
    </row>
    <row r="13" spans="1:19" ht="16.5" thickTop="1" thickBot="1" x14ac:dyDescent="0.3">
      <c r="A13" s="10" t="s">
        <v>12</v>
      </c>
      <c r="B13" s="9">
        <v>13</v>
      </c>
      <c r="C13" s="9">
        <f>B13+$B$9*($B$10+1)*B5</f>
        <v>103</v>
      </c>
      <c r="D13" s="9">
        <v>16</v>
      </c>
      <c r="E13" s="9">
        <v>43</v>
      </c>
      <c r="F13" s="9">
        <v>73</v>
      </c>
      <c r="G13" s="9">
        <v>103</v>
      </c>
      <c r="M13" s="7" t="s">
        <v>47</v>
      </c>
      <c r="N13" s="9"/>
      <c r="O13" s="9"/>
      <c r="P13" s="9"/>
      <c r="Q13" s="9"/>
      <c r="R13" s="9"/>
      <c r="S13" s="9"/>
    </row>
    <row r="14" spans="1:19" ht="16.5" thickTop="1" thickBot="1" x14ac:dyDescent="0.3">
      <c r="A14" s="10" t="s">
        <v>13</v>
      </c>
      <c r="B14" s="9">
        <v>16</v>
      </c>
      <c r="C14" s="9">
        <f>B14+$B$9*($B$10+1)*B6</f>
        <v>97</v>
      </c>
      <c r="D14" s="9">
        <v>19</v>
      </c>
      <c r="E14" s="9">
        <v>43</v>
      </c>
      <c r="F14" s="9">
        <v>70</v>
      </c>
      <c r="G14" s="9">
        <v>97</v>
      </c>
      <c r="M14" s="7" t="s">
        <v>48</v>
      </c>
      <c r="N14" s="9"/>
      <c r="O14" s="9"/>
      <c r="P14" s="9"/>
      <c r="Q14" s="9"/>
      <c r="R14" s="9"/>
      <c r="S14" s="9"/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143</v>
      </c>
      <c r="D15" s="9">
        <v>21</v>
      </c>
      <c r="E15" s="9">
        <v>59</v>
      </c>
      <c r="F15" s="9">
        <v>101</v>
      </c>
      <c r="G15" s="9">
        <v>143</v>
      </c>
      <c r="M15" s="19" t="s">
        <v>49</v>
      </c>
      <c r="N15" s="9"/>
      <c r="O15" s="9"/>
      <c r="P15" s="9"/>
      <c r="Q15" s="9"/>
      <c r="R15" s="9"/>
      <c r="S15" s="9"/>
    </row>
    <row r="16" spans="1:19" ht="16.5" thickTop="1" thickBot="1" x14ac:dyDescent="0.3">
      <c r="A16" s="10" t="s">
        <v>14</v>
      </c>
      <c r="B16" s="9">
        <v>165</v>
      </c>
      <c r="C16" s="9">
        <f>ROUNDDOWN(B16+C13*Common!$B$1,0)</f>
        <v>2019</v>
      </c>
      <c r="D16" s="9">
        <v>453</v>
      </c>
      <c r="E16" s="9">
        <v>939</v>
      </c>
      <c r="F16" s="9">
        <v>1479</v>
      </c>
      <c r="G16" s="9">
        <v>2019</v>
      </c>
      <c r="M16" s="19" t="s">
        <v>50</v>
      </c>
      <c r="N16" s="9"/>
      <c r="O16" s="9"/>
      <c r="P16" s="9"/>
      <c r="Q16" s="9"/>
      <c r="R16" s="9"/>
      <c r="S16" s="9"/>
    </row>
    <row r="17" spans="1:19" ht="16.5" thickTop="1" thickBot="1" x14ac:dyDescent="0.3">
      <c r="A17" s="10" t="s">
        <v>15</v>
      </c>
      <c r="B17" s="9">
        <v>10</v>
      </c>
      <c r="C17" s="9">
        <f>ROUND(B17+C15+C15*Common!$B$2,0)</f>
        <v>210</v>
      </c>
      <c r="D17" s="9">
        <v>40</v>
      </c>
      <c r="E17" s="9">
        <v>93</v>
      </c>
      <c r="F17" s="9">
        <v>152</v>
      </c>
      <c r="G17" s="9">
        <v>210</v>
      </c>
      <c r="M17" s="19" t="s">
        <v>51</v>
      </c>
      <c r="N17" s="9"/>
      <c r="O17" s="9"/>
      <c r="P17" s="9"/>
      <c r="Q17" s="9"/>
      <c r="R17" s="9"/>
      <c r="S17" s="9"/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233</v>
      </c>
      <c r="D18" s="9">
        <v>45</v>
      </c>
      <c r="E18" s="9">
        <v>103</v>
      </c>
      <c r="F18" s="9">
        <v>168</v>
      </c>
      <c r="G18" s="9">
        <v>233</v>
      </c>
      <c r="M18" s="18" t="s">
        <v>52</v>
      </c>
      <c r="N18" s="9"/>
      <c r="O18" s="9"/>
      <c r="P18" s="9"/>
      <c r="Q18" s="9"/>
      <c r="R18" s="9"/>
      <c r="S18" s="9"/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25</v>
      </c>
      <c r="D19" s="13">
        <v>3</v>
      </c>
      <c r="E19" s="13">
        <v>10</v>
      </c>
      <c r="F19" s="13">
        <v>18</v>
      </c>
      <c r="G19" s="13">
        <v>26</v>
      </c>
      <c r="H19" s="3"/>
      <c r="I19" s="3"/>
      <c r="M19" s="18" t="s">
        <v>53</v>
      </c>
      <c r="N19" s="9"/>
      <c r="O19" s="9"/>
      <c r="P19" s="9"/>
      <c r="Q19" s="9"/>
      <c r="R19" s="9"/>
      <c r="S19" s="9"/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10</v>
      </c>
      <c r="D20" s="9">
        <v>2</v>
      </c>
      <c r="E20" s="9">
        <v>4</v>
      </c>
      <c r="F20" s="9">
        <v>7</v>
      </c>
      <c r="G20" s="9">
        <v>10</v>
      </c>
      <c r="M20" s="18" t="s">
        <v>118</v>
      </c>
      <c r="N20" s="9"/>
      <c r="O20" s="9"/>
      <c r="P20" s="9"/>
      <c r="Q20" s="9"/>
      <c r="R20" s="9"/>
      <c r="S20" s="9"/>
    </row>
    <row r="21" spans="1:19" ht="16.5" thickTop="1" thickBot="1" x14ac:dyDescent="0.3">
      <c r="A21" s="10" t="s">
        <v>19</v>
      </c>
      <c r="B21" s="9">
        <v>0</v>
      </c>
      <c r="C21" s="9">
        <f>C15*Common!$B$5</f>
        <v>57.2</v>
      </c>
      <c r="D21" s="9">
        <v>9</v>
      </c>
      <c r="E21" s="9">
        <v>24</v>
      </c>
      <c r="F21" s="9">
        <v>40</v>
      </c>
      <c r="G21" s="9">
        <v>57</v>
      </c>
      <c r="M21" s="18" t="s">
        <v>119</v>
      </c>
      <c r="N21" s="9"/>
      <c r="O21" s="9"/>
      <c r="P21" s="9"/>
      <c r="Q21" s="9"/>
      <c r="R21" s="9"/>
      <c r="S21" s="9"/>
    </row>
    <row r="22" spans="1:19" ht="15.75" thickTop="1" x14ac:dyDescent="0.25"/>
    <row r="29" spans="1:19" x14ac:dyDescent="0.25">
      <c r="N29">
        <v>6</v>
      </c>
      <c r="O29">
        <v>16</v>
      </c>
    </row>
    <row r="30" spans="1:19" x14ac:dyDescent="0.25">
      <c r="N30">
        <v>10</v>
      </c>
      <c r="O30">
        <v>9</v>
      </c>
    </row>
    <row r="31" spans="1:19" x14ac:dyDescent="0.25">
      <c r="N31">
        <v>12</v>
      </c>
      <c r="O31">
        <v>8</v>
      </c>
    </row>
    <row r="32" spans="1:19" x14ac:dyDescent="0.25">
      <c r="N32">
        <v>17</v>
      </c>
      <c r="O32">
        <v>7</v>
      </c>
    </row>
    <row r="33" spans="14:15" x14ac:dyDescent="0.25">
      <c r="N33">
        <v>18</v>
      </c>
      <c r="O33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12" customWidth="1"/>
    <col min="3" max="3" width="10.42578125" customWidth="1"/>
    <col min="4" max="4" width="8.28515625" customWidth="1"/>
    <col min="5" max="5" width="7.85546875" customWidth="1"/>
    <col min="6" max="6" width="10.28515625" customWidth="1"/>
    <col min="7" max="7" width="10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4.85546875" customWidth="1"/>
    <col min="14" max="14" width="19.140625" customWidth="1"/>
    <col min="15" max="15" width="13.5703125" customWidth="1"/>
    <col min="16" max="16" width="18.7109375" customWidth="1"/>
    <col min="17" max="17" width="23.140625" customWidth="1"/>
    <col min="18" max="18" width="16" customWidth="1"/>
    <col min="19" max="19" width="15.285156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79</v>
      </c>
      <c r="N3" t="s">
        <v>83</v>
      </c>
      <c r="O3">
        <f>B9</f>
        <v>56</v>
      </c>
      <c r="P3" t="s">
        <v>84</v>
      </c>
      <c r="Q3">
        <f>15*$B$9</f>
        <v>840</v>
      </c>
      <c r="R3" t="s">
        <v>85</v>
      </c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80</v>
      </c>
      <c r="N4" t="s">
        <v>83</v>
      </c>
      <c r="O4">
        <f>$B$9</f>
        <v>56</v>
      </c>
      <c r="P4" t="s">
        <v>84</v>
      </c>
      <c r="Q4">
        <f>B9*12</f>
        <v>672</v>
      </c>
      <c r="R4" t="s">
        <v>167</v>
      </c>
    </row>
    <row r="5" spans="1:19" ht="16.5" thickTop="1" thickBot="1" x14ac:dyDescent="0.3">
      <c r="A5" s="10" t="s">
        <v>4</v>
      </c>
      <c r="B5" s="17">
        <v>1.65</v>
      </c>
      <c r="C5" s="17">
        <f>B5*2</f>
        <v>3.3</v>
      </c>
      <c r="D5" s="17">
        <f>B5*3</f>
        <v>4.9499999999999993</v>
      </c>
      <c r="E5" s="17">
        <f>B5*4</f>
        <v>6.6</v>
      </c>
      <c r="F5" s="17">
        <f>B5*5</f>
        <v>8.25</v>
      </c>
      <c r="G5" s="17">
        <f>B5*6</f>
        <v>9.8999999999999986</v>
      </c>
      <c r="M5" s="19" t="s">
        <v>81</v>
      </c>
      <c r="N5" t="s">
        <v>54</v>
      </c>
      <c r="O5">
        <f>B9*12</f>
        <v>672</v>
      </c>
      <c r="P5" t="s">
        <v>312</v>
      </c>
    </row>
    <row r="6" spans="1:19" ht="16.5" thickTop="1" thickBot="1" x14ac:dyDescent="0.3">
      <c r="A6" s="10" t="s">
        <v>5</v>
      </c>
      <c r="B6" s="17">
        <v>1.1000000000000001</v>
      </c>
      <c r="C6" s="17">
        <f t="shared" ref="C6:C7" si="0">B6*2</f>
        <v>2.2000000000000002</v>
      </c>
      <c r="D6" s="17">
        <f t="shared" ref="D6:D7" si="1">B6*3</f>
        <v>3.3000000000000003</v>
      </c>
      <c r="E6" s="17">
        <f t="shared" ref="E6:E7" si="2">B6*4</f>
        <v>4.4000000000000004</v>
      </c>
      <c r="F6" s="17">
        <f t="shared" ref="F6:F7" si="3">B6*5</f>
        <v>5.5</v>
      </c>
      <c r="G6" s="17">
        <f t="shared" ref="G6:G7" si="4">B6*6</f>
        <v>6.6000000000000005</v>
      </c>
      <c r="M6" s="18" t="s">
        <v>82</v>
      </c>
      <c r="N6" t="s">
        <v>313</v>
      </c>
      <c r="O6">
        <f>B9*3</f>
        <v>168</v>
      </c>
      <c r="P6" t="s">
        <v>314</v>
      </c>
    </row>
    <row r="7" spans="1:19" ht="16.5" thickTop="1" thickBot="1" x14ac:dyDescent="0.3">
      <c r="A7" s="10" t="s">
        <v>6</v>
      </c>
      <c r="B7" s="17">
        <v>0.65</v>
      </c>
      <c r="C7" s="17">
        <f t="shared" si="0"/>
        <v>1.3</v>
      </c>
      <c r="D7" s="17">
        <f t="shared" si="1"/>
        <v>1.9500000000000002</v>
      </c>
      <c r="E7" s="17">
        <f t="shared" si="2"/>
        <v>2.6</v>
      </c>
      <c r="F7" s="17">
        <f t="shared" si="3"/>
        <v>3.25</v>
      </c>
      <c r="G7" s="17">
        <f t="shared" si="4"/>
        <v>3.9000000000000004</v>
      </c>
    </row>
    <row r="8" spans="1:19" ht="15.75" thickTop="1" x14ac:dyDescent="0.25"/>
    <row r="9" spans="1:19" x14ac:dyDescent="0.25">
      <c r="A9" t="s">
        <v>35</v>
      </c>
      <c r="B9">
        <v>56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A12" s="5" t="s">
        <v>96</v>
      </c>
      <c r="B12" s="10" t="s">
        <v>34</v>
      </c>
      <c r="C12" s="10" t="s">
        <v>37</v>
      </c>
      <c r="D12" s="10">
        <v>1</v>
      </c>
      <c r="E12" s="10">
        <v>2</v>
      </c>
      <c r="F12" s="10">
        <v>10</v>
      </c>
      <c r="M12" s="4" t="s">
        <v>22</v>
      </c>
      <c r="N12" s="9" t="s">
        <v>73</v>
      </c>
      <c r="O12" s="9" t="s">
        <v>73</v>
      </c>
      <c r="P12" s="9" t="s">
        <v>74</v>
      </c>
      <c r="Q12" s="9" t="s">
        <v>75</v>
      </c>
      <c r="R12" s="9" t="s">
        <v>29</v>
      </c>
      <c r="S12" s="9" t="s">
        <v>31</v>
      </c>
    </row>
    <row r="13" spans="1:19" ht="16.5" thickTop="1" thickBot="1" x14ac:dyDescent="0.3">
      <c r="A13" s="10" t="s">
        <v>12</v>
      </c>
      <c r="B13" s="9">
        <v>21</v>
      </c>
      <c r="C13" s="9">
        <f>B13+$B$9*($B$10+1)*B5</f>
        <v>205.79999999999998</v>
      </c>
      <c r="D13" s="9">
        <v>24</v>
      </c>
      <c r="E13" s="9">
        <v>28</v>
      </c>
      <c r="F13" s="9">
        <v>54</v>
      </c>
      <c r="M13" s="7" t="s">
        <v>47</v>
      </c>
      <c r="N13" s="9" t="s">
        <v>30</v>
      </c>
      <c r="O13" s="9" t="s">
        <v>76</v>
      </c>
      <c r="P13" s="9" t="s">
        <v>73</v>
      </c>
      <c r="Q13" s="9" t="s">
        <v>77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16</v>
      </c>
      <c r="C14" s="9">
        <f>B14+$B$9*($B$10+1)*B6</f>
        <v>139.20000000000002</v>
      </c>
      <c r="D14" s="9">
        <v>18</v>
      </c>
      <c r="E14" s="9">
        <v>20</v>
      </c>
      <c r="F14" s="9">
        <v>38</v>
      </c>
      <c r="M14" s="7" t="s">
        <v>48</v>
      </c>
      <c r="N14" s="9" t="s">
        <v>97</v>
      </c>
      <c r="O14" s="9" t="s">
        <v>68</v>
      </c>
      <c r="P14" s="9" t="s">
        <v>78</v>
      </c>
      <c r="Q14" s="9" t="s">
        <v>78</v>
      </c>
      <c r="R14" s="9" t="s">
        <v>98</v>
      </c>
      <c r="S14" s="9" t="s">
        <v>99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85.8</v>
      </c>
      <c r="D15" s="9">
        <v>14</v>
      </c>
      <c r="E15" s="9">
        <v>16</v>
      </c>
      <c r="F15" s="9">
        <v>26</v>
      </c>
      <c r="M15" s="19" t="s">
        <v>49</v>
      </c>
      <c r="N15" s="9" t="s">
        <v>100</v>
      </c>
      <c r="O15" s="9" t="s">
        <v>101</v>
      </c>
      <c r="P15" s="9" t="s">
        <v>102</v>
      </c>
      <c r="Q15" s="9" t="s">
        <v>103</v>
      </c>
      <c r="R15" s="9" t="s">
        <v>58</v>
      </c>
      <c r="S15" s="9" t="s">
        <v>104</v>
      </c>
    </row>
    <row r="16" spans="1:19" ht="16.5" thickTop="1" thickBot="1" x14ac:dyDescent="0.3">
      <c r="A16" s="10" t="s">
        <v>14</v>
      </c>
      <c r="B16" s="9">
        <v>174</v>
      </c>
      <c r="C16" s="9">
        <f>ROUNDDOWN(B16+C13*Common!$B$1,0)</f>
        <v>3878</v>
      </c>
      <c r="D16" s="9">
        <v>611</v>
      </c>
      <c r="E16" s="9">
        <v>671</v>
      </c>
      <c r="F16" s="9">
        <v>1146</v>
      </c>
      <c r="M16" s="19" t="s">
        <v>50</v>
      </c>
      <c r="N16" s="9" t="s">
        <v>105</v>
      </c>
      <c r="O16" s="9" t="s">
        <v>106</v>
      </c>
      <c r="P16" s="9" t="s">
        <v>107</v>
      </c>
      <c r="Q16" s="9" t="s">
        <v>61</v>
      </c>
      <c r="R16" s="9" t="s">
        <v>108</v>
      </c>
      <c r="S16" s="9" t="s">
        <v>99</v>
      </c>
    </row>
    <row r="17" spans="1:19" ht="16.5" thickTop="1" thickBot="1" x14ac:dyDescent="0.3">
      <c r="A17" s="10" t="s">
        <v>15</v>
      </c>
      <c r="B17" s="9">
        <v>23</v>
      </c>
      <c r="C17" s="9">
        <f>ROUND(B17+C13+C15*Common!$B$2,0)</f>
        <v>263</v>
      </c>
      <c r="D17" s="9">
        <v>52</v>
      </c>
      <c r="E17" s="9">
        <v>56</v>
      </c>
      <c r="F17" s="9">
        <v>87</v>
      </c>
      <c r="M17" s="19" t="s">
        <v>51</v>
      </c>
      <c r="N17" s="9" t="s">
        <v>109</v>
      </c>
      <c r="O17" s="9" t="s">
        <v>110</v>
      </c>
      <c r="P17" s="9" t="s">
        <v>111</v>
      </c>
      <c r="Q17" s="9" t="s">
        <v>112</v>
      </c>
      <c r="R17" s="9" t="s">
        <v>68</v>
      </c>
      <c r="S17" s="9" t="s">
        <v>104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334</v>
      </c>
      <c r="D18" s="9">
        <v>44</v>
      </c>
      <c r="E18" s="9">
        <v>49</v>
      </c>
      <c r="F18" s="9">
        <v>91</v>
      </c>
      <c r="M18" s="18" t="s">
        <v>52</v>
      </c>
      <c r="N18" s="9" t="s">
        <v>113</v>
      </c>
      <c r="O18" s="9" t="s">
        <v>105</v>
      </c>
      <c r="P18" s="9" t="s">
        <v>100</v>
      </c>
      <c r="Q18" s="9" t="s">
        <v>97</v>
      </c>
      <c r="R18" s="9" t="s">
        <v>103</v>
      </c>
      <c r="S18" s="9" t="s">
        <v>114</v>
      </c>
    </row>
    <row r="19" spans="1:19" ht="16.5" thickTop="1" thickBot="1" x14ac:dyDescent="0.3">
      <c r="A19" s="10" t="s">
        <v>17</v>
      </c>
      <c r="B19" s="14">
        <v>-1</v>
      </c>
      <c r="C19" s="15">
        <f>B19+ROUND(C13/7,0)+ROUND(C15/14,0)</f>
        <v>34</v>
      </c>
      <c r="D19" s="15">
        <v>3</v>
      </c>
      <c r="E19" s="15">
        <v>4</v>
      </c>
      <c r="F19" s="15">
        <v>9</v>
      </c>
      <c r="G19" s="3"/>
      <c r="H19" s="3"/>
      <c r="I19" s="3"/>
      <c r="M19" s="18" t="s">
        <v>53</v>
      </c>
      <c r="N19" s="9" t="s">
        <v>115</v>
      </c>
      <c r="O19" s="9" t="s">
        <v>116</v>
      </c>
      <c r="P19" s="9" t="s">
        <v>106</v>
      </c>
      <c r="Q19" s="9" t="s">
        <v>117</v>
      </c>
      <c r="R19" s="9" t="s">
        <v>68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14</v>
      </c>
      <c r="D20" s="9">
        <v>2</v>
      </c>
      <c r="E20" s="9">
        <v>2</v>
      </c>
      <c r="F20" s="9">
        <v>4</v>
      </c>
      <c r="M20" s="18" t="s">
        <v>118</v>
      </c>
      <c r="N20" s="9" t="s">
        <v>120</v>
      </c>
      <c r="O20" s="9" t="s">
        <v>121</v>
      </c>
      <c r="P20" s="9" t="s">
        <v>110</v>
      </c>
      <c r="Q20" s="9" t="s">
        <v>122</v>
      </c>
      <c r="R20" s="9" t="s">
        <v>112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34.32</v>
      </c>
      <c r="D21" s="9">
        <v>6</v>
      </c>
      <c r="E21" s="9">
        <v>6</v>
      </c>
      <c r="F21" s="9">
        <v>10</v>
      </c>
      <c r="M21" s="18" t="s">
        <v>119</v>
      </c>
      <c r="N21" s="9" t="s">
        <v>123</v>
      </c>
      <c r="O21" s="9" t="s">
        <v>124</v>
      </c>
      <c r="P21" s="9" t="s">
        <v>125</v>
      </c>
      <c r="Q21" s="9" t="s">
        <v>100</v>
      </c>
      <c r="R21" s="9" t="s">
        <v>68</v>
      </c>
      <c r="S21" s="9" t="s">
        <v>114</v>
      </c>
    </row>
    <row r="22" spans="1:19" ht="15.75" thickTop="1" x14ac:dyDescent="0.25">
      <c r="M22" s="18" t="s">
        <v>589</v>
      </c>
      <c r="N22" s="9" t="s">
        <v>591</v>
      </c>
      <c r="O22" s="9" t="s">
        <v>592</v>
      </c>
      <c r="P22" s="9" t="s">
        <v>115</v>
      </c>
      <c r="Q22" s="9" t="s">
        <v>197</v>
      </c>
      <c r="R22" s="9" t="s">
        <v>186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595</v>
      </c>
      <c r="P23" s="9" t="s">
        <v>596</v>
      </c>
      <c r="Q23" s="9" t="s">
        <v>597</v>
      </c>
      <c r="R23" s="9" t="s">
        <v>598</v>
      </c>
      <c r="S23" s="9" t="s">
        <v>593</v>
      </c>
    </row>
  </sheetData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21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168</v>
      </c>
      <c r="N3" s="9" t="s">
        <v>173</v>
      </c>
      <c r="O3" s="9">
        <f>B9*5</f>
        <v>50</v>
      </c>
      <c r="P3" s="9"/>
      <c r="Q3" s="9" t="s">
        <v>172</v>
      </c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169</v>
      </c>
      <c r="N4" s="9" t="s">
        <v>54</v>
      </c>
      <c r="O4" s="9">
        <f>11*B9</f>
        <v>110</v>
      </c>
      <c r="P4" s="9"/>
      <c r="Q4" s="9" t="s">
        <v>174</v>
      </c>
      <c r="R4" s="9"/>
      <c r="S4" s="9"/>
    </row>
    <row r="5" spans="1:19" ht="16.5" thickTop="1" thickBot="1" x14ac:dyDescent="0.3">
      <c r="A5" s="10" t="s">
        <v>4</v>
      </c>
      <c r="B5" s="17">
        <v>0.6</v>
      </c>
      <c r="C5" s="17">
        <f>B5*2</f>
        <v>1.2</v>
      </c>
      <c r="D5" s="17">
        <f>B5*3</f>
        <v>1.7999999999999998</v>
      </c>
      <c r="E5" s="17">
        <f>B5*4</f>
        <v>2.4</v>
      </c>
      <c r="F5" s="17">
        <f>B5*5</f>
        <v>3</v>
      </c>
      <c r="G5" s="17">
        <f>B5*6</f>
        <v>3.5999999999999996</v>
      </c>
      <c r="M5" s="19" t="s">
        <v>170</v>
      </c>
      <c r="N5" s="9" t="s">
        <v>209</v>
      </c>
      <c r="O5" s="9">
        <f>B9</f>
        <v>10</v>
      </c>
      <c r="P5" s="9"/>
      <c r="Q5" s="9" t="s">
        <v>213</v>
      </c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171</v>
      </c>
      <c r="N6" s="9" t="s">
        <v>214</v>
      </c>
      <c r="O6" s="9">
        <f>B9*0.5</f>
        <v>5</v>
      </c>
      <c r="P6" s="9"/>
      <c r="Q6" s="9" t="s">
        <v>215</v>
      </c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s="4" t="s">
        <v>22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126</v>
      </c>
      <c r="S12" s="9" t="s">
        <v>32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27</v>
      </c>
      <c r="D13" s="9">
        <v>16</v>
      </c>
      <c r="E13" s="9">
        <v>27</v>
      </c>
      <c r="M13" s="7" t="s">
        <v>47</v>
      </c>
      <c r="N13" s="9" t="s">
        <v>127</v>
      </c>
      <c r="O13" s="9" t="s">
        <v>128</v>
      </c>
      <c r="P13" s="9" t="s">
        <v>58</v>
      </c>
      <c r="Q13" s="9" t="s">
        <v>98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43</v>
      </c>
      <c r="D14" s="9">
        <v>16</v>
      </c>
      <c r="E14" s="9">
        <v>43</v>
      </c>
      <c r="M14" s="7" t="s">
        <v>48</v>
      </c>
      <c r="N14" s="9" t="s">
        <v>129</v>
      </c>
      <c r="O14" s="9" t="s">
        <v>130</v>
      </c>
      <c r="P14" s="9" t="s">
        <v>61</v>
      </c>
      <c r="Q14" s="9" t="s">
        <v>131</v>
      </c>
      <c r="R14" s="9" t="s">
        <v>126</v>
      </c>
      <c r="S14" s="9" t="s">
        <v>59</v>
      </c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37</v>
      </c>
      <c r="D15" s="9">
        <v>19</v>
      </c>
      <c r="E15" s="9">
        <v>37</v>
      </c>
      <c r="M15" s="19" t="s">
        <v>49</v>
      </c>
      <c r="N15" s="9" t="s">
        <v>132</v>
      </c>
      <c r="O15" s="9" t="s">
        <v>133</v>
      </c>
      <c r="P15" s="9" t="s">
        <v>134</v>
      </c>
      <c r="Q15" s="9" t="s">
        <v>102</v>
      </c>
      <c r="R15" s="9" t="s">
        <v>135</v>
      </c>
      <c r="S15" s="9" t="s">
        <v>136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652</v>
      </c>
      <c r="D16" s="9">
        <v>458</v>
      </c>
      <c r="E16" s="9">
        <v>652</v>
      </c>
      <c r="M16" s="19" t="s">
        <v>50</v>
      </c>
      <c r="N16" s="9" t="s">
        <v>137</v>
      </c>
      <c r="O16" s="9" t="s">
        <v>138</v>
      </c>
      <c r="P16" s="9" t="s">
        <v>139</v>
      </c>
      <c r="Q16" s="9" t="s">
        <v>129</v>
      </c>
      <c r="R16" s="9" t="s">
        <v>140</v>
      </c>
      <c r="S16" s="9" t="s">
        <v>104</v>
      </c>
    </row>
    <row r="17" spans="1:19" ht="16.5" thickTop="1" thickBot="1" x14ac:dyDescent="0.3">
      <c r="A17" s="10" t="s">
        <v>15</v>
      </c>
      <c r="B17" s="9">
        <v>28</v>
      </c>
      <c r="C17" s="9">
        <f>ROUND(B17+C14+C15*Common!$B$2,0)</f>
        <v>86</v>
      </c>
      <c r="D17" s="9">
        <v>52</v>
      </c>
      <c r="E17" s="9">
        <v>86</v>
      </c>
      <c r="M17" s="19" t="s">
        <v>51</v>
      </c>
      <c r="N17" s="9" t="s">
        <v>116</v>
      </c>
      <c r="O17" s="9" t="s">
        <v>141</v>
      </c>
      <c r="P17" s="9" t="s">
        <v>110</v>
      </c>
      <c r="Q17" s="9" t="s">
        <v>142</v>
      </c>
      <c r="R17" s="9" t="s">
        <v>126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103</v>
      </c>
      <c r="D18" s="9">
        <v>39</v>
      </c>
      <c r="E18" s="9">
        <v>104</v>
      </c>
      <c r="M18" s="18" t="s">
        <v>52</v>
      </c>
      <c r="N18" s="9" t="s">
        <v>144</v>
      </c>
      <c r="O18" s="9" t="s">
        <v>145</v>
      </c>
      <c r="P18" s="9" t="s">
        <v>146</v>
      </c>
      <c r="Q18" s="9" t="s">
        <v>112</v>
      </c>
      <c r="R18" s="9" t="s">
        <v>147</v>
      </c>
      <c r="S18" s="9" t="s">
        <v>143</v>
      </c>
    </row>
    <row r="19" spans="1:19" ht="16.5" thickTop="1" thickBot="1" x14ac:dyDescent="0.3">
      <c r="A19" s="10" t="s">
        <v>17</v>
      </c>
      <c r="B19" s="14">
        <v>0</v>
      </c>
      <c r="C19" s="15">
        <f>B19+ROUND(C13/7,0)+ROUND(C15/14,0)</f>
        <v>7</v>
      </c>
      <c r="D19" s="15">
        <v>4</v>
      </c>
      <c r="E19" s="15">
        <v>7</v>
      </c>
      <c r="F19" s="3"/>
      <c r="G19" s="3"/>
      <c r="H19" s="3"/>
      <c r="I19" s="3"/>
      <c r="M19" s="18" t="s">
        <v>53</v>
      </c>
      <c r="N19" s="9" t="s">
        <v>115</v>
      </c>
      <c r="O19" s="9" t="s">
        <v>148</v>
      </c>
      <c r="P19" s="9" t="s">
        <v>149</v>
      </c>
      <c r="Q19" s="9" t="s">
        <v>103</v>
      </c>
      <c r="R19" s="9" t="s">
        <v>127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>
        <v>4</v>
      </c>
      <c r="M20" s="18" t="s">
        <v>118</v>
      </c>
      <c r="N20" s="9" t="s">
        <v>150</v>
      </c>
      <c r="O20" s="9" t="s">
        <v>113</v>
      </c>
      <c r="P20" s="9" t="s">
        <v>151</v>
      </c>
      <c r="Q20" s="9" t="s">
        <v>129</v>
      </c>
      <c r="R20" s="9" t="s">
        <v>139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14.8</v>
      </c>
      <c r="D21" s="9">
        <v>8</v>
      </c>
      <c r="E21" s="9">
        <v>15</v>
      </c>
      <c r="M21" s="18" t="s">
        <v>119</v>
      </c>
      <c r="N21" s="9" t="s">
        <v>152</v>
      </c>
      <c r="O21" s="9" t="s">
        <v>116</v>
      </c>
      <c r="P21" s="9" t="s">
        <v>144</v>
      </c>
      <c r="Q21" s="9" t="s">
        <v>146</v>
      </c>
      <c r="R21" s="9" t="s">
        <v>132</v>
      </c>
      <c r="S21" s="9" t="s">
        <v>114</v>
      </c>
    </row>
    <row r="22" spans="1:19" ht="15.75" thickTop="1" x14ac:dyDescent="0.25">
      <c r="M22" s="18" t="s">
        <v>589</v>
      </c>
      <c r="N22" s="9" t="s">
        <v>599</v>
      </c>
      <c r="O22" s="9" t="s">
        <v>600</v>
      </c>
      <c r="P22" s="9" t="s">
        <v>601</v>
      </c>
      <c r="Q22" s="9" t="s">
        <v>186</v>
      </c>
      <c r="R22" s="9" t="s">
        <v>161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602</v>
      </c>
      <c r="P23" s="9" t="s">
        <v>603</v>
      </c>
      <c r="Q23" s="9" t="s">
        <v>604</v>
      </c>
      <c r="R23" s="9" t="s">
        <v>151</v>
      </c>
      <c r="S23" s="9" t="s">
        <v>593</v>
      </c>
    </row>
    <row r="27" spans="1:19" x14ac:dyDescent="0.25">
      <c r="I27">
        <v>150</v>
      </c>
      <c r="J27">
        <v>65</v>
      </c>
      <c r="K27">
        <v>230</v>
      </c>
      <c r="L27">
        <f>K27/(I27-J27)</f>
        <v>2.7058823529411766</v>
      </c>
      <c r="M27">
        <v>2.7</v>
      </c>
      <c r="N27">
        <f>K27/$M$27+J27</f>
        <v>150.18518518518516</v>
      </c>
    </row>
    <row r="28" spans="1:19" x14ac:dyDescent="0.25">
      <c r="I28">
        <v>155</v>
      </c>
      <c r="J28">
        <v>65</v>
      </c>
      <c r="K28">
        <v>242</v>
      </c>
      <c r="L28">
        <f t="shared" ref="L28:L33" si="5">K28/(I28-J28)</f>
        <v>2.6888888888888891</v>
      </c>
      <c r="M28">
        <v>2.68</v>
      </c>
      <c r="N28">
        <f t="shared" ref="N28:N33" si="6">K28/$M$27+J28</f>
        <v>154.62962962962962</v>
      </c>
    </row>
    <row r="29" spans="1:19" x14ac:dyDescent="0.25">
      <c r="I29">
        <v>159</v>
      </c>
      <c r="J29">
        <v>65</v>
      </c>
      <c r="K29">
        <v>256</v>
      </c>
      <c r="L29">
        <f t="shared" si="5"/>
        <v>2.7234042553191489</v>
      </c>
      <c r="N29">
        <f t="shared" si="6"/>
        <v>159.81481481481481</v>
      </c>
    </row>
    <row r="30" spans="1:19" x14ac:dyDescent="0.25">
      <c r="I30">
        <v>161</v>
      </c>
      <c r="J30">
        <v>65</v>
      </c>
      <c r="K30">
        <v>263</v>
      </c>
      <c r="L30">
        <f t="shared" si="5"/>
        <v>2.7395833333333335</v>
      </c>
      <c r="N30">
        <f t="shared" si="6"/>
        <v>162.40740740740739</v>
      </c>
    </row>
    <row r="31" spans="1:19" x14ac:dyDescent="0.25">
      <c r="I31">
        <v>166</v>
      </c>
      <c r="J31">
        <v>70</v>
      </c>
      <c r="K31">
        <v>263</v>
      </c>
      <c r="L31">
        <f t="shared" si="5"/>
        <v>2.7395833333333335</v>
      </c>
      <c r="N31">
        <f t="shared" si="6"/>
        <v>167.40740740740739</v>
      </c>
    </row>
    <row r="32" spans="1:19" x14ac:dyDescent="0.25">
      <c r="I32">
        <v>175</v>
      </c>
      <c r="J32">
        <v>70</v>
      </c>
      <c r="K32">
        <v>299</v>
      </c>
      <c r="L32">
        <f t="shared" si="5"/>
        <v>2.8476190476190477</v>
      </c>
      <c r="N32">
        <f t="shared" si="6"/>
        <v>180.74074074074073</v>
      </c>
    </row>
    <row r="33" spans="9:14" x14ac:dyDescent="0.25">
      <c r="I33">
        <v>177</v>
      </c>
      <c r="J33">
        <v>70</v>
      </c>
      <c r="K33">
        <v>306</v>
      </c>
      <c r="L33">
        <f t="shared" si="5"/>
        <v>2.8598130841121496</v>
      </c>
      <c r="N33">
        <f t="shared" si="6"/>
        <v>183.33333333333331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/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/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1.1499999999999999</v>
      </c>
      <c r="C5" s="17">
        <f>B5*2</f>
        <v>2.2999999999999998</v>
      </c>
      <c r="D5" s="17">
        <f>B5*3</f>
        <v>3.4499999999999997</v>
      </c>
      <c r="E5" s="17">
        <f>B5*4</f>
        <v>4.5999999999999996</v>
      </c>
      <c r="F5" s="17">
        <f>B5*5</f>
        <v>5.75</v>
      </c>
      <c r="G5" s="17">
        <f>B5*6</f>
        <v>6.8999999999999995</v>
      </c>
      <c r="M5" s="19"/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1.4</v>
      </c>
      <c r="C6" s="17">
        <f t="shared" ref="C6:C7" si="0">B6*2</f>
        <v>2.8</v>
      </c>
      <c r="D6" s="17">
        <f t="shared" ref="D6:D7" si="1">B6*3</f>
        <v>4.1999999999999993</v>
      </c>
      <c r="E6" s="17">
        <f t="shared" ref="E6:E7" si="2">B6*4</f>
        <v>5.6</v>
      </c>
      <c r="F6" s="17">
        <f t="shared" ref="F6:F7" si="3">B6*5</f>
        <v>7</v>
      </c>
      <c r="G6" s="17">
        <f t="shared" ref="G6:G7" si="4">B6*6</f>
        <v>8.3999999999999986</v>
      </c>
      <c r="M6" s="18"/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0.6</v>
      </c>
      <c r="C7" s="17">
        <f t="shared" si="0"/>
        <v>1.2</v>
      </c>
      <c r="D7" s="17">
        <f t="shared" si="1"/>
        <v>1.7999999999999998</v>
      </c>
      <c r="E7" s="17">
        <f t="shared" si="2"/>
        <v>2.4</v>
      </c>
      <c r="F7" s="17">
        <f t="shared" si="3"/>
        <v>3</v>
      </c>
      <c r="G7" s="17">
        <f t="shared" si="4"/>
        <v>3.5999999999999996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20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74</v>
      </c>
      <c r="R12" s="9" t="s">
        <v>330</v>
      </c>
      <c r="S12" s="9" t="s">
        <v>32</v>
      </c>
    </row>
    <row r="13" spans="1:19" ht="16.5" thickTop="1" thickBot="1" x14ac:dyDescent="0.3">
      <c r="A13" s="10" t="s">
        <v>12</v>
      </c>
      <c r="B13" s="9">
        <v>22</v>
      </c>
      <c r="C13" s="9">
        <f>B13+$B$9*($B$10+1)*B5</f>
        <v>91</v>
      </c>
      <c r="D13" s="9"/>
      <c r="E13" s="9">
        <v>91</v>
      </c>
      <c r="M13" s="7" t="s">
        <v>47</v>
      </c>
      <c r="N13" s="9" t="s">
        <v>61</v>
      </c>
      <c r="O13" s="9" t="s">
        <v>58</v>
      </c>
      <c r="P13" s="9" t="s">
        <v>566</v>
      </c>
      <c r="Q13" s="9" t="s">
        <v>566</v>
      </c>
      <c r="R13" s="9" t="s">
        <v>75</v>
      </c>
      <c r="S13" s="9" t="s">
        <v>59</v>
      </c>
    </row>
    <row r="14" spans="1:19" ht="16.5" thickTop="1" thickBot="1" x14ac:dyDescent="0.3">
      <c r="A14" s="10" t="s">
        <v>13</v>
      </c>
      <c r="B14" s="9">
        <v>25</v>
      </c>
      <c r="C14" s="9">
        <f>B14+$B$9*($B$10+1)*B6</f>
        <v>109</v>
      </c>
      <c r="D14" s="9"/>
      <c r="E14" s="9">
        <v>109</v>
      </c>
      <c r="M14" s="7" t="s">
        <v>48</v>
      </c>
      <c r="N14" s="9" t="s">
        <v>129</v>
      </c>
      <c r="O14" s="9" t="s">
        <v>102</v>
      </c>
      <c r="P14" s="9" t="s">
        <v>247</v>
      </c>
      <c r="Q14" s="9" t="s">
        <v>127</v>
      </c>
      <c r="R14" s="9" t="s">
        <v>131</v>
      </c>
      <c r="S14" s="9" t="s">
        <v>59</v>
      </c>
    </row>
    <row r="15" spans="1:19" ht="16.5" thickTop="1" thickBot="1" x14ac:dyDescent="0.3">
      <c r="A15" s="10" t="s">
        <v>1</v>
      </c>
      <c r="B15" s="9">
        <v>9</v>
      </c>
      <c r="C15" s="9">
        <f>B15+$B$9*($B$10+1)*B7</f>
        <v>45</v>
      </c>
      <c r="D15" s="9"/>
      <c r="E15" s="9">
        <v>45</v>
      </c>
      <c r="M15" s="19" t="s">
        <v>49</v>
      </c>
      <c r="N15" s="9" t="s">
        <v>250</v>
      </c>
      <c r="O15" s="9" t="s">
        <v>146</v>
      </c>
      <c r="P15" s="24" t="s">
        <v>248</v>
      </c>
      <c r="Q15" s="9" t="s">
        <v>246</v>
      </c>
      <c r="R15" s="9" t="s">
        <v>147</v>
      </c>
      <c r="S15" s="9" t="s">
        <v>136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1807</v>
      </c>
      <c r="D16" s="9"/>
      <c r="E16" s="9">
        <v>1807</v>
      </c>
      <c r="M16" s="19" t="s">
        <v>50</v>
      </c>
      <c r="N16" s="9" t="s">
        <v>567</v>
      </c>
      <c r="O16" s="9" t="s">
        <v>183</v>
      </c>
      <c r="P16" s="9" t="s">
        <v>154</v>
      </c>
      <c r="Q16" s="9" t="s">
        <v>65</v>
      </c>
      <c r="R16" s="9" t="s">
        <v>568</v>
      </c>
      <c r="S16" s="9" t="s">
        <v>136</v>
      </c>
    </row>
    <row r="17" spans="1:19" ht="16.5" thickTop="1" thickBot="1" x14ac:dyDescent="0.3">
      <c r="A17" s="10" t="s">
        <v>15</v>
      </c>
      <c r="B17" s="9">
        <v>18</v>
      </c>
      <c r="C17" s="9">
        <f>ROUND(B17+C14+C15*Common!$B$2,0)</f>
        <v>145</v>
      </c>
      <c r="D17" s="9"/>
      <c r="E17" s="9">
        <v>145</v>
      </c>
      <c r="M17" s="19" t="s">
        <v>51</v>
      </c>
      <c r="N17" s="9" t="s">
        <v>144</v>
      </c>
      <c r="O17" s="9" t="s">
        <v>151</v>
      </c>
      <c r="P17" s="9" t="s">
        <v>237</v>
      </c>
      <c r="Q17" s="9" t="s">
        <v>131</v>
      </c>
      <c r="R17" s="9" t="s">
        <v>566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262</v>
      </c>
      <c r="D18" s="9"/>
      <c r="E18" s="9">
        <v>262</v>
      </c>
      <c r="M18" s="18" t="s">
        <v>52</v>
      </c>
      <c r="N18" s="9" t="s">
        <v>116</v>
      </c>
      <c r="O18" s="9" t="s">
        <v>184</v>
      </c>
      <c r="P18" s="9" t="s">
        <v>110</v>
      </c>
      <c r="Q18" s="9" t="s">
        <v>253</v>
      </c>
      <c r="R18" s="9" t="s">
        <v>112</v>
      </c>
      <c r="S18" s="9" t="s">
        <v>114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16</v>
      </c>
      <c r="D19" s="9"/>
      <c r="E19" s="9">
        <v>16</v>
      </c>
      <c r="M19" s="18" t="s">
        <v>53</v>
      </c>
      <c r="N19" s="9" t="s">
        <v>152</v>
      </c>
      <c r="O19" s="9" t="s">
        <v>113</v>
      </c>
      <c r="P19" s="9" t="s">
        <v>155</v>
      </c>
      <c r="Q19" s="9" t="s">
        <v>250</v>
      </c>
      <c r="R19" s="9" t="s">
        <v>566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11</v>
      </c>
      <c r="D20" s="9"/>
      <c r="E20" s="9">
        <v>11</v>
      </c>
      <c r="M20" s="18" t="s">
        <v>118</v>
      </c>
      <c r="N20" s="9" t="s">
        <v>185</v>
      </c>
      <c r="O20" s="9" t="s">
        <v>194</v>
      </c>
      <c r="P20" s="9" t="s">
        <v>159</v>
      </c>
      <c r="Q20" s="9" t="s">
        <v>247</v>
      </c>
      <c r="R20" s="9" t="s">
        <v>566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</v>
      </c>
      <c r="D21" s="9"/>
      <c r="E21" s="9">
        <v>18</v>
      </c>
      <c r="M21" s="18" t="s">
        <v>119</v>
      </c>
      <c r="N21" s="9" t="s">
        <v>115</v>
      </c>
      <c r="O21" s="9" t="s">
        <v>188</v>
      </c>
      <c r="P21" s="9" t="s">
        <v>113</v>
      </c>
      <c r="Q21" s="9" t="s">
        <v>162</v>
      </c>
      <c r="R21" s="9" t="s">
        <v>102</v>
      </c>
      <c r="S21" s="9" t="s">
        <v>114</v>
      </c>
    </row>
    <row r="22" spans="1:19" ht="15.75" thickTop="1" x14ac:dyDescent="0.25">
      <c r="M22" s="18" t="s">
        <v>589</v>
      </c>
      <c r="N22" s="9" t="s">
        <v>605</v>
      </c>
      <c r="O22" s="9" t="s">
        <v>635</v>
      </c>
      <c r="P22" s="23" t="s">
        <v>601</v>
      </c>
      <c r="Q22" s="9" t="s">
        <v>366</v>
      </c>
      <c r="R22" s="23" t="s">
        <v>603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606</v>
      </c>
      <c r="P23" s="9" t="s">
        <v>597</v>
      </c>
      <c r="Q23" s="9" t="s">
        <v>361</v>
      </c>
      <c r="R23" s="9" t="s">
        <v>186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9" customWidth="1"/>
    <col min="3" max="3" width="8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238</v>
      </c>
      <c r="N3" s="9" t="s">
        <v>407</v>
      </c>
      <c r="O3" s="9">
        <f>11*B9</f>
        <v>110</v>
      </c>
      <c r="P3" s="9" t="s">
        <v>408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239</v>
      </c>
      <c r="N4" s="9" t="s">
        <v>54</v>
      </c>
      <c r="O4" s="9">
        <f>20*B9</f>
        <v>200</v>
      </c>
      <c r="P4" s="9" t="s">
        <v>406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1.25</v>
      </c>
      <c r="C5" s="17">
        <f>B5*2</f>
        <v>2.5</v>
      </c>
      <c r="D5" s="17">
        <f>B5*3</f>
        <v>3.75</v>
      </c>
      <c r="E5" s="17">
        <f>B5*4</f>
        <v>5</v>
      </c>
      <c r="F5" s="17">
        <f>B5*5</f>
        <v>6.25</v>
      </c>
      <c r="G5" s="17">
        <f>B5*6</f>
        <v>7.5</v>
      </c>
      <c r="M5" s="19" t="s">
        <v>240</v>
      </c>
      <c r="N5" s="9" t="s">
        <v>404</v>
      </c>
      <c r="O5" s="9">
        <f>B9</f>
        <v>10</v>
      </c>
      <c r="P5" s="9" t="s">
        <v>405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1.8</v>
      </c>
      <c r="C6" s="17">
        <f t="shared" ref="C6:C7" si="0">B6*2</f>
        <v>3.6</v>
      </c>
      <c r="D6" s="17">
        <f t="shared" ref="D6:D7" si="1">B6*3</f>
        <v>5.4</v>
      </c>
      <c r="E6" s="17">
        <f t="shared" ref="E6:E7" si="2">B6*4</f>
        <v>7.2</v>
      </c>
      <c r="F6" s="17">
        <f t="shared" ref="F6:F7" si="3">B6*5</f>
        <v>9</v>
      </c>
      <c r="G6" s="17">
        <f t="shared" ref="G6:G7" si="4">B6*6</f>
        <v>10.8</v>
      </c>
      <c r="M6" s="18" t="s">
        <v>241</v>
      </c>
      <c r="N6" s="9" t="s">
        <v>403</v>
      </c>
      <c r="O6">
        <f>B9</f>
        <v>10</v>
      </c>
      <c r="P6" s="9" t="s">
        <v>402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0.5</v>
      </c>
      <c r="C7" s="17">
        <f t="shared" si="0"/>
        <v>1</v>
      </c>
      <c r="D7" s="17">
        <f t="shared" si="1"/>
        <v>1.5</v>
      </c>
      <c r="E7" s="17">
        <f t="shared" si="2"/>
        <v>2</v>
      </c>
      <c r="F7" s="17">
        <f t="shared" si="3"/>
        <v>2.5</v>
      </c>
      <c r="G7" s="17">
        <f t="shared" si="4"/>
        <v>3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12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73</v>
      </c>
      <c r="R12" s="9" t="s">
        <v>126</v>
      </c>
      <c r="S12" s="9" t="s">
        <v>74</v>
      </c>
    </row>
    <row r="13" spans="1:19" ht="16.5" thickTop="1" thickBot="1" x14ac:dyDescent="0.3">
      <c r="A13" s="10" t="s">
        <v>12</v>
      </c>
      <c r="B13" s="9">
        <v>16</v>
      </c>
      <c r="C13" s="9">
        <f>B13+$B$9*($B$10+1)*B5</f>
        <v>53.5</v>
      </c>
      <c r="D13" s="9">
        <v>20</v>
      </c>
      <c r="E13" s="9">
        <v>53</v>
      </c>
      <c r="F13" s="9">
        <v>61</v>
      </c>
      <c r="M13" s="7" t="s">
        <v>47</v>
      </c>
      <c r="N13" s="9" t="s">
        <v>236</v>
      </c>
      <c r="O13" s="9" t="s">
        <v>98</v>
      </c>
      <c r="P13" s="9" t="s">
        <v>58</v>
      </c>
      <c r="Q13" s="9" t="s">
        <v>98</v>
      </c>
      <c r="R13" s="9" t="s">
        <v>128</v>
      </c>
      <c r="S13" s="9" t="s">
        <v>59</v>
      </c>
    </row>
    <row r="14" spans="1:19" ht="16.5" thickTop="1" thickBot="1" x14ac:dyDescent="0.3">
      <c r="A14" s="10" t="s">
        <v>13</v>
      </c>
      <c r="B14" s="9">
        <v>22</v>
      </c>
      <c r="C14" s="9">
        <f>B14+$B$9*($B$10+1)*B6</f>
        <v>76</v>
      </c>
      <c r="D14" s="9">
        <v>27</v>
      </c>
      <c r="E14" s="9">
        <v>76</v>
      </c>
      <c r="F14" s="9">
        <v>87</v>
      </c>
      <c r="M14" s="7" t="s">
        <v>48</v>
      </c>
      <c r="N14" s="9" t="s">
        <v>142</v>
      </c>
      <c r="O14" s="9" t="s">
        <v>130</v>
      </c>
      <c r="P14" s="9" t="s">
        <v>129</v>
      </c>
      <c r="Q14" s="9" t="s">
        <v>127</v>
      </c>
      <c r="R14" s="9" t="s">
        <v>128</v>
      </c>
      <c r="S14" s="9" t="s">
        <v>59</v>
      </c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30</v>
      </c>
      <c r="D15" s="9">
        <v>17</v>
      </c>
      <c r="E15" s="9">
        <v>30</v>
      </c>
      <c r="F15" s="9">
        <v>33</v>
      </c>
      <c r="M15" s="19" t="s">
        <v>49</v>
      </c>
      <c r="N15" s="9" t="s">
        <v>154</v>
      </c>
      <c r="O15" s="9" t="s">
        <v>129</v>
      </c>
      <c r="P15" s="9" t="s">
        <v>130</v>
      </c>
      <c r="Q15" s="9" t="s">
        <v>131</v>
      </c>
      <c r="R15" s="9" t="s">
        <v>58</v>
      </c>
      <c r="S15" s="9" t="s">
        <v>59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1129</v>
      </c>
      <c r="D16" s="9">
        <v>519</v>
      </c>
      <c r="E16" s="9">
        <v>1126</v>
      </c>
      <c r="F16" s="9">
        <v>1261</v>
      </c>
      <c r="M16" s="19" t="s">
        <v>50</v>
      </c>
      <c r="N16" s="9" t="s">
        <v>183</v>
      </c>
      <c r="O16" s="9" t="s">
        <v>132</v>
      </c>
      <c r="P16" s="9" t="s">
        <v>142</v>
      </c>
      <c r="Q16" s="9" t="s">
        <v>133</v>
      </c>
      <c r="R16" s="9" t="s">
        <v>126</v>
      </c>
      <c r="S16" s="9" t="s">
        <v>136</v>
      </c>
    </row>
    <row r="17" spans="1:19" ht="16.5" thickTop="1" thickBot="1" x14ac:dyDescent="0.3">
      <c r="A17" s="10" t="s">
        <v>15</v>
      </c>
      <c r="B17" s="9">
        <v>28</v>
      </c>
      <c r="C17" s="9">
        <f>ROUND(B17+C14+C15*Common!$B$2,0)</f>
        <v>116</v>
      </c>
      <c r="D17" s="9">
        <v>51</v>
      </c>
      <c r="E17" s="9">
        <v>105</v>
      </c>
      <c r="F17" s="9">
        <v>117</v>
      </c>
      <c r="M17" s="19" t="s">
        <v>51</v>
      </c>
      <c r="N17" s="9" t="s">
        <v>144</v>
      </c>
      <c r="O17" s="9" t="s">
        <v>138</v>
      </c>
      <c r="P17" s="9" t="s">
        <v>237</v>
      </c>
      <c r="Q17" s="9" t="s">
        <v>131</v>
      </c>
      <c r="R17" s="9" t="s">
        <v>130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182</v>
      </c>
      <c r="D18" s="9">
        <v>66</v>
      </c>
      <c r="E18" s="9">
        <v>182</v>
      </c>
      <c r="F18" s="9">
        <v>208</v>
      </c>
      <c r="M18" s="18" t="s">
        <v>52</v>
      </c>
      <c r="N18" s="9" t="s">
        <v>184</v>
      </c>
      <c r="O18" s="9" t="s">
        <v>155</v>
      </c>
      <c r="P18" s="9" t="s">
        <v>146</v>
      </c>
      <c r="Q18" s="9" t="s">
        <v>147</v>
      </c>
      <c r="R18" s="9" t="s">
        <v>127</v>
      </c>
      <c r="S18" s="9" t="s">
        <v>136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10</v>
      </c>
      <c r="D19" s="9">
        <v>3</v>
      </c>
      <c r="E19" s="9">
        <v>9</v>
      </c>
      <c r="F19" s="9">
        <v>10</v>
      </c>
      <c r="M19" s="18" t="s">
        <v>53</v>
      </c>
      <c r="N19" s="9" t="s">
        <v>185</v>
      </c>
      <c r="O19" s="9" t="s">
        <v>149</v>
      </c>
      <c r="P19" s="9" t="s">
        <v>113</v>
      </c>
      <c r="Q19" s="9" t="s">
        <v>142</v>
      </c>
      <c r="R19" s="9" t="s">
        <v>130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8</v>
      </c>
      <c r="D20" s="9">
        <v>3</v>
      </c>
      <c r="E20" s="9">
        <v>8</v>
      </c>
      <c r="F20" s="9">
        <v>9</v>
      </c>
      <c r="M20" s="18" t="s">
        <v>118</v>
      </c>
      <c r="N20" s="9" t="s">
        <v>160</v>
      </c>
      <c r="O20" s="9" t="s">
        <v>159</v>
      </c>
      <c r="P20" s="9" t="s">
        <v>116</v>
      </c>
      <c r="Q20" s="9" t="s">
        <v>129</v>
      </c>
      <c r="R20" s="9" t="s">
        <v>140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12</v>
      </c>
      <c r="D21" s="9">
        <v>7</v>
      </c>
      <c r="E21" s="9">
        <v>12</v>
      </c>
      <c r="F21" s="9">
        <v>13</v>
      </c>
      <c r="M21" s="18" t="s">
        <v>119</v>
      </c>
      <c r="N21" s="9" t="s">
        <v>152</v>
      </c>
      <c r="O21" s="9" t="s">
        <v>162</v>
      </c>
      <c r="P21" s="9" t="s">
        <v>144</v>
      </c>
      <c r="Q21" s="9" t="s">
        <v>132</v>
      </c>
      <c r="R21" s="9" t="s">
        <v>130</v>
      </c>
      <c r="S21" s="9" t="s">
        <v>114</v>
      </c>
    </row>
    <row r="22" spans="1:19" ht="15.75" thickTop="1" x14ac:dyDescent="0.25">
      <c r="M22" s="18" t="s">
        <v>589</v>
      </c>
      <c r="N22" s="9" t="s">
        <v>605</v>
      </c>
      <c r="O22" s="9" t="s">
        <v>600</v>
      </c>
      <c r="P22" s="9" t="s">
        <v>603</v>
      </c>
      <c r="Q22" s="9" t="s">
        <v>160</v>
      </c>
      <c r="R22" s="23" t="s">
        <v>149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602</v>
      </c>
      <c r="P23" s="9" t="s">
        <v>619</v>
      </c>
      <c r="Q23" s="9" t="s">
        <v>621</v>
      </c>
      <c r="R23" s="9" t="s">
        <v>151</v>
      </c>
      <c r="S23" s="9" t="s">
        <v>593</v>
      </c>
    </row>
    <row r="25" spans="1:19" x14ac:dyDescent="0.25">
      <c r="A25" s="21" t="s">
        <v>264</v>
      </c>
    </row>
    <row r="26" spans="1:19" x14ac:dyDescent="0.25">
      <c r="A26" t="s">
        <v>419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3" width="9.140625" customWidth="1"/>
    <col min="4" max="4" width="7.7109375" customWidth="1"/>
    <col min="5" max="5" width="10" customWidth="1"/>
    <col min="6" max="6" width="10.7109375" customWidth="1"/>
    <col min="7" max="7" width="12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8.140625" customWidth="1"/>
    <col min="14" max="14" width="21" customWidth="1"/>
    <col min="15" max="15" width="13.5703125" customWidth="1"/>
    <col min="16" max="16" width="17.7109375" customWidth="1"/>
    <col min="17" max="17" width="13.5703125" customWidth="1"/>
    <col min="18" max="18" width="16" customWidth="1"/>
    <col min="19" max="19" width="14" customWidth="1"/>
  </cols>
  <sheetData>
    <row r="1" spans="1:19" x14ac:dyDescent="0.25">
      <c r="A1" t="s">
        <v>0</v>
      </c>
      <c r="B1" t="s">
        <v>71</v>
      </c>
      <c r="M1" t="s">
        <v>43</v>
      </c>
    </row>
    <row r="2" spans="1:19" x14ac:dyDescent="0.25">
      <c r="A2" t="s">
        <v>2</v>
      </c>
      <c r="B2" t="s">
        <v>72</v>
      </c>
    </row>
    <row r="3" spans="1:19" ht="15.75" thickBot="1" x14ac:dyDescent="0.3">
      <c r="M3" s="8" t="s">
        <v>163</v>
      </c>
      <c r="N3" s="9" t="s">
        <v>54</v>
      </c>
      <c r="O3" s="9">
        <f>B9*39.6</f>
        <v>396</v>
      </c>
      <c r="P3" s="9"/>
      <c r="Q3" s="9"/>
      <c r="R3" s="9" t="s">
        <v>221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164</v>
      </c>
      <c r="N4" s="9" t="s">
        <v>54</v>
      </c>
      <c r="O4" s="9">
        <f>10.56*B9</f>
        <v>105.60000000000001</v>
      </c>
      <c r="P4" s="9"/>
      <c r="Q4" s="9"/>
      <c r="R4" s="9" t="s">
        <v>222</v>
      </c>
      <c r="S4" s="9"/>
    </row>
    <row r="5" spans="1:19" ht="16.5" thickTop="1" thickBot="1" x14ac:dyDescent="0.3">
      <c r="A5" s="10" t="s">
        <v>4</v>
      </c>
      <c r="B5" s="20">
        <v>0.75</v>
      </c>
      <c r="C5" s="20">
        <f>B5*2</f>
        <v>1.5</v>
      </c>
      <c r="D5" s="20">
        <f>B5*3</f>
        <v>2.25</v>
      </c>
      <c r="E5" s="20">
        <f>B5*4</f>
        <v>3</v>
      </c>
      <c r="F5" s="20">
        <f>B5*5</f>
        <v>3.75</v>
      </c>
      <c r="G5" s="20">
        <f>B5*6</f>
        <v>4.5</v>
      </c>
      <c r="M5" s="19" t="s">
        <v>165</v>
      </c>
      <c r="N5" s="9" t="s">
        <v>54</v>
      </c>
      <c r="O5" s="9">
        <f>B9*11</f>
        <v>110</v>
      </c>
      <c r="P5" s="9" t="s">
        <v>217</v>
      </c>
      <c r="Q5" s="9">
        <f>B9</f>
        <v>10</v>
      </c>
      <c r="R5" s="9" t="s">
        <v>218</v>
      </c>
      <c r="S5" s="9"/>
    </row>
    <row r="6" spans="1:19" ht="16.5" thickTop="1" thickBot="1" x14ac:dyDescent="0.3">
      <c r="A6" s="10" t="s">
        <v>5</v>
      </c>
      <c r="B6" s="20">
        <v>1.6</v>
      </c>
      <c r="C6" s="20">
        <f t="shared" ref="C6:C7" si="0">B6*2</f>
        <v>3.2</v>
      </c>
      <c r="D6" s="20">
        <f t="shared" ref="D6:D7" si="1">B6*3</f>
        <v>4.8000000000000007</v>
      </c>
      <c r="E6" s="20">
        <f t="shared" ref="E6:E7" si="2">B6*4</f>
        <v>6.4</v>
      </c>
      <c r="F6" s="20">
        <f t="shared" ref="F6:F7" si="3">B6*5</f>
        <v>8</v>
      </c>
      <c r="G6" s="20">
        <f t="shared" ref="G6:G7" si="4">B6*6</f>
        <v>9.6000000000000014</v>
      </c>
      <c r="M6" s="18" t="s">
        <v>166</v>
      </c>
      <c r="N6" s="9" t="s">
        <v>220</v>
      </c>
      <c r="O6" s="9">
        <f>B9*0.5</f>
        <v>5</v>
      </c>
      <c r="P6" s="9"/>
      <c r="Q6" s="9"/>
      <c r="R6" s="9" t="s">
        <v>219</v>
      </c>
      <c r="S6" s="9"/>
    </row>
    <row r="7" spans="1:19" ht="16.5" thickTop="1" thickBot="1" x14ac:dyDescent="0.3">
      <c r="A7" s="10" t="s">
        <v>6</v>
      </c>
      <c r="B7" s="20">
        <v>0.75</v>
      </c>
      <c r="C7" s="20">
        <f t="shared" si="0"/>
        <v>1.5</v>
      </c>
      <c r="D7" s="20">
        <f t="shared" si="1"/>
        <v>2.25</v>
      </c>
      <c r="E7" s="20">
        <f t="shared" si="2"/>
        <v>3</v>
      </c>
      <c r="F7" s="20">
        <f t="shared" si="3"/>
        <v>3.75</v>
      </c>
      <c r="G7" s="20">
        <f t="shared" si="4"/>
        <v>4.5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s="4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32</v>
      </c>
      <c r="D13" s="9">
        <v>18</v>
      </c>
      <c r="E13" s="9">
        <v>32</v>
      </c>
      <c r="M13" s="7" t="s">
        <v>47</v>
      </c>
      <c r="N13" s="9" t="s">
        <v>127</v>
      </c>
      <c r="O13" s="9" t="s">
        <v>131</v>
      </c>
      <c r="P13" s="9" t="s">
        <v>128</v>
      </c>
      <c r="Q13" s="9" t="s">
        <v>128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21</v>
      </c>
      <c r="C14" s="9">
        <f>B14+$B$9*($B$10+1)*B6</f>
        <v>53</v>
      </c>
      <c r="D14" s="9">
        <v>24</v>
      </c>
      <c r="E14" s="9">
        <v>53</v>
      </c>
      <c r="M14" s="7" t="s">
        <v>48</v>
      </c>
      <c r="N14" s="9" t="s">
        <v>142</v>
      </c>
      <c r="O14" s="9" t="s">
        <v>153</v>
      </c>
      <c r="P14" s="9" t="s">
        <v>129</v>
      </c>
      <c r="Q14" s="9" t="s">
        <v>58</v>
      </c>
      <c r="R14" s="9" t="s">
        <v>126</v>
      </c>
      <c r="S14" s="9" t="s">
        <v>59</v>
      </c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30</v>
      </c>
      <c r="D15" s="9">
        <v>16</v>
      </c>
      <c r="E15" s="9">
        <v>30</v>
      </c>
      <c r="M15" s="19" t="s">
        <v>49</v>
      </c>
      <c r="N15" s="9" t="s">
        <v>154</v>
      </c>
      <c r="O15" s="9" t="s">
        <v>132</v>
      </c>
      <c r="P15" s="9" t="s">
        <v>127</v>
      </c>
      <c r="Q15" s="9" t="s">
        <v>131</v>
      </c>
      <c r="R15" s="9" t="s">
        <v>128</v>
      </c>
      <c r="S15" s="9" t="s">
        <v>136</v>
      </c>
    </row>
    <row r="16" spans="1:19" ht="16.5" thickTop="1" thickBot="1" x14ac:dyDescent="0.3">
      <c r="A16" s="10" t="s">
        <v>14</v>
      </c>
      <c r="B16" s="9">
        <v>159</v>
      </c>
      <c r="C16" s="9">
        <f>ROUNDDOWN(B16+C13*Common!$B$1,0)</f>
        <v>735</v>
      </c>
      <c r="D16" s="9">
        <v>492</v>
      </c>
      <c r="E16" s="9">
        <v>735</v>
      </c>
      <c r="M16" s="19" t="s">
        <v>50</v>
      </c>
      <c r="N16" s="9" t="s">
        <v>154</v>
      </c>
      <c r="O16" s="9" t="s">
        <v>146</v>
      </c>
      <c r="P16" s="9" t="s">
        <v>110</v>
      </c>
      <c r="Q16" s="9" t="s">
        <v>127</v>
      </c>
      <c r="R16" s="9" t="s">
        <v>131</v>
      </c>
      <c r="S16" s="9" t="s">
        <v>136</v>
      </c>
    </row>
    <row r="17" spans="1:19" ht="16.5" thickTop="1" thickBot="1" x14ac:dyDescent="0.3">
      <c r="A17" s="10" t="s">
        <v>15</v>
      </c>
      <c r="B17" s="9">
        <v>15</v>
      </c>
      <c r="C17" s="9">
        <f>ROUND(B17+C14+C15*Common!$B$2,0)</f>
        <v>80</v>
      </c>
      <c r="D17" s="9">
        <v>46</v>
      </c>
      <c r="E17" s="9">
        <v>80</v>
      </c>
      <c r="M17" s="19" t="s">
        <v>51</v>
      </c>
      <c r="N17" s="9" t="s">
        <v>155</v>
      </c>
      <c r="O17" s="9" t="s">
        <v>149</v>
      </c>
      <c r="P17" s="9" t="s">
        <v>133</v>
      </c>
      <c r="Q17" s="9" t="s">
        <v>127</v>
      </c>
      <c r="R17" s="9" t="s">
        <v>78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127</v>
      </c>
      <c r="D18" s="9">
        <v>58</v>
      </c>
      <c r="E18" s="9">
        <v>127</v>
      </c>
      <c r="M18" s="18" t="s">
        <v>52</v>
      </c>
      <c r="N18" s="9" t="s">
        <v>121</v>
      </c>
      <c r="O18" s="9" t="s">
        <v>144</v>
      </c>
      <c r="P18" s="9" t="s">
        <v>146</v>
      </c>
      <c r="Q18" s="9" t="s">
        <v>127</v>
      </c>
      <c r="R18" s="9" t="s">
        <v>156</v>
      </c>
      <c r="S18" s="9" t="s">
        <v>157</v>
      </c>
    </row>
    <row r="19" spans="1:19" ht="16.5" thickTop="1" thickBot="1" x14ac:dyDescent="0.3">
      <c r="A19" s="10" t="s">
        <v>17</v>
      </c>
      <c r="B19" s="14">
        <v>-2</v>
      </c>
      <c r="C19" s="15">
        <f>B19+ROUND(C13/7,0)+ROUND(C15/14,0)</f>
        <v>5</v>
      </c>
      <c r="D19" s="15">
        <v>2</v>
      </c>
      <c r="E19" s="15">
        <v>5</v>
      </c>
      <c r="F19" s="3"/>
      <c r="G19" s="3"/>
      <c r="H19" s="3"/>
      <c r="I19" s="3"/>
      <c r="M19" s="18" t="s">
        <v>53</v>
      </c>
      <c r="N19" s="9" t="s">
        <v>152</v>
      </c>
      <c r="O19" s="9" t="s">
        <v>158</v>
      </c>
      <c r="P19" s="9" t="s">
        <v>151</v>
      </c>
      <c r="Q19" s="9" t="s">
        <v>153</v>
      </c>
      <c r="R19" s="9" t="s">
        <v>153</v>
      </c>
      <c r="S19" s="9" t="s">
        <v>157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5</v>
      </c>
      <c r="D20" s="9">
        <v>2</v>
      </c>
      <c r="E20" s="9">
        <v>5</v>
      </c>
      <c r="M20" s="18" t="s">
        <v>118</v>
      </c>
      <c r="N20" s="9" t="s">
        <v>159</v>
      </c>
      <c r="O20" s="9" t="s">
        <v>160</v>
      </c>
      <c r="P20" s="9" t="s">
        <v>161</v>
      </c>
      <c r="Q20" s="9" t="s">
        <v>112</v>
      </c>
      <c r="R20" s="9" t="s">
        <v>142</v>
      </c>
      <c r="S20" s="9" t="s">
        <v>157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12</v>
      </c>
      <c r="D21" s="9">
        <v>6</v>
      </c>
      <c r="E21" s="9">
        <v>12</v>
      </c>
      <c r="M21" s="18" t="s">
        <v>119</v>
      </c>
      <c r="N21" s="9" t="s">
        <v>162</v>
      </c>
      <c r="O21" s="9" t="s">
        <v>115</v>
      </c>
      <c r="P21" s="9" t="s">
        <v>144</v>
      </c>
      <c r="Q21" s="9" t="s">
        <v>132</v>
      </c>
      <c r="R21" s="9" t="s">
        <v>110</v>
      </c>
      <c r="S21" s="9" t="s">
        <v>157</v>
      </c>
    </row>
    <row r="22" spans="1:19" ht="15.75" thickTop="1" x14ac:dyDescent="0.25">
      <c r="M22" s="18" t="s">
        <v>589</v>
      </c>
      <c r="N22" s="9" t="s">
        <v>605</v>
      </c>
      <c r="O22" s="9" t="s">
        <v>600</v>
      </c>
      <c r="P22" s="9" t="s">
        <v>601</v>
      </c>
      <c r="Q22" s="9" t="s">
        <v>161</v>
      </c>
      <c r="R22" s="9" t="s">
        <v>113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606</v>
      </c>
      <c r="P23" s="9" t="s">
        <v>603</v>
      </c>
      <c r="Q23" s="9" t="s">
        <v>607</v>
      </c>
      <c r="R23" s="9" t="s">
        <v>149</v>
      </c>
      <c r="S23" s="9" t="s">
        <v>593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12" customWidth="1"/>
    <col min="3" max="3" width="10.42578125" customWidth="1"/>
    <col min="4" max="4" width="8.28515625" customWidth="1"/>
    <col min="5" max="5" width="7.85546875" customWidth="1"/>
    <col min="6" max="6" width="10.28515625" customWidth="1"/>
    <col min="7" max="7" width="10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5.570312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14.285156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179</v>
      </c>
    </row>
    <row r="3" spans="1:19" ht="15.75" thickBot="1" x14ac:dyDescent="0.3">
      <c r="M3" s="8" t="s">
        <v>175</v>
      </c>
      <c r="N3" s="9" t="s">
        <v>54</v>
      </c>
      <c r="O3" s="9">
        <f>B9*17.6</f>
        <v>176</v>
      </c>
      <c r="P3" s="9"/>
      <c r="Q3" s="9"/>
      <c r="R3" s="9" t="s">
        <v>181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176</v>
      </c>
      <c r="N4" s="9" t="s">
        <v>54</v>
      </c>
      <c r="O4" s="9">
        <f>8.8*B9</f>
        <v>88</v>
      </c>
      <c r="P4" s="9"/>
      <c r="Q4" s="9"/>
      <c r="R4" s="9" t="s">
        <v>180</v>
      </c>
      <c r="S4" s="9"/>
    </row>
    <row r="5" spans="1:19" ht="16.5" thickTop="1" thickBot="1" x14ac:dyDescent="0.3">
      <c r="A5" s="10" t="s">
        <v>4</v>
      </c>
      <c r="B5" s="17">
        <v>1.1499999999999999</v>
      </c>
      <c r="C5" s="17">
        <f>B5*2</f>
        <v>2.2999999999999998</v>
      </c>
      <c r="D5" s="17">
        <f>B5*3</f>
        <v>3.4499999999999997</v>
      </c>
      <c r="E5" s="17">
        <f>B5*4</f>
        <v>4.5999999999999996</v>
      </c>
      <c r="F5" s="17">
        <f>B5*5</f>
        <v>5.75</v>
      </c>
      <c r="G5" s="17">
        <f>B5*6</f>
        <v>6.8999999999999995</v>
      </c>
      <c r="M5" s="19" t="s">
        <v>177</v>
      </c>
      <c r="N5" s="9" t="s">
        <v>206</v>
      </c>
      <c r="O5" s="9">
        <f>B9*16.5</f>
        <v>165</v>
      </c>
      <c r="P5" s="9" t="s">
        <v>224</v>
      </c>
      <c r="Q5" s="9">
        <f>B9</f>
        <v>10</v>
      </c>
      <c r="R5" s="9" t="s">
        <v>225</v>
      </c>
      <c r="S5" s="9"/>
    </row>
    <row r="6" spans="1:19" ht="16.5" thickTop="1" thickBot="1" x14ac:dyDescent="0.3">
      <c r="A6" s="10" t="s">
        <v>5</v>
      </c>
      <c r="B6" s="17">
        <v>1.35</v>
      </c>
      <c r="C6" s="17">
        <f t="shared" ref="C6:C7" si="0">B6*2</f>
        <v>2.7</v>
      </c>
      <c r="D6" s="17">
        <f t="shared" ref="D6:D7" si="1">B6*3</f>
        <v>4.0500000000000007</v>
      </c>
      <c r="E6" s="17">
        <f t="shared" ref="E6:E7" si="2">B6*4</f>
        <v>5.4</v>
      </c>
      <c r="F6" s="17">
        <f t="shared" ref="F6:F7" si="3">B6*5</f>
        <v>6.75</v>
      </c>
      <c r="G6" s="17">
        <f t="shared" ref="G6:G7" si="4">B6*6</f>
        <v>8.1000000000000014</v>
      </c>
      <c r="M6" s="18" t="s">
        <v>178</v>
      </c>
      <c r="N6" s="9" t="s">
        <v>226</v>
      </c>
      <c r="O6" s="9">
        <f>B9*12</f>
        <v>120</v>
      </c>
      <c r="P6" s="9"/>
      <c r="Q6" s="9"/>
      <c r="R6" s="9" t="s">
        <v>227</v>
      </c>
      <c r="S6" s="9"/>
    </row>
    <row r="7" spans="1:19" ht="16.5" thickTop="1" thickBot="1" x14ac:dyDescent="0.3">
      <c r="A7" s="10" t="s">
        <v>6</v>
      </c>
      <c r="B7" s="17">
        <v>0.6</v>
      </c>
      <c r="C7" s="17">
        <f t="shared" si="0"/>
        <v>1.2</v>
      </c>
      <c r="D7" s="17">
        <f t="shared" si="1"/>
        <v>1.7999999999999998</v>
      </c>
      <c r="E7" s="17">
        <f t="shared" si="2"/>
        <v>2.4</v>
      </c>
      <c r="F7" s="17">
        <f t="shared" si="3"/>
        <v>3</v>
      </c>
      <c r="G7" s="17">
        <f t="shared" si="4"/>
        <v>3.5999999999999996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/>
      <c r="F12" s="10">
        <v>10</v>
      </c>
      <c r="M12" s="4" t="s">
        <v>235</v>
      </c>
      <c r="N12" s="9" t="s">
        <v>30</v>
      </c>
      <c r="O12" s="9" t="s">
        <v>30</v>
      </c>
      <c r="P12" s="9" t="s">
        <v>310</v>
      </c>
      <c r="Q12" s="9" t="s">
        <v>310</v>
      </c>
      <c r="R12" s="9" t="s">
        <v>311</v>
      </c>
      <c r="S12" s="9" t="s">
        <v>74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40</v>
      </c>
      <c r="D13" s="9">
        <v>19</v>
      </c>
      <c r="E13" s="9"/>
      <c r="F13" s="9">
        <v>40</v>
      </c>
      <c r="M13" s="7" t="s">
        <v>47</v>
      </c>
      <c r="N13" s="9" t="s">
        <v>135</v>
      </c>
      <c r="O13" s="9" t="s">
        <v>128</v>
      </c>
      <c r="P13" s="9" t="s">
        <v>128</v>
      </c>
      <c r="Q13" s="9" t="s">
        <v>182</v>
      </c>
      <c r="R13" s="9" t="s">
        <v>58</v>
      </c>
      <c r="S13" s="9" t="s">
        <v>59</v>
      </c>
    </row>
    <row r="14" spans="1:19" ht="16.5" thickTop="1" thickBot="1" x14ac:dyDescent="0.3">
      <c r="A14" s="10" t="s">
        <v>13</v>
      </c>
      <c r="B14" s="9">
        <v>17</v>
      </c>
      <c r="C14" s="9">
        <f>B14+$B$9*($B$10+1)*B6</f>
        <v>44</v>
      </c>
      <c r="D14" s="9">
        <v>20</v>
      </c>
      <c r="E14" s="9"/>
      <c r="F14" s="9">
        <v>44</v>
      </c>
      <c r="M14" s="7" t="s">
        <v>48</v>
      </c>
      <c r="N14" s="9" t="s">
        <v>129</v>
      </c>
      <c r="O14" s="9" t="s">
        <v>61</v>
      </c>
      <c r="P14" s="9" t="s">
        <v>156</v>
      </c>
      <c r="Q14" s="9" t="s">
        <v>128</v>
      </c>
      <c r="R14" s="9" t="s">
        <v>128</v>
      </c>
      <c r="S14" s="9" t="s">
        <v>136</v>
      </c>
    </row>
    <row r="15" spans="1:19" ht="16.5" thickTop="1" thickBot="1" x14ac:dyDescent="0.3">
      <c r="A15" s="10" t="s">
        <v>1</v>
      </c>
      <c r="B15" s="9">
        <v>10</v>
      </c>
      <c r="C15" s="9">
        <f>B15+$B$9*($B$10+1)*B7</f>
        <v>22</v>
      </c>
      <c r="D15" s="9">
        <v>11</v>
      </c>
      <c r="E15" s="9"/>
      <c r="F15" s="9">
        <v>22</v>
      </c>
      <c r="M15" s="19" t="s">
        <v>49</v>
      </c>
      <c r="N15" s="9" t="s">
        <v>132</v>
      </c>
      <c r="O15" s="9" t="s">
        <v>146</v>
      </c>
      <c r="P15" s="9" t="s">
        <v>103</v>
      </c>
      <c r="Q15" s="9" t="s">
        <v>127</v>
      </c>
      <c r="R15" s="9" t="s">
        <v>78</v>
      </c>
      <c r="S15" s="9" t="s">
        <v>136</v>
      </c>
    </row>
    <row r="16" spans="1:19" ht="16.5" thickTop="1" thickBot="1" x14ac:dyDescent="0.3">
      <c r="A16" s="10" t="s">
        <v>14</v>
      </c>
      <c r="B16" s="9">
        <v>164</v>
      </c>
      <c r="C16" s="9">
        <f>ROUNDDOWN(B16+C13*Common!$B$1,0)</f>
        <v>884</v>
      </c>
      <c r="D16" s="9">
        <v>511</v>
      </c>
      <c r="E16" s="9"/>
      <c r="F16" s="9">
        <v>884</v>
      </c>
      <c r="M16" s="19" t="s">
        <v>50</v>
      </c>
      <c r="N16" s="9" t="s">
        <v>133</v>
      </c>
      <c r="O16" s="9" t="s">
        <v>138</v>
      </c>
      <c r="P16" s="9" t="s">
        <v>183</v>
      </c>
      <c r="Q16" s="9" t="s">
        <v>156</v>
      </c>
      <c r="R16" s="9" t="s">
        <v>76</v>
      </c>
      <c r="S16" s="9" t="s">
        <v>136</v>
      </c>
    </row>
    <row r="17" spans="1:19" ht="16.5" thickTop="1" thickBot="1" x14ac:dyDescent="0.3">
      <c r="A17" s="10" t="s">
        <v>15</v>
      </c>
      <c r="B17" s="9">
        <v>21</v>
      </c>
      <c r="C17" s="9">
        <f>ROUND(B17+C14+C15*Common!$B$2,0)</f>
        <v>74</v>
      </c>
      <c r="D17" s="9">
        <v>45</v>
      </c>
      <c r="E17" s="9"/>
      <c r="F17" s="9">
        <v>74</v>
      </c>
      <c r="M17" s="19" t="s">
        <v>51</v>
      </c>
      <c r="N17" s="9" t="s">
        <v>149</v>
      </c>
      <c r="O17" s="9" t="s">
        <v>151</v>
      </c>
      <c r="P17" s="9" t="s">
        <v>110</v>
      </c>
      <c r="Q17" s="9" t="s">
        <v>129</v>
      </c>
      <c r="R17" s="9" t="s">
        <v>131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106</v>
      </c>
      <c r="D18" s="9">
        <v>48</v>
      </c>
      <c r="E18" s="9"/>
      <c r="F18" s="9">
        <v>106</v>
      </c>
      <c r="M18" s="18" t="s">
        <v>52</v>
      </c>
      <c r="N18" s="9" t="s">
        <v>144</v>
      </c>
      <c r="O18" s="9" t="s">
        <v>184</v>
      </c>
      <c r="P18" s="9" t="s">
        <v>132</v>
      </c>
      <c r="Q18" s="9" t="s">
        <v>129</v>
      </c>
      <c r="R18" s="9" t="s">
        <v>156</v>
      </c>
      <c r="S18" s="9" t="s">
        <v>114</v>
      </c>
    </row>
    <row r="19" spans="1:19" ht="16.5" thickTop="1" thickBot="1" x14ac:dyDescent="0.3">
      <c r="A19" s="10" t="s">
        <v>17</v>
      </c>
      <c r="B19" s="12">
        <v>0</v>
      </c>
      <c r="C19" s="13">
        <f>B19+C13/7+C15/14</f>
        <v>7.2857142857142856</v>
      </c>
      <c r="D19" s="13">
        <v>3</v>
      </c>
      <c r="E19" s="13"/>
      <c r="F19" s="13">
        <v>7</v>
      </c>
      <c r="G19" s="3"/>
      <c r="H19" s="3"/>
      <c r="I19" s="3"/>
      <c r="M19" s="18" t="s">
        <v>53</v>
      </c>
      <c r="N19" s="9" t="s">
        <v>185</v>
      </c>
      <c r="O19" s="9" t="s">
        <v>121</v>
      </c>
      <c r="P19" s="9" t="s">
        <v>151</v>
      </c>
      <c r="Q19" s="9" t="s">
        <v>141</v>
      </c>
      <c r="R19" s="9" t="s">
        <v>127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/>
      <c r="F20" s="9">
        <v>4</v>
      </c>
      <c r="M20" s="18" t="s">
        <v>118</v>
      </c>
      <c r="N20" s="9" t="s">
        <v>159</v>
      </c>
      <c r="O20" s="9" t="s">
        <v>149</v>
      </c>
      <c r="P20" s="9" t="s">
        <v>186</v>
      </c>
      <c r="Q20" s="9" t="s">
        <v>153</v>
      </c>
      <c r="R20" s="9" t="s">
        <v>127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8.8000000000000007</v>
      </c>
      <c r="D21" s="9">
        <v>4</v>
      </c>
      <c r="E21" s="9"/>
      <c r="F21" s="9">
        <v>9</v>
      </c>
      <c r="M21" s="18" t="s">
        <v>119</v>
      </c>
      <c r="N21" s="9" t="s">
        <v>115</v>
      </c>
      <c r="O21" s="9" t="s">
        <v>187</v>
      </c>
      <c r="P21" s="9" t="s">
        <v>188</v>
      </c>
      <c r="Q21" s="9" t="s">
        <v>110</v>
      </c>
      <c r="R21" s="9" t="s">
        <v>132</v>
      </c>
      <c r="S21" s="9" t="s">
        <v>114</v>
      </c>
    </row>
    <row r="22" spans="1:19" ht="15.75" thickTop="1" x14ac:dyDescent="0.25">
      <c r="M22" s="18" t="s">
        <v>589</v>
      </c>
      <c r="N22" s="9" t="s">
        <v>605</v>
      </c>
      <c r="O22" s="9" t="s">
        <v>600</v>
      </c>
      <c r="P22" s="9" t="s">
        <v>603</v>
      </c>
      <c r="Q22" s="9" t="s">
        <v>618</v>
      </c>
      <c r="R22" s="23" t="s">
        <v>144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620</v>
      </c>
      <c r="P23" s="9" t="s">
        <v>619</v>
      </c>
      <c r="Q23" s="9" t="s">
        <v>152</v>
      </c>
      <c r="R23" s="9" t="s">
        <v>149</v>
      </c>
      <c r="S23" s="9" t="s">
        <v>593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1.140625" customWidth="1"/>
    <col min="6" max="6" width="9.7109375" customWidth="1"/>
    <col min="7" max="7" width="11.8554687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21.4257812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19.5703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320</v>
      </c>
      <c r="N3" s="9" t="s">
        <v>321</v>
      </c>
      <c r="O3" s="9">
        <f>B9</f>
        <v>20</v>
      </c>
      <c r="P3" s="9" t="s">
        <v>322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44</v>
      </c>
      <c r="N4" s="9" t="s">
        <v>54</v>
      </c>
      <c r="O4" s="9">
        <f>7*B9</f>
        <v>140</v>
      </c>
      <c r="P4" s="9" t="s">
        <v>323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1.25</v>
      </c>
      <c r="C5" s="17">
        <f>B5*2</f>
        <v>2.5</v>
      </c>
      <c r="D5" s="17">
        <f>B5*3</f>
        <v>3.75</v>
      </c>
      <c r="E5" s="17">
        <f>B5*4</f>
        <v>5</v>
      </c>
      <c r="F5" s="17">
        <f>B5*5</f>
        <v>6.25</v>
      </c>
      <c r="G5" s="17">
        <f>B5*6</f>
        <v>7.5</v>
      </c>
      <c r="M5" s="19" t="s">
        <v>45</v>
      </c>
      <c r="N5" s="9" t="s">
        <v>206</v>
      </c>
      <c r="O5" s="9">
        <f>11*B9</f>
        <v>220</v>
      </c>
      <c r="P5" s="9" t="s">
        <v>321</v>
      </c>
      <c r="Q5" s="9">
        <f>B9</f>
        <v>20</v>
      </c>
      <c r="R5" s="9" t="s">
        <v>324</v>
      </c>
      <c r="S5" s="9"/>
    </row>
    <row r="6" spans="1:19" ht="16.5" thickTop="1" thickBot="1" x14ac:dyDescent="0.3">
      <c r="A6" s="10" t="s">
        <v>5</v>
      </c>
      <c r="B6" s="17">
        <v>0.95</v>
      </c>
      <c r="C6" s="17">
        <f t="shared" ref="C6:C7" si="0">B6*2</f>
        <v>1.9</v>
      </c>
      <c r="D6" s="17">
        <f t="shared" ref="D6:D7" si="1">B6*3</f>
        <v>2.8499999999999996</v>
      </c>
      <c r="E6" s="17">
        <f t="shared" ref="E6:E7" si="2">B6*4</f>
        <v>3.8</v>
      </c>
      <c r="F6" s="17">
        <f t="shared" ref="F6:F7" si="3">B6*5</f>
        <v>4.75</v>
      </c>
      <c r="G6" s="17">
        <f t="shared" ref="G6:G7" si="4">B6*6</f>
        <v>5.6999999999999993</v>
      </c>
      <c r="M6" s="18" t="s">
        <v>46</v>
      </c>
      <c r="N6" s="9" t="s">
        <v>354</v>
      </c>
      <c r="O6" s="9">
        <f>B9*0.5</f>
        <v>10</v>
      </c>
      <c r="P6" s="9" t="s">
        <v>355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8</v>
      </c>
      <c r="F12" s="10">
        <v>20</v>
      </c>
      <c r="G12" s="10"/>
      <c r="M12" t="s">
        <v>235</v>
      </c>
      <c r="N12" s="9" t="s">
        <v>30</v>
      </c>
      <c r="O12" s="9" t="s">
        <v>30</v>
      </c>
      <c r="P12" s="9" t="s">
        <v>31</v>
      </c>
      <c r="Q12" s="9" t="s">
        <v>30</v>
      </c>
      <c r="R12" s="9" t="s">
        <v>29</v>
      </c>
      <c r="S12" s="9" t="s">
        <v>32</v>
      </c>
    </row>
    <row r="13" spans="1:19" ht="16.5" thickTop="1" thickBot="1" x14ac:dyDescent="0.3">
      <c r="A13" s="10" t="s">
        <v>12</v>
      </c>
      <c r="B13" s="9">
        <v>19</v>
      </c>
      <c r="C13" s="9">
        <f>B13+$B$9*($B$10+1)*B5</f>
        <v>94</v>
      </c>
      <c r="D13" s="9">
        <v>22</v>
      </c>
      <c r="E13" s="9">
        <v>49</v>
      </c>
      <c r="F13" s="9">
        <v>94</v>
      </c>
      <c r="G13" s="9"/>
      <c r="M13" s="7" t="s">
        <v>47</v>
      </c>
      <c r="N13" s="9" t="s">
        <v>55</v>
      </c>
      <c r="O13" s="9" t="s">
        <v>56</v>
      </c>
      <c r="P13" s="9" t="s">
        <v>57</v>
      </c>
      <c r="Q13" s="9" t="s">
        <v>58</v>
      </c>
      <c r="R13" s="9" t="s">
        <v>56</v>
      </c>
      <c r="S13" s="9" t="s">
        <v>59</v>
      </c>
    </row>
    <row r="14" spans="1:19" ht="16.5" thickTop="1" thickBot="1" x14ac:dyDescent="0.3">
      <c r="A14" s="10" t="s">
        <v>13</v>
      </c>
      <c r="B14" s="9">
        <v>16</v>
      </c>
      <c r="C14" s="9">
        <f>B14+$B$9*($B$10+1)*B6</f>
        <v>73</v>
      </c>
      <c r="D14" s="9">
        <v>19</v>
      </c>
      <c r="E14" s="9">
        <v>39</v>
      </c>
      <c r="F14" s="9">
        <v>73</v>
      </c>
      <c r="G14" s="9"/>
      <c r="M14" s="7" t="s">
        <v>48</v>
      </c>
      <c r="N14" s="9" t="s">
        <v>60</v>
      </c>
      <c r="O14" s="9" t="s">
        <v>61</v>
      </c>
      <c r="P14" s="9" t="s">
        <v>56</v>
      </c>
      <c r="Q14" s="9" t="s">
        <v>62</v>
      </c>
      <c r="R14" s="9" t="s">
        <v>63</v>
      </c>
      <c r="S14" s="9" t="s">
        <v>59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102</v>
      </c>
      <c r="D15" s="9">
        <v>22</v>
      </c>
      <c r="E15" s="9">
        <v>52</v>
      </c>
      <c r="F15" s="9">
        <v>102</v>
      </c>
      <c r="G15" s="9"/>
      <c r="M15" s="19" t="s">
        <v>49</v>
      </c>
      <c r="N15" s="9" t="s">
        <v>64</v>
      </c>
      <c r="O15" s="9" t="s">
        <v>65</v>
      </c>
      <c r="P15" s="9" t="s">
        <v>66</v>
      </c>
      <c r="Q15" s="9" t="s">
        <v>67</v>
      </c>
      <c r="R15" s="9" t="s">
        <v>68</v>
      </c>
      <c r="S15" s="9" t="s">
        <v>69</v>
      </c>
    </row>
    <row r="16" spans="1:19" ht="16.5" thickTop="1" thickBot="1" x14ac:dyDescent="0.3">
      <c r="A16" s="10" t="s">
        <v>14</v>
      </c>
      <c r="B16" s="9">
        <v>165</v>
      </c>
      <c r="C16" s="9">
        <f>ROUNDDOWN(B16+C13*Common!$B$1,0)</f>
        <v>1857</v>
      </c>
      <c r="D16" s="9">
        <v>575</v>
      </c>
      <c r="E16" s="9">
        <v>1048</v>
      </c>
      <c r="F16" s="9">
        <v>1858</v>
      </c>
      <c r="G16" s="9"/>
      <c r="M16" s="19" t="s">
        <v>50</v>
      </c>
      <c r="N16" s="9" t="s">
        <v>111</v>
      </c>
      <c r="O16" s="9" t="s">
        <v>193</v>
      </c>
      <c r="P16" s="9" t="s">
        <v>106</v>
      </c>
      <c r="Q16" s="9" t="s">
        <v>60</v>
      </c>
      <c r="R16" s="9" t="s">
        <v>315</v>
      </c>
      <c r="S16" s="9" t="s">
        <v>69</v>
      </c>
    </row>
    <row r="17" spans="1:19" ht="16.5" thickTop="1" thickBot="1" x14ac:dyDescent="0.3">
      <c r="A17" s="10" t="s">
        <v>15</v>
      </c>
      <c r="B17" s="9">
        <v>16</v>
      </c>
      <c r="C17" s="9">
        <f>ROUND(B17+C15+C15*Common!$B$2,0)</f>
        <v>159</v>
      </c>
      <c r="D17" s="9">
        <v>47</v>
      </c>
      <c r="E17" s="9">
        <v>88</v>
      </c>
      <c r="F17" s="9">
        <v>159</v>
      </c>
      <c r="G17" s="9"/>
      <c r="M17" s="19" t="s">
        <v>51</v>
      </c>
      <c r="N17" s="9" t="s">
        <v>194</v>
      </c>
      <c r="O17" s="9" t="s">
        <v>110</v>
      </c>
      <c r="P17" s="9" t="s">
        <v>105</v>
      </c>
      <c r="Q17" s="9" t="s">
        <v>62</v>
      </c>
      <c r="R17" s="9" t="s">
        <v>192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175</v>
      </c>
      <c r="D18" s="9">
        <v>45</v>
      </c>
      <c r="E18" s="9">
        <v>93</v>
      </c>
      <c r="F18" s="9">
        <v>175</v>
      </c>
      <c r="G18" s="9"/>
      <c r="M18" s="18" t="s">
        <v>52</v>
      </c>
      <c r="N18" s="9" t="s">
        <v>316</v>
      </c>
      <c r="O18" s="23" t="s">
        <v>281</v>
      </c>
      <c r="P18" s="23" t="s">
        <v>103</v>
      </c>
      <c r="Q18" s="23" t="s">
        <v>68</v>
      </c>
      <c r="R18" s="23" t="s">
        <v>317</v>
      </c>
      <c r="S18" s="9" t="s">
        <v>114</v>
      </c>
    </row>
    <row r="19" spans="1:19" ht="16.5" thickTop="1" thickBot="1" x14ac:dyDescent="0.3">
      <c r="A19" s="10" t="s">
        <v>17</v>
      </c>
      <c r="B19" s="22">
        <v>3</v>
      </c>
      <c r="C19" s="9">
        <f>B19+ROUND(C13/7,0)+ROUND(C15/14,0)</f>
        <v>23</v>
      </c>
      <c r="D19" s="9">
        <v>7</v>
      </c>
      <c r="E19" s="9">
        <v>14</v>
      </c>
      <c r="F19" s="9">
        <v>24</v>
      </c>
      <c r="G19" s="9"/>
      <c r="H19" s="3"/>
      <c r="I19" s="3"/>
      <c r="M19" s="18" t="s">
        <v>53</v>
      </c>
      <c r="N19" s="9" t="s">
        <v>200</v>
      </c>
      <c r="O19" s="9" t="s">
        <v>113</v>
      </c>
      <c r="P19" s="9" t="s">
        <v>151</v>
      </c>
      <c r="Q19" s="9" t="s">
        <v>60</v>
      </c>
      <c r="R19" s="9" t="s">
        <v>62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>
        <v>2</v>
      </c>
      <c r="E20" s="9">
        <v>4</v>
      </c>
      <c r="F20" s="9">
        <v>7</v>
      </c>
      <c r="G20" s="9"/>
      <c r="M20" s="18" t="s">
        <v>118</v>
      </c>
      <c r="N20" s="9" t="s">
        <v>120</v>
      </c>
      <c r="O20" s="9" t="s">
        <v>318</v>
      </c>
      <c r="P20" s="9" t="s">
        <v>109</v>
      </c>
      <c r="Q20" s="9" t="s">
        <v>112</v>
      </c>
      <c r="R20" s="9" t="s">
        <v>147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40.800000000000004</v>
      </c>
      <c r="D21" s="9">
        <v>9</v>
      </c>
      <c r="E21" s="9">
        <v>21</v>
      </c>
      <c r="F21" s="9">
        <v>41</v>
      </c>
      <c r="G21" s="9"/>
      <c r="M21" s="18" t="s">
        <v>119</v>
      </c>
      <c r="N21" s="9" t="s">
        <v>200</v>
      </c>
      <c r="O21" s="9" t="s">
        <v>115</v>
      </c>
      <c r="P21" s="9" t="s">
        <v>124</v>
      </c>
      <c r="Q21" s="9" t="s">
        <v>319</v>
      </c>
      <c r="R21" s="9" t="s">
        <v>68</v>
      </c>
      <c r="S21" s="9" t="s">
        <v>114</v>
      </c>
    </row>
    <row r="22" spans="1:19" ht="15.75" thickTop="1" x14ac:dyDescent="0.25">
      <c r="M22" s="18" t="s">
        <v>589</v>
      </c>
      <c r="N22" s="9" t="s">
        <v>608</v>
      </c>
      <c r="O22" s="9" t="s">
        <v>609</v>
      </c>
      <c r="P22" s="9" t="s">
        <v>610</v>
      </c>
      <c r="Q22" s="9" t="s">
        <v>300</v>
      </c>
      <c r="R22" s="9" t="s">
        <v>611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612</v>
      </c>
      <c r="P23" s="9" t="s">
        <v>613</v>
      </c>
      <c r="Q23" s="9" t="s">
        <v>194</v>
      </c>
      <c r="R23" s="9" t="s">
        <v>340</v>
      </c>
      <c r="S23" s="9" t="s">
        <v>593</v>
      </c>
    </row>
    <row r="50" spans="1:19" x14ac:dyDescent="0.25">
      <c r="D50" t="s">
        <v>34</v>
      </c>
      <c r="E50" t="s">
        <v>37</v>
      </c>
      <c r="F50">
        <v>1</v>
      </c>
      <c r="G50">
        <v>3</v>
      </c>
      <c r="H50">
        <v>4</v>
      </c>
      <c r="I50">
        <v>5</v>
      </c>
      <c r="J50">
        <v>8</v>
      </c>
      <c r="K50">
        <v>20</v>
      </c>
    </row>
    <row r="51" spans="1:19" x14ac:dyDescent="0.25">
      <c r="A51" t="s">
        <v>20</v>
      </c>
      <c r="C51" t="s">
        <v>12</v>
      </c>
      <c r="D51">
        <v>19</v>
      </c>
      <c r="E51" t="e">
        <f>D51+$B$9*($B$10+1)*E4</f>
        <v>#VALUE!</v>
      </c>
      <c r="F51">
        <v>22</v>
      </c>
      <c r="G51">
        <v>30</v>
      </c>
      <c r="H51">
        <v>34</v>
      </c>
      <c r="I51">
        <v>37</v>
      </c>
      <c r="J51">
        <v>49</v>
      </c>
      <c r="K51">
        <v>94</v>
      </c>
    </row>
    <row r="52" spans="1:19" x14ac:dyDescent="0.25">
      <c r="C52" t="s">
        <v>13</v>
      </c>
      <c r="D52">
        <v>16</v>
      </c>
      <c r="E52">
        <f>D52+$B$9*($B$10+1)*E5</f>
        <v>316</v>
      </c>
      <c r="F52">
        <v>19</v>
      </c>
      <c r="G52">
        <v>25</v>
      </c>
      <c r="H52">
        <v>27</v>
      </c>
      <c r="I52">
        <v>30</v>
      </c>
      <c r="J52">
        <v>39</v>
      </c>
      <c r="K52">
        <v>73</v>
      </c>
    </row>
    <row r="53" spans="1:19" x14ac:dyDescent="0.25">
      <c r="C53" t="s">
        <v>1</v>
      </c>
      <c r="D53">
        <v>18</v>
      </c>
      <c r="E53">
        <f>D53+$B$9*($B$10+1)*E6</f>
        <v>246</v>
      </c>
      <c r="F53">
        <v>22</v>
      </c>
      <c r="G53">
        <v>31</v>
      </c>
      <c r="H53">
        <v>35</v>
      </c>
      <c r="I53">
        <v>39</v>
      </c>
      <c r="J53">
        <v>52</v>
      </c>
      <c r="K53">
        <v>102</v>
      </c>
    </row>
    <row r="54" spans="1:19" x14ac:dyDescent="0.25">
      <c r="C54" t="s">
        <v>14</v>
      </c>
      <c r="D54">
        <v>166</v>
      </c>
      <c r="E54" t="e">
        <f>ROUNDDOWN(D54+E51*Common!$B$1,0)</f>
        <v>#VALUE!</v>
      </c>
      <c r="F54">
        <v>575</v>
      </c>
      <c r="G54">
        <v>710</v>
      </c>
      <c r="H54">
        <v>778</v>
      </c>
      <c r="I54">
        <v>845</v>
      </c>
      <c r="J54">
        <v>1048</v>
      </c>
      <c r="K54">
        <v>1858</v>
      </c>
    </row>
    <row r="55" spans="1:19" x14ac:dyDescent="0.25">
      <c r="C55" t="s">
        <v>15</v>
      </c>
      <c r="D55">
        <v>16</v>
      </c>
      <c r="E55">
        <f>ROUND(D55+E53+E53*Common!$B$2,0)</f>
        <v>360</v>
      </c>
      <c r="F55">
        <v>47</v>
      </c>
      <c r="G55">
        <v>59</v>
      </c>
      <c r="H55">
        <v>65</v>
      </c>
      <c r="I55">
        <v>71</v>
      </c>
      <c r="J55">
        <v>88</v>
      </c>
      <c r="K55">
        <v>159</v>
      </c>
    </row>
    <row r="56" spans="1:19" x14ac:dyDescent="0.25">
      <c r="C56" t="s">
        <v>16</v>
      </c>
      <c r="D56">
        <v>0</v>
      </c>
      <c r="E56">
        <f>ROUND(D56+E52*Common!$B$3,0)</f>
        <v>758</v>
      </c>
      <c r="F56">
        <v>45</v>
      </c>
      <c r="G56">
        <v>59</v>
      </c>
      <c r="H56">
        <v>66</v>
      </c>
      <c r="I56">
        <v>73</v>
      </c>
      <c r="J56">
        <v>93</v>
      </c>
      <c r="K56">
        <v>175</v>
      </c>
    </row>
    <row r="57" spans="1:19" x14ac:dyDescent="0.25">
      <c r="C57" s="3" t="s">
        <v>17</v>
      </c>
      <c r="D57" s="6">
        <v>3</v>
      </c>
      <c r="E57" s="3" t="e">
        <f>D57+E51/7+E53/14</f>
        <v>#VALUE!</v>
      </c>
      <c r="F57" s="3">
        <v>7</v>
      </c>
      <c r="G57" s="3">
        <v>9</v>
      </c>
      <c r="H57" s="3">
        <v>10</v>
      </c>
      <c r="I57" s="3">
        <v>11</v>
      </c>
      <c r="J57" s="3">
        <v>14</v>
      </c>
      <c r="K57" s="3">
        <v>24</v>
      </c>
      <c r="N57" s="9" t="s">
        <v>30</v>
      </c>
      <c r="O57" s="9" t="s">
        <v>30</v>
      </c>
      <c r="P57" s="9" t="s">
        <v>31</v>
      </c>
      <c r="Q57" s="9" t="s">
        <v>30</v>
      </c>
      <c r="R57" s="9" t="s">
        <v>29</v>
      </c>
      <c r="S57" s="9" t="s">
        <v>32</v>
      </c>
    </row>
    <row r="58" spans="1:19" x14ac:dyDescent="0.25">
      <c r="C58" t="s">
        <v>18</v>
      </c>
      <c r="D58">
        <v>0</v>
      </c>
      <c r="E58">
        <f>ROUND(E52*Common!$B$4,0)</f>
        <v>32</v>
      </c>
      <c r="F58">
        <v>2</v>
      </c>
      <c r="G58">
        <v>2</v>
      </c>
      <c r="H58">
        <v>3</v>
      </c>
      <c r="I58">
        <v>3</v>
      </c>
      <c r="J58">
        <v>4</v>
      </c>
      <c r="K58">
        <v>7</v>
      </c>
      <c r="N58" s="9" t="s">
        <v>55</v>
      </c>
      <c r="O58" s="9" t="s">
        <v>56</v>
      </c>
      <c r="P58" s="9" t="s">
        <v>57</v>
      </c>
      <c r="Q58" s="9" t="s">
        <v>58</v>
      </c>
      <c r="R58" s="9" t="s">
        <v>56</v>
      </c>
      <c r="S58" s="9" t="s">
        <v>59</v>
      </c>
    </row>
    <row r="59" spans="1:19" x14ac:dyDescent="0.25">
      <c r="C59" t="s">
        <v>19</v>
      </c>
      <c r="D59">
        <v>0</v>
      </c>
      <c r="E59">
        <f>E53*Common!$B$5</f>
        <v>98.4</v>
      </c>
      <c r="F59">
        <v>9</v>
      </c>
      <c r="G59">
        <v>12</v>
      </c>
      <c r="H59">
        <v>14</v>
      </c>
      <c r="I59">
        <v>16</v>
      </c>
      <c r="J59">
        <v>21</v>
      </c>
      <c r="K59">
        <v>41</v>
      </c>
      <c r="N59" s="9" t="s">
        <v>60</v>
      </c>
      <c r="O59" s="9" t="s">
        <v>61</v>
      </c>
      <c r="P59" s="9" t="s">
        <v>56</v>
      </c>
      <c r="Q59" s="9" t="s">
        <v>62</v>
      </c>
      <c r="R59" s="9" t="s">
        <v>63</v>
      </c>
      <c r="S59" s="9" t="s">
        <v>59</v>
      </c>
    </row>
    <row r="60" spans="1:19" x14ac:dyDescent="0.25">
      <c r="N60" s="9" t="s">
        <v>64</v>
      </c>
      <c r="O60" s="9" t="s">
        <v>65</v>
      </c>
      <c r="P60" s="9" t="s">
        <v>66</v>
      </c>
      <c r="Q60" s="9" t="s">
        <v>67</v>
      </c>
      <c r="R60" s="9" t="s">
        <v>68</v>
      </c>
      <c r="S60" s="9" t="s">
        <v>69</v>
      </c>
    </row>
  </sheetData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12" customWidth="1"/>
    <col min="3" max="3" width="10.28515625" customWidth="1"/>
    <col min="4" max="4" width="7.42578125" customWidth="1"/>
    <col min="5" max="5" width="10.140625" customWidth="1"/>
    <col min="6" max="6" width="10.28515625" customWidth="1"/>
    <col min="7" max="7" width="10.8554687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21.285156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201</v>
      </c>
      <c r="N3" t="s">
        <v>205</v>
      </c>
      <c r="O3">
        <f>B9*7</f>
        <v>70</v>
      </c>
      <c r="Q3" t="s">
        <v>207</v>
      </c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202</v>
      </c>
      <c r="N4" t="s">
        <v>206</v>
      </c>
      <c r="O4">
        <f>14*B9</f>
        <v>140</v>
      </c>
      <c r="Q4" t="s">
        <v>208</v>
      </c>
    </row>
    <row r="5" spans="1:19" ht="16.5" thickTop="1" thickBot="1" x14ac:dyDescent="0.3">
      <c r="A5" s="10" t="s">
        <v>4</v>
      </c>
      <c r="B5" s="17">
        <v>1</v>
      </c>
      <c r="C5" s="17">
        <f>B5*2</f>
        <v>2</v>
      </c>
      <c r="D5" s="17">
        <f>B5*3</f>
        <v>3</v>
      </c>
      <c r="E5" s="17">
        <f>B5*4</f>
        <v>4</v>
      </c>
      <c r="F5" s="17">
        <f>B5*5</f>
        <v>5</v>
      </c>
      <c r="G5" s="17">
        <f>B5*6</f>
        <v>6</v>
      </c>
      <c r="M5" s="19" t="s">
        <v>203</v>
      </c>
      <c r="N5" t="s">
        <v>209</v>
      </c>
      <c r="O5">
        <f>B9</f>
        <v>10</v>
      </c>
      <c r="Q5" t="s">
        <v>210</v>
      </c>
    </row>
    <row r="6" spans="1:19" ht="16.5" thickTop="1" thickBot="1" x14ac:dyDescent="0.3">
      <c r="A6" s="10" t="s">
        <v>5</v>
      </c>
      <c r="B6" s="17">
        <v>0.95</v>
      </c>
      <c r="C6" s="17">
        <f t="shared" ref="C6:C7" si="0">B6*2</f>
        <v>1.9</v>
      </c>
      <c r="D6" s="17">
        <f t="shared" ref="D6:D7" si="1">B6*3</f>
        <v>2.8499999999999996</v>
      </c>
      <c r="E6" s="17">
        <f t="shared" ref="E6:E7" si="2">B6*4</f>
        <v>3.8</v>
      </c>
      <c r="F6" s="17">
        <f t="shared" ref="F6:F7" si="3">B6*5</f>
        <v>4.75</v>
      </c>
      <c r="G6" s="17">
        <f t="shared" ref="G6:G7" si="4">B6*6</f>
        <v>5.6999999999999993</v>
      </c>
      <c r="M6" s="18" t="s">
        <v>204</v>
      </c>
      <c r="N6" t="s">
        <v>211</v>
      </c>
      <c r="O6">
        <f>B9*8</f>
        <v>80</v>
      </c>
      <c r="Q6" t="s">
        <v>212</v>
      </c>
    </row>
    <row r="7" spans="1:19" ht="16.5" thickTop="1" thickBot="1" x14ac:dyDescent="0.3">
      <c r="A7" s="10" t="s">
        <v>6</v>
      </c>
      <c r="B7" s="17">
        <v>1.2</v>
      </c>
      <c r="C7" s="17">
        <f t="shared" si="0"/>
        <v>2.4</v>
      </c>
      <c r="D7" s="17">
        <f t="shared" si="1"/>
        <v>3.5999999999999996</v>
      </c>
      <c r="E7" s="17">
        <f t="shared" si="2"/>
        <v>4.8</v>
      </c>
      <c r="F7" s="17">
        <f t="shared" si="3"/>
        <v>6</v>
      </c>
      <c r="G7" s="17">
        <f t="shared" si="4"/>
        <v>7.1999999999999993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s="4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76</v>
      </c>
      <c r="S12" s="9" t="s">
        <v>76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35</v>
      </c>
      <c r="D13" s="9">
        <v>17</v>
      </c>
      <c r="E13" s="9">
        <v>35</v>
      </c>
      <c r="M13" s="7" t="s">
        <v>47</v>
      </c>
      <c r="N13" s="9" t="s">
        <v>56</v>
      </c>
      <c r="O13" s="9" t="s">
        <v>56</v>
      </c>
      <c r="P13" s="9" t="s">
        <v>66</v>
      </c>
      <c r="Q13" s="9" t="s">
        <v>189</v>
      </c>
      <c r="R13" s="9" t="s">
        <v>57</v>
      </c>
      <c r="S13" s="9" t="s">
        <v>59</v>
      </c>
    </row>
    <row r="14" spans="1:19" ht="16.5" thickTop="1" thickBot="1" x14ac:dyDescent="0.3">
      <c r="A14" s="10" t="s">
        <v>13</v>
      </c>
      <c r="B14" s="9">
        <v>14</v>
      </c>
      <c r="C14" s="9">
        <f>B14+$B$9*($B$10+1)*B6</f>
        <v>33</v>
      </c>
      <c r="D14" s="9">
        <v>16</v>
      </c>
      <c r="E14" s="9">
        <v>33</v>
      </c>
      <c r="M14" s="7" t="s">
        <v>48</v>
      </c>
      <c r="N14" s="9" t="s">
        <v>66</v>
      </c>
      <c r="O14" s="9" t="s">
        <v>190</v>
      </c>
      <c r="P14" s="9" t="s">
        <v>67</v>
      </c>
      <c r="Q14" s="9" t="s">
        <v>62</v>
      </c>
      <c r="R14" s="9" t="s">
        <v>97</v>
      </c>
      <c r="S14" s="9" t="s">
        <v>191</v>
      </c>
    </row>
    <row r="15" spans="1:19" ht="16.5" thickTop="1" thickBot="1" x14ac:dyDescent="0.3">
      <c r="A15" s="10" t="s">
        <v>1</v>
      </c>
      <c r="B15" s="9">
        <v>24</v>
      </c>
      <c r="C15" s="9">
        <f>B15+$B$9*($B$10+1)*B7</f>
        <v>48</v>
      </c>
      <c r="D15" s="9">
        <v>27</v>
      </c>
      <c r="E15" s="9">
        <v>48</v>
      </c>
      <c r="M15" s="19" t="s">
        <v>49</v>
      </c>
      <c r="N15" s="9" t="s">
        <v>56</v>
      </c>
      <c r="O15" s="9" t="s">
        <v>66</v>
      </c>
      <c r="P15" s="9" t="s">
        <v>105</v>
      </c>
      <c r="Q15" s="9" t="s">
        <v>100</v>
      </c>
      <c r="R15" s="9" t="s">
        <v>60</v>
      </c>
      <c r="S15" s="9" t="s">
        <v>69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799</v>
      </c>
      <c r="D16" s="9">
        <v>475</v>
      </c>
      <c r="E16" s="9">
        <v>799</v>
      </c>
      <c r="M16" s="19" t="s">
        <v>50</v>
      </c>
      <c r="N16" s="9" t="s">
        <v>62</v>
      </c>
      <c r="O16" s="9" t="s">
        <v>192</v>
      </c>
      <c r="P16" s="9" t="s">
        <v>193</v>
      </c>
      <c r="Q16" s="9" t="s">
        <v>111</v>
      </c>
      <c r="R16" s="9" t="s">
        <v>190</v>
      </c>
      <c r="S16" s="9" t="s">
        <v>69</v>
      </c>
    </row>
    <row r="17" spans="1:19" ht="16.5" thickTop="1" thickBot="1" x14ac:dyDescent="0.3">
      <c r="A17" s="10" t="s">
        <v>15</v>
      </c>
      <c r="B17" s="9">
        <v>17</v>
      </c>
      <c r="C17" s="9">
        <f>ROUND(B17+C15+C15*Common!$B$2,0)</f>
        <v>84</v>
      </c>
      <c r="D17" s="9">
        <v>54</v>
      </c>
      <c r="E17" s="9">
        <v>84</v>
      </c>
      <c r="M17" s="19" t="s">
        <v>51</v>
      </c>
      <c r="N17" s="9" t="s">
        <v>110</v>
      </c>
      <c r="O17" s="9" t="s">
        <v>67</v>
      </c>
      <c r="P17" s="9" t="s">
        <v>194</v>
      </c>
      <c r="Q17" s="9" t="s">
        <v>195</v>
      </c>
      <c r="R17" s="9" t="s">
        <v>57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79</v>
      </c>
      <c r="D18" s="9">
        <v>37</v>
      </c>
      <c r="E18" s="9">
        <v>78</v>
      </c>
      <c r="M18" s="18" t="s">
        <v>52</v>
      </c>
      <c r="N18" s="9" t="s">
        <v>196</v>
      </c>
      <c r="O18" s="9" t="s">
        <v>97</v>
      </c>
      <c r="P18" s="9" t="s">
        <v>197</v>
      </c>
      <c r="Q18" s="9" t="s">
        <v>111</v>
      </c>
      <c r="R18" s="9" t="s">
        <v>198</v>
      </c>
      <c r="S18" s="9" t="s">
        <v>114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8</v>
      </c>
      <c r="D19" s="13">
        <v>3</v>
      </c>
      <c r="E19" s="13">
        <v>7</v>
      </c>
      <c r="F19" s="3"/>
      <c r="G19" s="3"/>
      <c r="H19" s="3"/>
      <c r="I19" s="3"/>
      <c r="M19" s="18" t="s">
        <v>53</v>
      </c>
      <c r="N19" s="9" t="s">
        <v>60</v>
      </c>
      <c r="O19" s="9" t="s">
        <v>199</v>
      </c>
      <c r="P19" s="9" t="s">
        <v>200</v>
      </c>
      <c r="Q19" s="9" t="s">
        <v>64</v>
      </c>
      <c r="R19" s="9" t="s">
        <v>110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2</v>
      </c>
      <c r="E20" s="9">
        <v>3</v>
      </c>
      <c r="M20" s="18" t="s">
        <v>118</v>
      </c>
      <c r="N20" s="9" t="s">
        <v>190</v>
      </c>
      <c r="O20" s="9" t="s">
        <v>112</v>
      </c>
      <c r="P20" s="9" t="s">
        <v>120</v>
      </c>
      <c r="Q20" s="9" t="s">
        <v>125</v>
      </c>
      <c r="R20" s="9" t="s">
        <v>193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19.200000000000003</v>
      </c>
      <c r="D21" s="9">
        <v>11</v>
      </c>
      <c r="E21" s="9">
        <v>19</v>
      </c>
      <c r="M21" s="18" t="s">
        <v>119</v>
      </c>
      <c r="N21" s="9" t="s">
        <v>100</v>
      </c>
      <c r="O21" s="9" t="s">
        <v>193</v>
      </c>
      <c r="P21" s="9" t="s">
        <v>123</v>
      </c>
      <c r="Q21" s="9" t="s">
        <v>109</v>
      </c>
      <c r="R21" s="9" t="s">
        <v>194</v>
      </c>
      <c r="S21" s="9" t="s">
        <v>114</v>
      </c>
    </row>
    <row r="22" spans="1:19" ht="15.75" thickTop="1" x14ac:dyDescent="0.25">
      <c r="M22" s="18" t="s">
        <v>589</v>
      </c>
      <c r="N22" s="9" t="s">
        <v>614</v>
      </c>
      <c r="O22" s="9" t="s">
        <v>609</v>
      </c>
      <c r="P22" s="9" t="s">
        <v>340</v>
      </c>
      <c r="Q22" s="9" t="s">
        <v>113</v>
      </c>
      <c r="R22" s="9" t="s">
        <v>161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612</v>
      </c>
      <c r="P23" s="9" t="s">
        <v>297</v>
      </c>
      <c r="Q23" s="9" t="s">
        <v>615</v>
      </c>
      <c r="R23" s="9" t="s">
        <v>616</v>
      </c>
      <c r="S23" s="9" t="s">
        <v>593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22" sqref="M22:S23"/>
    </sheetView>
  </sheetViews>
  <sheetFormatPr defaultRowHeight="15" x14ac:dyDescent="0.25"/>
  <cols>
    <col min="1" max="1" width="16.28515625" customWidth="1"/>
    <col min="2" max="2" width="12" customWidth="1"/>
    <col min="3" max="3" width="9.140625" customWidth="1"/>
    <col min="4" max="4" width="8.7109375" customWidth="1"/>
    <col min="5" max="5" width="11.42578125" customWidth="1"/>
    <col min="6" max="6" width="12.5703125" customWidth="1"/>
    <col min="7" max="7" width="12.42578125" customWidth="1"/>
    <col min="9" max="9" width="10.5703125" customWidth="1"/>
    <col min="12" max="12" width="9" customWidth="1"/>
    <col min="13" max="13" width="17.5703125" customWidth="1"/>
    <col min="14" max="14" width="17.42578125" customWidth="1"/>
    <col min="15" max="15" width="14.42578125" customWidth="1"/>
    <col min="16" max="16" width="13.5703125" customWidth="1"/>
    <col min="17" max="17" width="14" customWidth="1"/>
    <col min="18" max="18" width="14.140625" customWidth="1"/>
    <col min="19" max="19" width="16.1406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384</v>
      </c>
      <c r="N3" t="s">
        <v>54</v>
      </c>
      <c r="O3">
        <f>B9*16.5</f>
        <v>429</v>
      </c>
      <c r="P3" t="s">
        <v>388</v>
      </c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385</v>
      </c>
      <c r="N4" t="s">
        <v>206</v>
      </c>
      <c r="O4">
        <f>8*B9+26</f>
        <v>234</v>
      </c>
      <c r="P4" t="s">
        <v>389</v>
      </c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386</v>
      </c>
      <c r="N5" t="s">
        <v>391</v>
      </c>
      <c r="O5">
        <f>B9*3+2</f>
        <v>80</v>
      </c>
      <c r="P5" t="s">
        <v>390</v>
      </c>
    </row>
    <row r="6" spans="1:19" ht="16.5" thickTop="1" thickBot="1" x14ac:dyDescent="0.3">
      <c r="A6" s="10" t="s">
        <v>5</v>
      </c>
      <c r="B6" s="17">
        <v>1.05</v>
      </c>
      <c r="C6" s="17">
        <f t="shared" ref="C6:C7" si="0">B6*2</f>
        <v>2.1</v>
      </c>
      <c r="D6" s="17">
        <f t="shared" ref="D6:D7" si="1">B6*3</f>
        <v>3.1500000000000004</v>
      </c>
      <c r="E6" s="17">
        <f t="shared" ref="E6:E7" si="2">B6*4</f>
        <v>4.2</v>
      </c>
      <c r="F6" s="17">
        <f t="shared" ref="F6:F7" si="3">B6*5</f>
        <v>5.25</v>
      </c>
      <c r="G6" s="17">
        <f t="shared" ref="G6:G7" si="4">B6*6</f>
        <v>6.3000000000000007</v>
      </c>
      <c r="M6" s="18" t="s">
        <v>387</v>
      </c>
      <c r="N6" t="s">
        <v>393</v>
      </c>
      <c r="O6">
        <f>B9</f>
        <v>26</v>
      </c>
      <c r="P6" t="s">
        <v>392</v>
      </c>
    </row>
    <row r="7" spans="1:19" ht="16.5" thickTop="1" thickBot="1" x14ac:dyDescent="0.3">
      <c r="A7" s="10" t="s">
        <v>6</v>
      </c>
      <c r="B7" s="17">
        <v>1.45</v>
      </c>
      <c r="C7" s="17">
        <f t="shared" si="0"/>
        <v>2.9</v>
      </c>
      <c r="D7" s="17">
        <f t="shared" si="1"/>
        <v>4.3499999999999996</v>
      </c>
      <c r="E7" s="17">
        <f t="shared" si="2"/>
        <v>5.8</v>
      </c>
      <c r="F7" s="17">
        <f t="shared" si="3"/>
        <v>7.25</v>
      </c>
      <c r="G7" s="17">
        <f t="shared" si="4"/>
        <v>8.6999999999999993</v>
      </c>
    </row>
    <row r="8" spans="1:19" ht="15.75" thickTop="1" x14ac:dyDescent="0.25"/>
    <row r="9" spans="1:19" x14ac:dyDescent="0.25">
      <c r="A9" t="s">
        <v>35</v>
      </c>
      <c r="B9">
        <v>26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20</v>
      </c>
      <c r="M12" s="4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33</v>
      </c>
      <c r="S12" s="9" t="s">
        <v>29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58.199999999999996</v>
      </c>
      <c r="D13" s="9">
        <v>16</v>
      </c>
      <c r="E13" s="9">
        <v>31</v>
      </c>
      <c r="F13" s="9">
        <v>48</v>
      </c>
      <c r="M13" s="7" t="s">
        <v>47</v>
      </c>
      <c r="N13" s="9" t="s">
        <v>56</v>
      </c>
      <c r="O13" s="9" t="s">
        <v>56</v>
      </c>
      <c r="P13" s="9" t="s">
        <v>189</v>
      </c>
      <c r="Q13" s="9" t="s">
        <v>381</v>
      </c>
      <c r="R13" s="9" t="s">
        <v>29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66.599999999999994</v>
      </c>
      <c r="D14" s="9">
        <v>15</v>
      </c>
      <c r="E14" s="9">
        <v>33</v>
      </c>
      <c r="F14" s="9">
        <v>54</v>
      </c>
      <c r="M14" s="7" t="s">
        <v>48</v>
      </c>
      <c r="N14" s="9" t="s">
        <v>196</v>
      </c>
      <c r="O14" s="9" t="s">
        <v>382</v>
      </c>
      <c r="P14" s="9" t="s">
        <v>383</v>
      </c>
      <c r="Q14" s="9" t="s">
        <v>60</v>
      </c>
      <c r="R14" s="9" t="s">
        <v>55</v>
      </c>
      <c r="S14" s="9" t="s">
        <v>69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93.399999999999991</v>
      </c>
      <c r="D15" s="9">
        <v>21</v>
      </c>
      <c r="E15" s="9">
        <v>47</v>
      </c>
      <c r="F15" s="9">
        <v>76</v>
      </c>
      <c r="M15" s="19" t="s">
        <v>49</v>
      </c>
      <c r="N15" s="9" t="s">
        <v>67</v>
      </c>
      <c r="O15" s="9" t="s">
        <v>111</v>
      </c>
      <c r="P15" s="9" t="s">
        <v>190</v>
      </c>
      <c r="Q15" s="9" t="s">
        <v>189</v>
      </c>
      <c r="R15" s="9" t="s">
        <v>56</v>
      </c>
      <c r="S15" s="9" t="s">
        <v>104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1218</v>
      </c>
      <c r="D16" s="9">
        <v>454</v>
      </c>
      <c r="E16" s="9">
        <v>729</v>
      </c>
      <c r="F16" s="9">
        <v>1035</v>
      </c>
      <c r="M16" s="19" t="s">
        <v>50</v>
      </c>
      <c r="N16" s="9" t="s">
        <v>193</v>
      </c>
      <c r="O16" s="9" t="s">
        <v>111</v>
      </c>
      <c r="P16" s="9" t="s">
        <v>247</v>
      </c>
      <c r="Q16" s="9" t="s">
        <v>383</v>
      </c>
      <c r="R16" s="9" t="s">
        <v>56</v>
      </c>
      <c r="S16" s="9" t="s">
        <v>136</v>
      </c>
    </row>
    <row r="17" spans="1:19" ht="16.5" thickTop="1" thickBot="1" x14ac:dyDescent="0.3">
      <c r="A17" s="10" t="s">
        <v>15</v>
      </c>
      <c r="B17" s="9">
        <v>10</v>
      </c>
      <c r="C17" s="9">
        <f>ROUND(B17+C15+C15*Common!$B$2,0)</f>
        <v>141</v>
      </c>
      <c r="D17" s="9">
        <v>39</v>
      </c>
      <c r="E17" s="9">
        <v>76</v>
      </c>
      <c r="F17" s="9">
        <v>116</v>
      </c>
      <c r="M17" s="19" t="s">
        <v>51</v>
      </c>
      <c r="N17" s="9" t="s">
        <v>194</v>
      </c>
      <c r="O17" s="9" t="s">
        <v>106</v>
      </c>
      <c r="P17" s="9" t="s">
        <v>196</v>
      </c>
      <c r="Q17" s="9" t="s">
        <v>382</v>
      </c>
      <c r="R17" s="9" t="s">
        <v>67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160</v>
      </c>
      <c r="D18" s="9">
        <v>35</v>
      </c>
      <c r="E18" s="9">
        <v>80</v>
      </c>
      <c r="F18" s="9">
        <v>131</v>
      </c>
      <c r="M18" s="18" t="s">
        <v>52</v>
      </c>
      <c r="N18" s="9" t="s">
        <v>194</v>
      </c>
      <c r="O18" s="9" t="s">
        <v>297</v>
      </c>
      <c r="P18" s="9" t="s">
        <v>110</v>
      </c>
      <c r="Q18" s="9" t="s">
        <v>97</v>
      </c>
      <c r="R18" s="9" t="s">
        <v>199</v>
      </c>
      <c r="S18" s="9" t="s">
        <v>114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15</v>
      </c>
      <c r="D19" s="9">
        <v>3</v>
      </c>
      <c r="E19" s="9">
        <v>7</v>
      </c>
      <c r="F19" s="9">
        <v>12</v>
      </c>
      <c r="M19" s="18" t="s">
        <v>53</v>
      </c>
      <c r="N19" s="9" t="s">
        <v>200</v>
      </c>
      <c r="O19" s="9" t="s">
        <v>340</v>
      </c>
      <c r="P19" s="9" t="s">
        <v>193</v>
      </c>
      <c r="Q19" s="9" t="s">
        <v>105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>
        <v>1</v>
      </c>
      <c r="E20" s="9">
        <v>3</v>
      </c>
      <c r="F20" s="9">
        <v>5</v>
      </c>
      <c r="M20" s="18" t="s">
        <v>118</v>
      </c>
      <c r="N20" s="9" t="s">
        <v>123</v>
      </c>
      <c r="O20" s="9" t="s">
        <v>109</v>
      </c>
      <c r="P20" s="9" t="s">
        <v>111</v>
      </c>
      <c r="Q20" s="9" t="s">
        <v>110</v>
      </c>
      <c r="R20" s="9" t="s">
        <v>192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37.36</v>
      </c>
      <c r="D21" s="9">
        <v>8</v>
      </c>
      <c r="E21" s="9">
        <v>19</v>
      </c>
      <c r="F21" s="9">
        <v>30</v>
      </c>
      <c r="M21" s="18" t="s">
        <v>119</v>
      </c>
      <c r="N21" s="9" t="s">
        <v>120</v>
      </c>
      <c r="O21" s="9" t="s">
        <v>200</v>
      </c>
      <c r="P21" s="9" t="s">
        <v>297</v>
      </c>
      <c r="Q21" s="9" t="s">
        <v>194</v>
      </c>
      <c r="R21" s="9" t="s">
        <v>111</v>
      </c>
      <c r="S21" s="9" t="s">
        <v>114</v>
      </c>
    </row>
    <row r="22" spans="1:19" ht="15.75" thickTop="1" x14ac:dyDescent="0.25">
      <c r="M22" s="18" t="s">
        <v>589</v>
      </c>
      <c r="N22" s="9" t="s">
        <v>614</v>
      </c>
      <c r="O22" s="9" t="s">
        <v>609</v>
      </c>
      <c r="P22" s="9" t="s">
        <v>607</v>
      </c>
      <c r="Q22" s="9" t="s">
        <v>125</v>
      </c>
      <c r="R22" s="9" t="s">
        <v>109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617</v>
      </c>
      <c r="P23" s="9" t="s">
        <v>124</v>
      </c>
      <c r="Q23" s="9" t="s">
        <v>120</v>
      </c>
      <c r="R23" s="9" t="s">
        <v>151</v>
      </c>
      <c r="S23" s="9" t="s">
        <v>593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3.85546875" customWidth="1"/>
    <col min="6" max="6" width="14.7109375" customWidth="1"/>
    <col min="7" max="7" width="16.140625" customWidth="1"/>
    <col min="9" max="9" width="10.5703125" customWidth="1"/>
    <col min="12" max="12" width="14.85546875" customWidth="1"/>
  </cols>
  <sheetData>
    <row r="1" spans="1:13" x14ac:dyDescent="0.25">
      <c r="C1" t="s">
        <v>0</v>
      </c>
      <c r="D1" t="s">
        <v>1</v>
      </c>
    </row>
    <row r="2" spans="1:13" x14ac:dyDescent="0.25">
      <c r="C2" t="s">
        <v>2</v>
      </c>
      <c r="D2" t="s">
        <v>3</v>
      </c>
      <c r="L2" s="1"/>
      <c r="M2" s="1"/>
    </row>
    <row r="3" spans="1:13" x14ac:dyDescent="0.25">
      <c r="E3" t="s">
        <v>7</v>
      </c>
      <c r="F3" t="s">
        <v>8</v>
      </c>
      <c r="G3" t="s">
        <v>9</v>
      </c>
      <c r="H3" t="s">
        <v>10</v>
      </c>
      <c r="I3" t="s">
        <v>11</v>
      </c>
      <c r="L3" s="1"/>
      <c r="M3" s="1"/>
    </row>
    <row r="4" spans="1:13" x14ac:dyDescent="0.25">
      <c r="D4" t="s">
        <v>4</v>
      </c>
      <c r="G4">
        <v>4.8</v>
      </c>
      <c r="H4">
        <v>6</v>
      </c>
      <c r="I4">
        <v>7.2</v>
      </c>
      <c r="L4" s="2"/>
      <c r="M4" s="2"/>
    </row>
    <row r="5" spans="1:13" x14ac:dyDescent="0.25">
      <c r="D5" t="s">
        <v>5</v>
      </c>
      <c r="G5">
        <v>3.6</v>
      </c>
      <c r="H5">
        <v>4.5</v>
      </c>
      <c r="I5">
        <v>5.4</v>
      </c>
      <c r="L5" s="2"/>
      <c r="M5" s="2"/>
    </row>
    <row r="6" spans="1:13" x14ac:dyDescent="0.25">
      <c r="D6" t="s">
        <v>6</v>
      </c>
      <c r="G6">
        <v>4.8</v>
      </c>
      <c r="H6">
        <v>6</v>
      </c>
      <c r="I6">
        <v>7.2</v>
      </c>
      <c r="L6" s="3"/>
      <c r="M6" s="3"/>
    </row>
    <row r="7" spans="1:13" x14ac:dyDescent="0.25">
      <c r="L7" s="3"/>
      <c r="M7" s="3"/>
    </row>
    <row r="9" spans="1:13" x14ac:dyDescent="0.25">
      <c r="A9" t="s">
        <v>20</v>
      </c>
      <c r="C9" t="s">
        <v>12</v>
      </c>
    </row>
    <row r="10" spans="1:13" x14ac:dyDescent="0.25">
      <c r="C10" t="s">
        <v>13</v>
      </c>
    </row>
    <row r="11" spans="1:13" x14ac:dyDescent="0.25">
      <c r="C11" t="s">
        <v>1</v>
      </c>
    </row>
    <row r="12" spans="1:13" x14ac:dyDescent="0.25">
      <c r="C12" t="s">
        <v>14</v>
      </c>
    </row>
    <row r="13" spans="1:13" x14ac:dyDescent="0.25">
      <c r="C13" t="s">
        <v>15</v>
      </c>
    </row>
    <row r="14" spans="1:13" x14ac:dyDescent="0.25">
      <c r="C14" t="s">
        <v>16</v>
      </c>
    </row>
    <row r="15" spans="1:13" x14ac:dyDescent="0.25">
      <c r="C15" t="s">
        <v>17</v>
      </c>
    </row>
    <row r="16" spans="1:13" x14ac:dyDescent="0.25">
      <c r="C16" t="s">
        <v>18</v>
      </c>
    </row>
    <row r="17" spans="1:7" x14ac:dyDescent="0.25">
      <c r="C17" t="s">
        <v>19</v>
      </c>
    </row>
    <row r="21" spans="1:7" x14ac:dyDescent="0.25">
      <c r="A21" t="s">
        <v>21</v>
      </c>
    </row>
    <row r="22" spans="1:7" x14ac:dyDescent="0.25"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</row>
    <row r="23" spans="1:7" x14ac:dyDescent="0.25">
      <c r="A23" s="4" t="s">
        <v>22</v>
      </c>
      <c r="B23" t="s">
        <v>30</v>
      </c>
      <c r="C23" t="s">
        <v>30</v>
      </c>
      <c r="D23" t="s">
        <v>31</v>
      </c>
      <c r="E23" t="s">
        <v>30</v>
      </c>
      <c r="F23" t="s">
        <v>29</v>
      </c>
      <c r="G23" t="s">
        <v>32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K8" sqref="K8"/>
    </sheetView>
  </sheetViews>
  <sheetFormatPr defaultRowHeight="15" x14ac:dyDescent="0.25"/>
  <cols>
    <col min="1" max="1" width="25.42578125" customWidth="1"/>
  </cols>
  <sheetData>
    <row r="1" spans="1:2" x14ac:dyDescent="0.25">
      <c r="A1" s="5" t="s">
        <v>42</v>
      </c>
      <c r="B1" s="9">
        <v>18</v>
      </c>
    </row>
    <row r="2" spans="1:2" x14ac:dyDescent="0.25">
      <c r="A2" s="5" t="s">
        <v>38</v>
      </c>
      <c r="B2" s="9">
        <v>0.4</v>
      </c>
    </row>
    <row r="3" spans="1:2" x14ac:dyDescent="0.25">
      <c r="A3" s="5" t="s">
        <v>39</v>
      </c>
      <c r="B3" s="9">
        <v>2.4</v>
      </c>
    </row>
    <row r="4" spans="1:2" x14ac:dyDescent="0.25">
      <c r="A4" s="5" t="s">
        <v>40</v>
      </c>
      <c r="B4" s="9">
        <v>0.1</v>
      </c>
    </row>
    <row r="5" spans="1:2" x14ac:dyDescent="0.25">
      <c r="A5" s="5" t="s">
        <v>41</v>
      </c>
      <c r="B5" s="9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N12" sqref="N12:S21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5.28515625" customWidth="1"/>
    <col min="17" max="17" width="19.285156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t="s">
        <v>562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563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1.25</v>
      </c>
      <c r="C5" s="17">
        <f>B5*2</f>
        <v>2.5</v>
      </c>
      <c r="D5" s="17">
        <f>B5*3</f>
        <v>3.75</v>
      </c>
      <c r="E5" s="17">
        <f>B5*4</f>
        <v>5</v>
      </c>
      <c r="F5" s="17">
        <f>B5*5</f>
        <v>6.25</v>
      </c>
      <c r="G5" s="17">
        <f>B5*6</f>
        <v>7.5</v>
      </c>
      <c r="M5" s="19" t="s">
        <v>564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1.1000000000000001</v>
      </c>
      <c r="C6" s="17">
        <f t="shared" ref="C6:C7" si="0">B6*2</f>
        <v>2.2000000000000002</v>
      </c>
      <c r="D6" s="17">
        <f t="shared" ref="D6:D7" si="1">B6*3</f>
        <v>3.3000000000000003</v>
      </c>
      <c r="E6" s="17">
        <f t="shared" ref="E6:E7" si="2">B6*4</f>
        <v>4.4000000000000004</v>
      </c>
      <c r="F6" s="17">
        <f t="shared" ref="F6:F7" si="3">B6*5</f>
        <v>5.5</v>
      </c>
      <c r="G6" s="17">
        <f t="shared" ref="G6:G7" si="4">B6*6</f>
        <v>6.6000000000000005</v>
      </c>
      <c r="M6" s="18" t="s">
        <v>565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0.65</v>
      </c>
      <c r="C7" s="17">
        <f t="shared" si="0"/>
        <v>1.3</v>
      </c>
      <c r="D7" s="17">
        <f t="shared" si="1"/>
        <v>1.9500000000000002</v>
      </c>
      <c r="E7" s="17">
        <f t="shared" si="2"/>
        <v>2.6</v>
      </c>
      <c r="F7" s="17">
        <f t="shared" si="3"/>
        <v>3.25</v>
      </c>
      <c r="G7" s="17">
        <f t="shared" si="4"/>
        <v>3.9000000000000004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/>
      <c r="O12" s="9"/>
      <c r="P12" s="9"/>
      <c r="Q12" s="9"/>
      <c r="R12" s="9"/>
      <c r="S12" s="9"/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95</v>
      </c>
      <c r="D13" s="9"/>
      <c r="E13" s="9">
        <v>95</v>
      </c>
      <c r="F13" s="9"/>
      <c r="M13" s="7" t="s">
        <v>47</v>
      </c>
      <c r="N13" s="9"/>
      <c r="O13" s="9"/>
      <c r="P13" s="9"/>
      <c r="Q13" s="9"/>
      <c r="R13" s="9"/>
      <c r="S13" s="9"/>
    </row>
    <row r="14" spans="1:19" ht="16.5" thickTop="1" thickBot="1" x14ac:dyDescent="0.3">
      <c r="A14" s="10" t="s">
        <v>13</v>
      </c>
      <c r="B14" s="9">
        <v>11</v>
      </c>
      <c r="C14" s="9">
        <f>B14+$B$9*($B$10+1)*B6</f>
        <v>77</v>
      </c>
      <c r="D14" s="9"/>
      <c r="E14" s="9">
        <v>77</v>
      </c>
      <c r="F14" s="9"/>
      <c r="M14" s="7" t="s">
        <v>48</v>
      </c>
      <c r="N14" s="9"/>
      <c r="O14" s="9"/>
      <c r="P14" s="9"/>
      <c r="Q14" s="9"/>
      <c r="R14" s="9"/>
      <c r="S14" s="9"/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54</v>
      </c>
      <c r="D15" s="9"/>
      <c r="E15" s="9">
        <v>54</v>
      </c>
      <c r="F15" s="9"/>
      <c r="M15" s="19" t="s">
        <v>49</v>
      </c>
      <c r="N15" s="9"/>
      <c r="O15" s="9"/>
      <c r="P15" s="9"/>
      <c r="Q15" s="9"/>
      <c r="R15" s="9"/>
      <c r="S15" s="9"/>
    </row>
    <row r="16" spans="1:19" ht="16.5" thickTop="1" thickBot="1" x14ac:dyDescent="0.3">
      <c r="A16" s="10" t="s">
        <v>14</v>
      </c>
      <c r="B16" s="9">
        <v>176</v>
      </c>
      <c r="C16" s="9">
        <f>ROUNDDOWN(B16+C13*Common!$B$1,0)</f>
        <v>1886</v>
      </c>
      <c r="D16" s="9"/>
      <c r="E16" s="9">
        <v>1886</v>
      </c>
      <c r="F16" s="9"/>
      <c r="M16" s="19" t="s">
        <v>50</v>
      </c>
      <c r="N16" s="9"/>
      <c r="O16" s="9"/>
      <c r="P16" s="9"/>
      <c r="Q16" s="9"/>
      <c r="R16" s="9"/>
      <c r="S16" s="9"/>
    </row>
    <row r="17" spans="1:19" ht="16.5" thickTop="1" thickBot="1" x14ac:dyDescent="0.3">
      <c r="A17" s="10" t="s">
        <v>15</v>
      </c>
      <c r="B17" s="9">
        <v>22</v>
      </c>
      <c r="C17" s="9">
        <f>ROUND(B17+C13+C15*Common!$B$2,0)</f>
        <v>139</v>
      </c>
      <c r="D17" s="9"/>
      <c r="E17" s="9">
        <v>139</v>
      </c>
      <c r="F17" s="9"/>
      <c r="M17" s="19" t="s">
        <v>51</v>
      </c>
      <c r="N17" s="9"/>
      <c r="O17" s="9"/>
      <c r="P17" s="9"/>
      <c r="Q17" s="9"/>
      <c r="R17" s="9"/>
      <c r="S17" s="9"/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185</v>
      </c>
      <c r="D18" s="9"/>
      <c r="E18" s="9">
        <v>185</v>
      </c>
      <c r="F18" s="9"/>
      <c r="M18" s="18" t="s">
        <v>52</v>
      </c>
      <c r="N18" s="9"/>
      <c r="O18" s="9"/>
      <c r="P18" s="9"/>
      <c r="Q18" s="9"/>
      <c r="R18" s="9"/>
      <c r="S18" s="9"/>
    </row>
    <row r="19" spans="1:19" ht="16.5" thickTop="1" thickBot="1" x14ac:dyDescent="0.3">
      <c r="A19" s="10" t="s">
        <v>17</v>
      </c>
      <c r="B19" s="22">
        <v>3</v>
      </c>
      <c r="C19" s="9">
        <f>B19+ROUND(C13/7,0)+ROUND(C15/14,0)</f>
        <v>21</v>
      </c>
      <c r="D19" s="9"/>
      <c r="E19" s="9">
        <v>18</v>
      </c>
      <c r="F19" s="9"/>
      <c r="M19" s="18" t="s">
        <v>53</v>
      </c>
      <c r="N19" s="9"/>
      <c r="O19" s="9"/>
      <c r="P19" s="9"/>
      <c r="Q19" s="9"/>
      <c r="R19" s="9"/>
      <c r="S19" s="9"/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8</v>
      </c>
      <c r="D20" s="9"/>
      <c r="E20" s="9">
        <v>8</v>
      </c>
      <c r="F20" s="9"/>
      <c r="M20" s="18" t="s">
        <v>118</v>
      </c>
      <c r="N20" s="9"/>
      <c r="O20" s="9"/>
      <c r="P20" s="9"/>
      <c r="Q20" s="9"/>
      <c r="R20" s="9"/>
      <c r="S20" s="9"/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21.6</v>
      </c>
      <c r="D21" s="9"/>
      <c r="E21" s="9">
        <v>22</v>
      </c>
      <c r="F21" s="9"/>
      <c r="M21" s="18" t="s">
        <v>119</v>
      </c>
      <c r="N21" s="9"/>
      <c r="O21" s="9"/>
      <c r="P21" s="9"/>
      <c r="Q21" s="9"/>
      <c r="R21" s="9"/>
      <c r="S21" s="9"/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5.28515625" customWidth="1"/>
    <col min="17" max="17" width="19.285156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562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563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1.45</v>
      </c>
      <c r="C5" s="17">
        <f>B5*2</f>
        <v>2.9</v>
      </c>
      <c r="D5" s="17">
        <f>B5*3</f>
        <v>4.3499999999999996</v>
      </c>
      <c r="E5" s="17">
        <f>B5*4</f>
        <v>5.8</v>
      </c>
      <c r="F5" s="17">
        <f>B5*5</f>
        <v>7.25</v>
      </c>
      <c r="G5" s="17">
        <f>B5*6</f>
        <v>8.6999999999999993</v>
      </c>
      <c r="M5" s="19" t="s">
        <v>564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0.8</v>
      </c>
      <c r="C6" s="17">
        <f t="shared" ref="C6:C7" si="0">B6*2</f>
        <v>1.6</v>
      </c>
      <c r="D6" s="17">
        <f t="shared" ref="D6:D7" si="1">B6*3</f>
        <v>2.4000000000000004</v>
      </c>
      <c r="E6" s="17">
        <f t="shared" ref="E6:E7" si="2">B6*4</f>
        <v>3.2</v>
      </c>
      <c r="F6" s="17">
        <f t="shared" ref="F6:F7" si="3">B6*5</f>
        <v>4</v>
      </c>
      <c r="G6" s="17">
        <f t="shared" ref="G6:G7" si="4">B6*6</f>
        <v>4.8000000000000007</v>
      </c>
      <c r="M6" s="18" t="s">
        <v>565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0.8</v>
      </c>
      <c r="C7" s="17">
        <f t="shared" si="0"/>
        <v>1.6</v>
      </c>
      <c r="D7" s="17">
        <f t="shared" si="1"/>
        <v>2.4000000000000004</v>
      </c>
      <c r="E7" s="17">
        <f t="shared" si="2"/>
        <v>3.2</v>
      </c>
      <c r="F7" s="17">
        <f t="shared" si="3"/>
        <v>4</v>
      </c>
      <c r="G7" s="17">
        <f t="shared" si="4"/>
        <v>4.8000000000000007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73</v>
      </c>
      <c r="Q12" s="9" t="s">
        <v>73</v>
      </c>
      <c r="R12" s="9" t="s">
        <v>31</v>
      </c>
      <c r="S12" s="9" t="s">
        <v>553</v>
      </c>
    </row>
    <row r="13" spans="1:19" ht="16.5" thickTop="1" thickBot="1" x14ac:dyDescent="0.3">
      <c r="A13" s="10" t="s">
        <v>12</v>
      </c>
      <c r="B13" s="9">
        <v>19</v>
      </c>
      <c r="C13" s="9">
        <f>B13+$B$9*($B$10+1)*B5</f>
        <v>48</v>
      </c>
      <c r="D13" s="9">
        <v>22</v>
      </c>
      <c r="E13" s="9">
        <v>48</v>
      </c>
      <c r="F13" s="9"/>
      <c r="M13" s="7" t="s">
        <v>47</v>
      </c>
      <c r="N13" s="9" t="s">
        <v>554</v>
      </c>
      <c r="O13" s="9" t="s">
        <v>147</v>
      </c>
      <c r="P13" s="9" t="s">
        <v>78</v>
      </c>
      <c r="Q13" s="9" t="s">
        <v>78</v>
      </c>
      <c r="R13" s="9" t="s">
        <v>249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28</v>
      </c>
      <c r="D14" s="9">
        <v>14</v>
      </c>
      <c r="E14" s="9">
        <v>28</v>
      </c>
      <c r="F14" s="9"/>
      <c r="M14" s="7" t="s">
        <v>48</v>
      </c>
      <c r="N14" s="9" t="s">
        <v>140</v>
      </c>
      <c r="O14" s="9" t="s">
        <v>555</v>
      </c>
      <c r="P14" s="9" t="s">
        <v>139</v>
      </c>
      <c r="Q14" s="9" t="s">
        <v>108</v>
      </c>
      <c r="R14" s="9" t="s">
        <v>556</v>
      </c>
      <c r="S14" s="9" t="s">
        <v>59</v>
      </c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31</v>
      </c>
      <c r="D15" s="9">
        <v>17</v>
      </c>
      <c r="E15" s="9">
        <v>31</v>
      </c>
      <c r="F15" s="9"/>
      <c r="M15" s="19" t="s">
        <v>49</v>
      </c>
      <c r="N15" s="9" t="s">
        <v>107</v>
      </c>
      <c r="O15" s="9" t="s">
        <v>557</v>
      </c>
      <c r="P15" s="9" t="s">
        <v>558</v>
      </c>
      <c r="Q15" s="9" t="s">
        <v>78</v>
      </c>
      <c r="R15" s="9" t="s">
        <v>247</v>
      </c>
      <c r="S15" s="9" t="s">
        <v>99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1035</v>
      </c>
      <c r="D16" s="9">
        <v>565</v>
      </c>
      <c r="E16" s="9">
        <v>1035</v>
      </c>
      <c r="F16" s="9"/>
      <c r="M16" s="19" t="s">
        <v>50</v>
      </c>
      <c r="N16" s="9" t="s">
        <v>106</v>
      </c>
      <c r="O16" s="9" t="s">
        <v>105</v>
      </c>
      <c r="P16" s="9" t="s">
        <v>382</v>
      </c>
      <c r="Q16" s="9" t="s">
        <v>68</v>
      </c>
      <c r="R16" s="9" t="s">
        <v>556</v>
      </c>
      <c r="S16" s="9" t="s">
        <v>99</v>
      </c>
    </row>
    <row r="17" spans="1:19" ht="16.5" thickTop="1" thickBot="1" x14ac:dyDescent="0.3">
      <c r="A17" s="10" t="s">
        <v>15</v>
      </c>
      <c r="B17" s="9">
        <v>26</v>
      </c>
      <c r="C17" s="9">
        <f>ROUND(B17+C13+C15*Common!$B$2,0)</f>
        <v>86</v>
      </c>
      <c r="D17" s="9">
        <v>54</v>
      </c>
      <c r="E17" s="9">
        <v>86</v>
      </c>
      <c r="F17" s="9"/>
      <c r="M17" s="19" t="s">
        <v>51</v>
      </c>
      <c r="N17" s="9" t="s">
        <v>559</v>
      </c>
      <c r="O17" s="9" t="s">
        <v>110</v>
      </c>
      <c r="P17" s="9" t="s">
        <v>199</v>
      </c>
      <c r="Q17" s="9" t="s">
        <v>61</v>
      </c>
      <c r="R17" s="9" t="s">
        <v>246</v>
      </c>
      <c r="S17" s="9" t="s">
        <v>99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67</v>
      </c>
      <c r="D18" s="9">
        <v>33</v>
      </c>
      <c r="E18" s="9">
        <v>68</v>
      </c>
      <c r="F18" s="9"/>
      <c r="M18" s="18" t="s">
        <v>52</v>
      </c>
      <c r="N18" s="9" t="s">
        <v>113</v>
      </c>
      <c r="O18" s="9" t="s">
        <v>148</v>
      </c>
      <c r="P18" s="9" t="s">
        <v>147</v>
      </c>
      <c r="Q18" s="9" t="s">
        <v>198</v>
      </c>
      <c r="R18" s="9" t="s">
        <v>105</v>
      </c>
      <c r="S18" s="9" t="s">
        <v>114</v>
      </c>
    </row>
    <row r="19" spans="1:19" ht="16.5" thickTop="1" thickBot="1" x14ac:dyDescent="0.3">
      <c r="A19" s="10" t="s">
        <v>17</v>
      </c>
      <c r="B19" s="22">
        <v>3</v>
      </c>
      <c r="C19" s="9">
        <f>B19+ROUND(C13/7,0)+ROUND(C15/14,0)</f>
        <v>12</v>
      </c>
      <c r="D19" s="9">
        <v>3</v>
      </c>
      <c r="E19" s="9">
        <v>8</v>
      </c>
      <c r="F19" s="9"/>
      <c r="M19" s="18" t="s">
        <v>53</v>
      </c>
      <c r="N19" s="9" t="s">
        <v>115</v>
      </c>
      <c r="O19" s="9" t="s">
        <v>299</v>
      </c>
      <c r="P19" s="9" t="s">
        <v>560</v>
      </c>
      <c r="Q19" s="9" t="s">
        <v>561</v>
      </c>
      <c r="R19" s="9" t="s">
        <v>111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1</v>
      </c>
      <c r="E20" s="9">
        <v>3</v>
      </c>
      <c r="F20" s="9"/>
      <c r="M20" s="18" t="s">
        <v>118</v>
      </c>
      <c r="N20" s="9" t="s">
        <v>362</v>
      </c>
      <c r="O20" s="9" t="s">
        <v>342</v>
      </c>
      <c r="P20" s="9" t="s">
        <v>300</v>
      </c>
      <c r="Q20" s="9" t="s">
        <v>448</v>
      </c>
      <c r="R20" s="9" t="s">
        <v>65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12.4</v>
      </c>
      <c r="D21" s="9">
        <v>7</v>
      </c>
      <c r="E21" s="9">
        <v>13</v>
      </c>
      <c r="F21" s="9"/>
      <c r="M21" s="18" t="s">
        <v>119</v>
      </c>
      <c r="N21" s="9" t="s">
        <v>123</v>
      </c>
      <c r="O21" s="9" t="s">
        <v>124</v>
      </c>
      <c r="P21" s="9" t="s">
        <v>197</v>
      </c>
      <c r="Q21" s="9" t="s">
        <v>106</v>
      </c>
      <c r="R21" s="9" t="s">
        <v>107</v>
      </c>
      <c r="S21" s="9" t="s">
        <v>114</v>
      </c>
    </row>
    <row r="22" spans="1:19" ht="15.75" thickTop="1" x14ac:dyDescent="0.25">
      <c r="M22" s="18" t="s">
        <v>589</v>
      </c>
      <c r="N22" s="9" t="s">
        <v>297</v>
      </c>
      <c r="O22" s="9" t="s">
        <v>591</v>
      </c>
      <c r="P22" s="23" t="s">
        <v>120</v>
      </c>
      <c r="Q22" s="9" t="s">
        <v>115</v>
      </c>
      <c r="R22" s="23" t="s">
        <v>116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613</v>
      </c>
      <c r="P23" s="9" t="s">
        <v>595</v>
      </c>
      <c r="Q23" s="9" t="s">
        <v>186</v>
      </c>
      <c r="R23" s="9" t="s">
        <v>340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441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550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551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552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493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1.55</v>
      </c>
      <c r="C7" s="17">
        <f t="shared" si="0"/>
        <v>3.1</v>
      </c>
      <c r="D7" s="17">
        <f t="shared" si="1"/>
        <v>4.6500000000000004</v>
      </c>
      <c r="E7" s="17">
        <f t="shared" si="2"/>
        <v>6.2</v>
      </c>
      <c r="F7" s="17">
        <f t="shared" si="3"/>
        <v>7.75</v>
      </c>
      <c r="G7" s="17">
        <f t="shared" si="4"/>
        <v>9.3000000000000007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75</v>
      </c>
      <c r="S12" s="9" t="s">
        <v>31</v>
      </c>
    </row>
    <row r="13" spans="1:19" ht="16.5" thickTop="1" thickBot="1" x14ac:dyDescent="0.3">
      <c r="A13" s="10" t="s">
        <v>12</v>
      </c>
      <c r="B13" s="9">
        <v>12</v>
      </c>
      <c r="C13" s="9">
        <f>B13+$B$9*($B$10+1)*B5</f>
        <v>46</v>
      </c>
      <c r="D13" s="9">
        <v>16</v>
      </c>
      <c r="E13" s="9">
        <v>46</v>
      </c>
      <c r="M13" s="7" t="s">
        <v>47</v>
      </c>
      <c r="N13" s="9" t="s">
        <v>56</v>
      </c>
      <c r="O13" s="9" t="s">
        <v>56</v>
      </c>
      <c r="P13" s="9" t="s">
        <v>66</v>
      </c>
      <c r="Q13" s="9" t="s">
        <v>58</v>
      </c>
      <c r="R13" s="9" t="s">
        <v>57</v>
      </c>
      <c r="S13" s="9" t="s">
        <v>59</v>
      </c>
    </row>
    <row r="14" spans="1:19" ht="16.5" thickTop="1" thickBot="1" x14ac:dyDescent="0.3">
      <c r="A14" s="10" t="s">
        <v>13</v>
      </c>
      <c r="B14" s="9">
        <v>17</v>
      </c>
      <c r="C14" s="9">
        <f>B14+$B$9*($B$10+1)*B6</f>
        <v>53</v>
      </c>
      <c r="D14" s="9">
        <v>21</v>
      </c>
      <c r="E14" s="9">
        <v>53</v>
      </c>
      <c r="M14" s="7" t="s">
        <v>48</v>
      </c>
      <c r="N14" s="9" t="s">
        <v>60</v>
      </c>
      <c r="O14" s="9" t="s">
        <v>63</v>
      </c>
      <c r="P14" s="9" t="s">
        <v>61</v>
      </c>
      <c r="Q14" s="9" t="s">
        <v>189</v>
      </c>
      <c r="R14" s="9" t="s">
        <v>56</v>
      </c>
      <c r="S14" s="9" t="s">
        <v>59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80</v>
      </c>
      <c r="D15" s="9">
        <v>24</v>
      </c>
      <c r="E15" s="9">
        <v>80</v>
      </c>
      <c r="M15" s="19" t="s">
        <v>49</v>
      </c>
      <c r="N15" s="9" t="s">
        <v>67</v>
      </c>
      <c r="O15" s="9" t="s">
        <v>111</v>
      </c>
      <c r="P15" s="9" t="s">
        <v>138</v>
      </c>
      <c r="Q15" s="9" t="s">
        <v>343</v>
      </c>
      <c r="R15" s="9" t="s">
        <v>56</v>
      </c>
      <c r="S15" s="9" t="s">
        <v>59</v>
      </c>
    </row>
    <row r="16" spans="1:19" ht="16.5" thickTop="1" thickBot="1" x14ac:dyDescent="0.3">
      <c r="A16" s="10" t="s">
        <v>14</v>
      </c>
      <c r="B16" s="9">
        <v>173</v>
      </c>
      <c r="C16" s="9">
        <f>ROUNDDOWN(B16+C13*Common!$B$1,0)</f>
        <v>1001</v>
      </c>
      <c r="D16" s="9">
        <v>451</v>
      </c>
      <c r="E16" s="9">
        <v>1001</v>
      </c>
      <c r="M16" s="19" t="s">
        <v>50</v>
      </c>
      <c r="N16" s="9" t="s">
        <v>105</v>
      </c>
      <c r="O16" s="9" t="s">
        <v>110</v>
      </c>
      <c r="P16" s="9" t="s">
        <v>62</v>
      </c>
      <c r="Q16" s="9" t="s">
        <v>190</v>
      </c>
      <c r="R16" s="9" t="s">
        <v>103</v>
      </c>
      <c r="S16" s="9" t="s">
        <v>69</v>
      </c>
    </row>
    <row r="17" spans="1:19" ht="16.5" thickTop="1" thickBot="1" x14ac:dyDescent="0.3">
      <c r="A17" s="10" t="s">
        <v>15</v>
      </c>
      <c r="B17" s="9">
        <v>24</v>
      </c>
      <c r="C17" s="9">
        <f>ROUND(B17+C15+C15*Common!$B$2,0)</f>
        <v>136</v>
      </c>
      <c r="D17" s="9">
        <v>58</v>
      </c>
      <c r="E17" s="9">
        <v>136</v>
      </c>
      <c r="M17" s="19" t="s">
        <v>51</v>
      </c>
      <c r="N17" s="9" t="s">
        <v>194</v>
      </c>
      <c r="O17" s="9" t="s">
        <v>193</v>
      </c>
      <c r="P17" s="9" t="s">
        <v>64</v>
      </c>
      <c r="Q17" s="9" t="s">
        <v>296</v>
      </c>
      <c r="R17" s="9" t="s">
        <v>57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127</v>
      </c>
      <c r="D18" s="9">
        <v>50</v>
      </c>
      <c r="E18" s="9">
        <v>128</v>
      </c>
      <c r="M18" s="18" t="s">
        <v>52</v>
      </c>
      <c r="N18" s="9" t="s">
        <v>297</v>
      </c>
      <c r="O18" s="9" t="s">
        <v>151</v>
      </c>
      <c r="P18" s="9" t="s">
        <v>196</v>
      </c>
      <c r="Q18" s="9" t="s">
        <v>190</v>
      </c>
      <c r="R18" s="9" t="s">
        <v>56</v>
      </c>
      <c r="S18" s="9" t="s">
        <v>69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13</v>
      </c>
      <c r="D19" s="9">
        <v>3</v>
      </c>
      <c r="E19" s="9">
        <v>12</v>
      </c>
      <c r="M19" s="18" t="s">
        <v>53</v>
      </c>
      <c r="N19" s="9" t="s">
        <v>548</v>
      </c>
      <c r="O19" s="9" t="s">
        <v>194</v>
      </c>
      <c r="P19" s="9" t="s">
        <v>151</v>
      </c>
      <c r="Q19" s="9" t="s">
        <v>198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5</v>
      </c>
      <c r="D20" s="9">
        <v>2</v>
      </c>
      <c r="E20" s="9">
        <v>5</v>
      </c>
      <c r="M20" s="18" t="s">
        <v>118</v>
      </c>
      <c r="N20" s="9" t="s">
        <v>123</v>
      </c>
      <c r="O20" s="9" t="s">
        <v>125</v>
      </c>
      <c r="P20" s="9" t="s">
        <v>151</v>
      </c>
      <c r="Q20" s="9" t="s">
        <v>196</v>
      </c>
      <c r="R20" s="9" t="s">
        <v>97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32</v>
      </c>
      <c r="D21" s="9">
        <v>9</v>
      </c>
      <c r="E21" s="9">
        <v>32</v>
      </c>
      <c r="M21" s="18" t="s">
        <v>119</v>
      </c>
      <c r="N21" s="9" t="s">
        <v>120</v>
      </c>
      <c r="O21" s="9" t="s">
        <v>188</v>
      </c>
      <c r="P21" s="9" t="s">
        <v>121</v>
      </c>
      <c r="Q21" s="9" t="s">
        <v>549</v>
      </c>
      <c r="R21" s="9" t="s">
        <v>110</v>
      </c>
      <c r="S21" s="9" t="s">
        <v>114</v>
      </c>
    </row>
    <row r="22" spans="1:19" ht="15.75" thickTop="1" x14ac:dyDescent="0.25">
      <c r="M22" s="18" t="s">
        <v>589</v>
      </c>
      <c r="N22" s="9" t="s">
        <v>614</v>
      </c>
      <c r="O22" s="9" t="s">
        <v>609</v>
      </c>
      <c r="P22" s="23" t="s">
        <v>297</v>
      </c>
      <c r="Q22" s="9" t="s">
        <v>125</v>
      </c>
      <c r="R22" s="23" t="s">
        <v>340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639</v>
      </c>
      <c r="P23" s="9" t="s">
        <v>613</v>
      </c>
      <c r="Q23" s="9" t="s">
        <v>549</v>
      </c>
      <c r="R23" s="9" t="s">
        <v>640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539</v>
      </c>
      <c r="N3" s="9" t="s">
        <v>273</v>
      </c>
      <c r="O3" s="9">
        <f>7.04*B9</f>
        <v>140.80000000000001</v>
      </c>
      <c r="P3" s="9" t="s">
        <v>547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540</v>
      </c>
      <c r="N4" s="9" t="s">
        <v>54</v>
      </c>
      <c r="O4" s="9">
        <f>16.5*B9</f>
        <v>330</v>
      </c>
      <c r="P4" s="9" t="s">
        <v>543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541</v>
      </c>
      <c r="N5" s="9" t="s">
        <v>54</v>
      </c>
      <c r="O5" s="9">
        <f>9.9*B9</f>
        <v>198</v>
      </c>
      <c r="P5" s="9" t="s">
        <v>544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1.4</v>
      </c>
      <c r="C6" s="17">
        <f t="shared" ref="C6:C7" si="0">B6*2</f>
        <v>2.8</v>
      </c>
      <c r="D6" s="17">
        <f t="shared" ref="D6:D7" si="1">B6*3</f>
        <v>4.1999999999999993</v>
      </c>
      <c r="E6" s="17">
        <f t="shared" ref="E6:E7" si="2">B6*4</f>
        <v>5.6</v>
      </c>
      <c r="F6" s="17">
        <f t="shared" ref="F6:F7" si="3">B6*5</f>
        <v>7</v>
      </c>
      <c r="G6" s="17">
        <f t="shared" ref="G6:G7" si="4">B6*6</f>
        <v>8.3999999999999986</v>
      </c>
      <c r="M6" s="18" t="s">
        <v>542</v>
      </c>
      <c r="N6" s="9" t="s">
        <v>546</v>
      </c>
      <c r="O6" s="9">
        <f>3*B9</f>
        <v>60</v>
      </c>
      <c r="P6" s="9" t="s">
        <v>545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0.85</v>
      </c>
      <c r="C7" s="17">
        <f t="shared" si="0"/>
        <v>1.7</v>
      </c>
      <c r="D7" s="17">
        <f t="shared" si="1"/>
        <v>2.5499999999999998</v>
      </c>
      <c r="E7" s="17">
        <f t="shared" si="2"/>
        <v>3.4</v>
      </c>
      <c r="F7" s="17">
        <f t="shared" si="3"/>
        <v>4.25</v>
      </c>
      <c r="G7" s="17">
        <f t="shared" si="4"/>
        <v>5.0999999999999996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20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65</v>
      </c>
      <c r="D13" s="9">
        <v>17</v>
      </c>
      <c r="E13" s="9">
        <v>65</v>
      </c>
      <c r="M13" s="7" t="s">
        <v>47</v>
      </c>
      <c r="N13" s="9" t="s">
        <v>131</v>
      </c>
      <c r="O13" s="9" t="s">
        <v>126</v>
      </c>
      <c r="P13" s="9" t="s">
        <v>128</v>
      </c>
      <c r="Q13" s="9" t="s">
        <v>128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18</v>
      </c>
      <c r="C14" s="9">
        <f>B14+$B$9*($B$10+1)*B6</f>
        <v>102</v>
      </c>
      <c r="D14" s="9">
        <v>22</v>
      </c>
      <c r="E14" s="9">
        <v>102</v>
      </c>
      <c r="M14" s="7" t="s">
        <v>48</v>
      </c>
      <c r="N14" s="9" t="s">
        <v>532</v>
      </c>
      <c r="O14" s="9" t="s">
        <v>102</v>
      </c>
      <c r="P14" s="9" t="s">
        <v>236</v>
      </c>
      <c r="Q14" s="9" t="s">
        <v>98</v>
      </c>
      <c r="R14" s="9" t="s">
        <v>128</v>
      </c>
      <c r="S14" s="9" t="s">
        <v>191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64</v>
      </c>
      <c r="D15" s="9">
        <v>17</v>
      </c>
      <c r="E15" s="9">
        <v>64</v>
      </c>
      <c r="M15" s="19" t="s">
        <v>49</v>
      </c>
      <c r="N15" s="9" t="s">
        <v>146</v>
      </c>
      <c r="O15" s="9" t="s">
        <v>533</v>
      </c>
      <c r="P15" s="24" t="s">
        <v>61</v>
      </c>
      <c r="Q15" s="9" t="s">
        <v>127</v>
      </c>
      <c r="R15" s="9" t="s">
        <v>31</v>
      </c>
      <c r="S15" s="9" t="s">
        <v>143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1341</v>
      </c>
      <c r="D16" s="9">
        <v>469</v>
      </c>
      <c r="E16" s="9">
        <v>1341</v>
      </c>
      <c r="M16" s="19" t="s">
        <v>50</v>
      </c>
      <c r="N16" s="9" t="s">
        <v>183</v>
      </c>
      <c r="O16" s="9" t="s">
        <v>250</v>
      </c>
      <c r="P16" s="9" t="s">
        <v>68</v>
      </c>
      <c r="Q16" s="9" t="s">
        <v>128</v>
      </c>
      <c r="R16" s="9" t="s">
        <v>78</v>
      </c>
      <c r="S16" s="9" t="s">
        <v>143</v>
      </c>
    </row>
    <row r="17" spans="1:19" ht="16.5" thickTop="1" thickBot="1" x14ac:dyDescent="0.3">
      <c r="A17" s="10" t="s">
        <v>15</v>
      </c>
      <c r="B17" s="9">
        <v>13</v>
      </c>
      <c r="C17" s="9">
        <f>ROUND(B17+C14+C15*Common!$B$2,0)</f>
        <v>141</v>
      </c>
      <c r="D17" s="9">
        <v>43</v>
      </c>
      <c r="E17" s="9">
        <v>141</v>
      </c>
      <c r="M17" s="19" t="s">
        <v>51</v>
      </c>
      <c r="N17" s="9" t="s">
        <v>144</v>
      </c>
      <c r="O17" s="9" t="s">
        <v>341</v>
      </c>
      <c r="P17" s="9" t="s">
        <v>360</v>
      </c>
      <c r="Q17" s="9" t="s">
        <v>333</v>
      </c>
      <c r="R17" s="9" t="s">
        <v>128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245</v>
      </c>
      <c r="D18" s="9">
        <v>54</v>
      </c>
      <c r="E18" s="9">
        <v>245</v>
      </c>
      <c r="M18" s="18" t="s">
        <v>52</v>
      </c>
      <c r="N18" s="9" t="s">
        <v>534</v>
      </c>
      <c r="O18" s="9" t="s">
        <v>253</v>
      </c>
      <c r="P18" s="9" t="s">
        <v>515</v>
      </c>
      <c r="Q18" s="9" t="s">
        <v>142</v>
      </c>
      <c r="R18" s="9" t="s">
        <v>127</v>
      </c>
      <c r="S18" s="9" t="s">
        <v>535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14</v>
      </c>
      <c r="D19" s="9">
        <v>2</v>
      </c>
      <c r="E19" s="9">
        <v>13</v>
      </c>
      <c r="M19" s="18" t="s">
        <v>53</v>
      </c>
      <c r="N19" s="9" t="s">
        <v>152</v>
      </c>
      <c r="O19" s="9" t="s">
        <v>149</v>
      </c>
      <c r="P19" s="9" t="s">
        <v>536</v>
      </c>
      <c r="Q19" s="9" t="s">
        <v>141</v>
      </c>
      <c r="R19" s="9" t="s">
        <v>68</v>
      </c>
      <c r="S19" s="9" t="s">
        <v>535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10</v>
      </c>
      <c r="D20" s="9">
        <v>2</v>
      </c>
      <c r="E20" s="9">
        <v>10</v>
      </c>
      <c r="M20" s="18" t="s">
        <v>118</v>
      </c>
      <c r="N20" s="9" t="s">
        <v>116</v>
      </c>
      <c r="O20" s="9" t="s">
        <v>121</v>
      </c>
      <c r="P20" s="9" t="s">
        <v>537</v>
      </c>
      <c r="Q20" s="9" t="s">
        <v>151</v>
      </c>
      <c r="R20" s="9" t="s">
        <v>129</v>
      </c>
      <c r="S20" s="9" t="s">
        <v>535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25.6</v>
      </c>
      <c r="D21" s="9">
        <v>7</v>
      </c>
      <c r="E21" s="9">
        <v>26</v>
      </c>
      <c r="M21" s="18" t="s">
        <v>119</v>
      </c>
      <c r="N21" s="9" t="s">
        <v>115</v>
      </c>
      <c r="O21" s="9" t="s">
        <v>144</v>
      </c>
      <c r="P21" s="9" t="s">
        <v>538</v>
      </c>
      <c r="Q21" s="9" t="s">
        <v>250</v>
      </c>
      <c r="R21" s="9" t="s">
        <v>110</v>
      </c>
      <c r="S21" s="9" t="s">
        <v>535</v>
      </c>
    </row>
    <row r="22" spans="1:19" ht="15.75" thickTop="1" x14ac:dyDescent="0.25">
      <c r="M22" s="18" t="s">
        <v>589</v>
      </c>
      <c r="N22" s="9" t="s">
        <v>605</v>
      </c>
      <c r="O22" s="9" t="s">
        <v>635</v>
      </c>
      <c r="P22" s="23" t="s">
        <v>603</v>
      </c>
      <c r="Q22" s="9" t="s">
        <v>636</v>
      </c>
      <c r="R22" s="23" t="s">
        <v>161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606</v>
      </c>
      <c r="P23" s="9" t="s">
        <v>637</v>
      </c>
      <c r="Q23" s="9" t="s">
        <v>638</v>
      </c>
      <c r="R23" s="9" t="s">
        <v>366</v>
      </c>
      <c r="S23" s="9" t="s">
        <v>593</v>
      </c>
    </row>
    <row r="24" spans="1:19" x14ac:dyDescent="0.25">
      <c r="A24" s="21" t="s">
        <v>264</v>
      </c>
    </row>
    <row r="27" spans="1:19" x14ac:dyDescent="0.25">
      <c r="L27">
        <v>7.04</v>
      </c>
    </row>
    <row r="29" spans="1:19" x14ac:dyDescent="0.25">
      <c r="M29">
        <v>46</v>
      </c>
      <c r="N29">
        <v>59</v>
      </c>
    </row>
    <row r="30" spans="1:19" x14ac:dyDescent="0.25">
      <c r="M30">
        <v>323.83999999999997</v>
      </c>
      <c r="N30">
        <v>415.36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441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516</v>
      </c>
      <c r="N3" s="9" t="s">
        <v>273</v>
      </c>
      <c r="O3" s="9">
        <f>17.6*B9</f>
        <v>176</v>
      </c>
      <c r="P3" s="9" t="s">
        <v>525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517</v>
      </c>
      <c r="N4" s="9" t="s">
        <v>524</v>
      </c>
      <c r="O4" s="9">
        <f>5*B9</f>
        <v>50</v>
      </c>
      <c r="P4" s="9" t="s">
        <v>523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0.95</v>
      </c>
      <c r="C5" s="17">
        <f>B5*2</f>
        <v>1.9</v>
      </c>
      <c r="D5" s="17">
        <f>B5*3</f>
        <v>2.8499999999999996</v>
      </c>
      <c r="E5" s="17">
        <f>B5*4</f>
        <v>3.8</v>
      </c>
      <c r="F5" s="17">
        <f>B5*5</f>
        <v>4.75</v>
      </c>
      <c r="G5" s="17">
        <f>B5*6</f>
        <v>5.6999999999999993</v>
      </c>
      <c r="M5" s="19" t="s">
        <v>518</v>
      </c>
      <c r="N5" s="9" t="s">
        <v>54</v>
      </c>
      <c r="O5" s="9">
        <f>11*B9</f>
        <v>110</v>
      </c>
      <c r="P5" s="9" t="s">
        <v>522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0.85</v>
      </c>
      <c r="C6" s="17">
        <f t="shared" ref="C6:C7" si="0">B6*2</f>
        <v>1.7</v>
      </c>
      <c r="D6" s="17">
        <f t="shared" ref="D6:D7" si="1">B6*3</f>
        <v>2.5499999999999998</v>
      </c>
      <c r="E6" s="17">
        <f t="shared" ref="E6:E7" si="2">B6*4</f>
        <v>3.4</v>
      </c>
      <c r="F6" s="17">
        <f t="shared" ref="F6:F7" si="3">B6*5</f>
        <v>4.25</v>
      </c>
      <c r="G6" s="17">
        <f t="shared" ref="G6:G7" si="4">B6*6</f>
        <v>5.0999999999999996</v>
      </c>
      <c r="M6" s="18" t="s">
        <v>519</v>
      </c>
      <c r="N6" s="9" t="s">
        <v>520</v>
      </c>
      <c r="O6" s="9">
        <f>2*B9</f>
        <v>20</v>
      </c>
      <c r="P6" s="9" t="s">
        <v>521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33</v>
      </c>
      <c r="S12" s="9" t="s">
        <v>75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34</v>
      </c>
      <c r="D13" s="9">
        <v>17</v>
      </c>
      <c r="E13" s="9">
        <v>34</v>
      </c>
      <c r="M13" s="7" t="s">
        <v>47</v>
      </c>
      <c r="N13" s="9" t="s">
        <v>66</v>
      </c>
      <c r="O13" s="9" t="s">
        <v>56</v>
      </c>
      <c r="P13" s="9" t="s">
        <v>78</v>
      </c>
      <c r="Q13" s="9" t="s">
        <v>56</v>
      </c>
      <c r="R13" s="9" t="s">
        <v>249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32</v>
      </c>
      <c r="D14" s="9">
        <v>17</v>
      </c>
      <c r="E14" s="9">
        <v>32</v>
      </c>
      <c r="M14" s="7" t="s">
        <v>48</v>
      </c>
      <c r="N14" s="9" t="s">
        <v>60</v>
      </c>
      <c r="O14" s="9" t="s">
        <v>247</v>
      </c>
      <c r="P14" s="9" t="s">
        <v>513</v>
      </c>
      <c r="Q14" s="9" t="s">
        <v>63</v>
      </c>
      <c r="R14" s="9" t="s">
        <v>249</v>
      </c>
      <c r="S14" s="9" t="s">
        <v>59</v>
      </c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45</v>
      </c>
      <c r="D15" s="9">
        <v>20</v>
      </c>
      <c r="E15" s="9">
        <v>45</v>
      </c>
      <c r="M15" s="19" t="s">
        <v>49</v>
      </c>
      <c r="N15" s="9" t="s">
        <v>67</v>
      </c>
      <c r="O15" s="9" t="s">
        <v>64</v>
      </c>
      <c r="P15" s="9" t="s">
        <v>196</v>
      </c>
      <c r="Q15" s="9" t="s">
        <v>97</v>
      </c>
      <c r="R15" s="9" t="s">
        <v>190</v>
      </c>
      <c r="S15" s="9" t="s">
        <v>104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781</v>
      </c>
      <c r="D16" s="9">
        <v>473</v>
      </c>
      <c r="E16" s="9">
        <v>781</v>
      </c>
      <c r="M16" s="19" t="s">
        <v>50</v>
      </c>
      <c r="N16" s="9" t="s">
        <v>110</v>
      </c>
      <c r="O16" s="9" t="s">
        <v>111</v>
      </c>
      <c r="P16" s="9" t="s">
        <v>193</v>
      </c>
      <c r="Q16" s="9" t="s">
        <v>112</v>
      </c>
      <c r="R16" s="9" t="s">
        <v>147</v>
      </c>
      <c r="S16" s="9" t="s">
        <v>104</v>
      </c>
    </row>
    <row r="17" spans="1:19" ht="16.5" thickTop="1" thickBot="1" x14ac:dyDescent="0.3">
      <c r="A17" s="10" t="s">
        <v>15</v>
      </c>
      <c r="B17" s="9">
        <v>6</v>
      </c>
      <c r="C17" s="9">
        <f>ROUND(B17+C15+C15*Common!$B$2,0)</f>
        <v>69</v>
      </c>
      <c r="D17" s="9">
        <v>34</v>
      </c>
      <c r="E17" s="9">
        <v>69</v>
      </c>
      <c r="M17" s="19" t="s">
        <v>51</v>
      </c>
      <c r="N17" s="9" t="s">
        <v>148</v>
      </c>
      <c r="O17" s="9" t="s">
        <v>151</v>
      </c>
      <c r="P17" s="9" t="s">
        <v>514</v>
      </c>
      <c r="Q17" s="9" t="s">
        <v>513</v>
      </c>
      <c r="R17" s="9" t="s">
        <v>56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77</v>
      </c>
      <c r="D18" s="9">
        <v>41</v>
      </c>
      <c r="E18" s="9">
        <v>78</v>
      </c>
      <c r="M18" s="18" t="s">
        <v>52</v>
      </c>
      <c r="N18" s="9" t="s">
        <v>125</v>
      </c>
      <c r="O18" s="9" t="s">
        <v>194</v>
      </c>
      <c r="P18" s="9" t="s">
        <v>110</v>
      </c>
      <c r="Q18" s="9" t="s">
        <v>333</v>
      </c>
      <c r="R18" s="9" t="s">
        <v>63</v>
      </c>
      <c r="S18" s="9" t="s">
        <v>69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8</v>
      </c>
      <c r="D19" s="9">
        <v>3</v>
      </c>
      <c r="E19" s="9">
        <v>7</v>
      </c>
      <c r="M19" s="18" t="s">
        <v>53</v>
      </c>
      <c r="N19" s="9" t="s">
        <v>200</v>
      </c>
      <c r="O19" s="9" t="s">
        <v>113</v>
      </c>
      <c r="P19" s="9" t="s">
        <v>316</v>
      </c>
      <c r="Q19" s="9" t="s">
        <v>199</v>
      </c>
      <c r="R19" s="9" t="s">
        <v>56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2</v>
      </c>
      <c r="E20" s="9">
        <v>3</v>
      </c>
      <c r="M20" s="18" t="s">
        <v>118</v>
      </c>
      <c r="N20" s="9" t="s">
        <v>120</v>
      </c>
      <c r="O20" s="9" t="s">
        <v>188</v>
      </c>
      <c r="P20" s="9" t="s">
        <v>318</v>
      </c>
      <c r="Q20" s="9" t="s">
        <v>97</v>
      </c>
      <c r="R20" s="9" t="s">
        <v>66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</v>
      </c>
      <c r="D21" s="9">
        <v>8</v>
      </c>
      <c r="E21" s="9">
        <v>18</v>
      </c>
      <c r="M21" s="18" t="s">
        <v>119</v>
      </c>
      <c r="N21" s="9" t="s">
        <v>115</v>
      </c>
      <c r="O21" s="9" t="s">
        <v>160</v>
      </c>
      <c r="P21" s="9" t="s">
        <v>297</v>
      </c>
      <c r="Q21" s="9" t="s">
        <v>515</v>
      </c>
      <c r="R21" s="9" t="s">
        <v>382</v>
      </c>
      <c r="S21" s="9" t="s">
        <v>114</v>
      </c>
    </row>
    <row r="22" spans="1:19" ht="15.75" thickTop="1" x14ac:dyDescent="0.25">
      <c r="M22" s="18" t="s">
        <v>589</v>
      </c>
      <c r="N22" s="9" t="s">
        <v>608</v>
      </c>
      <c r="O22" s="9" t="s">
        <v>609</v>
      </c>
      <c r="P22" s="23" t="s">
        <v>186</v>
      </c>
      <c r="Q22" s="9" t="s">
        <v>161</v>
      </c>
      <c r="R22" s="23" t="s">
        <v>197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612</v>
      </c>
      <c r="P23" s="9" t="s">
        <v>124</v>
      </c>
      <c r="Q23" s="9" t="s">
        <v>194</v>
      </c>
      <c r="R23" s="9" t="s">
        <v>361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5.28515625" customWidth="1"/>
    <col min="17" max="17" width="19.285156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569</v>
      </c>
      <c r="N3" s="9" t="s">
        <v>573</v>
      </c>
      <c r="O3" s="9">
        <f>6*B9</f>
        <v>60</v>
      </c>
      <c r="P3" s="9" t="s">
        <v>574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570</v>
      </c>
      <c r="N4" s="9" t="s">
        <v>54</v>
      </c>
      <c r="O4" s="9">
        <f>9*B9</f>
        <v>90</v>
      </c>
      <c r="P4" s="9" t="s">
        <v>576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1.65</v>
      </c>
      <c r="C5" s="17">
        <f>B5*2</f>
        <v>3.3</v>
      </c>
      <c r="D5" s="17">
        <f>B5*3</f>
        <v>4.9499999999999993</v>
      </c>
      <c r="E5" s="17">
        <f>B5*4</f>
        <v>6.6</v>
      </c>
      <c r="F5" s="17">
        <f>B5*5</f>
        <v>8.25</v>
      </c>
      <c r="G5" s="17">
        <f>B5*6</f>
        <v>9.8999999999999986</v>
      </c>
      <c r="M5" s="19" t="s">
        <v>571</v>
      </c>
      <c r="N5" s="9" t="s">
        <v>54</v>
      </c>
      <c r="O5" s="9">
        <f>10.2*B9</f>
        <v>102</v>
      </c>
      <c r="P5" s="9" t="s">
        <v>575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0.5</v>
      </c>
      <c r="C6" s="17">
        <f t="shared" ref="C6:C7" si="0">B6*2</f>
        <v>1</v>
      </c>
      <c r="D6" s="17">
        <f t="shared" ref="D6:D7" si="1">B6*3</f>
        <v>1.5</v>
      </c>
      <c r="E6" s="17">
        <f t="shared" ref="E6:E7" si="2">B6*4</f>
        <v>2</v>
      </c>
      <c r="F6" s="17">
        <f t="shared" ref="F6:F7" si="3">B6*5</f>
        <v>2.5</v>
      </c>
      <c r="G6" s="17">
        <f t="shared" ref="G6:G7" si="4">B6*6</f>
        <v>3</v>
      </c>
      <c r="M6" s="18" t="s">
        <v>572</v>
      </c>
      <c r="N6" s="9" t="s">
        <v>577</v>
      </c>
      <c r="O6" s="9">
        <f>3*B9</f>
        <v>30</v>
      </c>
      <c r="P6" s="9" t="s">
        <v>578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35</v>
      </c>
      <c r="F12" s="10">
        <v>10</v>
      </c>
      <c r="M12" t="s">
        <v>235</v>
      </c>
      <c r="N12" s="9" t="s">
        <v>73</v>
      </c>
      <c r="O12" s="9" t="s">
        <v>73</v>
      </c>
      <c r="P12" s="9" t="s">
        <v>74</v>
      </c>
      <c r="Q12" s="9" t="s">
        <v>29</v>
      </c>
      <c r="R12" s="9" t="s">
        <v>75</v>
      </c>
      <c r="S12" s="9" t="s">
        <v>31</v>
      </c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86</v>
      </c>
      <c r="D13" s="9"/>
      <c r="E13" s="9">
        <v>251</v>
      </c>
      <c r="F13" s="9">
        <v>86</v>
      </c>
      <c r="M13" s="7" t="s">
        <v>47</v>
      </c>
      <c r="N13" s="9" t="s">
        <v>78</v>
      </c>
      <c r="O13" s="9" t="s">
        <v>78</v>
      </c>
      <c r="P13" s="9" t="s">
        <v>147</v>
      </c>
      <c r="Q13" s="9" t="s">
        <v>368</v>
      </c>
      <c r="R13" s="9" t="s">
        <v>478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33</v>
      </c>
      <c r="D14" s="9"/>
      <c r="E14" s="9">
        <v>83</v>
      </c>
      <c r="F14" s="9">
        <v>33</v>
      </c>
      <c r="M14" s="7" t="s">
        <v>48</v>
      </c>
      <c r="N14" s="9" t="s">
        <v>97</v>
      </c>
      <c r="O14" s="9" t="s">
        <v>199</v>
      </c>
      <c r="P14" s="9" t="s">
        <v>479</v>
      </c>
      <c r="Q14" s="9" t="s">
        <v>61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14</v>
      </c>
      <c r="C15" s="9">
        <f>B15+$B$9*($B$10+1)*B7</f>
        <v>70</v>
      </c>
      <c r="D15" s="9"/>
      <c r="E15" s="9">
        <v>210</v>
      </c>
      <c r="F15" s="9">
        <v>70</v>
      </c>
      <c r="M15" s="19" t="s">
        <v>49</v>
      </c>
      <c r="N15" s="9" t="s">
        <v>132</v>
      </c>
      <c r="O15" s="9" t="s">
        <v>103</v>
      </c>
      <c r="P15" s="9" t="s">
        <v>62</v>
      </c>
      <c r="Q15" s="9" t="s">
        <v>368</v>
      </c>
      <c r="R15" s="9" t="s">
        <v>98</v>
      </c>
      <c r="S15" s="9" t="s">
        <v>99</v>
      </c>
    </row>
    <row r="16" spans="1:19" ht="16.5" thickTop="1" thickBot="1" x14ac:dyDescent="0.3">
      <c r="A16" s="10" t="s">
        <v>14</v>
      </c>
      <c r="B16" s="9">
        <v>175</v>
      </c>
      <c r="C16" s="9">
        <f>ROUNDDOWN(B16+C13*Common!$B$1,0)</f>
        <v>1723</v>
      </c>
      <c r="D16" s="9"/>
      <c r="E16" s="9">
        <v>4693</v>
      </c>
      <c r="F16" s="9">
        <v>1723</v>
      </c>
      <c r="M16" s="19" t="s">
        <v>50</v>
      </c>
      <c r="N16" s="9" t="s">
        <v>106</v>
      </c>
      <c r="O16" s="9" t="s">
        <v>480</v>
      </c>
      <c r="P16" s="9" t="s">
        <v>58</v>
      </c>
      <c r="Q16" s="9" t="s">
        <v>247</v>
      </c>
      <c r="R16" s="9" t="s">
        <v>68</v>
      </c>
      <c r="S16" s="9" t="s">
        <v>99</v>
      </c>
    </row>
    <row r="17" spans="1:19" ht="16.5" thickTop="1" thickBot="1" x14ac:dyDescent="0.3">
      <c r="A17" s="10" t="s">
        <v>15</v>
      </c>
      <c r="B17" s="9">
        <v>27</v>
      </c>
      <c r="C17" s="9">
        <f>ROUND(B17+C13+C15*Common!$B$2,0)</f>
        <v>141</v>
      </c>
      <c r="D17" s="9"/>
      <c r="E17" s="9">
        <v>362</v>
      </c>
      <c r="F17" s="9">
        <v>141</v>
      </c>
      <c r="M17" s="19" t="s">
        <v>51</v>
      </c>
      <c r="N17" s="9" t="s">
        <v>340</v>
      </c>
      <c r="O17" s="9" t="s">
        <v>481</v>
      </c>
      <c r="P17" s="9" t="s">
        <v>193</v>
      </c>
      <c r="Q17" s="9" t="s">
        <v>369</v>
      </c>
      <c r="R17" s="9" t="s">
        <v>65</v>
      </c>
      <c r="S17" s="9" t="s">
        <v>99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79</v>
      </c>
      <c r="D18" s="9"/>
      <c r="E18" s="9">
        <v>199</v>
      </c>
      <c r="F18" s="9">
        <v>79</v>
      </c>
      <c r="M18" s="18" t="s">
        <v>52</v>
      </c>
      <c r="N18" s="9" t="s">
        <v>148</v>
      </c>
      <c r="O18" s="9" t="s">
        <v>297</v>
      </c>
      <c r="P18" s="9" t="s">
        <v>198</v>
      </c>
      <c r="Q18" s="9" t="s">
        <v>105</v>
      </c>
      <c r="R18" s="9" t="s">
        <v>333</v>
      </c>
      <c r="S18" s="9" t="s">
        <v>114</v>
      </c>
    </row>
    <row r="19" spans="1:19" ht="16.5" thickTop="1" thickBot="1" x14ac:dyDescent="0.3">
      <c r="A19" s="10" t="s">
        <v>17</v>
      </c>
      <c r="B19" s="22">
        <v>1</v>
      </c>
      <c r="C19" s="9">
        <f>B19+ROUND(C13/7,0)+ROUND(C15/14,0)</f>
        <v>18</v>
      </c>
      <c r="D19" s="9"/>
      <c r="E19" s="9">
        <v>54</v>
      </c>
      <c r="F19" s="9">
        <v>18</v>
      </c>
      <c r="M19" s="18" t="s">
        <v>53</v>
      </c>
      <c r="N19" s="9" t="s">
        <v>115</v>
      </c>
      <c r="O19" s="9" t="s">
        <v>125</v>
      </c>
      <c r="P19" s="9" t="s">
        <v>116</v>
      </c>
      <c r="Q19" s="9" t="s">
        <v>299</v>
      </c>
      <c r="R19" s="9" t="s">
        <v>193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/>
      <c r="E20" s="9">
        <v>8</v>
      </c>
      <c r="F20" s="9">
        <v>3</v>
      </c>
      <c r="M20" s="18" t="s">
        <v>118</v>
      </c>
      <c r="N20" s="9" t="s">
        <v>300</v>
      </c>
      <c r="O20" s="9" t="s">
        <v>362</v>
      </c>
      <c r="P20" s="9" t="s">
        <v>197</v>
      </c>
      <c r="Q20" s="9" t="s">
        <v>113</v>
      </c>
      <c r="R20" s="9" t="s">
        <v>448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28</v>
      </c>
      <c r="D21" s="9"/>
      <c r="E21" s="9">
        <v>84</v>
      </c>
      <c r="F21" s="9">
        <v>28</v>
      </c>
      <c r="M21" s="18" t="s">
        <v>119</v>
      </c>
      <c r="N21" s="9" t="s">
        <v>120</v>
      </c>
      <c r="O21" s="9" t="s">
        <v>123</v>
      </c>
      <c r="P21" s="9" t="s">
        <v>124</v>
      </c>
      <c r="Q21" s="9" t="s">
        <v>109</v>
      </c>
      <c r="R21" s="9" t="s">
        <v>106</v>
      </c>
      <c r="S21" s="9" t="s">
        <v>114</v>
      </c>
    </row>
    <row r="22" spans="1:19" ht="15.75" thickTop="1" x14ac:dyDescent="0.25">
      <c r="M22" s="18" t="s">
        <v>589</v>
      </c>
      <c r="N22" s="9" t="s">
        <v>643</v>
      </c>
      <c r="O22" s="9" t="s">
        <v>592</v>
      </c>
      <c r="P22" s="23" t="s">
        <v>300</v>
      </c>
      <c r="Q22" s="9" t="s">
        <v>194</v>
      </c>
      <c r="R22" s="23" t="s">
        <v>116</v>
      </c>
      <c r="S22" s="9" t="s">
        <v>593</v>
      </c>
    </row>
    <row r="23" spans="1:19" x14ac:dyDescent="0.25">
      <c r="M23" s="25" t="s">
        <v>590</v>
      </c>
      <c r="N23" s="9" t="s">
        <v>594</v>
      </c>
      <c r="O23" s="9" t="s">
        <v>612</v>
      </c>
      <c r="P23" s="9" t="s">
        <v>613</v>
      </c>
      <c r="Q23" s="9" t="s">
        <v>113</v>
      </c>
      <c r="R23" s="9" t="s">
        <v>340</v>
      </c>
      <c r="S23" s="9" t="s">
        <v>593</v>
      </c>
    </row>
    <row r="24" spans="1:19" x14ac:dyDescent="0.25">
      <c r="A24" s="21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37</vt:i4>
      </vt:variant>
    </vt:vector>
  </HeadingPairs>
  <TitlesOfParts>
    <vt:vector size="37" baseType="lpstr">
      <vt:lpstr>All</vt:lpstr>
      <vt:lpstr>Statuses</vt:lpstr>
      <vt:lpstr>Old Curse</vt:lpstr>
      <vt:lpstr>Phoenix (China)</vt:lpstr>
      <vt:lpstr>Vanguard Warrior</vt:lpstr>
      <vt:lpstr>Vengeance Spirit</vt:lpstr>
      <vt:lpstr>Ice Mage</vt:lpstr>
      <vt:lpstr>Commando</vt:lpstr>
      <vt:lpstr>Drunken Master</vt:lpstr>
      <vt:lpstr>Death Mage</vt:lpstr>
      <vt:lpstr>Tusked Storm</vt:lpstr>
      <vt:lpstr>Master Mage</vt:lpstr>
      <vt:lpstr>Shallow Keeper</vt:lpstr>
      <vt:lpstr>Succubus</vt:lpstr>
      <vt:lpstr>Cleric</vt:lpstr>
      <vt:lpstr>Machinist</vt:lpstr>
      <vt:lpstr>Arcane Sapper</vt:lpstr>
      <vt:lpstr>Sniper</vt:lpstr>
      <vt:lpstr>Psychic Sword</vt:lpstr>
      <vt:lpstr>Mystic</vt:lpstr>
      <vt:lpstr>Bear Warrior</vt:lpstr>
      <vt:lpstr>Professional Killer</vt:lpstr>
      <vt:lpstr>Psychopath</vt:lpstr>
      <vt:lpstr>Frost Mage</vt:lpstr>
      <vt:lpstr>Mountain</vt:lpstr>
      <vt:lpstr>Silencer</vt:lpstr>
      <vt:lpstr>Ferryman</vt:lpstr>
      <vt:lpstr>Admiral</vt:lpstr>
      <vt:lpstr>Chaplain</vt:lpstr>
      <vt:lpstr>Necromancer</vt:lpstr>
      <vt:lpstr>Emberstar</vt:lpstr>
      <vt:lpstr>Lightning Master</vt:lpstr>
      <vt:lpstr>Depths Voice</vt:lpstr>
      <vt:lpstr>Leaves Shadows</vt:lpstr>
      <vt:lpstr>Rifleman</vt:lpstr>
      <vt:lpstr>Lightning Elemental</vt:lpstr>
      <vt:lpstr>Common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2014-11-10T11:23:35Z</dcterms:created>
  <dcterms:modified xsi:type="dcterms:W3CDTF">2014-12-26T10:07:10Z</dcterms:modified>
</cp:coreProperties>
</file>