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righttocare-my.sharepoint.com/personal/emma_oradu-oita_righttocare-zambia_org/Documents/Documents/EMMA/Chesantto/2025/Management Reports/"/>
    </mc:Choice>
  </mc:AlternateContent>
  <xr:revisionPtr revIDLastSave="4663" documentId="8_{5086FD7C-ACDB-440C-84BF-FC5AA5350ECA}" xr6:coauthVersionLast="47" xr6:coauthVersionMax="47" xr10:uidLastSave="{BDF7D9AD-C5C3-41FD-8CFF-6CED56744B48}"/>
  <bookViews>
    <workbookView xWindow="-110" yWindow="-110" windowWidth="19420" windowHeight="11500" firstSheet="7" activeTab="11" xr2:uid="{00000000-000D-0000-FFFF-FFFF00000000}"/>
  </bookViews>
  <sheets>
    <sheet name="Month on Month Numbers" sheetId="18" r:id="rId1"/>
    <sheet name="Profit and Loss Ac" sheetId="16" r:id="rId2"/>
    <sheet name="September Summary" sheetId="11" r:id="rId3"/>
    <sheet name="Production" sheetId="2" r:id="rId4"/>
    <sheet name="Packaging materials accounting" sheetId="14" r:id="rId5"/>
    <sheet name="Dispatch and Sales per day" sheetId="4" r:id="rId6"/>
    <sheet name="Closing stock product" sheetId="9" r:id="rId7"/>
    <sheet name="Closing stock inventory" sheetId="10" r:id="rId8"/>
    <sheet name="Staff Salaries" sheetId="12" r:id="rId9"/>
    <sheet name="Expenditure" sheetId="5" r:id="rId10"/>
    <sheet name="Fuel reconciliation" sheetId="19" r:id="rId11"/>
    <sheet name="September Deficits" sheetId="20" r:id="rId12"/>
    <sheet name="Sales commissions" sheetId="21" r:id="rId13"/>
  </sheets>
  <externalReferences>
    <externalReference r:id="rId14"/>
    <externalReference r:id="rId1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8" i="11" l="1"/>
  <c r="F66" i="11"/>
  <c r="P52" i="18"/>
  <c r="Q69" i="18"/>
  <c r="Q68" i="18"/>
  <c r="Q67" i="18"/>
  <c r="Q62" i="18"/>
  <c r="Q60" i="18"/>
  <c r="Q59" i="18"/>
  <c r="Q43" i="18"/>
  <c r="Q41" i="18"/>
  <c r="Q36" i="18"/>
  <c r="Q31" i="18"/>
  <c r="C24" i="16"/>
  <c r="C26" i="16"/>
  <c r="C27" i="16"/>
  <c r="C28" i="16"/>
  <c r="C29" i="16"/>
  <c r="Q23" i="18"/>
  <c r="Q8" i="18"/>
  <c r="C55" i="16"/>
  <c r="F8" i="16"/>
  <c r="C52" i="16"/>
  <c r="C50" i="16"/>
  <c r="C49" i="16"/>
  <c r="C47" i="16"/>
  <c r="C33" i="16"/>
  <c r="C45" i="16"/>
  <c r="C34" i="16"/>
  <c r="C32" i="16"/>
  <c r="C17" i="16"/>
  <c r="E12" i="5"/>
  <c r="C4" i="16"/>
  <c r="E8" i="5"/>
  <c r="D3" i="5"/>
  <c r="E3" i="5" s="1"/>
  <c r="J87" i="21" l="1"/>
  <c r="E8" i="20"/>
  <c r="D8" i="20"/>
  <c r="C8" i="20"/>
  <c r="E7" i="20"/>
  <c r="D7" i="20"/>
  <c r="C7" i="20"/>
  <c r="E6" i="20"/>
  <c r="D6" i="20"/>
  <c r="C6" i="20"/>
  <c r="D5" i="20"/>
  <c r="C5" i="20"/>
  <c r="E4" i="20"/>
  <c r="D4" i="20"/>
  <c r="C4" i="20"/>
  <c r="D3" i="20"/>
  <c r="C3" i="20"/>
  <c r="D37" i="19"/>
  <c r="C28" i="19"/>
  <c r="D36" i="19"/>
  <c r="I16" i="19"/>
  <c r="C29" i="19" s="1"/>
  <c r="E96" i="5"/>
  <c r="E97" i="5"/>
  <c r="E98" i="5"/>
  <c r="E86" i="5"/>
  <c r="E80" i="5"/>
  <c r="E79" i="5"/>
  <c r="E81" i="5"/>
  <c r="E78" i="5"/>
  <c r="E77" i="5"/>
  <c r="E76" i="5"/>
  <c r="E73" i="5"/>
  <c r="E72" i="5"/>
  <c r="E57" i="5"/>
  <c r="E56" i="5"/>
  <c r="E54" i="5"/>
  <c r="E53" i="5"/>
  <c r="E52" i="5"/>
  <c r="E46" i="5"/>
  <c r="E24" i="5"/>
  <c r="E23" i="5"/>
  <c r="E22" i="5"/>
  <c r="E7" i="5"/>
  <c r="E4" i="5"/>
  <c r="E105" i="5"/>
  <c r="D104" i="5"/>
  <c r="E104" i="5" s="1"/>
  <c r="D103" i="5"/>
  <c r="E103" i="5" s="1"/>
  <c r="D102" i="5"/>
  <c r="E102" i="5" s="1"/>
  <c r="J37" i="12"/>
  <c r="J36" i="12"/>
  <c r="V28" i="12"/>
  <c r="V13" i="12"/>
  <c r="D98" i="4"/>
  <c r="P237" i="4"/>
  <c r="P211" i="4"/>
  <c r="P149" i="4"/>
  <c r="P112" i="4"/>
  <c r="X13" i="12"/>
  <c r="T22" i="12"/>
  <c r="T21" i="12"/>
  <c r="T20" i="12"/>
  <c r="T19" i="12"/>
  <c r="T18" i="12"/>
  <c r="T17" i="12"/>
  <c r="T16" i="12"/>
  <c r="T15" i="12"/>
  <c r="T14" i="12"/>
  <c r="T13" i="12"/>
  <c r="T12" i="12"/>
  <c r="T11" i="12"/>
  <c r="T10" i="12"/>
  <c r="T9" i="12"/>
  <c r="T8" i="12"/>
  <c r="T7" i="12"/>
  <c r="T6" i="12"/>
  <c r="T5" i="12"/>
  <c r="T4" i="12"/>
  <c r="T3" i="12"/>
  <c r="T2" i="12"/>
  <c r="E5" i="20" l="1"/>
  <c r="C9" i="20"/>
  <c r="D9" i="20"/>
  <c r="E3" i="20"/>
  <c r="C30" i="19"/>
  <c r="E82" i="5"/>
  <c r="E58" i="5"/>
  <c r="E9" i="20" l="1"/>
  <c r="K82" i="21"/>
  <c r="J70" i="21"/>
  <c r="H70" i="21"/>
  <c r="J68" i="21"/>
  <c r="H68" i="21"/>
  <c r="H86" i="21"/>
  <c r="J86" i="21" s="1"/>
  <c r="H85" i="21"/>
  <c r="J85" i="21" s="1"/>
  <c r="J84" i="21"/>
  <c r="H84" i="21"/>
  <c r="H83" i="21"/>
  <c r="J83" i="21" s="1"/>
  <c r="H82" i="21"/>
  <c r="J82" i="21" s="1"/>
  <c r="H81" i="21"/>
  <c r="J81" i="21" s="1"/>
  <c r="H80" i="21"/>
  <c r="J80" i="21" s="1"/>
  <c r="H79" i="21"/>
  <c r="J79" i="21" s="1"/>
  <c r="H78" i="21"/>
  <c r="J78" i="21" s="1"/>
  <c r="J77" i="21"/>
  <c r="H77" i="21"/>
  <c r="H76" i="21"/>
  <c r="J76" i="21" s="1"/>
  <c r="H75" i="21"/>
  <c r="J75" i="21" s="1"/>
  <c r="H74" i="21"/>
  <c r="J74" i="21" s="1"/>
  <c r="H73" i="21"/>
  <c r="J73" i="21" s="1"/>
  <c r="F86" i="21"/>
  <c r="F84" i="21"/>
  <c r="F82" i="21"/>
  <c r="F81" i="21"/>
  <c r="F80" i="21"/>
  <c r="F79" i="21"/>
  <c r="F78" i="21"/>
  <c r="F77" i="21"/>
  <c r="F76" i="21"/>
  <c r="F75" i="21"/>
  <c r="F74" i="21"/>
  <c r="F73" i="21"/>
  <c r="F72" i="21"/>
  <c r="F71" i="21"/>
  <c r="F70" i="21"/>
  <c r="F68" i="21"/>
  <c r="F66" i="21"/>
  <c r="F64" i="21"/>
  <c r="F63" i="21"/>
  <c r="F62" i="21"/>
  <c r="F60" i="21"/>
  <c r="F58" i="21"/>
  <c r="F56" i="21"/>
  <c r="F54" i="21"/>
  <c r="F53" i="21"/>
  <c r="V23" i="12"/>
  <c r="U23" i="12"/>
  <c r="F23" i="12"/>
  <c r="X2" i="12"/>
  <c r="L2" i="12"/>
  <c r="M2" i="12" s="1"/>
  <c r="W2" i="12" s="1"/>
  <c r="K2" i="12"/>
  <c r="F27" i="21"/>
  <c r="H27" i="21" s="1"/>
  <c r="J27" i="21" s="1"/>
  <c r="E50" i="21"/>
  <c r="F47" i="21"/>
  <c r="H47" i="21" s="1"/>
  <c r="J47" i="21" s="1"/>
  <c r="F45" i="21"/>
  <c r="H45" i="21"/>
  <c r="J45" i="21" s="1"/>
  <c r="H17" i="21"/>
  <c r="J17" i="21" s="1"/>
  <c r="H15" i="21"/>
  <c r="J15" i="21" s="1"/>
  <c r="H13" i="21"/>
  <c r="J13" i="21" s="1"/>
  <c r="H11" i="21"/>
  <c r="J11" i="21" s="1"/>
  <c r="H9" i="21"/>
  <c r="J9" i="21" s="1"/>
  <c r="F43" i="21"/>
  <c r="H43" i="21" s="1"/>
  <c r="J43" i="21" s="1"/>
  <c r="F42" i="21"/>
  <c r="H42" i="21" s="1"/>
  <c r="J42" i="21" s="1"/>
  <c r="F40" i="21"/>
  <c r="F38" i="21"/>
  <c r="F37" i="21"/>
  <c r="H37" i="21" s="1"/>
  <c r="J37" i="21" s="1"/>
  <c r="F35" i="21"/>
  <c r="H35" i="21" s="1"/>
  <c r="J35" i="21" s="1"/>
  <c r="F33" i="21"/>
  <c r="H33" i="21" s="1"/>
  <c r="J33" i="21" s="1"/>
  <c r="F31" i="21"/>
  <c r="H31" i="21" s="1"/>
  <c r="J31" i="21" s="1"/>
  <c r="F29" i="21"/>
  <c r="H29" i="21" s="1"/>
  <c r="J29" i="21" s="1"/>
  <c r="F26" i="21"/>
  <c r="F24" i="21"/>
  <c r="F22" i="21"/>
  <c r="F20" i="21"/>
  <c r="F18" i="21"/>
  <c r="F17" i="21"/>
  <c r="F15" i="21"/>
  <c r="F13" i="21"/>
  <c r="F11" i="21"/>
  <c r="F9" i="21"/>
  <c r="F7" i="21"/>
  <c r="H7" i="21" s="1"/>
  <c r="J7" i="21" s="1"/>
  <c r="F5" i="21"/>
  <c r="H5" i="21" s="1"/>
  <c r="J5" i="21" s="1"/>
  <c r="F4" i="21"/>
  <c r="F2" i="21"/>
  <c r="F50" i="21" s="1"/>
  <c r="L22" i="12" l="1"/>
  <c r="K22" i="12"/>
  <c r="E2" i="5"/>
  <c r="E5" i="5" s="1"/>
  <c r="D9" i="5"/>
  <c r="E9" i="5" s="1"/>
  <c r="E6" i="5"/>
  <c r="E14" i="5"/>
  <c r="E13" i="5"/>
  <c r="D21" i="5"/>
  <c r="E21" i="5" s="1"/>
  <c r="D20" i="5"/>
  <c r="E20" i="5" s="1"/>
  <c r="E29" i="5"/>
  <c r="E30" i="5"/>
  <c r="E28" i="5"/>
  <c r="E40" i="5"/>
  <c r="E39" i="5"/>
  <c r="E38" i="5"/>
  <c r="E37" i="5"/>
  <c r="E36" i="5"/>
  <c r="E35" i="5"/>
  <c r="E34" i="5"/>
  <c r="E33" i="5"/>
  <c r="E45" i="5"/>
  <c r="E51" i="5"/>
  <c r="E47" i="5"/>
  <c r="E44" i="5"/>
  <c r="E43" i="5"/>
  <c r="E50" i="5"/>
  <c r="E59" i="5"/>
  <c r="E65" i="5"/>
  <c r="E64" i="5"/>
  <c r="E63" i="5"/>
  <c r="E62" i="5"/>
  <c r="E61" i="5"/>
  <c r="E60" i="5"/>
  <c r="E74" i="5"/>
  <c r="E71" i="5"/>
  <c r="E70" i="5"/>
  <c r="E69" i="5"/>
  <c r="E68" i="5"/>
  <c r="E85" i="5"/>
  <c r="E91" i="5"/>
  <c r="D94" i="5"/>
  <c r="W4" i="2"/>
  <c r="M4" i="2"/>
  <c r="E4" i="2"/>
  <c r="E21" i="2"/>
  <c r="M21" i="2"/>
  <c r="W21" i="2"/>
  <c r="W40" i="2"/>
  <c r="M40" i="2"/>
  <c r="E40" i="2"/>
  <c r="E58" i="2"/>
  <c r="M58" i="2"/>
  <c r="W58" i="2"/>
  <c r="W75" i="2"/>
  <c r="M75" i="2"/>
  <c r="E75" i="2"/>
  <c r="W96" i="2"/>
  <c r="M96" i="2"/>
  <c r="E96" i="2"/>
  <c r="E116" i="2"/>
  <c r="M116" i="2"/>
  <c r="W116" i="2"/>
  <c r="W134" i="2"/>
  <c r="M134" i="2"/>
  <c r="E134" i="2"/>
  <c r="E153" i="2"/>
  <c r="M153" i="2"/>
  <c r="W153" i="2"/>
  <c r="W173" i="2"/>
  <c r="M173" i="2"/>
  <c r="E173" i="2"/>
  <c r="E192" i="2"/>
  <c r="M192" i="2"/>
  <c r="W192" i="2"/>
  <c r="W209" i="2"/>
  <c r="M209" i="2"/>
  <c r="E209" i="2"/>
  <c r="E226" i="2"/>
  <c r="M226" i="2"/>
  <c r="W226" i="2"/>
  <c r="W243" i="2"/>
  <c r="M243" i="2"/>
  <c r="E243" i="2"/>
  <c r="E261" i="2"/>
  <c r="M261" i="2"/>
  <c r="W261" i="2"/>
  <c r="W279" i="2"/>
  <c r="M279" i="2"/>
  <c r="E279" i="2"/>
  <c r="E297" i="2"/>
  <c r="M297" i="2"/>
  <c r="W297" i="2"/>
  <c r="W315" i="2"/>
  <c r="M315" i="2"/>
  <c r="E315" i="2"/>
  <c r="E332" i="2"/>
  <c r="M332" i="2"/>
  <c r="W332" i="2"/>
  <c r="W350" i="2"/>
  <c r="M350" i="2"/>
  <c r="E350" i="2"/>
  <c r="E367" i="2"/>
  <c r="M367" i="2"/>
  <c r="W367" i="2"/>
  <c r="W385" i="2"/>
  <c r="M385" i="2"/>
  <c r="E385" i="2"/>
  <c r="E403" i="2"/>
  <c r="M403" i="2"/>
  <c r="W403" i="2"/>
  <c r="W420" i="2"/>
  <c r="M420" i="2"/>
  <c r="E420" i="2"/>
  <c r="E437" i="2"/>
  <c r="M437" i="2"/>
  <c r="W437" i="2"/>
  <c r="W454" i="2"/>
  <c r="M454" i="2"/>
  <c r="N454" i="2" s="1"/>
  <c r="E454" i="2"/>
  <c r="E472" i="2"/>
  <c r="F472" i="2" s="1"/>
  <c r="H472" i="2" s="1"/>
  <c r="M472" i="2"/>
  <c r="W472" i="2"/>
  <c r="W490" i="2"/>
  <c r="M490" i="2"/>
  <c r="E490" i="2"/>
  <c r="F490" i="2" s="1"/>
  <c r="E512" i="2"/>
  <c r="M512" i="2"/>
  <c r="W512" i="2"/>
  <c r="W531" i="2"/>
  <c r="M531" i="2"/>
  <c r="E531" i="2"/>
  <c r="AB373" i="4"/>
  <c r="N509" i="9"/>
  <c r="N508" i="9"/>
  <c r="M503" i="9"/>
  <c r="H503" i="9"/>
  <c r="C503" i="9"/>
  <c r="Y547" i="2"/>
  <c r="W536" i="2"/>
  <c r="X536" i="2" s="1"/>
  <c r="W535" i="2"/>
  <c r="X535" i="2" s="1"/>
  <c r="W534" i="2"/>
  <c r="X534" i="2" s="1"/>
  <c r="W533" i="2"/>
  <c r="X533" i="2" s="1"/>
  <c r="W532" i="2"/>
  <c r="X532" i="2" s="1"/>
  <c r="Y531" i="2"/>
  <c r="Y532" i="2" s="1"/>
  <c r="Y533" i="2" s="1"/>
  <c r="Y534" i="2" s="1"/>
  <c r="Y535" i="2" s="1"/>
  <c r="Y536" i="2" s="1"/>
  <c r="Y537" i="2" s="1"/>
  <c r="X531" i="2"/>
  <c r="Z531" i="2" s="1"/>
  <c r="W530" i="2"/>
  <c r="X530" i="2" s="1"/>
  <c r="N536" i="2"/>
  <c r="Q543" i="2"/>
  <c r="E536" i="2"/>
  <c r="F536" i="2" s="1"/>
  <c r="E535" i="2"/>
  <c r="F535" i="2" s="1"/>
  <c r="E534" i="2"/>
  <c r="F534" i="2" s="1"/>
  <c r="E533" i="2"/>
  <c r="F533" i="2" s="1"/>
  <c r="E532" i="2"/>
  <c r="F532" i="2" s="1"/>
  <c r="G531" i="2"/>
  <c r="G532" i="2" s="1"/>
  <c r="G533" i="2" s="1"/>
  <c r="G534" i="2" s="1"/>
  <c r="G535" i="2" s="1"/>
  <c r="G536" i="2" s="1"/>
  <c r="G537" i="2" s="1"/>
  <c r="F531" i="2"/>
  <c r="H531" i="2" s="1"/>
  <c r="E530" i="2"/>
  <c r="F530" i="2" s="1"/>
  <c r="M479" i="9"/>
  <c r="M483" i="9"/>
  <c r="H483" i="9"/>
  <c r="C483" i="9"/>
  <c r="M448" i="9"/>
  <c r="H448" i="9"/>
  <c r="M432" i="9"/>
  <c r="M433" i="9"/>
  <c r="H432" i="9"/>
  <c r="H433" i="9"/>
  <c r="C433" i="9"/>
  <c r="N409" i="9"/>
  <c r="M400" i="9"/>
  <c r="H384" i="9"/>
  <c r="C384" i="9"/>
  <c r="M384" i="9"/>
  <c r="M383" i="9"/>
  <c r="R373" i="9"/>
  <c r="N373" i="9"/>
  <c r="H366" i="9"/>
  <c r="M366" i="9"/>
  <c r="M367" i="9"/>
  <c r="H367" i="9"/>
  <c r="C367" i="9"/>
  <c r="M364" i="9"/>
  <c r="H364" i="9"/>
  <c r="C364" i="9"/>
  <c r="H333" i="9"/>
  <c r="M333" i="9"/>
  <c r="M317" i="9"/>
  <c r="C299" i="9"/>
  <c r="M299" i="9"/>
  <c r="H299" i="9"/>
  <c r="H278" i="9"/>
  <c r="M248" i="9"/>
  <c r="M250" i="9"/>
  <c r="C250" i="9"/>
  <c r="H250" i="9"/>
  <c r="H217" i="9"/>
  <c r="M217" i="9"/>
  <c r="C217" i="9"/>
  <c r="C184" i="9"/>
  <c r="M184" i="9"/>
  <c r="H184" i="9"/>
  <c r="D136" i="9"/>
  <c r="I135" i="9"/>
  <c r="H110" i="9"/>
  <c r="P75" i="4"/>
  <c r="D75" i="4"/>
  <c r="H160" i="9"/>
  <c r="C163" i="9"/>
  <c r="M164" i="9"/>
  <c r="I155" i="9"/>
  <c r="I154" i="9"/>
  <c r="I136" i="9"/>
  <c r="D137" i="9"/>
  <c r="N137" i="9"/>
  <c r="H92" i="9"/>
  <c r="N50" i="9"/>
  <c r="C42" i="9"/>
  <c r="D3" i="9"/>
  <c r="D17" i="9" s="1"/>
  <c r="C9" i="9"/>
  <c r="F61" i="11"/>
  <c r="D60" i="11"/>
  <c r="D59" i="11"/>
  <c r="D58" i="11"/>
  <c r="D57" i="11"/>
  <c r="D56" i="11"/>
  <c r="D54" i="11"/>
  <c r="D53" i="11"/>
  <c r="D52" i="11"/>
  <c r="D51" i="11"/>
  <c r="D50" i="11"/>
  <c r="M484" i="9"/>
  <c r="H484" i="9"/>
  <c r="C484" i="9"/>
  <c r="AN363" i="4"/>
  <c r="AH363" i="4"/>
  <c r="AJ363" i="4" s="1"/>
  <c r="AL363" i="4" s="1"/>
  <c r="AG363" i="4"/>
  <c r="AD363" i="4"/>
  <c r="V363" i="4"/>
  <c r="X363" i="4" s="1"/>
  <c r="Z363" i="4" s="1"/>
  <c r="U363" i="4"/>
  <c r="R363" i="4"/>
  <c r="J363" i="4"/>
  <c r="L363" i="4" s="1"/>
  <c r="I363" i="4"/>
  <c r="F363" i="4"/>
  <c r="D359" i="4"/>
  <c r="M536" i="2"/>
  <c r="M535" i="2"/>
  <c r="N535" i="2" s="1"/>
  <c r="M534" i="2"/>
  <c r="N534" i="2" s="1"/>
  <c r="M533" i="2"/>
  <c r="N533" i="2" s="1"/>
  <c r="M532" i="2"/>
  <c r="N532" i="2" s="1"/>
  <c r="O531" i="2"/>
  <c r="O532" i="2" s="1"/>
  <c r="O533" i="2" s="1"/>
  <c r="O534" i="2" s="1"/>
  <c r="O535" i="2" s="1"/>
  <c r="O536" i="2" s="1"/>
  <c r="O537" i="2" s="1"/>
  <c r="N531" i="2"/>
  <c r="M530" i="2"/>
  <c r="N530" i="2" s="1"/>
  <c r="P352" i="4"/>
  <c r="D345" i="4"/>
  <c r="AN349" i="4"/>
  <c r="AH349" i="4"/>
  <c r="AJ349" i="4" s="1"/>
  <c r="AL349" i="4" s="1"/>
  <c r="AG349" i="4"/>
  <c r="AD349" i="4"/>
  <c r="V349" i="4"/>
  <c r="X349" i="4" s="1"/>
  <c r="Z349" i="4" s="1"/>
  <c r="U349" i="4"/>
  <c r="R349" i="4"/>
  <c r="J349" i="4"/>
  <c r="L349" i="4" s="1"/>
  <c r="I349" i="4"/>
  <c r="F349" i="4"/>
  <c r="AN355" i="4"/>
  <c r="AJ355" i="4"/>
  <c r="AL355" i="4" s="1"/>
  <c r="AG355" i="4"/>
  <c r="X355" i="4"/>
  <c r="Z355" i="4" s="1"/>
  <c r="U355" i="4"/>
  <c r="L355" i="4"/>
  <c r="I355" i="4"/>
  <c r="AH354" i="4"/>
  <c r="AK354" i="4" s="1"/>
  <c r="AG354" i="4"/>
  <c r="AD354" i="4"/>
  <c r="V354" i="4"/>
  <c r="Y354" i="4" s="1"/>
  <c r="U354" i="4"/>
  <c r="R354" i="4"/>
  <c r="J354" i="4"/>
  <c r="M354" i="4" s="1"/>
  <c r="I354" i="4"/>
  <c r="F354" i="4"/>
  <c r="E517" i="2"/>
  <c r="F517" i="2" s="1"/>
  <c r="E516" i="2"/>
  <c r="F516" i="2" s="1"/>
  <c r="E515" i="2"/>
  <c r="F515" i="2" s="1"/>
  <c r="E514" i="2"/>
  <c r="F514" i="2" s="1"/>
  <c r="E513" i="2"/>
  <c r="F513" i="2" s="1"/>
  <c r="G512" i="2"/>
  <c r="G513" i="2" s="1"/>
  <c r="G514" i="2" s="1"/>
  <c r="G515" i="2" s="1"/>
  <c r="G516" i="2" s="1"/>
  <c r="G517" i="2" s="1"/>
  <c r="G518" i="2" s="1"/>
  <c r="F512" i="2"/>
  <c r="H512" i="2" s="1"/>
  <c r="E511" i="2"/>
  <c r="F511" i="2" s="1"/>
  <c r="W517" i="2"/>
  <c r="X517" i="2" s="1"/>
  <c r="W516" i="2"/>
  <c r="X516" i="2" s="1"/>
  <c r="W515" i="2"/>
  <c r="X515" i="2" s="1"/>
  <c r="W514" i="2"/>
  <c r="X514" i="2" s="1"/>
  <c r="W513" i="2"/>
  <c r="X513" i="2" s="1"/>
  <c r="Y512" i="2"/>
  <c r="Y513" i="2" s="1"/>
  <c r="Y514" i="2" s="1"/>
  <c r="Y515" i="2" s="1"/>
  <c r="Y516" i="2" s="1"/>
  <c r="Y517" i="2" s="1"/>
  <c r="Y518" i="2" s="1"/>
  <c r="X512" i="2"/>
  <c r="Z512" i="2" s="1"/>
  <c r="W511" i="2"/>
  <c r="X511" i="2" s="1"/>
  <c r="Q524" i="2"/>
  <c r="M517" i="2"/>
  <c r="N517" i="2" s="1"/>
  <c r="M516" i="2"/>
  <c r="N516" i="2" s="1"/>
  <c r="N515" i="2"/>
  <c r="M515" i="2"/>
  <c r="M514" i="2"/>
  <c r="N514" i="2" s="1"/>
  <c r="M513" i="2"/>
  <c r="N513" i="2" s="1"/>
  <c r="O512" i="2"/>
  <c r="O513" i="2" s="1"/>
  <c r="O514" i="2" s="1"/>
  <c r="O515" i="2" s="1"/>
  <c r="O516" i="2" s="1"/>
  <c r="O517" i="2" s="1"/>
  <c r="O518" i="2" s="1"/>
  <c r="N512" i="2"/>
  <c r="M511" i="2"/>
  <c r="N511" i="2" s="1"/>
  <c r="W495" i="2"/>
  <c r="X495" i="2" s="1"/>
  <c r="W494" i="2"/>
  <c r="X494" i="2" s="1"/>
  <c r="W493" i="2"/>
  <c r="X493" i="2" s="1"/>
  <c r="W492" i="2"/>
  <c r="X492" i="2" s="1"/>
  <c r="W491" i="2"/>
  <c r="X491" i="2" s="1"/>
  <c r="Y490" i="2"/>
  <c r="Y491" i="2" s="1"/>
  <c r="Y492" i="2" s="1"/>
  <c r="Y493" i="2" s="1"/>
  <c r="Y494" i="2" s="1"/>
  <c r="Y495" i="2" s="1"/>
  <c r="Y496" i="2" s="1"/>
  <c r="X490" i="2"/>
  <c r="W489" i="2"/>
  <c r="X489" i="2" s="1"/>
  <c r="P496" i="2"/>
  <c r="M495" i="2"/>
  <c r="N495" i="2" s="1"/>
  <c r="M494" i="2"/>
  <c r="N494" i="2" s="1"/>
  <c r="M493" i="2"/>
  <c r="N493" i="2" s="1"/>
  <c r="M492" i="2"/>
  <c r="N492" i="2" s="1"/>
  <c r="M491" i="2"/>
  <c r="N491" i="2" s="1"/>
  <c r="O490" i="2"/>
  <c r="O491" i="2" s="1"/>
  <c r="O492" i="2" s="1"/>
  <c r="O493" i="2" s="1"/>
  <c r="O494" i="2" s="1"/>
  <c r="O495" i="2" s="1"/>
  <c r="O496" i="2" s="1"/>
  <c r="N490" i="2"/>
  <c r="M489" i="2"/>
  <c r="N489" i="2" s="1"/>
  <c r="H496" i="2"/>
  <c r="E495" i="2"/>
  <c r="F495" i="2" s="1"/>
  <c r="E494" i="2"/>
  <c r="F494" i="2" s="1"/>
  <c r="E493" i="2"/>
  <c r="F493" i="2" s="1"/>
  <c r="E492" i="2"/>
  <c r="F492" i="2" s="1"/>
  <c r="E491" i="2"/>
  <c r="F491" i="2" s="1"/>
  <c r="G490" i="2"/>
  <c r="G491" i="2" s="1"/>
  <c r="G492" i="2" s="1"/>
  <c r="G493" i="2" s="1"/>
  <c r="G494" i="2" s="1"/>
  <c r="G495" i="2" s="1"/>
  <c r="G496" i="2" s="1"/>
  <c r="E489" i="2"/>
  <c r="F489" i="2" s="1"/>
  <c r="W477" i="2"/>
  <c r="X477" i="2" s="1"/>
  <c r="W476" i="2"/>
  <c r="X476" i="2" s="1"/>
  <c r="W475" i="2"/>
  <c r="X475" i="2" s="1"/>
  <c r="W474" i="2"/>
  <c r="X474" i="2" s="1"/>
  <c r="W473" i="2"/>
  <c r="X473" i="2" s="1"/>
  <c r="Y472" i="2"/>
  <c r="Y473" i="2" s="1"/>
  <c r="Y474" i="2" s="1"/>
  <c r="Y475" i="2" s="1"/>
  <c r="Y476" i="2" s="1"/>
  <c r="Y477" i="2" s="1"/>
  <c r="Y478" i="2" s="1"/>
  <c r="X472" i="2"/>
  <c r="W471" i="2"/>
  <c r="X471" i="2" s="1"/>
  <c r="E477" i="2"/>
  <c r="F477" i="2" s="1"/>
  <c r="E476" i="2"/>
  <c r="F476" i="2" s="1"/>
  <c r="E475" i="2"/>
  <c r="F475" i="2" s="1"/>
  <c r="E474" i="2"/>
  <c r="F474" i="2" s="1"/>
  <c r="E473" i="2"/>
  <c r="F473" i="2" s="1"/>
  <c r="G472" i="2"/>
  <c r="G473" i="2" s="1"/>
  <c r="G474" i="2" s="1"/>
  <c r="G475" i="2" s="1"/>
  <c r="G476" i="2" s="1"/>
  <c r="G477" i="2" s="1"/>
  <c r="G478" i="2" s="1"/>
  <c r="E471" i="2"/>
  <c r="F471" i="2" s="1"/>
  <c r="D322" i="4"/>
  <c r="AV325" i="4"/>
  <c r="AB324" i="4"/>
  <c r="P328" i="4"/>
  <c r="AN329" i="4"/>
  <c r="AH329" i="4"/>
  <c r="AJ329" i="4" s="1"/>
  <c r="AL329" i="4" s="1"/>
  <c r="AG329" i="4"/>
  <c r="AD329" i="4"/>
  <c r="V329" i="4"/>
  <c r="X329" i="4" s="1"/>
  <c r="Z329" i="4" s="1"/>
  <c r="U329" i="4"/>
  <c r="R329" i="4"/>
  <c r="J329" i="4"/>
  <c r="L329" i="4" s="1"/>
  <c r="I329" i="4"/>
  <c r="F329" i="4"/>
  <c r="P315" i="4"/>
  <c r="AN316" i="4"/>
  <c r="AH316" i="4"/>
  <c r="AJ316" i="4" s="1"/>
  <c r="AL316" i="4" s="1"/>
  <c r="AG316" i="4"/>
  <c r="AD316" i="4"/>
  <c r="V316" i="4"/>
  <c r="X316" i="4" s="1"/>
  <c r="Z316" i="4" s="1"/>
  <c r="U316" i="4"/>
  <c r="R316" i="4"/>
  <c r="J316" i="4"/>
  <c r="L316" i="4" s="1"/>
  <c r="I316" i="4"/>
  <c r="F316" i="4"/>
  <c r="W459" i="2"/>
  <c r="X459" i="2" s="1"/>
  <c r="W458" i="2"/>
  <c r="X458" i="2" s="1"/>
  <c r="W457" i="2"/>
  <c r="X457" i="2" s="1"/>
  <c r="W456" i="2"/>
  <c r="X456" i="2" s="1"/>
  <c r="W455" i="2"/>
  <c r="X455" i="2" s="1"/>
  <c r="Y454" i="2"/>
  <c r="Y455" i="2" s="1"/>
  <c r="Y456" i="2" s="1"/>
  <c r="Y457" i="2" s="1"/>
  <c r="Y458" i="2" s="1"/>
  <c r="Y459" i="2" s="1"/>
  <c r="Y460" i="2" s="1"/>
  <c r="X454" i="2"/>
  <c r="W453" i="2"/>
  <c r="X453" i="2" s="1"/>
  <c r="M459" i="2"/>
  <c r="N459" i="2" s="1"/>
  <c r="M458" i="2"/>
  <c r="N458" i="2" s="1"/>
  <c r="M457" i="2"/>
  <c r="N457" i="2" s="1"/>
  <c r="M456" i="2"/>
  <c r="N456" i="2" s="1"/>
  <c r="M455" i="2"/>
  <c r="N455" i="2" s="1"/>
  <c r="O454" i="2"/>
  <c r="O455" i="2" s="1"/>
  <c r="O456" i="2" s="1"/>
  <c r="O457" i="2" s="1"/>
  <c r="O458" i="2" s="1"/>
  <c r="O459" i="2" s="1"/>
  <c r="O460" i="2" s="1"/>
  <c r="M453" i="2"/>
  <c r="N453" i="2" s="1"/>
  <c r="E459" i="2"/>
  <c r="F459" i="2" s="1"/>
  <c r="E458" i="2"/>
  <c r="F458" i="2" s="1"/>
  <c r="E457" i="2"/>
  <c r="F457" i="2" s="1"/>
  <c r="E456" i="2"/>
  <c r="F456" i="2" s="1"/>
  <c r="E455" i="2"/>
  <c r="F455" i="2" s="1"/>
  <c r="G454" i="2"/>
  <c r="G455" i="2" s="1"/>
  <c r="G456" i="2" s="1"/>
  <c r="G457" i="2" s="1"/>
  <c r="G458" i="2" s="1"/>
  <c r="G459" i="2" s="1"/>
  <c r="G460" i="2" s="1"/>
  <c r="F454" i="2"/>
  <c r="H454" i="2" s="1"/>
  <c r="E453" i="2"/>
  <c r="F453" i="2" s="1"/>
  <c r="AN318" i="4"/>
  <c r="AJ318" i="4"/>
  <c r="AL318" i="4" s="1"/>
  <c r="AG318" i="4"/>
  <c r="X318" i="4"/>
  <c r="Z318" i="4" s="1"/>
  <c r="U318" i="4"/>
  <c r="L318" i="4"/>
  <c r="N318" i="4" s="1"/>
  <c r="I318" i="4"/>
  <c r="AH317" i="4"/>
  <c r="AK317" i="4" s="1"/>
  <c r="AG317" i="4"/>
  <c r="AD317" i="4"/>
  <c r="V317" i="4"/>
  <c r="Y317" i="4" s="1"/>
  <c r="U317" i="4"/>
  <c r="R317" i="4"/>
  <c r="J317" i="4"/>
  <c r="M317" i="4" s="1"/>
  <c r="I317" i="4"/>
  <c r="F317" i="4"/>
  <c r="I306" i="4"/>
  <c r="D299" i="4"/>
  <c r="Q449" i="2"/>
  <c r="M442" i="2"/>
  <c r="N442" i="2" s="1"/>
  <c r="M441" i="2"/>
  <c r="N441" i="2" s="1"/>
  <c r="M440" i="2"/>
  <c r="N440" i="2" s="1"/>
  <c r="M439" i="2"/>
  <c r="N439" i="2" s="1"/>
  <c r="M438" i="2"/>
  <c r="N438" i="2" s="1"/>
  <c r="O437" i="2"/>
  <c r="O438" i="2" s="1"/>
  <c r="O439" i="2" s="1"/>
  <c r="O440" i="2" s="1"/>
  <c r="O441" i="2" s="1"/>
  <c r="O442" i="2" s="1"/>
  <c r="O443" i="2" s="1"/>
  <c r="N437" i="2"/>
  <c r="P437" i="2" s="1"/>
  <c r="M436" i="2"/>
  <c r="N436" i="2" s="1"/>
  <c r="E442" i="2"/>
  <c r="F442" i="2" s="1"/>
  <c r="H442" i="2" s="1"/>
  <c r="E441" i="2"/>
  <c r="F441" i="2" s="1"/>
  <c r="E440" i="2"/>
  <c r="F440" i="2" s="1"/>
  <c r="E439" i="2"/>
  <c r="F439" i="2" s="1"/>
  <c r="E438" i="2"/>
  <c r="F438" i="2" s="1"/>
  <c r="G437" i="2"/>
  <c r="G438" i="2" s="1"/>
  <c r="G439" i="2" s="1"/>
  <c r="G440" i="2" s="1"/>
  <c r="G441" i="2" s="1"/>
  <c r="G442" i="2" s="1"/>
  <c r="G443" i="2" s="1"/>
  <c r="F437" i="2"/>
  <c r="H437" i="2" s="1"/>
  <c r="E436" i="2"/>
  <c r="F436" i="2" s="1"/>
  <c r="W442" i="2"/>
  <c r="X442" i="2" s="1"/>
  <c r="Z442" i="2" s="1"/>
  <c r="W441" i="2"/>
  <c r="X441" i="2" s="1"/>
  <c r="Z441" i="2" s="1"/>
  <c r="W440" i="2"/>
  <c r="X440" i="2" s="1"/>
  <c r="W439" i="2"/>
  <c r="X439" i="2" s="1"/>
  <c r="W438" i="2"/>
  <c r="X438" i="2" s="1"/>
  <c r="Y437" i="2"/>
  <c r="Y438" i="2" s="1"/>
  <c r="Y439" i="2" s="1"/>
  <c r="Y440" i="2" s="1"/>
  <c r="Y441" i="2" s="1"/>
  <c r="Y442" i="2" s="1"/>
  <c r="Y443" i="2" s="1"/>
  <c r="X437" i="2"/>
  <c r="W436" i="2"/>
  <c r="X436" i="2" s="1"/>
  <c r="Q432" i="2"/>
  <c r="M425" i="2"/>
  <c r="N425" i="2" s="1"/>
  <c r="M424" i="2"/>
  <c r="N424" i="2" s="1"/>
  <c r="M423" i="2"/>
  <c r="N423" i="2" s="1"/>
  <c r="M422" i="2"/>
  <c r="N422" i="2" s="1"/>
  <c r="M421" i="2"/>
  <c r="N421" i="2" s="1"/>
  <c r="O420" i="2"/>
  <c r="O421" i="2" s="1"/>
  <c r="O422" i="2" s="1"/>
  <c r="O423" i="2" s="1"/>
  <c r="O424" i="2" s="1"/>
  <c r="O425" i="2" s="1"/>
  <c r="O426" i="2" s="1"/>
  <c r="N420" i="2"/>
  <c r="P420" i="2" s="1"/>
  <c r="M419" i="2"/>
  <c r="N419" i="2" s="1"/>
  <c r="W425" i="2"/>
  <c r="X425" i="2" s="1"/>
  <c r="W424" i="2"/>
  <c r="X424" i="2" s="1"/>
  <c r="W423" i="2"/>
  <c r="X423" i="2" s="1"/>
  <c r="W422" i="2"/>
  <c r="X422" i="2" s="1"/>
  <c r="W421" i="2"/>
  <c r="X421" i="2" s="1"/>
  <c r="Y420" i="2"/>
  <c r="Y421" i="2" s="1"/>
  <c r="Y422" i="2" s="1"/>
  <c r="Y423" i="2" s="1"/>
  <c r="Y424" i="2" s="1"/>
  <c r="Y425" i="2" s="1"/>
  <c r="Y426" i="2" s="1"/>
  <c r="X420" i="2"/>
  <c r="Z420" i="2" s="1"/>
  <c r="W419" i="2"/>
  <c r="X419" i="2" s="1"/>
  <c r="E425" i="2"/>
  <c r="F425" i="2" s="1"/>
  <c r="H425" i="2" s="1"/>
  <c r="E424" i="2"/>
  <c r="F424" i="2" s="1"/>
  <c r="H424" i="2" s="1"/>
  <c r="E423" i="2"/>
  <c r="F423" i="2" s="1"/>
  <c r="H423" i="2" s="1"/>
  <c r="E422" i="2"/>
  <c r="F422" i="2" s="1"/>
  <c r="E421" i="2"/>
  <c r="F421" i="2" s="1"/>
  <c r="G420" i="2"/>
  <c r="G421" i="2" s="1"/>
  <c r="G422" i="2" s="1"/>
  <c r="G423" i="2" s="1"/>
  <c r="G424" i="2" s="1"/>
  <c r="G425" i="2" s="1"/>
  <c r="G426" i="2" s="1"/>
  <c r="F420" i="2"/>
  <c r="H420" i="2" s="1"/>
  <c r="E419" i="2"/>
  <c r="F419" i="2" s="1"/>
  <c r="P292" i="4"/>
  <c r="H400" i="9" s="1"/>
  <c r="AH293" i="4"/>
  <c r="AJ293" i="4" s="1"/>
  <c r="AL293" i="4" s="1"/>
  <c r="AG293" i="4"/>
  <c r="AD293" i="4"/>
  <c r="V293" i="4"/>
  <c r="Y293" i="4" s="1"/>
  <c r="AN293" i="4" s="1"/>
  <c r="U293" i="4"/>
  <c r="R293" i="4"/>
  <c r="J293" i="4"/>
  <c r="L293" i="4" s="1"/>
  <c r="I293" i="4"/>
  <c r="F293" i="4"/>
  <c r="D286" i="4"/>
  <c r="E66" i="5" l="1"/>
  <c r="M22" i="12"/>
  <c r="E10" i="5"/>
  <c r="Z530" i="2"/>
  <c r="X537" i="2"/>
  <c r="Z532" i="2"/>
  <c r="Z533" i="2"/>
  <c r="Z534" i="2"/>
  <c r="Z535" i="2"/>
  <c r="Z536" i="2"/>
  <c r="H530" i="2"/>
  <c r="F537" i="2"/>
  <c r="F538" i="2" s="1"/>
  <c r="H532" i="2"/>
  <c r="H533" i="2"/>
  <c r="H534" i="2"/>
  <c r="H535" i="2"/>
  <c r="H536" i="2"/>
  <c r="P532" i="2"/>
  <c r="N496" i="2"/>
  <c r="P533" i="2"/>
  <c r="P534" i="2"/>
  <c r="P535" i="2"/>
  <c r="Z421" i="2"/>
  <c r="H474" i="2"/>
  <c r="Z422" i="2"/>
  <c r="H513" i="2"/>
  <c r="Z423" i="2"/>
  <c r="P440" i="2"/>
  <c r="Z513" i="2"/>
  <c r="H514" i="2"/>
  <c r="Z424" i="2"/>
  <c r="P441" i="2"/>
  <c r="H515" i="2"/>
  <c r="Z425" i="2"/>
  <c r="P442" i="2"/>
  <c r="H516" i="2"/>
  <c r="Z437" i="2"/>
  <c r="Z454" i="2"/>
  <c r="X496" i="2"/>
  <c r="P536" i="2"/>
  <c r="Z472" i="2"/>
  <c r="P531" i="2"/>
  <c r="N363" i="4"/>
  <c r="AM363" i="4"/>
  <c r="AO363" i="4" s="1"/>
  <c r="AQ363" i="4" s="1"/>
  <c r="P530" i="2"/>
  <c r="N537" i="2"/>
  <c r="N349" i="4"/>
  <c r="AM349" i="4"/>
  <c r="AO349" i="4" s="1"/>
  <c r="AQ349" i="4" s="1"/>
  <c r="AN354" i="4"/>
  <c r="AM355" i="4"/>
  <c r="AO355" i="4" s="1"/>
  <c r="AQ355" i="4" s="1"/>
  <c r="AR355" i="4" s="1"/>
  <c r="AS355" i="4" s="1"/>
  <c r="N355" i="4"/>
  <c r="AJ354" i="4"/>
  <c r="AL354" i="4" s="1"/>
  <c r="L354" i="4"/>
  <c r="X354" i="4"/>
  <c r="Z354" i="4" s="1"/>
  <c r="H511" i="2"/>
  <c r="F518" i="2"/>
  <c r="F519" i="2" s="1"/>
  <c r="H517" i="2"/>
  <c r="Z511" i="2"/>
  <c r="X518" i="2"/>
  <c r="Z514" i="2"/>
  <c r="Z515" i="2"/>
  <c r="Z516" i="2"/>
  <c r="Z517" i="2"/>
  <c r="P512" i="2"/>
  <c r="N518" i="2"/>
  <c r="P511" i="2"/>
  <c r="P513" i="2"/>
  <c r="P514" i="2"/>
  <c r="P515" i="2"/>
  <c r="P516" i="2"/>
  <c r="P517" i="2"/>
  <c r="F496" i="2"/>
  <c r="X478" i="2"/>
  <c r="Z471" i="2"/>
  <c r="Z473" i="2"/>
  <c r="Z474" i="2"/>
  <c r="Z475" i="2"/>
  <c r="Z476" i="2"/>
  <c r="Z477" i="2"/>
  <c r="H475" i="2"/>
  <c r="F478" i="2"/>
  <c r="F479" i="2" s="1"/>
  <c r="H479" i="2" s="1"/>
  <c r="H471" i="2"/>
  <c r="H473" i="2"/>
  <c r="H476" i="2"/>
  <c r="H477" i="2"/>
  <c r="AM329" i="4"/>
  <c r="AO329" i="4" s="1"/>
  <c r="AQ329" i="4" s="1"/>
  <c r="N329" i="4"/>
  <c r="N316" i="4"/>
  <c r="AM316" i="4"/>
  <c r="AO316" i="4" s="1"/>
  <c r="AQ316" i="4" s="1"/>
  <c r="Z453" i="2"/>
  <c r="X460" i="2"/>
  <c r="Z455" i="2"/>
  <c r="Z456" i="2"/>
  <c r="Z457" i="2"/>
  <c r="Z458" i="2"/>
  <c r="Z459" i="2"/>
  <c r="P454" i="2"/>
  <c r="P453" i="2"/>
  <c r="N460" i="2"/>
  <c r="P455" i="2"/>
  <c r="P456" i="2"/>
  <c r="P457" i="2"/>
  <c r="P458" i="2"/>
  <c r="P459" i="2"/>
  <c r="H453" i="2"/>
  <c r="F460" i="2"/>
  <c r="F461" i="2" s="1"/>
  <c r="H461" i="2" s="1"/>
  <c r="H455" i="2"/>
  <c r="H456" i="2"/>
  <c r="H457" i="2"/>
  <c r="H458" i="2"/>
  <c r="H459" i="2"/>
  <c r="AN317" i="4"/>
  <c r="L317" i="4"/>
  <c r="AJ317" i="4"/>
  <c r="AL317" i="4" s="1"/>
  <c r="AM318" i="4"/>
  <c r="AO318" i="4" s="1"/>
  <c r="AQ318" i="4" s="1"/>
  <c r="X317" i="4"/>
  <c r="Z317" i="4" s="1"/>
  <c r="P436" i="2"/>
  <c r="N443" i="2"/>
  <c r="P438" i="2"/>
  <c r="P439" i="2"/>
  <c r="F443" i="2"/>
  <c r="F444" i="2" s="1"/>
  <c r="H444" i="2" s="1"/>
  <c r="H436" i="2"/>
  <c r="H438" i="2"/>
  <c r="H439" i="2"/>
  <c r="H440" i="2"/>
  <c r="H441" i="2"/>
  <c r="Z436" i="2"/>
  <c r="X443" i="2"/>
  <c r="Z438" i="2"/>
  <c r="Z439" i="2"/>
  <c r="Z440" i="2"/>
  <c r="N426" i="2"/>
  <c r="P419" i="2"/>
  <c r="P421" i="2"/>
  <c r="P422" i="2"/>
  <c r="P423" i="2"/>
  <c r="P424" i="2"/>
  <c r="P425" i="2"/>
  <c r="Z419" i="2"/>
  <c r="X426" i="2"/>
  <c r="H419" i="2"/>
  <c r="F426" i="2"/>
  <c r="F427" i="2" s="1"/>
  <c r="H421" i="2"/>
  <c r="H422" i="2"/>
  <c r="X293" i="4"/>
  <c r="Z293" i="4" s="1"/>
  <c r="N293" i="4"/>
  <c r="W22" i="12" l="1"/>
  <c r="M23" i="12"/>
  <c r="X538" i="2"/>
  <c r="Z537" i="2"/>
  <c r="F539" i="2"/>
  <c r="H538" i="2"/>
  <c r="H537" i="2"/>
  <c r="AR363" i="4"/>
  <c r="AS363" i="4" s="1"/>
  <c r="N538" i="2"/>
  <c r="P537" i="2"/>
  <c r="AR349" i="4"/>
  <c r="AS349" i="4" s="1"/>
  <c r="N354" i="4"/>
  <c r="AM354" i="4"/>
  <c r="AO354" i="4" s="1"/>
  <c r="AQ354" i="4" s="1"/>
  <c r="AM293" i="4"/>
  <c r="AO293" i="4" s="1"/>
  <c r="AQ293" i="4" s="1"/>
  <c r="AR293" i="4" s="1"/>
  <c r="AS293" i="4" s="1"/>
  <c r="F520" i="2"/>
  <c r="H519" i="2"/>
  <c r="H518" i="2"/>
  <c r="X519" i="2"/>
  <c r="Z518" i="2"/>
  <c r="P518" i="2"/>
  <c r="N519" i="2"/>
  <c r="X479" i="2"/>
  <c r="Z478" i="2"/>
  <c r="H478" i="2"/>
  <c r="AR329" i="4"/>
  <c r="AS329" i="4" s="1"/>
  <c r="AR316" i="4"/>
  <c r="AS316" i="4" s="1"/>
  <c r="X461" i="2"/>
  <c r="Z460" i="2"/>
  <c r="N461" i="2"/>
  <c r="P460" i="2"/>
  <c r="H460" i="2"/>
  <c r="N317" i="4"/>
  <c r="AM317" i="4"/>
  <c r="AO317" i="4" s="1"/>
  <c r="AQ317" i="4" s="1"/>
  <c r="AR318" i="4"/>
  <c r="AS318" i="4" s="1"/>
  <c r="N444" i="2"/>
  <c r="P443" i="2"/>
  <c r="H443" i="2"/>
  <c r="X444" i="2"/>
  <c r="Z443" i="2"/>
  <c r="P426" i="2"/>
  <c r="N427" i="2"/>
  <c r="X427" i="2"/>
  <c r="Z426" i="2"/>
  <c r="H427" i="2"/>
  <c r="H426" i="2"/>
  <c r="Z538" i="2" l="1"/>
  <c r="X539" i="2"/>
  <c r="F540" i="2"/>
  <c r="H539" i="2"/>
  <c r="N539" i="2"/>
  <c r="P538" i="2"/>
  <c r="AR354" i="4"/>
  <c r="AS354" i="4" s="1"/>
  <c r="F521" i="2"/>
  <c r="H521" i="2" s="1"/>
  <c r="H520" i="2"/>
  <c r="X520" i="2"/>
  <c r="Z519" i="2"/>
  <c r="N520" i="2"/>
  <c r="P519" i="2"/>
  <c r="Z479" i="2"/>
  <c r="X480" i="2"/>
  <c r="X462" i="2"/>
  <c r="Z461" i="2"/>
  <c r="N462" i="2"/>
  <c r="P461" i="2"/>
  <c r="AR317" i="4"/>
  <c r="AS317" i="4" s="1"/>
  <c r="N445" i="2"/>
  <c r="P444" i="2"/>
  <c r="X445" i="2"/>
  <c r="Z444" i="2"/>
  <c r="N428" i="2"/>
  <c r="P427" i="2"/>
  <c r="X428" i="2"/>
  <c r="Z427" i="2"/>
  <c r="A2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W408" i="2"/>
  <c r="X408" i="2" s="1"/>
  <c r="W407" i="2"/>
  <c r="X407" i="2" s="1"/>
  <c r="W406" i="2"/>
  <c r="X406" i="2" s="1"/>
  <c r="W405" i="2"/>
  <c r="X405" i="2" s="1"/>
  <c r="W404" i="2"/>
  <c r="X404" i="2" s="1"/>
  <c r="Y403" i="2"/>
  <c r="Y404" i="2" s="1"/>
  <c r="Y405" i="2" s="1"/>
  <c r="Y406" i="2" s="1"/>
  <c r="Y407" i="2" s="1"/>
  <c r="Y408" i="2" s="1"/>
  <c r="Y409" i="2" s="1"/>
  <c r="X403" i="2"/>
  <c r="Z403" i="2" s="1"/>
  <c r="W402" i="2"/>
  <c r="X402" i="2" s="1"/>
  <c r="N408" i="2"/>
  <c r="Q415" i="2"/>
  <c r="M408" i="2"/>
  <c r="M407" i="2"/>
  <c r="N407" i="2" s="1"/>
  <c r="M406" i="2"/>
  <c r="N406" i="2" s="1"/>
  <c r="M405" i="2"/>
  <c r="N405" i="2" s="1"/>
  <c r="M404" i="2"/>
  <c r="N404" i="2" s="1"/>
  <c r="O403" i="2"/>
  <c r="O404" i="2" s="1"/>
  <c r="O405" i="2" s="1"/>
  <c r="O406" i="2" s="1"/>
  <c r="O407" i="2" s="1"/>
  <c r="O408" i="2" s="1"/>
  <c r="O409" i="2" s="1"/>
  <c r="N403" i="2"/>
  <c r="P403" i="2" s="1"/>
  <c r="M402" i="2"/>
  <c r="N402" i="2" s="1"/>
  <c r="E408" i="2"/>
  <c r="F408" i="2" s="1"/>
  <c r="H408" i="2" s="1"/>
  <c r="E407" i="2"/>
  <c r="F407" i="2" s="1"/>
  <c r="H407" i="2" s="1"/>
  <c r="E406" i="2"/>
  <c r="F406" i="2" s="1"/>
  <c r="H406" i="2" s="1"/>
  <c r="E405" i="2"/>
  <c r="F405" i="2" s="1"/>
  <c r="E404" i="2"/>
  <c r="F404" i="2" s="1"/>
  <c r="H404" i="2" s="1"/>
  <c r="G403" i="2"/>
  <c r="G404" i="2" s="1"/>
  <c r="G405" i="2" s="1"/>
  <c r="G406" i="2" s="1"/>
  <c r="G407" i="2" s="1"/>
  <c r="G408" i="2" s="1"/>
  <c r="G409" i="2" s="1"/>
  <c r="F403" i="2"/>
  <c r="H403" i="2" s="1"/>
  <c r="E402" i="2"/>
  <c r="F402" i="2" s="1"/>
  <c r="AN268" i="4"/>
  <c r="AJ268" i="4"/>
  <c r="AL268" i="4" s="1"/>
  <c r="AG268" i="4"/>
  <c r="X268" i="4"/>
  <c r="Z268" i="4" s="1"/>
  <c r="U268" i="4"/>
  <c r="L268" i="4"/>
  <c r="N268" i="4" s="1"/>
  <c r="I268" i="4"/>
  <c r="AH267" i="4"/>
  <c r="AK267" i="4" s="1"/>
  <c r="AG267" i="4"/>
  <c r="AD267" i="4"/>
  <c r="V267" i="4"/>
  <c r="Y267" i="4" s="1"/>
  <c r="U267" i="4"/>
  <c r="R267" i="4"/>
  <c r="J267" i="4"/>
  <c r="L267" i="4" s="1"/>
  <c r="I267" i="4"/>
  <c r="F267" i="4"/>
  <c r="F281" i="4"/>
  <c r="I281" i="4"/>
  <c r="J281" i="4"/>
  <c r="L281" i="4" s="1"/>
  <c r="R281" i="4"/>
  <c r="U281" i="4"/>
  <c r="V281" i="4"/>
  <c r="X281" i="4" s="1"/>
  <c r="AD281" i="4"/>
  <c r="AG281" i="4"/>
  <c r="AH281" i="4"/>
  <c r="AJ281" i="4" s="1"/>
  <c r="I282" i="4"/>
  <c r="L282" i="4"/>
  <c r="N282" i="4" s="1"/>
  <c r="U282" i="4"/>
  <c r="X282" i="4"/>
  <c r="Z282" i="4"/>
  <c r="AG282" i="4"/>
  <c r="AJ282" i="4"/>
  <c r="AL282" i="4" s="1"/>
  <c r="AN282" i="4"/>
  <c r="P279" i="4"/>
  <c r="H383" i="9" s="1"/>
  <c r="AN266" i="4"/>
  <c r="AH266" i="4"/>
  <c r="AJ266" i="4" s="1"/>
  <c r="AL266" i="4" s="1"/>
  <c r="AG266" i="4"/>
  <c r="AD266" i="4"/>
  <c r="V266" i="4"/>
  <c r="X266" i="4" s="1"/>
  <c r="Z266" i="4" s="1"/>
  <c r="U266" i="4"/>
  <c r="R266" i="4"/>
  <c r="J266" i="4"/>
  <c r="L266" i="4" s="1"/>
  <c r="I266" i="4"/>
  <c r="F266" i="4"/>
  <c r="AH263" i="4"/>
  <c r="AK263" i="4" s="1"/>
  <c r="AG263" i="4"/>
  <c r="AD263" i="4"/>
  <c r="V263" i="4"/>
  <c r="Y263" i="4" s="1"/>
  <c r="U263" i="4"/>
  <c r="R263" i="4"/>
  <c r="J263" i="4"/>
  <c r="M263" i="4" s="1"/>
  <c r="I263" i="4"/>
  <c r="F263" i="4"/>
  <c r="D260" i="4"/>
  <c r="Q397" i="2"/>
  <c r="M390" i="2"/>
  <c r="M389" i="2"/>
  <c r="N389" i="2" s="1"/>
  <c r="M388" i="2"/>
  <c r="N388" i="2" s="1"/>
  <c r="M387" i="2"/>
  <c r="N387" i="2" s="1"/>
  <c r="M386" i="2"/>
  <c r="N386" i="2" s="1"/>
  <c r="O385" i="2"/>
  <c r="O386" i="2" s="1"/>
  <c r="O387" i="2" s="1"/>
  <c r="O388" i="2" s="1"/>
  <c r="O389" i="2" s="1"/>
  <c r="O390" i="2" s="1"/>
  <c r="O391" i="2" s="1"/>
  <c r="N385" i="2"/>
  <c r="P385" i="2" s="1"/>
  <c r="M384" i="2"/>
  <c r="N384" i="2" s="1"/>
  <c r="E390" i="2"/>
  <c r="F390" i="2" s="1"/>
  <c r="E389" i="2"/>
  <c r="F389" i="2" s="1"/>
  <c r="E388" i="2"/>
  <c r="F388" i="2" s="1"/>
  <c r="E387" i="2"/>
  <c r="F387" i="2" s="1"/>
  <c r="E386" i="2"/>
  <c r="F386" i="2" s="1"/>
  <c r="G385" i="2"/>
  <c r="G386" i="2" s="1"/>
  <c r="G387" i="2" s="1"/>
  <c r="G388" i="2" s="1"/>
  <c r="G389" i="2" s="1"/>
  <c r="G390" i="2" s="1"/>
  <c r="G391" i="2" s="1"/>
  <c r="F385" i="2"/>
  <c r="H385" i="2" s="1"/>
  <c r="E384" i="2"/>
  <c r="F384" i="2" s="1"/>
  <c r="D237" i="4"/>
  <c r="P239" i="4"/>
  <c r="W372" i="2"/>
  <c r="X372" i="2" s="1"/>
  <c r="W371" i="2"/>
  <c r="X371" i="2" s="1"/>
  <c r="W370" i="2"/>
  <c r="X370" i="2" s="1"/>
  <c r="W369" i="2"/>
  <c r="X369" i="2" s="1"/>
  <c r="W368" i="2"/>
  <c r="X368" i="2" s="1"/>
  <c r="Y367" i="2"/>
  <c r="Y368" i="2" s="1"/>
  <c r="Y369" i="2" s="1"/>
  <c r="Y370" i="2" s="1"/>
  <c r="Y371" i="2" s="1"/>
  <c r="Y372" i="2" s="1"/>
  <c r="Y373" i="2" s="1"/>
  <c r="X367" i="2"/>
  <c r="W366" i="2"/>
  <c r="X366" i="2" s="1"/>
  <c r="P373" i="2"/>
  <c r="M372" i="2"/>
  <c r="N372" i="2" s="1"/>
  <c r="M371" i="2"/>
  <c r="N371" i="2" s="1"/>
  <c r="M370" i="2"/>
  <c r="N370" i="2" s="1"/>
  <c r="M369" i="2"/>
  <c r="N369" i="2" s="1"/>
  <c r="M368" i="2"/>
  <c r="N368" i="2" s="1"/>
  <c r="O367" i="2"/>
  <c r="O368" i="2" s="1"/>
  <c r="O369" i="2" s="1"/>
  <c r="O370" i="2" s="1"/>
  <c r="O371" i="2" s="1"/>
  <c r="O372" i="2" s="1"/>
  <c r="O373" i="2" s="1"/>
  <c r="N367" i="2"/>
  <c r="M366" i="2"/>
  <c r="N366" i="2" s="1"/>
  <c r="H373" i="2"/>
  <c r="E372" i="2"/>
  <c r="F372" i="2" s="1"/>
  <c r="E371" i="2"/>
  <c r="F371" i="2" s="1"/>
  <c r="E370" i="2"/>
  <c r="F370" i="2" s="1"/>
  <c r="E369" i="2"/>
  <c r="F369" i="2" s="1"/>
  <c r="E368" i="2"/>
  <c r="F368" i="2" s="1"/>
  <c r="G367" i="2"/>
  <c r="G368" i="2" s="1"/>
  <c r="G369" i="2" s="1"/>
  <c r="G370" i="2" s="1"/>
  <c r="G371" i="2" s="1"/>
  <c r="G372" i="2" s="1"/>
  <c r="G373" i="2" s="1"/>
  <c r="F367" i="2"/>
  <c r="E366" i="2"/>
  <c r="F366" i="2" s="1"/>
  <c r="W355" i="2"/>
  <c r="X355" i="2" s="1"/>
  <c r="W354" i="2"/>
  <c r="X354" i="2" s="1"/>
  <c r="W353" i="2"/>
  <c r="X353" i="2" s="1"/>
  <c r="W352" i="2"/>
  <c r="X352" i="2" s="1"/>
  <c r="W351" i="2"/>
  <c r="X351" i="2" s="1"/>
  <c r="Y350" i="2"/>
  <c r="Y351" i="2" s="1"/>
  <c r="Y352" i="2" s="1"/>
  <c r="Y353" i="2" s="1"/>
  <c r="Y354" i="2" s="1"/>
  <c r="Y355" i="2" s="1"/>
  <c r="Y356" i="2" s="1"/>
  <c r="X350" i="2"/>
  <c r="Z350" i="2" s="1"/>
  <c r="W349" i="2"/>
  <c r="X349" i="2" s="1"/>
  <c r="Q361" i="2"/>
  <c r="M355" i="2"/>
  <c r="N355" i="2" s="1"/>
  <c r="M354" i="2"/>
  <c r="N354" i="2" s="1"/>
  <c r="M353" i="2"/>
  <c r="N353" i="2" s="1"/>
  <c r="M352" i="2"/>
  <c r="N352" i="2" s="1"/>
  <c r="M351" i="2"/>
  <c r="N351" i="2" s="1"/>
  <c r="O350" i="2"/>
  <c r="O351" i="2" s="1"/>
  <c r="O352" i="2" s="1"/>
  <c r="O353" i="2" s="1"/>
  <c r="O354" i="2" s="1"/>
  <c r="O355" i="2" s="1"/>
  <c r="O356" i="2" s="1"/>
  <c r="N350" i="2"/>
  <c r="M349" i="2"/>
  <c r="N349" i="2" s="1"/>
  <c r="E355" i="2"/>
  <c r="F355" i="2" s="1"/>
  <c r="E354" i="2"/>
  <c r="F354" i="2" s="1"/>
  <c r="E353" i="2"/>
  <c r="F353" i="2" s="1"/>
  <c r="E352" i="2"/>
  <c r="F352" i="2" s="1"/>
  <c r="E351" i="2"/>
  <c r="F351" i="2" s="1"/>
  <c r="G350" i="2"/>
  <c r="G351" i="2" s="1"/>
  <c r="G352" i="2" s="1"/>
  <c r="G353" i="2" s="1"/>
  <c r="G354" i="2" s="1"/>
  <c r="G355" i="2" s="1"/>
  <c r="G356" i="2" s="1"/>
  <c r="F350" i="2"/>
  <c r="H350" i="2" s="1"/>
  <c r="E349" i="2"/>
  <c r="F349" i="2" s="1"/>
  <c r="G117" i="10"/>
  <c r="L117" i="10"/>
  <c r="D117" i="10"/>
  <c r="E117" i="10"/>
  <c r="D224" i="4"/>
  <c r="D230" i="4"/>
  <c r="P230" i="4"/>
  <c r="H317" i="9" s="1"/>
  <c r="E337" i="2"/>
  <c r="F337" i="2" s="1"/>
  <c r="E336" i="2"/>
  <c r="F336" i="2" s="1"/>
  <c r="E335" i="2"/>
  <c r="F335" i="2" s="1"/>
  <c r="E334" i="2"/>
  <c r="F334" i="2" s="1"/>
  <c r="E333" i="2"/>
  <c r="F333" i="2" s="1"/>
  <c r="G332" i="2"/>
  <c r="G333" i="2" s="1"/>
  <c r="G334" i="2" s="1"/>
  <c r="G335" i="2" s="1"/>
  <c r="G336" i="2" s="1"/>
  <c r="G337" i="2" s="1"/>
  <c r="G338" i="2" s="1"/>
  <c r="F332" i="2"/>
  <c r="H332" i="2" s="1"/>
  <c r="E331" i="2"/>
  <c r="F331" i="2" s="1"/>
  <c r="Q344" i="2"/>
  <c r="M337" i="2"/>
  <c r="M336" i="2"/>
  <c r="N336" i="2" s="1"/>
  <c r="M335" i="2"/>
  <c r="N335" i="2" s="1"/>
  <c r="M334" i="2"/>
  <c r="N334" i="2" s="1"/>
  <c r="M333" i="2"/>
  <c r="N333" i="2" s="1"/>
  <c r="O332" i="2"/>
  <c r="O333" i="2" s="1"/>
  <c r="O334" i="2" s="1"/>
  <c r="O335" i="2" s="1"/>
  <c r="O336" i="2" s="1"/>
  <c r="O337" i="2" s="1"/>
  <c r="O338" i="2" s="1"/>
  <c r="N332" i="2"/>
  <c r="P332" i="2" s="1"/>
  <c r="M331" i="2"/>
  <c r="N331" i="2" s="1"/>
  <c r="W337" i="2"/>
  <c r="X337" i="2" s="1"/>
  <c r="W336" i="2"/>
  <c r="X336" i="2" s="1"/>
  <c r="W335" i="2"/>
  <c r="X335" i="2" s="1"/>
  <c r="W334" i="2"/>
  <c r="X334" i="2" s="1"/>
  <c r="W333" i="2"/>
  <c r="X333" i="2" s="1"/>
  <c r="Y332" i="2"/>
  <c r="Y333" i="2" s="1"/>
  <c r="Y334" i="2" s="1"/>
  <c r="Y335" i="2" s="1"/>
  <c r="Y336" i="2" s="1"/>
  <c r="Y337" i="2" s="1"/>
  <c r="Y338" i="2" s="1"/>
  <c r="X332" i="2"/>
  <c r="W331" i="2"/>
  <c r="X331" i="2" s="1"/>
  <c r="AN218" i="4"/>
  <c r="AH218" i="4"/>
  <c r="AJ218" i="4" s="1"/>
  <c r="AL218" i="4" s="1"/>
  <c r="AG218" i="4"/>
  <c r="AD218" i="4"/>
  <c r="V218" i="4"/>
  <c r="X218" i="4" s="1"/>
  <c r="Z218" i="4" s="1"/>
  <c r="U218" i="4"/>
  <c r="R218" i="4"/>
  <c r="J218" i="4"/>
  <c r="L218" i="4" s="1"/>
  <c r="I218" i="4"/>
  <c r="F218" i="4"/>
  <c r="AN220" i="4"/>
  <c r="AJ220" i="4"/>
  <c r="AL220" i="4" s="1"/>
  <c r="AG220" i="4"/>
  <c r="X220" i="4"/>
  <c r="Z220" i="4" s="1"/>
  <c r="U220" i="4"/>
  <c r="L220" i="4"/>
  <c r="I220" i="4"/>
  <c r="AH219" i="4"/>
  <c r="AK219" i="4" s="1"/>
  <c r="AG219" i="4"/>
  <c r="AD219" i="4"/>
  <c r="V219" i="4"/>
  <c r="X219" i="4" s="1"/>
  <c r="U219" i="4"/>
  <c r="R219" i="4"/>
  <c r="J219" i="4"/>
  <c r="M219" i="4" s="1"/>
  <c r="I219" i="4"/>
  <c r="F219" i="4"/>
  <c r="S213" i="4"/>
  <c r="D211" i="4"/>
  <c r="E320" i="2"/>
  <c r="F320" i="2" s="1"/>
  <c r="E319" i="2"/>
  <c r="F319" i="2" s="1"/>
  <c r="E318" i="2"/>
  <c r="F318" i="2" s="1"/>
  <c r="E317" i="2"/>
  <c r="F317" i="2" s="1"/>
  <c r="E316" i="2"/>
  <c r="F316" i="2" s="1"/>
  <c r="G315" i="2"/>
  <c r="G316" i="2" s="1"/>
  <c r="G317" i="2" s="1"/>
  <c r="G318" i="2" s="1"/>
  <c r="G319" i="2" s="1"/>
  <c r="G320" i="2" s="1"/>
  <c r="G321" i="2" s="1"/>
  <c r="F315" i="2"/>
  <c r="E314" i="2"/>
  <c r="F314" i="2" s="1"/>
  <c r="W320" i="2"/>
  <c r="X320" i="2" s="1"/>
  <c r="W319" i="2"/>
  <c r="X319" i="2" s="1"/>
  <c r="W318" i="2"/>
  <c r="X318" i="2" s="1"/>
  <c r="W317" i="2"/>
  <c r="X317" i="2" s="1"/>
  <c r="W316" i="2"/>
  <c r="X316" i="2" s="1"/>
  <c r="Y315" i="2"/>
  <c r="Y316" i="2" s="1"/>
  <c r="Y317" i="2" s="1"/>
  <c r="Y318" i="2" s="1"/>
  <c r="Y319" i="2" s="1"/>
  <c r="Y320" i="2" s="1"/>
  <c r="Y321" i="2" s="1"/>
  <c r="X315" i="2"/>
  <c r="Z315" i="2" s="1"/>
  <c r="W314" i="2"/>
  <c r="X314" i="2" s="1"/>
  <c r="Q326" i="2"/>
  <c r="M320" i="2"/>
  <c r="N320" i="2" s="1"/>
  <c r="M319" i="2"/>
  <c r="N319" i="2" s="1"/>
  <c r="M318" i="2"/>
  <c r="N318" i="2" s="1"/>
  <c r="M317" i="2"/>
  <c r="N317" i="2" s="1"/>
  <c r="M316" i="2"/>
  <c r="N316" i="2" s="1"/>
  <c r="O315" i="2"/>
  <c r="O316" i="2" s="1"/>
  <c r="O317" i="2" s="1"/>
  <c r="O318" i="2" s="1"/>
  <c r="O319" i="2" s="1"/>
  <c r="O320" i="2" s="1"/>
  <c r="O321" i="2" s="1"/>
  <c r="O330" i="2" s="1"/>
  <c r="N315" i="2"/>
  <c r="M314" i="2"/>
  <c r="N314" i="2" s="1"/>
  <c r="D200" i="4"/>
  <c r="P206" i="4"/>
  <c r="W302" i="2"/>
  <c r="X302" i="2" s="1"/>
  <c r="W301" i="2"/>
  <c r="X301" i="2" s="1"/>
  <c r="W300" i="2"/>
  <c r="X300" i="2" s="1"/>
  <c r="W299" i="2"/>
  <c r="X299" i="2" s="1"/>
  <c r="W298" i="2"/>
  <c r="X298" i="2" s="1"/>
  <c r="Y297" i="2"/>
  <c r="Y298" i="2" s="1"/>
  <c r="Y299" i="2" s="1"/>
  <c r="Y300" i="2" s="1"/>
  <c r="Y301" i="2" s="1"/>
  <c r="Y302" i="2" s="1"/>
  <c r="Y303" i="2" s="1"/>
  <c r="X297" i="2"/>
  <c r="Z297" i="2" s="1"/>
  <c r="W296" i="2"/>
  <c r="X296" i="2" s="1"/>
  <c r="E302" i="2"/>
  <c r="F302" i="2" s="1"/>
  <c r="E301" i="2"/>
  <c r="F301" i="2" s="1"/>
  <c r="E300" i="2"/>
  <c r="F300" i="2" s="1"/>
  <c r="E299" i="2"/>
  <c r="F299" i="2" s="1"/>
  <c r="E298" i="2"/>
  <c r="F298" i="2" s="1"/>
  <c r="G297" i="2"/>
  <c r="G298" i="2" s="1"/>
  <c r="G299" i="2" s="1"/>
  <c r="G300" i="2" s="1"/>
  <c r="G301" i="2" s="1"/>
  <c r="G302" i="2" s="1"/>
  <c r="G303" i="2" s="1"/>
  <c r="F297" i="2"/>
  <c r="H297" i="2" s="1"/>
  <c r="E296" i="2"/>
  <c r="F296" i="2" s="1"/>
  <c r="Q308" i="2"/>
  <c r="M302" i="2"/>
  <c r="N302" i="2" s="1"/>
  <c r="M301" i="2"/>
  <c r="N301" i="2" s="1"/>
  <c r="M300" i="2"/>
  <c r="N300" i="2" s="1"/>
  <c r="M299" i="2"/>
  <c r="N299" i="2" s="1"/>
  <c r="M298" i="2"/>
  <c r="N298" i="2" s="1"/>
  <c r="O297" i="2"/>
  <c r="O298" i="2" s="1"/>
  <c r="O299" i="2" s="1"/>
  <c r="O300" i="2" s="1"/>
  <c r="O301" i="2" s="1"/>
  <c r="O302" i="2" s="1"/>
  <c r="O303" i="2" s="1"/>
  <c r="O313" i="2" s="1"/>
  <c r="N297" i="2"/>
  <c r="P297" i="2" s="1"/>
  <c r="M296" i="2"/>
  <c r="N296" i="2" s="1"/>
  <c r="AN183" i="4"/>
  <c r="AJ183" i="4"/>
  <c r="AL183" i="4" s="1"/>
  <c r="AG183" i="4"/>
  <c r="X183" i="4"/>
  <c r="Z183" i="4" s="1"/>
  <c r="U183" i="4"/>
  <c r="L183" i="4"/>
  <c r="I183" i="4"/>
  <c r="AH182" i="4"/>
  <c r="AK182" i="4" s="1"/>
  <c r="AG182" i="4"/>
  <c r="AD182" i="4"/>
  <c r="V182" i="4"/>
  <c r="X182" i="4" s="1"/>
  <c r="U182" i="4"/>
  <c r="R182" i="4"/>
  <c r="J182" i="4"/>
  <c r="M182" i="4" s="1"/>
  <c r="I182" i="4"/>
  <c r="F182" i="4"/>
  <c r="AN158" i="4"/>
  <c r="AJ158" i="4"/>
  <c r="AL158" i="4" s="1"/>
  <c r="AG158" i="4"/>
  <c r="X158" i="4"/>
  <c r="Z158" i="4" s="1"/>
  <c r="U158" i="4"/>
  <c r="L158" i="4"/>
  <c r="N158" i="4" s="1"/>
  <c r="I158" i="4"/>
  <c r="AH157" i="4"/>
  <c r="AK157" i="4" s="1"/>
  <c r="AG157" i="4"/>
  <c r="AD157" i="4"/>
  <c r="V157" i="4"/>
  <c r="X157" i="4" s="1"/>
  <c r="U157" i="4"/>
  <c r="R157" i="4"/>
  <c r="J157" i="4"/>
  <c r="M157" i="4" s="1"/>
  <c r="I157" i="4"/>
  <c r="F157" i="4"/>
  <c r="H540" i="2" l="1"/>
  <c r="F541" i="2"/>
  <c r="X540" i="2"/>
  <c r="Z539" i="2"/>
  <c r="Z335" i="2"/>
  <c r="H316" i="2"/>
  <c r="Z336" i="2"/>
  <c r="P388" i="2"/>
  <c r="Z337" i="2"/>
  <c r="P389" i="2"/>
  <c r="H351" i="2"/>
  <c r="X373" i="2"/>
  <c r="H319" i="2"/>
  <c r="N390" i="2"/>
  <c r="N391" i="2" s="1"/>
  <c r="P335" i="2"/>
  <c r="H355" i="2"/>
  <c r="P336" i="2"/>
  <c r="P315" i="2"/>
  <c r="P350" i="2"/>
  <c r="N540" i="2"/>
  <c r="P539" i="2"/>
  <c r="X521" i="2"/>
  <c r="Z520" i="2"/>
  <c r="N521" i="2"/>
  <c r="P520" i="2"/>
  <c r="X481" i="2"/>
  <c r="Z480" i="2"/>
  <c r="AK281" i="4"/>
  <c r="Y281" i="4"/>
  <c r="Z281" i="4" s="1"/>
  <c r="AL281" i="4"/>
  <c r="X463" i="2"/>
  <c r="Z462" i="2"/>
  <c r="N463" i="2"/>
  <c r="P462" i="2"/>
  <c r="AM281" i="4"/>
  <c r="N446" i="2"/>
  <c r="P445" i="2"/>
  <c r="X446" i="2"/>
  <c r="Z445" i="2"/>
  <c r="N429" i="2"/>
  <c r="P428" i="2"/>
  <c r="X429" i="2"/>
  <c r="Z428" i="2"/>
  <c r="AM183" i="4"/>
  <c r="AO183" i="4" s="1"/>
  <c r="AQ183" i="4" s="1"/>
  <c r="AR183" i="4" s="1"/>
  <c r="AS183" i="4" s="1"/>
  <c r="AM220" i="4"/>
  <c r="AO220" i="4" s="1"/>
  <c r="AQ220" i="4" s="1"/>
  <c r="AR220" i="4" s="1"/>
  <c r="AS220" i="4" s="1"/>
  <c r="Z402" i="2"/>
  <c r="X409" i="2"/>
  <c r="Z404" i="2"/>
  <c r="Z405" i="2"/>
  <c r="Z406" i="2"/>
  <c r="Z407" i="2"/>
  <c r="Z408" i="2"/>
  <c r="P406" i="2"/>
  <c r="P407" i="2"/>
  <c r="P408" i="2"/>
  <c r="N409" i="2"/>
  <c r="P402" i="2"/>
  <c r="P404" i="2"/>
  <c r="P405" i="2"/>
  <c r="H402" i="2"/>
  <c r="F409" i="2"/>
  <c r="F410" i="2" s="1"/>
  <c r="H405" i="2"/>
  <c r="M267" i="4"/>
  <c r="AN267" i="4" s="1"/>
  <c r="AM268" i="4"/>
  <c r="AO268" i="4" s="1"/>
  <c r="AQ268" i="4" s="1"/>
  <c r="AJ267" i="4"/>
  <c r="AL267" i="4" s="1"/>
  <c r="AM282" i="4"/>
  <c r="AO282" i="4" s="1"/>
  <c r="AQ282" i="4" s="1"/>
  <c r="AR282" i="4" s="1"/>
  <c r="M281" i="4"/>
  <c r="N281" i="4" s="1"/>
  <c r="X267" i="4"/>
  <c r="Z267" i="4" s="1"/>
  <c r="N266" i="4"/>
  <c r="AM266" i="4"/>
  <c r="AO266" i="4" s="1"/>
  <c r="AQ266" i="4" s="1"/>
  <c r="AN263" i="4"/>
  <c r="AJ263" i="4"/>
  <c r="AL263" i="4" s="1"/>
  <c r="X263" i="4"/>
  <c r="Z263" i="4" s="1"/>
  <c r="L263" i="4"/>
  <c r="P384" i="2"/>
  <c r="P386" i="2"/>
  <c r="P387" i="2"/>
  <c r="N337" i="2"/>
  <c r="P337" i="2" s="1"/>
  <c r="H298" i="2"/>
  <c r="H320" i="2"/>
  <c r="Z301" i="2"/>
  <c r="P351" i="2"/>
  <c r="Z302" i="2"/>
  <c r="H333" i="2"/>
  <c r="Z298" i="2"/>
  <c r="Z300" i="2"/>
  <c r="Z353" i="2"/>
  <c r="H302" i="2"/>
  <c r="Z354" i="2"/>
  <c r="Z355" i="2"/>
  <c r="H386" i="2"/>
  <c r="P301" i="2"/>
  <c r="H315" i="2"/>
  <c r="Z332" i="2"/>
  <c r="H390" i="2"/>
  <c r="F373" i="2"/>
  <c r="H384" i="2"/>
  <c r="F391" i="2"/>
  <c r="F392" i="2" s="1"/>
  <c r="H387" i="2"/>
  <c r="H388" i="2"/>
  <c r="H389" i="2"/>
  <c r="N373" i="2"/>
  <c r="X356" i="2"/>
  <c r="Z351" i="2"/>
  <c r="Z352" i="2"/>
  <c r="Z349" i="2"/>
  <c r="P352" i="2"/>
  <c r="N356" i="2"/>
  <c r="P349" i="2"/>
  <c r="P353" i="2"/>
  <c r="P354" i="2"/>
  <c r="P355" i="2"/>
  <c r="H349" i="2"/>
  <c r="F356" i="2"/>
  <c r="F357" i="2" s="1"/>
  <c r="H352" i="2"/>
  <c r="H353" i="2"/>
  <c r="H354" i="2"/>
  <c r="H334" i="2"/>
  <c r="H335" i="2"/>
  <c r="H336" i="2"/>
  <c r="H337" i="2"/>
  <c r="H331" i="2"/>
  <c r="F338" i="2"/>
  <c r="F339" i="2" s="1"/>
  <c r="N338" i="2"/>
  <c r="P331" i="2"/>
  <c r="P333" i="2"/>
  <c r="P334" i="2"/>
  <c r="X338" i="2"/>
  <c r="Z333" i="2"/>
  <c r="Z334" i="2"/>
  <c r="Z331" i="2"/>
  <c r="N218" i="4"/>
  <c r="AM218" i="4"/>
  <c r="AM158" i="4"/>
  <c r="AO158" i="4" s="1"/>
  <c r="AQ158" i="4" s="1"/>
  <c r="AR158" i="4" s="1"/>
  <c r="AS158" i="4" s="1"/>
  <c r="Y219" i="4"/>
  <c r="Z219" i="4" s="1"/>
  <c r="N220" i="4"/>
  <c r="AJ219" i="4"/>
  <c r="AL219" i="4" s="1"/>
  <c r="L219" i="4"/>
  <c r="F321" i="2"/>
  <c r="F322" i="2" s="1"/>
  <c r="H314" i="2"/>
  <c r="H317" i="2"/>
  <c r="H318" i="2"/>
  <c r="Z314" i="2"/>
  <c r="X321" i="2"/>
  <c r="Z316" i="2"/>
  <c r="Z317" i="2"/>
  <c r="Z318" i="2"/>
  <c r="Z319" i="2"/>
  <c r="Z320" i="2"/>
  <c r="N321" i="2"/>
  <c r="P314" i="2"/>
  <c r="P316" i="2"/>
  <c r="P317" i="2"/>
  <c r="P318" i="2"/>
  <c r="P319" i="2"/>
  <c r="P320" i="2"/>
  <c r="Z296" i="2"/>
  <c r="X303" i="2"/>
  <c r="Z299" i="2"/>
  <c r="H296" i="2"/>
  <c r="F303" i="2"/>
  <c r="F304" i="2" s="1"/>
  <c r="H299" i="2"/>
  <c r="H300" i="2"/>
  <c r="H301" i="2"/>
  <c r="P300" i="2"/>
  <c r="P302" i="2"/>
  <c r="N303" i="2"/>
  <c r="P296" i="2"/>
  <c r="P298" i="2"/>
  <c r="P299" i="2"/>
  <c r="Y182" i="4"/>
  <c r="AN182" i="4" s="1"/>
  <c r="N183" i="4"/>
  <c r="AJ182" i="4"/>
  <c r="AL182" i="4" s="1"/>
  <c r="L182" i="4"/>
  <c r="Y157" i="4"/>
  <c r="Z157" i="4" s="1"/>
  <c r="AJ157" i="4"/>
  <c r="AL157" i="4" s="1"/>
  <c r="L157" i="4"/>
  <c r="P194" i="4"/>
  <c r="W284" i="2"/>
  <c r="X284" i="2" s="1"/>
  <c r="W283" i="2"/>
  <c r="X283" i="2" s="1"/>
  <c r="W282" i="2"/>
  <c r="X282" i="2" s="1"/>
  <c r="W281" i="2"/>
  <c r="X281" i="2" s="1"/>
  <c r="W280" i="2"/>
  <c r="X280" i="2" s="1"/>
  <c r="Y279" i="2"/>
  <c r="Y280" i="2" s="1"/>
  <c r="Y281" i="2" s="1"/>
  <c r="Y282" i="2" s="1"/>
  <c r="Y283" i="2" s="1"/>
  <c r="Y284" i="2" s="1"/>
  <c r="Y285" i="2" s="1"/>
  <c r="X279" i="2"/>
  <c r="W278" i="2"/>
  <c r="X278" i="2" s="1"/>
  <c r="Q290" i="2"/>
  <c r="M284" i="2"/>
  <c r="N284" i="2" s="1"/>
  <c r="M283" i="2"/>
  <c r="N283" i="2" s="1"/>
  <c r="M282" i="2"/>
  <c r="N282" i="2" s="1"/>
  <c r="M281" i="2"/>
  <c r="N281" i="2" s="1"/>
  <c r="M280" i="2"/>
  <c r="N280" i="2" s="1"/>
  <c r="O279" i="2"/>
  <c r="O280" i="2" s="1"/>
  <c r="O281" i="2" s="1"/>
  <c r="O282" i="2" s="1"/>
  <c r="O283" i="2" s="1"/>
  <c r="O284" i="2" s="1"/>
  <c r="O285" i="2" s="1"/>
  <c r="N279" i="2"/>
  <c r="M278" i="2"/>
  <c r="N278" i="2" s="1"/>
  <c r="E284" i="2"/>
  <c r="F284" i="2" s="1"/>
  <c r="E283" i="2"/>
  <c r="F283" i="2" s="1"/>
  <c r="E282" i="2"/>
  <c r="F282" i="2" s="1"/>
  <c r="E281" i="2"/>
  <c r="F281" i="2" s="1"/>
  <c r="E280" i="2"/>
  <c r="F280" i="2" s="1"/>
  <c r="G279" i="2"/>
  <c r="G280" i="2" s="1"/>
  <c r="G281" i="2" s="1"/>
  <c r="G282" i="2" s="1"/>
  <c r="G283" i="2" s="1"/>
  <c r="G284" i="2" s="1"/>
  <c r="G285" i="2" s="1"/>
  <c r="F279" i="2"/>
  <c r="E278" i="2"/>
  <c r="F278" i="2" s="1"/>
  <c r="D174" i="4"/>
  <c r="P180" i="4"/>
  <c r="H248" i="9" s="1"/>
  <c r="AN181" i="4"/>
  <c r="AG181" i="4"/>
  <c r="AH181" i="4"/>
  <c r="AJ181" i="4" s="1"/>
  <c r="AL181" i="4" s="1"/>
  <c r="V181" i="4"/>
  <c r="X181" i="4" s="1"/>
  <c r="Z181" i="4" s="1"/>
  <c r="U181" i="4"/>
  <c r="R181" i="4"/>
  <c r="J181" i="4"/>
  <c r="L181" i="4" s="1"/>
  <c r="I181" i="4"/>
  <c r="F181" i="4"/>
  <c r="W266" i="2"/>
  <c r="X266" i="2" s="1"/>
  <c r="W265" i="2"/>
  <c r="X265" i="2" s="1"/>
  <c r="W264" i="2"/>
  <c r="X264" i="2" s="1"/>
  <c r="W263" i="2"/>
  <c r="X263" i="2" s="1"/>
  <c r="W262" i="2"/>
  <c r="X262" i="2" s="1"/>
  <c r="Y261" i="2"/>
  <c r="Y262" i="2" s="1"/>
  <c r="Y263" i="2" s="1"/>
  <c r="Y264" i="2" s="1"/>
  <c r="Y265" i="2" s="1"/>
  <c r="Y266" i="2" s="1"/>
  <c r="Y267" i="2" s="1"/>
  <c r="X261" i="2"/>
  <c r="Z261" i="2" s="1"/>
  <c r="W260" i="2"/>
  <c r="X260" i="2" s="1"/>
  <c r="Q273" i="2"/>
  <c r="M266" i="2"/>
  <c r="N266" i="2" s="1"/>
  <c r="M265" i="2"/>
  <c r="N265" i="2" s="1"/>
  <c r="M264" i="2"/>
  <c r="N264" i="2" s="1"/>
  <c r="M263" i="2"/>
  <c r="N263" i="2" s="1"/>
  <c r="M262" i="2"/>
  <c r="N262" i="2" s="1"/>
  <c r="O261" i="2"/>
  <c r="O262" i="2" s="1"/>
  <c r="O263" i="2" s="1"/>
  <c r="O264" i="2" s="1"/>
  <c r="O265" i="2" s="1"/>
  <c r="O266" i="2" s="1"/>
  <c r="O267" i="2" s="1"/>
  <c r="N261" i="2"/>
  <c r="M260" i="2"/>
  <c r="N260" i="2" s="1"/>
  <c r="E266" i="2"/>
  <c r="F266" i="2" s="1"/>
  <c r="E265" i="2"/>
  <c r="F265" i="2" s="1"/>
  <c r="E264" i="2"/>
  <c r="F264" i="2" s="1"/>
  <c r="E263" i="2"/>
  <c r="F263" i="2" s="1"/>
  <c r="E262" i="2"/>
  <c r="F262" i="2" s="1"/>
  <c r="G261" i="2"/>
  <c r="G262" i="2" s="1"/>
  <c r="G263" i="2" s="1"/>
  <c r="G264" i="2" s="1"/>
  <c r="G265" i="2" s="1"/>
  <c r="G266" i="2" s="1"/>
  <c r="G267" i="2" s="1"/>
  <c r="F261" i="2"/>
  <c r="H261" i="2" s="1"/>
  <c r="E260" i="2"/>
  <c r="F260" i="2" s="1"/>
  <c r="P155" i="4"/>
  <c r="H216" i="9" s="1"/>
  <c r="AB155" i="4"/>
  <c r="AB156" i="4"/>
  <c r="D149" i="4"/>
  <c r="C36" i="10"/>
  <c r="W231" i="2"/>
  <c r="X231" i="2" s="1"/>
  <c r="W230" i="2"/>
  <c r="X230" i="2" s="1"/>
  <c r="W229" i="2"/>
  <c r="X229" i="2" s="1"/>
  <c r="W228" i="2"/>
  <c r="X228" i="2" s="1"/>
  <c r="W227" i="2"/>
  <c r="X227" i="2" s="1"/>
  <c r="Y226" i="2"/>
  <c r="Y227" i="2" s="1"/>
  <c r="Y228" i="2" s="1"/>
  <c r="Y229" i="2" s="1"/>
  <c r="Y230" i="2" s="1"/>
  <c r="Y231" i="2" s="1"/>
  <c r="Y232" i="2" s="1"/>
  <c r="X226" i="2"/>
  <c r="Z226" i="2" s="1"/>
  <c r="W225" i="2"/>
  <c r="X225" i="2" s="1"/>
  <c r="Q237" i="2"/>
  <c r="M231" i="2"/>
  <c r="N231" i="2" s="1"/>
  <c r="M230" i="2"/>
  <c r="N230" i="2" s="1"/>
  <c r="M229" i="2"/>
  <c r="N229" i="2" s="1"/>
  <c r="M228" i="2"/>
  <c r="N228" i="2" s="1"/>
  <c r="M227" i="2"/>
  <c r="N227" i="2" s="1"/>
  <c r="O226" i="2"/>
  <c r="O227" i="2" s="1"/>
  <c r="O228" i="2" s="1"/>
  <c r="O229" i="2" s="1"/>
  <c r="O230" i="2" s="1"/>
  <c r="O231" i="2" s="1"/>
  <c r="O232" i="2" s="1"/>
  <c r="N226" i="2"/>
  <c r="P226" i="2" s="1"/>
  <c r="M225" i="2"/>
  <c r="N225" i="2" s="1"/>
  <c r="E231" i="2"/>
  <c r="F231" i="2" s="1"/>
  <c r="E230" i="2"/>
  <c r="F230" i="2" s="1"/>
  <c r="E229" i="2"/>
  <c r="F229" i="2" s="1"/>
  <c r="E228" i="2"/>
  <c r="F228" i="2" s="1"/>
  <c r="E227" i="2"/>
  <c r="F227" i="2" s="1"/>
  <c r="G226" i="2"/>
  <c r="G227" i="2" s="1"/>
  <c r="G228" i="2" s="1"/>
  <c r="G229" i="2" s="1"/>
  <c r="G230" i="2" s="1"/>
  <c r="G231" i="2" s="1"/>
  <c r="G232" i="2" s="1"/>
  <c r="F226" i="2"/>
  <c r="H226" i="2" s="1"/>
  <c r="E225" i="2"/>
  <c r="F225" i="2" s="1"/>
  <c r="D137" i="4"/>
  <c r="W214" i="2"/>
  <c r="X214" i="2" s="1"/>
  <c r="W213" i="2"/>
  <c r="X213" i="2" s="1"/>
  <c r="W212" i="2"/>
  <c r="X212" i="2" s="1"/>
  <c r="W211" i="2"/>
  <c r="X211" i="2" s="1"/>
  <c r="W210" i="2"/>
  <c r="X210" i="2" s="1"/>
  <c r="Y209" i="2"/>
  <c r="Y210" i="2" s="1"/>
  <c r="Y211" i="2" s="1"/>
  <c r="Y212" i="2" s="1"/>
  <c r="Y213" i="2" s="1"/>
  <c r="Y214" i="2" s="1"/>
  <c r="Y215" i="2" s="1"/>
  <c r="X209" i="2"/>
  <c r="Z209" i="2" s="1"/>
  <c r="W208" i="2"/>
  <c r="X208" i="2" s="1"/>
  <c r="Q221" i="2"/>
  <c r="M214" i="2"/>
  <c r="M213" i="2"/>
  <c r="N213" i="2" s="1"/>
  <c r="M212" i="2"/>
  <c r="N212" i="2" s="1"/>
  <c r="M211" i="2"/>
  <c r="N211" i="2" s="1"/>
  <c r="M210" i="2"/>
  <c r="N210" i="2" s="1"/>
  <c r="O209" i="2"/>
  <c r="O210" i="2" s="1"/>
  <c r="O211" i="2" s="1"/>
  <c r="O212" i="2" s="1"/>
  <c r="O213" i="2" s="1"/>
  <c r="O214" i="2" s="1"/>
  <c r="O215" i="2" s="1"/>
  <c r="N209" i="2"/>
  <c r="P209" i="2" s="1"/>
  <c r="M208" i="2"/>
  <c r="N208" i="2" s="1"/>
  <c r="E214" i="2"/>
  <c r="F214" i="2" s="1"/>
  <c r="E213" i="2"/>
  <c r="F213" i="2" s="1"/>
  <c r="E212" i="2"/>
  <c r="F212" i="2" s="1"/>
  <c r="E211" i="2"/>
  <c r="F211" i="2" s="1"/>
  <c r="E210" i="2"/>
  <c r="F210" i="2" s="1"/>
  <c r="G209" i="2"/>
  <c r="G210" i="2" s="1"/>
  <c r="G211" i="2" s="1"/>
  <c r="G212" i="2" s="1"/>
  <c r="G213" i="2" s="1"/>
  <c r="G214" i="2" s="1"/>
  <c r="G215" i="2" s="1"/>
  <c r="F209" i="2"/>
  <c r="H209" i="2" s="1"/>
  <c r="E208" i="2"/>
  <c r="F208" i="2" s="1"/>
  <c r="H208" i="2" s="1"/>
  <c r="AN133" i="4"/>
  <c r="AJ133" i="4"/>
  <c r="AL133" i="4" s="1"/>
  <c r="AG133" i="4"/>
  <c r="X133" i="4"/>
  <c r="Z133" i="4" s="1"/>
  <c r="U133" i="4"/>
  <c r="L133" i="4"/>
  <c r="I133" i="4"/>
  <c r="AH132" i="4"/>
  <c r="AK132" i="4" s="1"/>
  <c r="AG132" i="4"/>
  <c r="AD132" i="4"/>
  <c r="V132" i="4"/>
  <c r="Y132" i="4" s="1"/>
  <c r="U132" i="4"/>
  <c r="R132" i="4"/>
  <c r="J132" i="4"/>
  <c r="M132" i="4" s="1"/>
  <c r="I132" i="4"/>
  <c r="F132" i="4"/>
  <c r="P131" i="4"/>
  <c r="D124" i="4"/>
  <c r="W197" i="2"/>
  <c r="X197" i="2" s="1"/>
  <c r="W196" i="2"/>
  <c r="X196" i="2" s="1"/>
  <c r="W195" i="2"/>
  <c r="X195" i="2" s="1"/>
  <c r="W194" i="2"/>
  <c r="X194" i="2" s="1"/>
  <c r="W193" i="2"/>
  <c r="X193" i="2" s="1"/>
  <c r="Y192" i="2"/>
  <c r="Y193" i="2" s="1"/>
  <c r="Y194" i="2" s="1"/>
  <c r="Y195" i="2" s="1"/>
  <c r="Y196" i="2" s="1"/>
  <c r="Y197" i="2" s="1"/>
  <c r="Y198" i="2" s="1"/>
  <c r="X192" i="2"/>
  <c r="W191" i="2"/>
  <c r="X191" i="2" s="1"/>
  <c r="Q204" i="2"/>
  <c r="M197" i="2"/>
  <c r="N197" i="2" s="1"/>
  <c r="M196" i="2"/>
  <c r="N196" i="2" s="1"/>
  <c r="M195" i="2"/>
  <c r="N195" i="2" s="1"/>
  <c r="M194" i="2"/>
  <c r="N194" i="2" s="1"/>
  <c r="M193" i="2"/>
  <c r="N193" i="2" s="1"/>
  <c r="O192" i="2"/>
  <c r="O193" i="2" s="1"/>
  <c r="O194" i="2" s="1"/>
  <c r="O195" i="2" s="1"/>
  <c r="O196" i="2" s="1"/>
  <c r="O197" i="2" s="1"/>
  <c r="O198" i="2" s="1"/>
  <c r="N192" i="2"/>
  <c r="P192" i="2" s="1"/>
  <c r="M191" i="2"/>
  <c r="N191" i="2" s="1"/>
  <c r="E197" i="2"/>
  <c r="F197" i="2" s="1"/>
  <c r="E196" i="2"/>
  <c r="F196" i="2" s="1"/>
  <c r="E195" i="2"/>
  <c r="F195" i="2" s="1"/>
  <c r="E194" i="2"/>
  <c r="F194" i="2" s="1"/>
  <c r="E193" i="2"/>
  <c r="F193" i="2" s="1"/>
  <c r="G192" i="2"/>
  <c r="G193" i="2" s="1"/>
  <c r="G194" i="2" s="1"/>
  <c r="G195" i="2" s="1"/>
  <c r="F192" i="2"/>
  <c r="H192" i="2" s="1"/>
  <c r="E191" i="2"/>
  <c r="F191" i="2" s="1"/>
  <c r="AN120" i="4"/>
  <c r="AH120" i="4"/>
  <c r="AJ120" i="4" s="1"/>
  <c r="AL120" i="4" s="1"/>
  <c r="AG120" i="4"/>
  <c r="AD120" i="4"/>
  <c r="V120" i="4"/>
  <c r="X120" i="4" s="1"/>
  <c r="Z120" i="4" s="1"/>
  <c r="U120" i="4"/>
  <c r="R120" i="4"/>
  <c r="J120" i="4"/>
  <c r="L120" i="4" s="1"/>
  <c r="I120" i="4"/>
  <c r="F120" i="4"/>
  <c r="P119" i="4"/>
  <c r="H164" i="9" s="1"/>
  <c r="AN118" i="4"/>
  <c r="AH118" i="4"/>
  <c r="AJ118" i="4" s="1"/>
  <c r="AL118" i="4" s="1"/>
  <c r="AG118" i="4"/>
  <c r="AD118" i="4"/>
  <c r="V118" i="4"/>
  <c r="X118" i="4" s="1"/>
  <c r="Z118" i="4" s="1"/>
  <c r="U118" i="4"/>
  <c r="R118" i="4"/>
  <c r="J118" i="4"/>
  <c r="L118" i="4" s="1"/>
  <c r="I118" i="4"/>
  <c r="F118" i="4"/>
  <c r="N178" i="2"/>
  <c r="W178" i="2"/>
  <c r="X178" i="2" s="1"/>
  <c r="W177" i="2"/>
  <c r="X177" i="2" s="1"/>
  <c r="W176" i="2"/>
  <c r="X176" i="2" s="1"/>
  <c r="W175" i="2"/>
  <c r="X175" i="2" s="1"/>
  <c r="W174" i="2"/>
  <c r="X174" i="2" s="1"/>
  <c r="Y173" i="2"/>
  <c r="Y174" i="2" s="1"/>
  <c r="Y175" i="2" s="1"/>
  <c r="Y176" i="2" s="1"/>
  <c r="Y177" i="2" s="1"/>
  <c r="Y178" i="2" s="1"/>
  <c r="Y179" i="2" s="1"/>
  <c r="X173" i="2"/>
  <c r="W172" i="2"/>
  <c r="X172" i="2" s="1"/>
  <c r="M178" i="2"/>
  <c r="M177" i="2"/>
  <c r="N177" i="2" s="1"/>
  <c r="M176" i="2"/>
  <c r="N176" i="2" s="1"/>
  <c r="M175" i="2"/>
  <c r="N175" i="2" s="1"/>
  <c r="M174" i="2"/>
  <c r="N174" i="2" s="1"/>
  <c r="O173" i="2"/>
  <c r="O174" i="2" s="1"/>
  <c r="O175" i="2" s="1"/>
  <c r="O176" i="2" s="1"/>
  <c r="O177" i="2" s="1"/>
  <c r="O178" i="2" s="1"/>
  <c r="O179" i="2" s="1"/>
  <c r="N173" i="2"/>
  <c r="M172" i="2"/>
  <c r="N172" i="2" s="1"/>
  <c r="E178" i="2"/>
  <c r="F178" i="2" s="1"/>
  <c r="E177" i="2"/>
  <c r="F177" i="2" s="1"/>
  <c r="E176" i="2"/>
  <c r="F176" i="2" s="1"/>
  <c r="E175" i="2"/>
  <c r="F175" i="2" s="1"/>
  <c r="E174" i="2"/>
  <c r="F174" i="2" s="1"/>
  <c r="G173" i="2"/>
  <c r="G174" i="2" s="1"/>
  <c r="G175" i="2" s="1"/>
  <c r="G176" i="2" s="1"/>
  <c r="G177" i="2" s="1"/>
  <c r="G178" i="2" s="1"/>
  <c r="G179" i="2" s="1"/>
  <c r="F173" i="2"/>
  <c r="E172" i="2"/>
  <c r="F172" i="2" s="1"/>
  <c r="AN104" i="4"/>
  <c r="AH104" i="4"/>
  <c r="AJ104" i="4" s="1"/>
  <c r="AL104" i="4" s="1"/>
  <c r="AG104" i="4"/>
  <c r="AD104" i="4"/>
  <c r="V104" i="4"/>
  <c r="X104" i="4" s="1"/>
  <c r="Z104" i="4" s="1"/>
  <c r="U104" i="4"/>
  <c r="R104" i="4"/>
  <c r="J104" i="4"/>
  <c r="L104" i="4" s="1"/>
  <c r="I104" i="4"/>
  <c r="F104" i="4"/>
  <c r="P105" i="4"/>
  <c r="W158" i="2"/>
  <c r="X158" i="2" s="1"/>
  <c r="W157" i="2"/>
  <c r="X157" i="2" s="1"/>
  <c r="W156" i="2"/>
  <c r="X156" i="2" s="1"/>
  <c r="W155" i="2"/>
  <c r="X155" i="2" s="1"/>
  <c r="W154" i="2"/>
  <c r="X154" i="2" s="1"/>
  <c r="Y153" i="2"/>
  <c r="Y154" i="2" s="1"/>
  <c r="Y155" i="2" s="1"/>
  <c r="Y156" i="2" s="1"/>
  <c r="Y157" i="2" s="1"/>
  <c r="Y158" i="2" s="1"/>
  <c r="Y159" i="2" s="1"/>
  <c r="X153" i="2"/>
  <c r="Z153" i="2" s="1"/>
  <c r="W152" i="2"/>
  <c r="X152" i="2" s="1"/>
  <c r="Q165" i="2"/>
  <c r="M158" i="2"/>
  <c r="N158" i="2" s="1"/>
  <c r="M157" i="2"/>
  <c r="N157" i="2" s="1"/>
  <c r="M156" i="2"/>
  <c r="N156" i="2" s="1"/>
  <c r="M155" i="2"/>
  <c r="N155" i="2" s="1"/>
  <c r="M154" i="2"/>
  <c r="N154" i="2" s="1"/>
  <c r="O153" i="2"/>
  <c r="O154" i="2" s="1"/>
  <c r="O155" i="2" s="1"/>
  <c r="O156" i="2" s="1"/>
  <c r="O157" i="2" s="1"/>
  <c r="O158" i="2" s="1"/>
  <c r="O159" i="2" s="1"/>
  <c r="N153" i="2"/>
  <c r="M152" i="2"/>
  <c r="N152" i="2" s="1"/>
  <c r="P152" i="2" s="1"/>
  <c r="E158" i="2"/>
  <c r="F158" i="2" s="1"/>
  <c r="E157" i="2"/>
  <c r="F157" i="2" s="1"/>
  <c r="E156" i="2"/>
  <c r="F156" i="2" s="1"/>
  <c r="E155" i="2"/>
  <c r="F155" i="2" s="1"/>
  <c r="E154" i="2"/>
  <c r="F154" i="2" s="1"/>
  <c r="G153" i="2"/>
  <c r="G154" i="2" s="1"/>
  <c r="G155" i="2" s="1"/>
  <c r="G156" i="2" s="1"/>
  <c r="G157" i="2" s="1"/>
  <c r="G158" i="2" s="1"/>
  <c r="G159" i="2" s="1"/>
  <c r="F153" i="2"/>
  <c r="E152" i="2"/>
  <c r="F152" i="2" s="1"/>
  <c r="D86" i="4"/>
  <c r="D88" i="4"/>
  <c r="C124" i="9" s="1"/>
  <c r="AN89" i="4"/>
  <c r="AH89" i="4"/>
  <c r="AJ89" i="4" s="1"/>
  <c r="AL89" i="4" s="1"/>
  <c r="AG89" i="4"/>
  <c r="AD89" i="4"/>
  <c r="V89" i="4"/>
  <c r="X89" i="4" s="1"/>
  <c r="Z89" i="4" s="1"/>
  <c r="U89" i="4"/>
  <c r="R89" i="4"/>
  <c r="J89" i="4"/>
  <c r="L89" i="4" s="1"/>
  <c r="I89" i="4"/>
  <c r="F89" i="4"/>
  <c r="P94" i="4"/>
  <c r="P93" i="4"/>
  <c r="Q146" i="2"/>
  <c r="W139" i="2"/>
  <c r="X139" i="2" s="1"/>
  <c r="W138" i="2"/>
  <c r="X138" i="2" s="1"/>
  <c r="W137" i="2"/>
  <c r="X137" i="2" s="1"/>
  <c r="W136" i="2"/>
  <c r="X136" i="2" s="1"/>
  <c r="W135" i="2"/>
  <c r="X135" i="2" s="1"/>
  <c r="Y134" i="2"/>
  <c r="Y135" i="2" s="1"/>
  <c r="Y136" i="2" s="1"/>
  <c r="Y137" i="2" s="1"/>
  <c r="Y138" i="2" s="1"/>
  <c r="Y139" i="2" s="1"/>
  <c r="Y140" i="2" s="1"/>
  <c r="X134" i="2"/>
  <c r="W133" i="2"/>
  <c r="X133" i="2" s="1"/>
  <c r="E139" i="2"/>
  <c r="F139" i="2" s="1"/>
  <c r="E138" i="2"/>
  <c r="F138" i="2" s="1"/>
  <c r="E137" i="2"/>
  <c r="F137" i="2" s="1"/>
  <c r="E136" i="2"/>
  <c r="F136" i="2" s="1"/>
  <c r="E135" i="2"/>
  <c r="F135" i="2" s="1"/>
  <c r="G134" i="2"/>
  <c r="G135" i="2" s="1"/>
  <c r="G136" i="2" s="1"/>
  <c r="G137" i="2" s="1"/>
  <c r="G138" i="2" s="1"/>
  <c r="G139" i="2" s="1"/>
  <c r="G140" i="2" s="1"/>
  <c r="F134" i="2"/>
  <c r="E133" i="2"/>
  <c r="F133" i="2" s="1"/>
  <c r="M139" i="2"/>
  <c r="N139" i="2" s="1"/>
  <c r="M138" i="2"/>
  <c r="N138" i="2" s="1"/>
  <c r="M137" i="2"/>
  <c r="N137" i="2" s="1"/>
  <c r="M136" i="2"/>
  <c r="N136" i="2" s="1"/>
  <c r="M135" i="2"/>
  <c r="N135" i="2" s="1"/>
  <c r="O134" i="2"/>
  <c r="O135" i="2" s="1"/>
  <c r="O136" i="2" s="1"/>
  <c r="O137" i="2" s="1"/>
  <c r="O138" i="2" s="1"/>
  <c r="O139" i="2" s="1"/>
  <c r="O140" i="2" s="1"/>
  <c r="N134" i="2"/>
  <c r="P134" i="2" s="1"/>
  <c r="M133" i="2"/>
  <c r="N133" i="2" s="1"/>
  <c r="W121" i="2"/>
  <c r="X121" i="2" s="1"/>
  <c r="W120" i="2"/>
  <c r="X120" i="2" s="1"/>
  <c r="W119" i="2"/>
  <c r="X119" i="2" s="1"/>
  <c r="W118" i="2"/>
  <c r="X118" i="2" s="1"/>
  <c r="W117" i="2"/>
  <c r="X117" i="2" s="1"/>
  <c r="Y116" i="2"/>
  <c r="Y117" i="2" s="1"/>
  <c r="Y118" i="2" s="1"/>
  <c r="Y119" i="2" s="1"/>
  <c r="Y120" i="2" s="1"/>
  <c r="Y121" i="2" s="1"/>
  <c r="Y122" i="2" s="1"/>
  <c r="X116" i="2"/>
  <c r="W115" i="2"/>
  <c r="X115" i="2" s="1"/>
  <c r="P122" i="2"/>
  <c r="M121" i="2"/>
  <c r="N121" i="2" s="1"/>
  <c r="M120" i="2"/>
  <c r="N120" i="2" s="1"/>
  <c r="M119" i="2"/>
  <c r="N119" i="2" s="1"/>
  <c r="M118" i="2"/>
  <c r="N118" i="2" s="1"/>
  <c r="M117" i="2"/>
  <c r="N117" i="2" s="1"/>
  <c r="O116" i="2"/>
  <c r="O117" i="2" s="1"/>
  <c r="O118" i="2" s="1"/>
  <c r="O119" i="2" s="1"/>
  <c r="O120" i="2" s="1"/>
  <c r="O121" i="2" s="1"/>
  <c r="O122" i="2" s="1"/>
  <c r="N116" i="2"/>
  <c r="M115" i="2"/>
  <c r="N115" i="2" s="1"/>
  <c r="H122" i="2"/>
  <c r="E121" i="2"/>
  <c r="F121" i="2" s="1"/>
  <c r="E120" i="2"/>
  <c r="F120" i="2" s="1"/>
  <c r="E119" i="2"/>
  <c r="F119" i="2" s="1"/>
  <c r="E118" i="2"/>
  <c r="F118" i="2" s="1"/>
  <c r="E117" i="2"/>
  <c r="F117" i="2" s="1"/>
  <c r="G116" i="2"/>
  <c r="G117" i="2" s="1"/>
  <c r="G118" i="2" s="1"/>
  <c r="G119" i="2" s="1"/>
  <c r="G120" i="2" s="1"/>
  <c r="G121" i="2" s="1"/>
  <c r="G122" i="2" s="1"/>
  <c r="F116" i="2"/>
  <c r="E115" i="2"/>
  <c r="F115" i="2" s="1"/>
  <c r="D62" i="4"/>
  <c r="AB64" i="4"/>
  <c r="M89" i="9" s="1"/>
  <c r="AN65" i="4"/>
  <c r="AH65" i="4"/>
  <c r="AJ65" i="4" s="1"/>
  <c r="AL65" i="4" s="1"/>
  <c r="AG65" i="4"/>
  <c r="AD65" i="4"/>
  <c r="V65" i="4"/>
  <c r="X65" i="4" s="1"/>
  <c r="Z65" i="4" s="1"/>
  <c r="U65" i="4"/>
  <c r="R65" i="4"/>
  <c r="J65" i="4"/>
  <c r="L65" i="4" s="1"/>
  <c r="I65" i="4"/>
  <c r="F65" i="4"/>
  <c r="AN69" i="4"/>
  <c r="AH69" i="4"/>
  <c r="AJ69" i="4" s="1"/>
  <c r="AL69" i="4" s="1"/>
  <c r="AG69" i="4"/>
  <c r="AD69" i="4"/>
  <c r="V69" i="4"/>
  <c r="X69" i="4" s="1"/>
  <c r="Z69" i="4" s="1"/>
  <c r="U69" i="4"/>
  <c r="R69" i="4"/>
  <c r="J69" i="4"/>
  <c r="L69" i="4" s="1"/>
  <c r="N69" i="4" s="1"/>
  <c r="I69" i="4"/>
  <c r="F69" i="4"/>
  <c r="W101" i="2"/>
  <c r="X101" i="2" s="1"/>
  <c r="W100" i="2"/>
  <c r="X100" i="2" s="1"/>
  <c r="W99" i="2"/>
  <c r="X99" i="2" s="1"/>
  <c r="W98" i="2"/>
  <c r="X98" i="2" s="1"/>
  <c r="W97" i="2"/>
  <c r="X97" i="2" s="1"/>
  <c r="Y96" i="2"/>
  <c r="Y97" i="2" s="1"/>
  <c r="Y98" i="2" s="1"/>
  <c r="Y99" i="2" s="1"/>
  <c r="Y100" i="2" s="1"/>
  <c r="Y101" i="2" s="1"/>
  <c r="Y102" i="2" s="1"/>
  <c r="X96" i="2"/>
  <c r="Z96" i="2" s="1"/>
  <c r="W95" i="2"/>
  <c r="X95" i="2" s="1"/>
  <c r="Q109" i="2"/>
  <c r="M101" i="2"/>
  <c r="N101" i="2" s="1"/>
  <c r="M100" i="2"/>
  <c r="N100" i="2" s="1"/>
  <c r="M99" i="2"/>
  <c r="N99" i="2" s="1"/>
  <c r="M98" i="2"/>
  <c r="N98" i="2" s="1"/>
  <c r="M97" i="2"/>
  <c r="N97" i="2" s="1"/>
  <c r="O96" i="2"/>
  <c r="O97" i="2" s="1"/>
  <c r="O98" i="2" s="1"/>
  <c r="O99" i="2" s="1"/>
  <c r="O100" i="2" s="1"/>
  <c r="O101" i="2" s="1"/>
  <c r="O102" i="2" s="1"/>
  <c r="N96" i="2"/>
  <c r="M95" i="2"/>
  <c r="N95" i="2" s="1"/>
  <c r="E101" i="2"/>
  <c r="F101" i="2" s="1"/>
  <c r="E100" i="2"/>
  <c r="F100" i="2" s="1"/>
  <c r="E99" i="2"/>
  <c r="F99" i="2" s="1"/>
  <c r="E98" i="2"/>
  <c r="F98" i="2" s="1"/>
  <c r="E97" i="2"/>
  <c r="F97" i="2" s="1"/>
  <c r="G96" i="2"/>
  <c r="G97" i="2" s="1"/>
  <c r="G98" i="2" s="1"/>
  <c r="G99" i="2" s="1"/>
  <c r="G100" i="2" s="1"/>
  <c r="G101" i="2" s="1"/>
  <c r="G102" i="2" s="1"/>
  <c r="F96" i="2"/>
  <c r="H96" i="2" s="1"/>
  <c r="E95" i="2"/>
  <c r="F95" i="2" s="1"/>
  <c r="E80" i="2"/>
  <c r="F80" i="2" s="1"/>
  <c r="E79" i="2"/>
  <c r="F79" i="2" s="1"/>
  <c r="E78" i="2"/>
  <c r="F78" i="2" s="1"/>
  <c r="E77" i="2"/>
  <c r="F77" i="2" s="1"/>
  <c r="E76" i="2"/>
  <c r="F76" i="2" s="1"/>
  <c r="G75" i="2"/>
  <c r="G76" i="2" s="1"/>
  <c r="G77" i="2" s="1"/>
  <c r="G78" i="2" s="1"/>
  <c r="G79" i="2" s="1"/>
  <c r="G80" i="2" s="1"/>
  <c r="G81" i="2" s="1"/>
  <c r="F75" i="2"/>
  <c r="H75" i="2" s="1"/>
  <c r="E74" i="2"/>
  <c r="F74" i="2" s="1"/>
  <c r="P44" i="4"/>
  <c r="D51" i="4"/>
  <c r="D53" i="4"/>
  <c r="Q51" i="2"/>
  <c r="M45" i="2"/>
  <c r="N45" i="2" s="1"/>
  <c r="M44" i="2"/>
  <c r="N44" i="2" s="1"/>
  <c r="M43" i="2"/>
  <c r="N43" i="2" s="1"/>
  <c r="M42" i="2"/>
  <c r="N42" i="2" s="1"/>
  <c r="M41" i="2"/>
  <c r="N41" i="2" s="1"/>
  <c r="O40" i="2"/>
  <c r="O41" i="2" s="1"/>
  <c r="O42" i="2" s="1"/>
  <c r="O43" i="2" s="1"/>
  <c r="O44" i="2" s="1"/>
  <c r="O45" i="2" s="1"/>
  <c r="O46" i="2" s="1"/>
  <c r="N40" i="2"/>
  <c r="M39" i="2"/>
  <c r="N39" i="2" s="1"/>
  <c r="E45" i="2"/>
  <c r="F45" i="2" s="1"/>
  <c r="E44" i="2"/>
  <c r="F44" i="2" s="1"/>
  <c r="E43" i="2"/>
  <c r="F43" i="2" s="1"/>
  <c r="E42" i="2"/>
  <c r="F42" i="2" s="1"/>
  <c r="E41" i="2"/>
  <c r="F41" i="2" s="1"/>
  <c r="G40" i="2"/>
  <c r="G41" i="2" s="1"/>
  <c r="G42" i="2" s="1"/>
  <c r="G43" i="2" s="1"/>
  <c r="G44" i="2" s="1"/>
  <c r="F40" i="2"/>
  <c r="H40" i="2" s="1"/>
  <c r="E39" i="2"/>
  <c r="F39" i="2" s="1"/>
  <c r="W45" i="2"/>
  <c r="X45" i="2" s="1"/>
  <c r="W44" i="2"/>
  <c r="X44" i="2" s="1"/>
  <c r="W43" i="2"/>
  <c r="X43" i="2" s="1"/>
  <c r="W42" i="2"/>
  <c r="X42" i="2" s="1"/>
  <c r="W41" i="2"/>
  <c r="X41" i="2" s="1"/>
  <c r="Y40" i="2"/>
  <c r="Y41" i="2" s="1"/>
  <c r="Y42" i="2" s="1"/>
  <c r="Y43" i="2" s="1"/>
  <c r="Y44" i="2" s="1"/>
  <c r="Y45" i="2" s="1"/>
  <c r="Y46" i="2" s="1"/>
  <c r="X40" i="2"/>
  <c r="Z40" i="2" s="1"/>
  <c r="W39" i="2"/>
  <c r="X39" i="2" s="1"/>
  <c r="AB40" i="4"/>
  <c r="M56" i="9" s="1"/>
  <c r="D38" i="4"/>
  <c r="F20" i="10"/>
  <c r="D27" i="4"/>
  <c r="D25" i="4"/>
  <c r="Q16" i="2"/>
  <c r="Q33" i="2"/>
  <c r="P20" i="4"/>
  <c r="D20" i="4"/>
  <c r="C26" i="9" s="1"/>
  <c r="AN21" i="4"/>
  <c r="AH21" i="4"/>
  <c r="AJ21" i="4" s="1"/>
  <c r="AL21" i="4" s="1"/>
  <c r="AG21" i="4"/>
  <c r="AD21" i="4"/>
  <c r="V21" i="4"/>
  <c r="X21" i="4" s="1"/>
  <c r="Z21" i="4" s="1"/>
  <c r="U21" i="4"/>
  <c r="R21" i="4"/>
  <c r="J21" i="4"/>
  <c r="L21" i="4" s="1"/>
  <c r="I21" i="4"/>
  <c r="F21" i="4"/>
  <c r="D3" i="4"/>
  <c r="P59" i="18"/>
  <c r="P60" i="18" s="1"/>
  <c r="P41" i="18"/>
  <c r="P36" i="18"/>
  <c r="P31" i="18"/>
  <c r="P23" i="18"/>
  <c r="P8" i="18"/>
  <c r="P43" i="18" s="1"/>
  <c r="P62" i="18" l="1"/>
  <c r="F542" i="2"/>
  <c r="H542" i="2" s="1"/>
  <c r="H541" i="2"/>
  <c r="X541" i="2"/>
  <c r="Z540" i="2"/>
  <c r="M216" i="9"/>
  <c r="Z283" i="2"/>
  <c r="H134" i="2"/>
  <c r="P210" i="2"/>
  <c r="P261" i="2"/>
  <c r="Z282" i="2"/>
  <c r="Z284" i="2"/>
  <c r="P390" i="2"/>
  <c r="P212" i="2"/>
  <c r="P213" i="2"/>
  <c r="P173" i="2"/>
  <c r="Z279" i="2"/>
  <c r="N541" i="2"/>
  <c r="P540" i="2"/>
  <c r="AS282" i="4"/>
  <c r="X522" i="2"/>
  <c r="Z521" i="2"/>
  <c r="N522" i="2"/>
  <c r="P521" i="2"/>
  <c r="X482" i="2"/>
  <c r="Z481" i="2"/>
  <c r="AN281" i="4"/>
  <c r="AO281" i="4" s="1"/>
  <c r="AQ281" i="4" s="1"/>
  <c r="AR281" i="4" s="1"/>
  <c r="X464" i="2"/>
  <c r="Z464" i="2" s="1"/>
  <c r="Z463" i="2"/>
  <c r="N464" i="2"/>
  <c r="P463" i="2"/>
  <c r="N447" i="2"/>
  <c r="P446" i="2"/>
  <c r="X447" i="2"/>
  <c r="Z447" i="2" s="1"/>
  <c r="Z446" i="2"/>
  <c r="N430" i="2"/>
  <c r="P429" i="2"/>
  <c r="X430" i="2"/>
  <c r="Z429" i="2"/>
  <c r="X410" i="2"/>
  <c r="Z409" i="2"/>
  <c r="P409" i="2"/>
  <c r="N410" i="2"/>
  <c r="F411" i="2"/>
  <c r="H410" i="2"/>
  <c r="H409" i="2"/>
  <c r="N267" i="4"/>
  <c r="AR268" i="4"/>
  <c r="AS268" i="4" s="1"/>
  <c r="AM267" i="4"/>
  <c r="AO267" i="4" s="1"/>
  <c r="AQ267" i="4" s="1"/>
  <c r="AN219" i="4"/>
  <c r="AR266" i="4"/>
  <c r="AS266" i="4" s="1"/>
  <c r="AO218" i="4"/>
  <c r="AQ218" i="4" s="1"/>
  <c r="AR218" i="4" s="1"/>
  <c r="AS218" i="4" s="1"/>
  <c r="N263" i="4"/>
  <c r="AM263" i="4"/>
  <c r="AO263" i="4" s="1"/>
  <c r="AQ263" i="4" s="1"/>
  <c r="N392" i="2"/>
  <c r="P391" i="2"/>
  <c r="H174" i="2"/>
  <c r="H266" i="2"/>
  <c r="H227" i="2"/>
  <c r="H210" i="2"/>
  <c r="Z265" i="2"/>
  <c r="H176" i="2"/>
  <c r="H228" i="2"/>
  <c r="H265" i="2"/>
  <c r="H283" i="2"/>
  <c r="Z158" i="2"/>
  <c r="H173" i="2"/>
  <c r="H213" i="2"/>
  <c r="Z230" i="2"/>
  <c r="Z262" i="2"/>
  <c r="Z266" i="2"/>
  <c r="Z193" i="2"/>
  <c r="H214" i="2"/>
  <c r="P229" i="2"/>
  <c r="Z231" i="2"/>
  <c r="H338" i="2"/>
  <c r="H263" i="2"/>
  <c r="Z177" i="2"/>
  <c r="P230" i="2"/>
  <c r="H154" i="2"/>
  <c r="P231" i="2"/>
  <c r="Z178" i="2"/>
  <c r="Z156" i="2"/>
  <c r="Z157" i="2"/>
  <c r="H212" i="2"/>
  <c r="H262" i="2"/>
  <c r="H229" i="2"/>
  <c r="Z176" i="2"/>
  <c r="N214" i="2"/>
  <c r="P214" i="2" s="1"/>
  <c r="Z173" i="2"/>
  <c r="Z192" i="2"/>
  <c r="F393" i="2"/>
  <c r="H392" i="2"/>
  <c r="H391" i="2"/>
  <c r="X357" i="2"/>
  <c r="Z357" i="2" s="1"/>
  <c r="Z356" i="2"/>
  <c r="P356" i="2"/>
  <c r="N357" i="2"/>
  <c r="F358" i="2"/>
  <c r="H358" i="2" s="1"/>
  <c r="H357" i="2"/>
  <c r="H356" i="2"/>
  <c r="F340" i="2"/>
  <c r="H340" i="2" s="1"/>
  <c r="H339" i="2"/>
  <c r="P338" i="2"/>
  <c r="N339" i="2"/>
  <c r="X339" i="2"/>
  <c r="Z339" i="2" s="1"/>
  <c r="Z338" i="2"/>
  <c r="Z182" i="4"/>
  <c r="N219" i="4"/>
  <c r="AM219" i="4"/>
  <c r="H321" i="2"/>
  <c r="F323" i="2"/>
  <c r="H323" i="2" s="1"/>
  <c r="H322" i="2"/>
  <c r="X322" i="2"/>
  <c r="Z321" i="2"/>
  <c r="P321" i="2"/>
  <c r="N322" i="2"/>
  <c r="X304" i="2"/>
  <c r="Z303" i="2"/>
  <c r="F305" i="2"/>
  <c r="H304" i="2"/>
  <c r="H303" i="2"/>
  <c r="P303" i="2"/>
  <c r="N304" i="2"/>
  <c r="N182" i="4"/>
  <c r="AM182" i="4"/>
  <c r="AO182" i="4" s="1"/>
  <c r="AQ182" i="4" s="1"/>
  <c r="AN157" i="4"/>
  <c r="N157" i="4"/>
  <c r="AM157" i="4"/>
  <c r="X285" i="2"/>
  <c r="Z278" i="2"/>
  <c r="Z280" i="2"/>
  <c r="Z281" i="2"/>
  <c r="P279" i="2"/>
  <c r="P282" i="2"/>
  <c r="P283" i="2"/>
  <c r="P284" i="2"/>
  <c r="N285" i="2"/>
  <c r="P278" i="2"/>
  <c r="P280" i="2"/>
  <c r="P281" i="2"/>
  <c r="H279" i="2"/>
  <c r="H278" i="2"/>
  <c r="F285" i="2"/>
  <c r="F286" i="2" s="1"/>
  <c r="H280" i="2"/>
  <c r="H281" i="2"/>
  <c r="H282" i="2"/>
  <c r="H284" i="2"/>
  <c r="N181" i="4"/>
  <c r="AM181" i="4"/>
  <c r="AO181" i="4" s="1"/>
  <c r="AQ181" i="4" s="1"/>
  <c r="AD181" i="4"/>
  <c r="Z260" i="2"/>
  <c r="X267" i="2"/>
  <c r="Z263" i="2"/>
  <c r="Z264" i="2"/>
  <c r="P264" i="2"/>
  <c r="P265" i="2"/>
  <c r="P266" i="2"/>
  <c r="P260" i="2"/>
  <c r="N267" i="2"/>
  <c r="P262" i="2"/>
  <c r="P263" i="2"/>
  <c r="H260" i="2"/>
  <c r="F267" i="2"/>
  <c r="F268" i="2" s="1"/>
  <c r="H264" i="2"/>
  <c r="AM133" i="4"/>
  <c r="AO133" i="4" s="1"/>
  <c r="AQ133" i="4" s="1"/>
  <c r="AR133" i="4" s="1"/>
  <c r="AS133" i="4" s="1"/>
  <c r="Z225" i="2"/>
  <c r="X232" i="2"/>
  <c r="Z227" i="2"/>
  <c r="Z228" i="2"/>
  <c r="Z229" i="2"/>
  <c r="P225" i="2"/>
  <c r="N232" i="2"/>
  <c r="P227" i="2"/>
  <c r="P228" i="2"/>
  <c r="F232" i="2"/>
  <c r="F233" i="2" s="1"/>
  <c r="H225" i="2"/>
  <c r="H230" i="2"/>
  <c r="H231" i="2"/>
  <c r="Z210" i="2"/>
  <c r="Z208" i="2"/>
  <c r="X215" i="2"/>
  <c r="Z211" i="2"/>
  <c r="Z212" i="2"/>
  <c r="Z213" i="2"/>
  <c r="Z214" i="2"/>
  <c r="P208" i="2"/>
  <c r="N215" i="2"/>
  <c r="P211" i="2"/>
  <c r="H211" i="2"/>
  <c r="H215" i="2" s="1"/>
  <c r="F215" i="2"/>
  <c r="F216" i="2" s="1"/>
  <c r="X132" i="4"/>
  <c r="Z132" i="4" s="1"/>
  <c r="AN132" i="4"/>
  <c r="N133" i="4"/>
  <c r="AJ132" i="4"/>
  <c r="AL132" i="4" s="1"/>
  <c r="L132" i="4"/>
  <c r="Z191" i="2"/>
  <c r="X198" i="2"/>
  <c r="Z194" i="2"/>
  <c r="Z195" i="2"/>
  <c r="Z196" i="2"/>
  <c r="Z197" i="2"/>
  <c r="N198" i="2"/>
  <c r="P191" i="2"/>
  <c r="P193" i="2"/>
  <c r="P194" i="2"/>
  <c r="P195" i="2"/>
  <c r="P196" i="2"/>
  <c r="P197" i="2"/>
  <c r="H191" i="2"/>
  <c r="F198" i="2"/>
  <c r="F199" i="2" s="1"/>
  <c r="H199" i="2" s="1"/>
  <c r="G196" i="2"/>
  <c r="G197" i="2" s="1"/>
  <c r="G198" i="2" s="1"/>
  <c r="H195" i="2"/>
  <c r="H193" i="2"/>
  <c r="H194" i="2"/>
  <c r="N120" i="4"/>
  <c r="AM120" i="4"/>
  <c r="AO120" i="4" s="1"/>
  <c r="AQ120" i="4" s="1"/>
  <c r="N118" i="4"/>
  <c r="AM118" i="4"/>
  <c r="AO118" i="4" s="1"/>
  <c r="AQ118" i="4" s="1"/>
  <c r="X179" i="2"/>
  <c r="Z172" i="2"/>
  <c r="Z174" i="2"/>
  <c r="Z175" i="2"/>
  <c r="P174" i="2"/>
  <c r="P175" i="2"/>
  <c r="P176" i="2"/>
  <c r="P177" i="2"/>
  <c r="P178" i="2"/>
  <c r="P172" i="2"/>
  <c r="N179" i="2"/>
  <c r="F179" i="2"/>
  <c r="F180" i="2" s="1"/>
  <c r="H172" i="2"/>
  <c r="H175" i="2"/>
  <c r="H177" i="2"/>
  <c r="H178" i="2"/>
  <c r="N104" i="4"/>
  <c r="AM104" i="4"/>
  <c r="AO104" i="4" s="1"/>
  <c r="AQ104" i="4" s="1"/>
  <c r="X159" i="2"/>
  <c r="Z152" i="2"/>
  <c r="Z154" i="2"/>
  <c r="Z155" i="2"/>
  <c r="P158" i="2"/>
  <c r="H156" i="2"/>
  <c r="H157" i="2"/>
  <c r="H135" i="2"/>
  <c r="H137" i="2"/>
  <c r="H138" i="2"/>
  <c r="Z97" i="2"/>
  <c r="H139" i="2"/>
  <c r="Z134" i="2"/>
  <c r="H153" i="2"/>
  <c r="H158" i="2"/>
  <c r="N159" i="2"/>
  <c r="P153" i="2"/>
  <c r="P154" i="2"/>
  <c r="P155" i="2"/>
  <c r="P156" i="2"/>
  <c r="P157" i="2"/>
  <c r="H152" i="2"/>
  <c r="F159" i="2"/>
  <c r="F160" i="2" s="1"/>
  <c r="H155" i="2"/>
  <c r="N89" i="4"/>
  <c r="AM89" i="4"/>
  <c r="AO89" i="4" s="1"/>
  <c r="AQ89" i="4" s="1"/>
  <c r="H41" i="2"/>
  <c r="H97" i="2"/>
  <c r="Z139" i="2"/>
  <c r="H136" i="2"/>
  <c r="Z133" i="2"/>
  <c r="X140" i="2"/>
  <c r="Z135" i="2"/>
  <c r="Z136" i="2"/>
  <c r="Z137" i="2"/>
  <c r="Z138" i="2"/>
  <c r="H133" i="2"/>
  <c r="F140" i="2"/>
  <c r="F141" i="2" s="1"/>
  <c r="P136" i="2"/>
  <c r="P137" i="2"/>
  <c r="P138" i="2"/>
  <c r="P139" i="2"/>
  <c r="P133" i="2"/>
  <c r="N140" i="2"/>
  <c r="P135" i="2"/>
  <c r="H99" i="2"/>
  <c r="H100" i="2"/>
  <c r="Z41" i="2"/>
  <c r="H101" i="2"/>
  <c r="P96" i="2"/>
  <c r="N122" i="2"/>
  <c r="H76" i="2"/>
  <c r="P101" i="2"/>
  <c r="F122" i="2"/>
  <c r="X122" i="2"/>
  <c r="N65" i="4"/>
  <c r="AM65" i="4"/>
  <c r="AO65" i="4" s="1"/>
  <c r="AQ65" i="4" s="1"/>
  <c r="AM69" i="4"/>
  <c r="AO69" i="4" s="1"/>
  <c r="AQ69" i="4" s="1"/>
  <c r="Z95" i="2"/>
  <c r="X102" i="2"/>
  <c r="Z98" i="2"/>
  <c r="Z99" i="2"/>
  <c r="Z100" i="2"/>
  <c r="Z101" i="2"/>
  <c r="P99" i="2"/>
  <c r="P100" i="2"/>
  <c r="N102" i="2"/>
  <c r="P95" i="2"/>
  <c r="P97" i="2"/>
  <c r="P98" i="2"/>
  <c r="H95" i="2"/>
  <c r="F102" i="2"/>
  <c r="F103" i="2" s="1"/>
  <c r="H98" i="2"/>
  <c r="H74" i="2"/>
  <c r="F81" i="2"/>
  <c r="F82" i="2" s="1"/>
  <c r="H77" i="2"/>
  <c r="H78" i="2"/>
  <c r="H79" i="2"/>
  <c r="H80" i="2"/>
  <c r="P40" i="2"/>
  <c r="N46" i="2"/>
  <c r="P39" i="2"/>
  <c r="P41" i="2"/>
  <c r="P42" i="2"/>
  <c r="P43" i="2"/>
  <c r="P44" i="2"/>
  <c r="P45" i="2"/>
  <c r="F46" i="2"/>
  <c r="F47" i="2" s="1"/>
  <c r="H39" i="2"/>
  <c r="H44" i="2"/>
  <c r="G45" i="2"/>
  <c r="G46" i="2" s="1"/>
  <c r="H42" i="2"/>
  <c r="H43" i="2"/>
  <c r="Z42" i="2"/>
  <c r="Z43" i="2"/>
  <c r="Z44" i="2"/>
  <c r="Z45" i="2"/>
  <c r="Z39" i="2"/>
  <c r="X46" i="2"/>
  <c r="N21" i="4"/>
  <c r="AM21" i="4"/>
  <c r="AO21" i="4" s="1"/>
  <c r="AQ21" i="4" s="1"/>
  <c r="F72" i="11"/>
  <c r="X542" i="2" l="1"/>
  <c r="Z541" i="2"/>
  <c r="N542" i="2"/>
  <c r="P541" i="2"/>
  <c r="AS281" i="4"/>
  <c r="AO157" i="4"/>
  <c r="AQ157" i="4" s="1"/>
  <c r="AR157" i="4" s="1"/>
  <c r="AS157" i="4" s="1"/>
  <c r="X523" i="2"/>
  <c r="Z522" i="2"/>
  <c r="N523" i="2"/>
  <c r="P522" i="2"/>
  <c r="X483" i="2"/>
  <c r="Z482" i="2"/>
  <c r="N465" i="2"/>
  <c r="P464" i="2"/>
  <c r="N448" i="2"/>
  <c r="P447" i="2"/>
  <c r="N431" i="2"/>
  <c r="P430" i="2"/>
  <c r="X431" i="2"/>
  <c r="Z430" i="2"/>
  <c r="AO219" i="4"/>
  <c r="AQ219" i="4" s="1"/>
  <c r="AR219" i="4" s="1"/>
  <c r="AS219" i="4" s="1"/>
  <c r="X411" i="2"/>
  <c r="Z410" i="2"/>
  <c r="N411" i="2"/>
  <c r="P410" i="2"/>
  <c r="F412" i="2"/>
  <c r="H412" i="2" s="1"/>
  <c r="H411" i="2"/>
  <c r="AR267" i="4"/>
  <c r="AS267" i="4" s="1"/>
  <c r="AR263" i="4"/>
  <c r="AS263" i="4" s="1"/>
  <c r="N393" i="2"/>
  <c r="P392" i="2"/>
  <c r="H197" i="2"/>
  <c r="H196" i="2"/>
  <c r="H198" i="2" s="1"/>
  <c r="H393" i="2"/>
  <c r="F394" i="2"/>
  <c r="P357" i="2"/>
  <c r="N358" i="2"/>
  <c r="N340" i="2"/>
  <c r="P339" i="2"/>
  <c r="X323" i="2"/>
  <c r="Z322" i="2"/>
  <c r="N323" i="2"/>
  <c r="P322" i="2"/>
  <c r="X305" i="2"/>
  <c r="Z304" i="2"/>
  <c r="F306" i="2"/>
  <c r="H306" i="2" s="1"/>
  <c r="H305" i="2"/>
  <c r="N305" i="2"/>
  <c r="P304" i="2"/>
  <c r="AR182" i="4"/>
  <c r="AS182" i="4" s="1"/>
  <c r="X286" i="2"/>
  <c r="Z285" i="2"/>
  <c r="N286" i="2"/>
  <c r="P285" i="2"/>
  <c r="F287" i="2"/>
  <c r="H286" i="2"/>
  <c r="H285" i="2"/>
  <c r="AR181" i="4"/>
  <c r="AS181" i="4" s="1"/>
  <c r="X268" i="2"/>
  <c r="Z267" i="2"/>
  <c r="N268" i="2"/>
  <c r="P267" i="2"/>
  <c r="H268" i="2"/>
  <c r="F269" i="2"/>
  <c r="H267" i="2"/>
  <c r="Z232" i="2"/>
  <c r="X233" i="2"/>
  <c r="P232" i="2"/>
  <c r="N233" i="2"/>
  <c r="H233" i="2"/>
  <c r="F234" i="2"/>
  <c r="H232" i="2"/>
  <c r="X216" i="2"/>
  <c r="Z215" i="2"/>
  <c r="P215" i="2"/>
  <c r="N216" i="2"/>
  <c r="F217" i="2"/>
  <c r="H216" i="2"/>
  <c r="N132" i="4"/>
  <c r="AM132" i="4"/>
  <c r="AO132" i="4" s="1"/>
  <c r="AQ132" i="4" s="1"/>
  <c r="X199" i="2"/>
  <c r="Z198" i="2"/>
  <c r="P198" i="2"/>
  <c r="N199" i="2"/>
  <c r="AR120" i="4"/>
  <c r="AS120" i="4" s="1"/>
  <c r="AR118" i="4"/>
  <c r="AS118" i="4" s="1"/>
  <c r="X180" i="2"/>
  <c r="Z179" i="2"/>
  <c r="N180" i="2"/>
  <c r="P179" i="2"/>
  <c r="H179" i="2"/>
  <c r="F181" i="2"/>
  <c r="H180" i="2"/>
  <c r="AR104" i="4"/>
  <c r="AS104" i="4" s="1"/>
  <c r="X160" i="2"/>
  <c r="Z159" i="2"/>
  <c r="H140" i="2"/>
  <c r="P159" i="2"/>
  <c r="N160" i="2"/>
  <c r="F161" i="2"/>
  <c r="H160" i="2"/>
  <c r="H159" i="2"/>
  <c r="AR89" i="4"/>
  <c r="AS89" i="4" s="1"/>
  <c r="X141" i="2"/>
  <c r="Z140" i="2"/>
  <c r="F142" i="2"/>
  <c r="H141" i="2"/>
  <c r="N141" i="2"/>
  <c r="P140" i="2"/>
  <c r="H45" i="2"/>
  <c r="H46" i="2" s="1"/>
  <c r="AR65" i="4"/>
  <c r="AS65" i="4" s="1"/>
  <c r="AR69" i="4"/>
  <c r="AS69" i="4" s="1"/>
  <c r="X103" i="2"/>
  <c r="Z102" i="2"/>
  <c r="P102" i="2"/>
  <c r="N103" i="2"/>
  <c r="F104" i="2"/>
  <c r="H103" i="2"/>
  <c r="H102" i="2"/>
  <c r="F83" i="2"/>
  <c r="H82" i="2"/>
  <c r="H81" i="2"/>
  <c r="P46" i="2"/>
  <c r="N47" i="2"/>
  <c r="F48" i="2"/>
  <c r="H47" i="2"/>
  <c r="X47" i="2"/>
  <c r="Z46" i="2"/>
  <c r="AR21" i="4"/>
  <c r="AS21" i="4" s="1"/>
  <c r="E101" i="5"/>
  <c r="E99" i="5"/>
  <c r="E92" i="5"/>
  <c r="E90" i="5"/>
  <c r="E17" i="5"/>
  <c r="X543" i="2" l="1"/>
  <c r="Z542" i="2"/>
  <c r="N543" i="2"/>
  <c r="P542" i="2"/>
  <c r="X524" i="2"/>
  <c r="Z523" i="2"/>
  <c r="N524" i="2"/>
  <c r="P523" i="2"/>
  <c r="X484" i="2"/>
  <c r="Z484" i="2" s="1"/>
  <c r="Z483" i="2"/>
  <c r="N466" i="2"/>
  <c r="P465" i="2"/>
  <c r="N449" i="2"/>
  <c r="P448" i="2"/>
  <c r="N432" i="2"/>
  <c r="P431" i="2"/>
  <c r="X432" i="2"/>
  <c r="Z432" i="2" s="1"/>
  <c r="Z431" i="2"/>
  <c r="X412" i="2"/>
  <c r="Z411" i="2"/>
  <c r="N412" i="2"/>
  <c r="P411" i="2"/>
  <c r="N394" i="2"/>
  <c r="P393" i="2"/>
  <c r="H394" i="2"/>
  <c r="F395" i="2"/>
  <c r="P358" i="2"/>
  <c r="N359" i="2"/>
  <c r="N341" i="2"/>
  <c r="P340" i="2"/>
  <c r="X324" i="2"/>
  <c r="Z323" i="2"/>
  <c r="N324" i="2"/>
  <c r="P323" i="2"/>
  <c r="X306" i="2"/>
  <c r="Z305" i="2"/>
  <c r="N306" i="2"/>
  <c r="P305" i="2"/>
  <c r="X287" i="2"/>
  <c r="Z286" i="2"/>
  <c r="N287" i="2"/>
  <c r="P286" i="2"/>
  <c r="F288" i="2"/>
  <c r="H287" i="2"/>
  <c r="Z268" i="2"/>
  <c r="X269" i="2"/>
  <c r="N269" i="2"/>
  <c r="P268" i="2"/>
  <c r="F270" i="2"/>
  <c r="H269" i="2"/>
  <c r="Z233" i="2"/>
  <c r="X234" i="2"/>
  <c r="N234" i="2"/>
  <c r="P233" i="2"/>
  <c r="F235" i="2"/>
  <c r="H235" i="2" s="1"/>
  <c r="H234" i="2"/>
  <c r="X217" i="2"/>
  <c r="Z216" i="2"/>
  <c r="N217" i="2"/>
  <c r="P216" i="2"/>
  <c r="H217" i="2"/>
  <c r="F218" i="2"/>
  <c r="AR132" i="4"/>
  <c r="AS132" i="4" s="1"/>
  <c r="X200" i="2"/>
  <c r="Z199" i="2"/>
  <c r="N200" i="2"/>
  <c r="P199" i="2"/>
  <c r="X181" i="2"/>
  <c r="Z180" i="2"/>
  <c r="N181" i="2"/>
  <c r="P180" i="2"/>
  <c r="F182" i="2"/>
  <c r="H182" i="2" s="1"/>
  <c r="H181" i="2"/>
  <c r="X161" i="2"/>
  <c r="Z160" i="2"/>
  <c r="N161" i="2"/>
  <c r="P160" i="2"/>
  <c r="F162" i="2"/>
  <c r="H162" i="2" s="1"/>
  <c r="H161" i="2"/>
  <c r="X142" i="2"/>
  <c r="Z141" i="2"/>
  <c r="F143" i="2"/>
  <c r="H142" i="2"/>
  <c r="N142" i="2"/>
  <c r="P141" i="2"/>
  <c r="X104" i="2"/>
  <c r="Z103" i="2"/>
  <c r="N104" i="2"/>
  <c r="P103" i="2"/>
  <c r="F105" i="2"/>
  <c r="H105" i="2" s="1"/>
  <c r="H104" i="2"/>
  <c r="F84" i="2"/>
  <c r="H84" i="2" s="1"/>
  <c r="H83" i="2"/>
  <c r="N48" i="2"/>
  <c r="P47" i="2"/>
  <c r="F49" i="2"/>
  <c r="H49" i="2" s="1"/>
  <c r="H48" i="2"/>
  <c r="X48" i="2"/>
  <c r="Z47" i="2"/>
  <c r="H71" i="21"/>
  <c r="J71" i="21" s="1"/>
  <c r="H66" i="21"/>
  <c r="J66" i="21" s="1"/>
  <c r="J65" i="21"/>
  <c r="H64" i="21"/>
  <c r="J64" i="21" s="1"/>
  <c r="H63" i="21"/>
  <c r="J63" i="21" s="1"/>
  <c r="H62" i="21"/>
  <c r="J62" i="21" s="1"/>
  <c r="J61" i="21"/>
  <c r="H60" i="21"/>
  <c r="J60" i="21" s="1"/>
  <c r="J59" i="21"/>
  <c r="H58" i="21"/>
  <c r="J58" i="21" s="1"/>
  <c r="J57" i="21"/>
  <c r="H56" i="21"/>
  <c r="J56" i="21" s="1"/>
  <c r="K60" i="21" s="1"/>
  <c r="J55" i="21"/>
  <c r="H54" i="21"/>
  <c r="J54" i="21" s="1"/>
  <c r="H53" i="21"/>
  <c r="J53" i="21" s="1"/>
  <c r="H72" i="21"/>
  <c r="J72" i="21" s="1"/>
  <c r="H69" i="21"/>
  <c r="J69" i="21" s="1"/>
  <c r="J67" i="21"/>
  <c r="H40" i="21"/>
  <c r="J40" i="21" s="1"/>
  <c r="H38" i="21"/>
  <c r="J38" i="21" s="1"/>
  <c r="H26" i="21"/>
  <c r="J26" i="21" s="1"/>
  <c r="H24" i="21"/>
  <c r="J24" i="21" s="1"/>
  <c r="H22" i="21"/>
  <c r="J22" i="21" s="1"/>
  <c r="H20" i="21"/>
  <c r="J20" i="21" s="1"/>
  <c r="H18" i="21"/>
  <c r="J18" i="21" s="1"/>
  <c r="H4" i="21"/>
  <c r="J4" i="21" s="1"/>
  <c r="H2" i="21"/>
  <c r="J2" i="21" s="1"/>
  <c r="X544" i="2" l="1"/>
  <c r="Z543" i="2"/>
  <c r="Z524" i="2"/>
  <c r="X525" i="2"/>
  <c r="N544" i="2"/>
  <c r="P543" i="2"/>
  <c r="P524" i="2"/>
  <c r="N525" i="2"/>
  <c r="N467" i="2"/>
  <c r="P467" i="2" s="1"/>
  <c r="P466" i="2"/>
  <c r="N450" i="2"/>
  <c r="P450" i="2" s="1"/>
  <c r="P449" i="2"/>
  <c r="N433" i="2"/>
  <c r="P433" i="2" s="1"/>
  <c r="P432" i="2"/>
  <c r="X413" i="2"/>
  <c r="Z412" i="2"/>
  <c r="N413" i="2"/>
  <c r="P412" i="2"/>
  <c r="N395" i="2"/>
  <c r="P394" i="2"/>
  <c r="H218" i="2"/>
  <c r="F219" i="2"/>
  <c r="H219" i="2" s="1"/>
  <c r="F396" i="2"/>
  <c r="H396" i="2" s="1"/>
  <c r="H395" i="2"/>
  <c r="P359" i="2"/>
  <c r="N360" i="2"/>
  <c r="P341" i="2"/>
  <c r="N342" i="2"/>
  <c r="X325" i="2"/>
  <c r="Z325" i="2" s="1"/>
  <c r="Z324" i="2"/>
  <c r="N325" i="2"/>
  <c r="P324" i="2"/>
  <c r="X307" i="2"/>
  <c r="Z306" i="2"/>
  <c r="N307" i="2"/>
  <c r="P306" i="2"/>
  <c r="X288" i="2"/>
  <c r="Z287" i="2"/>
  <c r="N288" i="2"/>
  <c r="P287" i="2"/>
  <c r="F289" i="2"/>
  <c r="H289" i="2" s="1"/>
  <c r="H288" i="2"/>
  <c r="X270" i="2"/>
  <c r="Z269" i="2"/>
  <c r="N270" i="2"/>
  <c r="P269" i="2"/>
  <c r="F271" i="2"/>
  <c r="H271" i="2" s="1"/>
  <c r="H270" i="2"/>
  <c r="X235" i="2"/>
  <c r="Z234" i="2"/>
  <c r="N235" i="2"/>
  <c r="P234" i="2"/>
  <c r="X218" i="2"/>
  <c r="Z217" i="2"/>
  <c r="N218" i="2"/>
  <c r="P217" i="2"/>
  <c r="X201" i="2"/>
  <c r="Z200" i="2"/>
  <c r="N201" i="2"/>
  <c r="P200" i="2"/>
  <c r="X182" i="2"/>
  <c r="Z181" i="2"/>
  <c r="N182" i="2"/>
  <c r="P181" i="2"/>
  <c r="X162" i="2"/>
  <c r="Z161" i="2"/>
  <c r="N162" i="2"/>
  <c r="P161" i="2"/>
  <c r="H143" i="2"/>
  <c r="F144" i="2"/>
  <c r="H144" i="2" s="1"/>
  <c r="X143" i="2"/>
  <c r="Z142" i="2"/>
  <c r="N143" i="2"/>
  <c r="P142" i="2"/>
  <c r="X105" i="2"/>
  <c r="Z104" i="2"/>
  <c r="N105" i="2"/>
  <c r="P104" i="2"/>
  <c r="N49" i="2"/>
  <c r="P48" i="2"/>
  <c r="X49" i="2"/>
  <c r="Z48" i="2"/>
  <c r="J50" i="21"/>
  <c r="P525" i="2" l="1"/>
  <c r="N526" i="2"/>
  <c r="P526" i="2" s="1"/>
  <c r="X545" i="2"/>
  <c r="Z544" i="2"/>
  <c r="P544" i="2"/>
  <c r="N545" i="2"/>
  <c r="P545" i="2" s="1"/>
  <c r="Z525" i="2"/>
  <c r="X526" i="2"/>
  <c r="Z526" i="2" s="1"/>
  <c r="X414" i="2"/>
  <c r="Z413" i="2"/>
  <c r="N414" i="2"/>
  <c r="P413" i="2"/>
  <c r="N396" i="2"/>
  <c r="P395" i="2"/>
  <c r="N361" i="2"/>
  <c r="P360" i="2"/>
  <c r="P342" i="2"/>
  <c r="N343" i="2"/>
  <c r="N326" i="2"/>
  <c r="P325" i="2"/>
  <c r="X308" i="2"/>
  <c r="Z308" i="2" s="1"/>
  <c r="Z307" i="2"/>
  <c r="N308" i="2"/>
  <c r="P307" i="2"/>
  <c r="X289" i="2"/>
  <c r="Z288" i="2"/>
  <c r="N289" i="2"/>
  <c r="P288" i="2"/>
  <c r="X271" i="2"/>
  <c r="Z270" i="2"/>
  <c r="N271" i="2"/>
  <c r="P270" i="2"/>
  <c r="X236" i="2"/>
  <c r="Z235" i="2"/>
  <c r="N236" i="2"/>
  <c r="P235" i="2"/>
  <c r="X219" i="2"/>
  <c r="Z218" i="2"/>
  <c r="P218" i="2"/>
  <c r="N219" i="2"/>
  <c r="X202" i="2"/>
  <c r="Z201" i="2"/>
  <c r="N202" i="2"/>
  <c r="P201" i="2"/>
  <c r="X183" i="2"/>
  <c r="Z182" i="2"/>
  <c r="N183" i="2"/>
  <c r="P182" i="2"/>
  <c r="X163" i="2"/>
  <c r="Z162" i="2"/>
  <c r="N163" i="2"/>
  <c r="P162" i="2"/>
  <c r="X144" i="2"/>
  <c r="Z143" i="2"/>
  <c r="N144" i="2"/>
  <c r="P143" i="2"/>
  <c r="Z105" i="2"/>
  <c r="X106" i="2"/>
  <c r="N106" i="2"/>
  <c r="P105" i="2"/>
  <c r="N50" i="2"/>
  <c r="P49" i="2"/>
  <c r="X50" i="2"/>
  <c r="Z49" i="2"/>
  <c r="Z545" i="2" l="1"/>
  <c r="X546" i="2"/>
  <c r="Z546" i="2" s="1"/>
  <c r="X415" i="2"/>
  <c r="Z414" i="2"/>
  <c r="N415" i="2"/>
  <c r="P414" i="2"/>
  <c r="N397" i="2"/>
  <c r="P396" i="2"/>
  <c r="N362" i="2"/>
  <c r="P361" i="2"/>
  <c r="N344" i="2"/>
  <c r="P343" i="2"/>
  <c r="N327" i="2"/>
  <c r="P326" i="2"/>
  <c r="N309" i="2"/>
  <c r="P308" i="2"/>
  <c r="X290" i="2"/>
  <c r="Z289" i="2"/>
  <c r="N290" i="2"/>
  <c r="P289" i="2"/>
  <c r="X272" i="2"/>
  <c r="Z271" i="2"/>
  <c r="N272" i="2"/>
  <c r="P271" i="2"/>
  <c r="X237" i="2"/>
  <c r="Z237" i="2" s="1"/>
  <c r="Z236" i="2"/>
  <c r="N237" i="2"/>
  <c r="P236" i="2"/>
  <c r="Z219" i="2"/>
  <c r="X220" i="2"/>
  <c r="Z220" i="2" s="1"/>
  <c r="N220" i="2"/>
  <c r="P219" i="2"/>
  <c r="X203" i="2"/>
  <c r="Z203" i="2" s="1"/>
  <c r="Z202" i="2"/>
  <c r="N203" i="2"/>
  <c r="P202" i="2"/>
  <c r="X184" i="2"/>
  <c r="Z183" i="2"/>
  <c r="N184" i="2"/>
  <c r="P183" i="2"/>
  <c r="X164" i="2"/>
  <c r="Z163" i="2"/>
  <c r="P163" i="2"/>
  <c r="N164" i="2"/>
  <c r="X145" i="2"/>
  <c r="Z144" i="2"/>
  <c r="N145" i="2"/>
  <c r="P144" i="2"/>
  <c r="X107" i="2"/>
  <c r="Z107" i="2" s="1"/>
  <c r="Z106" i="2"/>
  <c r="N107" i="2"/>
  <c r="P106" i="2"/>
  <c r="N51" i="2"/>
  <c r="P50" i="2"/>
  <c r="X51" i="2"/>
  <c r="Z50" i="2"/>
  <c r="C482" i="9"/>
  <c r="H478" i="9"/>
  <c r="H479" i="9"/>
  <c r="M465" i="9"/>
  <c r="M461" i="9"/>
  <c r="G321" i="4"/>
  <c r="C248" i="9"/>
  <c r="M95" i="9"/>
  <c r="H95" i="9"/>
  <c r="C95" i="9"/>
  <c r="X416" i="2" l="1"/>
  <c r="Z416" i="2" s="1"/>
  <c r="Z415" i="2"/>
  <c r="N416" i="2"/>
  <c r="P416" i="2" s="1"/>
  <c r="P415" i="2"/>
  <c r="N398" i="2"/>
  <c r="P397" i="2"/>
  <c r="Z272" i="2"/>
  <c r="X273" i="2"/>
  <c r="Z273" i="2" s="1"/>
  <c r="N363" i="2"/>
  <c r="P363" i="2" s="1"/>
  <c r="P362" i="2"/>
  <c r="N345" i="2"/>
  <c r="P345" i="2" s="1"/>
  <c r="P344" i="2"/>
  <c r="N328" i="2"/>
  <c r="P328" i="2" s="1"/>
  <c r="P327" i="2"/>
  <c r="R322" i="2" s="1"/>
  <c r="N310" i="2"/>
  <c r="P309" i="2"/>
  <c r="X291" i="2"/>
  <c r="Z291" i="2" s="1"/>
  <c r="Z290" i="2"/>
  <c r="N291" i="2"/>
  <c r="P290" i="2"/>
  <c r="N273" i="2"/>
  <c r="P273" i="2" s="1"/>
  <c r="P272" i="2"/>
  <c r="P237" i="2"/>
  <c r="N238" i="2"/>
  <c r="P238" i="2" s="1"/>
  <c r="N221" i="2"/>
  <c r="P220" i="2"/>
  <c r="N204" i="2"/>
  <c r="P203" i="2"/>
  <c r="X185" i="2"/>
  <c r="Z185" i="2" s="1"/>
  <c r="Z184" i="2"/>
  <c r="N185" i="2"/>
  <c r="P184" i="2"/>
  <c r="X165" i="2"/>
  <c r="Z165" i="2" s="1"/>
  <c r="Z164" i="2"/>
  <c r="N165" i="2"/>
  <c r="P164" i="2"/>
  <c r="Z145" i="2"/>
  <c r="X146" i="2"/>
  <c r="N146" i="2"/>
  <c r="P145" i="2"/>
  <c r="N108" i="2"/>
  <c r="P107" i="2"/>
  <c r="N52" i="2"/>
  <c r="P51" i="2"/>
  <c r="X52" i="2"/>
  <c r="Z52" i="2" s="1"/>
  <c r="Z51" i="2"/>
  <c r="Q502" i="2"/>
  <c r="Q484" i="2"/>
  <c r="M477" i="2"/>
  <c r="N477" i="2" s="1"/>
  <c r="M476" i="2"/>
  <c r="N476" i="2" s="1"/>
  <c r="M475" i="2"/>
  <c r="N475" i="2" s="1"/>
  <c r="M474" i="2"/>
  <c r="N474" i="2" s="1"/>
  <c r="M473" i="2"/>
  <c r="N473" i="2" s="1"/>
  <c r="O472" i="2"/>
  <c r="O473" i="2" s="1"/>
  <c r="O474" i="2" s="1"/>
  <c r="O475" i="2" s="1"/>
  <c r="O476" i="2" s="1"/>
  <c r="O477" i="2" s="1"/>
  <c r="O478" i="2" s="1"/>
  <c r="N472" i="2"/>
  <c r="M471" i="2"/>
  <c r="N471" i="2" s="1"/>
  <c r="P471" i="2" s="1"/>
  <c r="Q466" i="2"/>
  <c r="W390" i="2"/>
  <c r="X390" i="2" s="1"/>
  <c r="W389" i="2"/>
  <c r="X389" i="2" s="1"/>
  <c r="W388" i="2"/>
  <c r="X388" i="2" s="1"/>
  <c r="W387" i="2"/>
  <c r="X387" i="2" s="1"/>
  <c r="W386" i="2"/>
  <c r="X386" i="2" s="1"/>
  <c r="Y385" i="2"/>
  <c r="Y386" i="2" s="1"/>
  <c r="Y387" i="2" s="1"/>
  <c r="Y388" i="2" s="1"/>
  <c r="Y389" i="2" s="1"/>
  <c r="Y390" i="2" s="1"/>
  <c r="Y391" i="2" s="1"/>
  <c r="X385" i="2"/>
  <c r="W384" i="2"/>
  <c r="X384" i="2" s="1"/>
  <c r="Q379" i="2"/>
  <c r="W248" i="2"/>
  <c r="X248" i="2" s="1"/>
  <c r="W247" i="2"/>
  <c r="X247" i="2" s="1"/>
  <c r="W246" i="2"/>
  <c r="X246" i="2" s="1"/>
  <c r="W245" i="2"/>
  <c r="X245" i="2" s="1"/>
  <c r="W244" i="2"/>
  <c r="X244" i="2" s="1"/>
  <c r="Y243" i="2"/>
  <c r="Y244" i="2" s="1"/>
  <c r="Y245" i="2" s="1"/>
  <c r="Y246" i="2" s="1"/>
  <c r="Y247" i="2" s="1"/>
  <c r="Y248" i="2" s="1"/>
  <c r="Y249" i="2" s="1"/>
  <c r="X243" i="2"/>
  <c r="W242" i="2"/>
  <c r="X242" i="2" s="1"/>
  <c r="P249" i="2"/>
  <c r="H249" i="2"/>
  <c r="M248" i="2"/>
  <c r="N248" i="2" s="1"/>
  <c r="E248" i="2"/>
  <c r="F248" i="2" s="1"/>
  <c r="M247" i="2"/>
  <c r="N247" i="2" s="1"/>
  <c r="E247" i="2"/>
  <c r="F247" i="2" s="1"/>
  <c r="M246" i="2"/>
  <c r="N246" i="2" s="1"/>
  <c r="E246" i="2"/>
  <c r="F246" i="2" s="1"/>
  <c r="M245" i="2"/>
  <c r="N245" i="2" s="1"/>
  <c r="E245" i="2"/>
  <c r="F245" i="2" s="1"/>
  <c r="M244" i="2"/>
  <c r="N244" i="2" s="1"/>
  <c r="E244" i="2"/>
  <c r="F244" i="2" s="1"/>
  <c r="O243" i="2"/>
  <c r="O244" i="2" s="1"/>
  <c r="O245" i="2" s="1"/>
  <c r="O246" i="2" s="1"/>
  <c r="O247" i="2" s="1"/>
  <c r="O248" i="2" s="1"/>
  <c r="O249" i="2" s="1"/>
  <c r="N243" i="2"/>
  <c r="G243" i="2"/>
  <c r="G244" i="2" s="1"/>
  <c r="G245" i="2" s="1"/>
  <c r="G246" i="2" s="1"/>
  <c r="G247" i="2" s="1"/>
  <c r="G248" i="2" s="1"/>
  <c r="G249" i="2" s="1"/>
  <c r="F243" i="2"/>
  <c r="M242" i="2"/>
  <c r="N242" i="2" s="1"/>
  <c r="E242" i="2"/>
  <c r="F242" i="2" s="1"/>
  <c r="W80" i="2"/>
  <c r="X80" i="2" s="1"/>
  <c r="W79" i="2"/>
  <c r="X79" i="2" s="1"/>
  <c r="W78" i="2"/>
  <c r="X78" i="2" s="1"/>
  <c r="W77" i="2"/>
  <c r="X77" i="2" s="1"/>
  <c r="W76" i="2"/>
  <c r="X76" i="2" s="1"/>
  <c r="Y75" i="2"/>
  <c r="Y76" i="2" s="1"/>
  <c r="Y77" i="2" s="1"/>
  <c r="Y78" i="2" s="1"/>
  <c r="Y79" i="2" s="1"/>
  <c r="Y80" i="2" s="1"/>
  <c r="Y81" i="2" s="1"/>
  <c r="X75" i="2"/>
  <c r="W74" i="2"/>
  <c r="X74" i="2" s="1"/>
  <c r="M80" i="2"/>
  <c r="N80" i="2" s="1"/>
  <c r="M79" i="2"/>
  <c r="N79" i="2" s="1"/>
  <c r="M78" i="2"/>
  <c r="N78" i="2" s="1"/>
  <c r="M77" i="2"/>
  <c r="N77" i="2" s="1"/>
  <c r="M76" i="2"/>
  <c r="N76" i="2" s="1"/>
  <c r="O75" i="2"/>
  <c r="O76" i="2" s="1"/>
  <c r="O77" i="2" s="1"/>
  <c r="O78" i="2" s="1"/>
  <c r="O79" i="2" s="1"/>
  <c r="O80" i="2" s="1"/>
  <c r="O81" i="2" s="1"/>
  <c r="N75" i="2"/>
  <c r="M74" i="2"/>
  <c r="N74" i="2" s="1"/>
  <c r="W63" i="2"/>
  <c r="X63" i="2" s="1"/>
  <c r="W62" i="2"/>
  <c r="X62" i="2" s="1"/>
  <c r="W61" i="2"/>
  <c r="X61" i="2" s="1"/>
  <c r="W60" i="2"/>
  <c r="X60" i="2" s="1"/>
  <c r="W59" i="2"/>
  <c r="X59" i="2" s="1"/>
  <c r="Y58" i="2"/>
  <c r="Y59" i="2" s="1"/>
  <c r="Y60" i="2" s="1"/>
  <c r="Y61" i="2" s="1"/>
  <c r="Y62" i="2" s="1"/>
  <c r="Y63" i="2" s="1"/>
  <c r="Y64" i="2" s="1"/>
  <c r="X58" i="2"/>
  <c r="W57" i="2"/>
  <c r="X57" i="2" s="1"/>
  <c r="Q69" i="2"/>
  <c r="M63" i="2"/>
  <c r="N63" i="2" s="1"/>
  <c r="M62" i="2"/>
  <c r="N62" i="2" s="1"/>
  <c r="M61" i="2"/>
  <c r="N61" i="2" s="1"/>
  <c r="M60" i="2"/>
  <c r="N60" i="2" s="1"/>
  <c r="M59" i="2"/>
  <c r="N59" i="2" s="1"/>
  <c r="O58" i="2"/>
  <c r="O59" i="2" s="1"/>
  <c r="O60" i="2" s="1"/>
  <c r="O61" i="2" s="1"/>
  <c r="O62" i="2" s="1"/>
  <c r="O63" i="2" s="1"/>
  <c r="N58" i="2"/>
  <c r="M57" i="2"/>
  <c r="N57" i="2" s="1"/>
  <c r="P57" i="2" s="1"/>
  <c r="E63" i="2"/>
  <c r="F63" i="2" s="1"/>
  <c r="E62" i="2"/>
  <c r="F62" i="2" s="1"/>
  <c r="E61" i="2"/>
  <c r="F61" i="2" s="1"/>
  <c r="E60" i="2"/>
  <c r="F60" i="2" s="1"/>
  <c r="E59" i="2"/>
  <c r="F59" i="2" s="1"/>
  <c r="G58" i="2"/>
  <c r="G59" i="2" s="1"/>
  <c r="G60" i="2" s="1"/>
  <c r="G61" i="2" s="1"/>
  <c r="G62" i="2" s="1"/>
  <c r="G63" i="2" s="1"/>
  <c r="F58" i="2"/>
  <c r="H58" i="2" s="1"/>
  <c r="E57" i="2"/>
  <c r="F57" i="2" s="1"/>
  <c r="H57" i="2" s="1"/>
  <c r="M26" i="2"/>
  <c r="N26" i="2" s="1"/>
  <c r="M25" i="2"/>
  <c r="N25" i="2" s="1"/>
  <c r="M24" i="2"/>
  <c r="N24" i="2" s="1"/>
  <c r="M23" i="2"/>
  <c r="N23" i="2" s="1"/>
  <c r="M22" i="2"/>
  <c r="N22" i="2" s="1"/>
  <c r="O21" i="2"/>
  <c r="O22" i="2" s="1"/>
  <c r="O23" i="2" s="1"/>
  <c r="O24" i="2" s="1"/>
  <c r="O25" i="2" s="1"/>
  <c r="O26" i="2" s="1"/>
  <c r="N21" i="2"/>
  <c r="P21" i="2" s="1"/>
  <c r="M20" i="2"/>
  <c r="N20" i="2" s="1"/>
  <c r="P20" i="2" s="1"/>
  <c r="W26" i="2"/>
  <c r="X26" i="2" s="1"/>
  <c r="W25" i="2"/>
  <c r="X25" i="2" s="1"/>
  <c r="W24" i="2"/>
  <c r="X24" i="2" s="1"/>
  <c r="W23" i="2"/>
  <c r="X23" i="2" s="1"/>
  <c r="W22" i="2"/>
  <c r="X22" i="2" s="1"/>
  <c r="Y21" i="2"/>
  <c r="Y22" i="2" s="1"/>
  <c r="Y23" i="2" s="1"/>
  <c r="Y24" i="2" s="1"/>
  <c r="Y25" i="2" s="1"/>
  <c r="Y26" i="2" s="1"/>
  <c r="X21" i="2"/>
  <c r="W20" i="2"/>
  <c r="X20" i="2" s="1"/>
  <c r="Z20" i="2" s="1"/>
  <c r="E26" i="2"/>
  <c r="F26" i="2" s="1"/>
  <c r="E25" i="2"/>
  <c r="F25" i="2" s="1"/>
  <c r="E24" i="2"/>
  <c r="F24" i="2" s="1"/>
  <c r="E23" i="2"/>
  <c r="F23" i="2" s="1"/>
  <c r="E22" i="2"/>
  <c r="F22" i="2" s="1"/>
  <c r="G21" i="2"/>
  <c r="G22" i="2" s="1"/>
  <c r="G23" i="2" s="1"/>
  <c r="G24" i="2" s="1"/>
  <c r="G25" i="2" s="1"/>
  <c r="G26" i="2" s="1"/>
  <c r="F21" i="2"/>
  <c r="E20" i="2"/>
  <c r="F20" i="2" s="1"/>
  <c r="H20" i="2" s="1"/>
  <c r="M501" i="9"/>
  <c r="AH368" i="4"/>
  <c r="AJ368" i="4" s="1"/>
  <c r="AL368" i="4" s="1"/>
  <c r="AG368" i="4"/>
  <c r="AD368" i="4"/>
  <c r="V368" i="4"/>
  <c r="Y368" i="4" s="1"/>
  <c r="AN368" i="4" s="1"/>
  <c r="U368" i="4"/>
  <c r="R368" i="4"/>
  <c r="J368" i="4"/>
  <c r="L368" i="4" s="1"/>
  <c r="I368" i="4"/>
  <c r="F368" i="4"/>
  <c r="M498" i="9"/>
  <c r="AH366" i="4"/>
  <c r="AJ366" i="4" s="1"/>
  <c r="AL366" i="4" s="1"/>
  <c r="AG366" i="4"/>
  <c r="AD366" i="4"/>
  <c r="V366" i="4"/>
  <c r="Y366" i="4" s="1"/>
  <c r="AN366" i="4" s="1"/>
  <c r="U366" i="4"/>
  <c r="R366" i="4"/>
  <c r="J366" i="4"/>
  <c r="L366" i="4" s="1"/>
  <c r="I366" i="4"/>
  <c r="F366" i="4"/>
  <c r="H482" i="9"/>
  <c r="AH353" i="4"/>
  <c r="AJ353" i="4" s="1"/>
  <c r="AL353" i="4" s="1"/>
  <c r="AG353" i="4"/>
  <c r="AD353" i="4"/>
  <c r="V353" i="4"/>
  <c r="Y353" i="4" s="1"/>
  <c r="AN353" i="4" s="1"/>
  <c r="U353" i="4"/>
  <c r="R353" i="4"/>
  <c r="J353" i="4"/>
  <c r="L353" i="4" s="1"/>
  <c r="I353" i="4"/>
  <c r="F353" i="4"/>
  <c r="M445" i="9"/>
  <c r="AK279" i="4"/>
  <c r="Y279" i="4"/>
  <c r="P398" i="2" l="1"/>
  <c r="N399" i="2"/>
  <c r="P399" i="2" s="1"/>
  <c r="Z75" i="2"/>
  <c r="H63" i="2"/>
  <c r="P310" i="2"/>
  <c r="N311" i="2"/>
  <c r="P311" i="2" s="1"/>
  <c r="P291" i="2"/>
  <c r="N292" i="2"/>
  <c r="P292" i="2" s="1"/>
  <c r="N222" i="2"/>
  <c r="P222" i="2" s="1"/>
  <c r="P221" i="2"/>
  <c r="N205" i="2"/>
  <c r="P204" i="2"/>
  <c r="N186" i="2"/>
  <c r="P186" i="2" s="1"/>
  <c r="P185" i="2"/>
  <c r="Z61" i="2"/>
  <c r="Z63" i="2"/>
  <c r="H21" i="2"/>
  <c r="Z146" i="2"/>
  <c r="X147" i="2"/>
  <c r="Z147" i="2" s="1"/>
  <c r="Z385" i="2"/>
  <c r="N166" i="2"/>
  <c r="P165" i="2"/>
  <c r="P25" i="2"/>
  <c r="Z387" i="2"/>
  <c r="Z386" i="2"/>
  <c r="Z25" i="2"/>
  <c r="Z26" i="2"/>
  <c r="N147" i="2"/>
  <c r="P147" i="2" s="1"/>
  <c r="P146" i="2"/>
  <c r="H24" i="2"/>
  <c r="X249" i="2"/>
  <c r="H25" i="2"/>
  <c r="H26" i="2"/>
  <c r="Z58" i="2"/>
  <c r="Z21" i="2"/>
  <c r="P58" i="2"/>
  <c r="Z62" i="2"/>
  <c r="N109" i="2"/>
  <c r="P109" i="2" s="1"/>
  <c r="P108" i="2"/>
  <c r="R103" i="2" s="1"/>
  <c r="N53" i="2"/>
  <c r="P53" i="2" s="1"/>
  <c r="P52" i="2"/>
  <c r="N478" i="2"/>
  <c r="P472" i="2"/>
  <c r="P473" i="2"/>
  <c r="P474" i="2"/>
  <c r="P475" i="2"/>
  <c r="P476" i="2"/>
  <c r="P477" i="2"/>
  <c r="X391" i="2"/>
  <c r="Z384" i="2"/>
  <c r="Z388" i="2"/>
  <c r="Z389" i="2"/>
  <c r="Z390" i="2"/>
  <c r="F249" i="2"/>
  <c r="N249" i="2"/>
  <c r="P75" i="2"/>
  <c r="X81" i="2"/>
  <c r="Z81" i="2" s="1"/>
  <c r="Z74" i="2"/>
  <c r="Z76" i="2"/>
  <c r="Z77" i="2"/>
  <c r="Z78" i="2"/>
  <c r="Z79" i="2"/>
  <c r="Z80" i="2"/>
  <c r="N81" i="2"/>
  <c r="P81" i="2" s="1"/>
  <c r="P74" i="2"/>
  <c r="P77" i="2"/>
  <c r="P76" i="2"/>
  <c r="P78" i="2"/>
  <c r="P79" i="2"/>
  <c r="P80" i="2"/>
  <c r="P24" i="2"/>
  <c r="X64" i="2"/>
  <c r="Z64" i="2" s="1"/>
  <c r="Z57" i="2"/>
  <c r="Z59" i="2"/>
  <c r="Z60" i="2"/>
  <c r="P59" i="2"/>
  <c r="P60" i="2"/>
  <c r="P61" i="2"/>
  <c r="P62" i="2"/>
  <c r="P63" i="2"/>
  <c r="H59" i="2"/>
  <c r="H60" i="2"/>
  <c r="H61" i="2"/>
  <c r="H62" i="2"/>
  <c r="P26" i="2"/>
  <c r="P22" i="2"/>
  <c r="P23" i="2"/>
  <c r="Z22" i="2"/>
  <c r="Z23" i="2"/>
  <c r="Z24" i="2"/>
  <c r="H22" i="2"/>
  <c r="H23" i="2"/>
  <c r="X368" i="4"/>
  <c r="Z368" i="4" s="1"/>
  <c r="N368" i="4"/>
  <c r="X366" i="4"/>
  <c r="Z366" i="4" s="1"/>
  <c r="N366" i="4"/>
  <c r="N353" i="4"/>
  <c r="X353" i="4"/>
  <c r="Z353" i="4" s="1"/>
  <c r="P205" i="2" l="1"/>
  <c r="N206" i="2"/>
  <c r="P206" i="2" s="1"/>
  <c r="P166" i="2"/>
  <c r="N167" i="2"/>
  <c r="P167" i="2" s="1"/>
  <c r="AM368" i="4"/>
  <c r="AO368" i="4" s="1"/>
  <c r="AQ368" i="4" s="1"/>
  <c r="AR368" i="4" s="1"/>
  <c r="AS368" i="4" s="1"/>
  <c r="P478" i="2"/>
  <c r="N479" i="2"/>
  <c r="F462" i="2"/>
  <c r="R410" i="2"/>
  <c r="X392" i="2"/>
  <c r="Z391" i="2"/>
  <c r="AM366" i="4"/>
  <c r="AO366" i="4" s="1"/>
  <c r="AQ366" i="4" s="1"/>
  <c r="AR366" i="4" s="1"/>
  <c r="AS366" i="4" s="1"/>
  <c r="AM353" i="4"/>
  <c r="AO353" i="4" s="1"/>
  <c r="AQ353" i="4" s="1"/>
  <c r="F359" i="2" l="1"/>
  <c r="N480" i="2"/>
  <c r="P479" i="2"/>
  <c r="F463" i="2"/>
  <c r="H462" i="2"/>
  <c r="Z392" i="2"/>
  <c r="X393" i="2"/>
  <c r="X358" i="2"/>
  <c r="AR353" i="4"/>
  <c r="AS353" i="4" s="1"/>
  <c r="H463" i="2" l="1"/>
  <c r="F464" i="2"/>
  <c r="H464" i="2" s="1"/>
  <c r="H359" i="2"/>
  <c r="P480" i="2"/>
  <c r="N481" i="2"/>
  <c r="X394" i="2"/>
  <c r="Z393" i="2"/>
  <c r="X359" i="2"/>
  <c r="Z358" i="2"/>
  <c r="R233" i="2"/>
  <c r="R216" i="2"/>
  <c r="C362" i="9"/>
  <c r="Y265" i="4"/>
  <c r="J33" i="12"/>
  <c r="J32" i="12"/>
  <c r="AN108" i="4"/>
  <c r="AJ108" i="4"/>
  <c r="AL108" i="4" s="1"/>
  <c r="AG108" i="4"/>
  <c r="X108" i="4"/>
  <c r="Z108" i="4" s="1"/>
  <c r="U108" i="4"/>
  <c r="L108" i="4"/>
  <c r="I108" i="4"/>
  <c r="AH107" i="4"/>
  <c r="AK107" i="4" s="1"/>
  <c r="AG107" i="4"/>
  <c r="AD107" i="4"/>
  <c r="V107" i="4"/>
  <c r="Y107" i="4" s="1"/>
  <c r="U107" i="4"/>
  <c r="R107" i="4"/>
  <c r="J107" i="4"/>
  <c r="M107" i="4" s="1"/>
  <c r="I107" i="4"/>
  <c r="F107" i="4"/>
  <c r="H146" i="9"/>
  <c r="AH102" i="4"/>
  <c r="AK102" i="4" s="1"/>
  <c r="AG102" i="4"/>
  <c r="AD102" i="4"/>
  <c r="V102" i="4"/>
  <c r="X102" i="4" s="1"/>
  <c r="U102" i="4"/>
  <c r="R102" i="4"/>
  <c r="J102" i="4"/>
  <c r="M102" i="4" s="1"/>
  <c r="I102" i="4"/>
  <c r="F102" i="4"/>
  <c r="C142" i="9"/>
  <c r="C123" i="9"/>
  <c r="M110" i="9"/>
  <c r="AW82" i="4"/>
  <c r="AW81" i="4"/>
  <c r="AN82" i="4"/>
  <c r="AH82" i="4"/>
  <c r="AJ82" i="4" s="1"/>
  <c r="AL82" i="4" s="1"/>
  <c r="AG82" i="4"/>
  <c r="AD82" i="4"/>
  <c r="V82" i="4"/>
  <c r="X82" i="4" s="1"/>
  <c r="Z82" i="4" s="1"/>
  <c r="U82" i="4"/>
  <c r="R82" i="4"/>
  <c r="J82" i="4"/>
  <c r="L82" i="4" s="1"/>
  <c r="I82" i="4"/>
  <c r="F82" i="4"/>
  <c r="AN80" i="4"/>
  <c r="AH80" i="4"/>
  <c r="AJ80" i="4" s="1"/>
  <c r="AL80" i="4" s="1"/>
  <c r="AG80" i="4"/>
  <c r="AD80" i="4"/>
  <c r="V80" i="4"/>
  <c r="X80" i="4" s="1"/>
  <c r="Z80" i="4" s="1"/>
  <c r="U80" i="4"/>
  <c r="R80" i="4"/>
  <c r="J80" i="4"/>
  <c r="L80" i="4" s="1"/>
  <c r="I80" i="4"/>
  <c r="F80" i="4"/>
  <c r="AN71" i="4"/>
  <c r="AJ71" i="4"/>
  <c r="AL71" i="4" s="1"/>
  <c r="AG71" i="4"/>
  <c r="X71" i="4"/>
  <c r="Z71" i="4" s="1"/>
  <c r="U71" i="4"/>
  <c r="L71" i="4"/>
  <c r="I71" i="4"/>
  <c r="AH70" i="4"/>
  <c r="AJ70" i="4" s="1"/>
  <c r="AG70" i="4"/>
  <c r="AD70" i="4"/>
  <c r="V70" i="4"/>
  <c r="X70" i="4" s="1"/>
  <c r="U70" i="4"/>
  <c r="R70" i="4"/>
  <c r="J70" i="4"/>
  <c r="L70" i="4" s="1"/>
  <c r="I70" i="4"/>
  <c r="F70" i="4"/>
  <c r="Z359" i="2" l="1"/>
  <c r="N482" i="2"/>
  <c r="P481" i="2"/>
  <c r="X395" i="2"/>
  <c r="Z394" i="2"/>
  <c r="AM71" i="4"/>
  <c r="AO71" i="4" s="1"/>
  <c r="AQ71" i="4" s="1"/>
  <c r="AR71" i="4" s="1"/>
  <c r="AS71" i="4" s="1"/>
  <c r="Y102" i="4"/>
  <c r="AN102" i="4" s="1"/>
  <c r="AM108" i="4"/>
  <c r="AO108" i="4" s="1"/>
  <c r="AQ108" i="4" s="1"/>
  <c r="AR108" i="4" s="1"/>
  <c r="AS108" i="4" s="1"/>
  <c r="AN107" i="4"/>
  <c r="N108" i="4"/>
  <c r="L107" i="4"/>
  <c r="AJ107" i="4"/>
  <c r="AL107" i="4" s="1"/>
  <c r="X107" i="4"/>
  <c r="Z107" i="4" s="1"/>
  <c r="AJ102" i="4"/>
  <c r="AL102" i="4" s="1"/>
  <c r="L102" i="4"/>
  <c r="AM82" i="4"/>
  <c r="AO82" i="4" s="1"/>
  <c r="AQ82" i="4" s="1"/>
  <c r="N82" i="4"/>
  <c r="AM80" i="4"/>
  <c r="AO80" i="4" s="1"/>
  <c r="AQ80" i="4" s="1"/>
  <c r="N80" i="4"/>
  <c r="Y70" i="4"/>
  <c r="Z70" i="4" s="1"/>
  <c r="AM70" i="4"/>
  <c r="AK70" i="4"/>
  <c r="AL70" i="4" s="1"/>
  <c r="N71" i="4"/>
  <c r="M70" i="4"/>
  <c r="M38" i="9"/>
  <c r="AN47" i="4"/>
  <c r="AJ47" i="4"/>
  <c r="AL47" i="4" s="1"/>
  <c r="AG47" i="4"/>
  <c r="X47" i="4"/>
  <c r="Z47" i="4" s="1"/>
  <c r="U47" i="4"/>
  <c r="L47" i="4"/>
  <c r="I47" i="4"/>
  <c r="AH46" i="4"/>
  <c r="AK46" i="4" s="1"/>
  <c r="AG46" i="4"/>
  <c r="AD46" i="4"/>
  <c r="V46" i="4"/>
  <c r="Y46" i="4" s="1"/>
  <c r="U46" i="4"/>
  <c r="R46" i="4"/>
  <c r="J46" i="4"/>
  <c r="M46" i="4" s="1"/>
  <c r="I46" i="4"/>
  <c r="F46" i="4"/>
  <c r="AN11" i="4"/>
  <c r="AJ11" i="4"/>
  <c r="AL11" i="4" s="1"/>
  <c r="AG11" i="4"/>
  <c r="X11" i="4"/>
  <c r="Z11" i="4" s="1"/>
  <c r="U11" i="4"/>
  <c r="L11" i="4"/>
  <c r="I11" i="4"/>
  <c r="AH10" i="4"/>
  <c r="AK10" i="4" s="1"/>
  <c r="AG10" i="4"/>
  <c r="AD10" i="4"/>
  <c r="V10" i="4"/>
  <c r="Y10" i="4" s="1"/>
  <c r="U10" i="4"/>
  <c r="R10" i="4"/>
  <c r="J10" i="4"/>
  <c r="M10" i="4" s="1"/>
  <c r="I10" i="4"/>
  <c r="F10" i="4"/>
  <c r="R497" i="2" l="1"/>
  <c r="N483" i="2"/>
  <c r="P482" i="2"/>
  <c r="X465" i="2"/>
  <c r="R392" i="2"/>
  <c r="X396" i="2"/>
  <c r="Z395" i="2"/>
  <c r="R141" i="2"/>
  <c r="Z102" i="4"/>
  <c r="N107" i="4"/>
  <c r="AM107" i="4"/>
  <c r="AO107" i="4" s="1"/>
  <c r="AQ107" i="4" s="1"/>
  <c r="N102" i="4"/>
  <c r="AM102" i="4"/>
  <c r="AO102" i="4" s="1"/>
  <c r="AQ102" i="4" s="1"/>
  <c r="AM47" i="4"/>
  <c r="AO47" i="4" s="1"/>
  <c r="AQ47" i="4" s="1"/>
  <c r="AR47" i="4" s="1"/>
  <c r="AS47" i="4" s="1"/>
  <c r="AR82" i="4"/>
  <c r="AS82" i="4" s="1"/>
  <c r="AR80" i="4"/>
  <c r="AS80" i="4" s="1"/>
  <c r="AN70" i="4"/>
  <c r="AO70" i="4" s="1"/>
  <c r="AQ70" i="4" s="1"/>
  <c r="N70" i="4"/>
  <c r="X46" i="4"/>
  <c r="Z46" i="4" s="1"/>
  <c r="AN46" i="4"/>
  <c r="N47" i="4"/>
  <c r="AJ46" i="4"/>
  <c r="AL46" i="4" s="1"/>
  <c r="L46" i="4"/>
  <c r="AM11" i="4"/>
  <c r="AO11" i="4" s="1"/>
  <c r="AQ11" i="4" s="1"/>
  <c r="AR11" i="4" s="1"/>
  <c r="AS11" i="4" s="1"/>
  <c r="AN10" i="4"/>
  <c r="N11" i="4"/>
  <c r="AJ10" i="4"/>
  <c r="AL10" i="4" s="1"/>
  <c r="L10" i="4"/>
  <c r="X10" i="4"/>
  <c r="Z10" i="4" s="1"/>
  <c r="Z396" i="2" l="1"/>
  <c r="X397" i="2"/>
  <c r="Z465" i="2"/>
  <c r="X466" i="2"/>
  <c r="Z466" i="2" s="1"/>
  <c r="N484" i="2"/>
  <c r="P483" i="2"/>
  <c r="R461" i="2"/>
  <c r="AR107" i="4"/>
  <c r="AS107" i="4" s="1"/>
  <c r="AR102" i="4"/>
  <c r="AS102" i="4" s="1"/>
  <c r="AR70" i="4"/>
  <c r="AS70" i="4" s="1"/>
  <c r="N46" i="4"/>
  <c r="AM46" i="4"/>
  <c r="AO46" i="4" s="1"/>
  <c r="AQ46" i="4" s="1"/>
  <c r="N10" i="4"/>
  <c r="AM10" i="4"/>
  <c r="AO10" i="4" s="1"/>
  <c r="AQ10" i="4" s="1"/>
  <c r="Z397" i="2" l="1"/>
  <c r="X398" i="2"/>
  <c r="Z398" i="2" s="1"/>
  <c r="R357" i="2"/>
  <c r="R519" i="2"/>
  <c r="N485" i="2"/>
  <c r="P485" i="2" s="1"/>
  <c r="P484" i="2"/>
  <c r="AR46" i="4"/>
  <c r="AS46" i="4" s="1"/>
  <c r="AR10" i="4"/>
  <c r="AS10" i="4" s="1"/>
  <c r="R444" i="2" l="1"/>
  <c r="R479" i="2"/>
  <c r="R374" i="2"/>
  <c r="L513" i="9" l="1"/>
  <c r="N513" i="9" s="1"/>
  <c r="AN87" i="4" l="1"/>
  <c r="AH87" i="4"/>
  <c r="AJ87" i="4" s="1"/>
  <c r="AL87" i="4" s="1"/>
  <c r="AG87" i="4"/>
  <c r="AD87" i="4"/>
  <c r="V87" i="4"/>
  <c r="X87" i="4" s="1"/>
  <c r="Z87" i="4" s="1"/>
  <c r="U87" i="4"/>
  <c r="R87" i="4"/>
  <c r="J87" i="4"/>
  <c r="L87" i="4" s="1"/>
  <c r="I87" i="4"/>
  <c r="F87" i="4"/>
  <c r="N87" i="4" l="1"/>
  <c r="AM87" i="4"/>
  <c r="AO87" i="4" s="1"/>
  <c r="AQ87" i="4" s="1"/>
  <c r="AR87" i="4" l="1"/>
  <c r="AS87" i="4" s="1"/>
  <c r="C383" i="9" l="1"/>
  <c r="H123" i="9"/>
  <c r="C126" i="9"/>
  <c r="H6" i="9"/>
  <c r="M6" i="9"/>
  <c r="C7" i="9"/>
  <c r="H7" i="9"/>
  <c r="M7" i="9"/>
  <c r="C8" i="9"/>
  <c r="H8" i="9"/>
  <c r="M8" i="9"/>
  <c r="H9" i="9"/>
  <c r="M9" i="9"/>
  <c r="C10" i="9"/>
  <c r="H10" i="9"/>
  <c r="M10" i="9"/>
  <c r="C11" i="9"/>
  <c r="H11" i="9"/>
  <c r="M11" i="9"/>
  <c r="C12" i="9"/>
  <c r="H12" i="9"/>
  <c r="M12" i="9"/>
  <c r="N13" i="9" l="1"/>
  <c r="I13" i="9"/>
  <c r="Q254" i="2" l="1"/>
  <c r="Q185" i="2"/>
  <c r="Q128" i="2"/>
  <c r="W9" i="2"/>
  <c r="X9" i="2" s="1"/>
  <c r="W8" i="2"/>
  <c r="X8" i="2" s="1"/>
  <c r="W7" i="2"/>
  <c r="X7" i="2" s="1"/>
  <c r="W6" i="2"/>
  <c r="X6" i="2" s="1"/>
  <c r="W5" i="2"/>
  <c r="X5" i="2" s="1"/>
  <c r="Y4" i="2"/>
  <c r="Y5" i="2" s="1"/>
  <c r="Y6" i="2" s="1"/>
  <c r="Y7" i="2" s="1"/>
  <c r="Y8" i="2" s="1"/>
  <c r="Y9" i="2" s="1"/>
  <c r="Y10" i="2" s="1"/>
  <c r="X4" i="2"/>
  <c r="W3" i="2"/>
  <c r="X3" i="2" s="1"/>
  <c r="M9" i="2"/>
  <c r="N9" i="2" s="1"/>
  <c r="M8" i="2"/>
  <c r="N8" i="2" s="1"/>
  <c r="M7" i="2"/>
  <c r="N7" i="2" s="1"/>
  <c r="M6" i="2"/>
  <c r="N6" i="2" s="1"/>
  <c r="M5" i="2"/>
  <c r="N5" i="2" s="1"/>
  <c r="O4" i="2"/>
  <c r="O5" i="2" s="1"/>
  <c r="O6" i="2" s="1"/>
  <c r="O7" i="2" s="1"/>
  <c r="O8" i="2" s="1"/>
  <c r="O9" i="2" s="1"/>
  <c r="O10" i="2" s="1"/>
  <c r="N4" i="2"/>
  <c r="M3" i="2"/>
  <c r="N3" i="2" s="1"/>
  <c r="E9" i="2"/>
  <c r="F9" i="2" s="1"/>
  <c r="E8" i="2"/>
  <c r="F8" i="2" s="1"/>
  <c r="E7" i="2"/>
  <c r="F7" i="2" s="1"/>
  <c r="E6" i="2"/>
  <c r="F6" i="2" s="1"/>
  <c r="E5" i="2"/>
  <c r="F5" i="2" s="1"/>
  <c r="G4" i="2"/>
  <c r="G5" i="2" s="1"/>
  <c r="G6" i="2" s="1"/>
  <c r="E3" i="2"/>
  <c r="F3" i="2" s="1"/>
  <c r="AN341" i="4"/>
  <c r="AJ341" i="4"/>
  <c r="AL341" i="4" s="1"/>
  <c r="AG341" i="4"/>
  <c r="X341" i="4"/>
  <c r="Z341" i="4" s="1"/>
  <c r="U341" i="4"/>
  <c r="L341" i="4"/>
  <c r="I341" i="4"/>
  <c r="U340" i="4"/>
  <c r="J340" i="4"/>
  <c r="M340" i="4" s="1"/>
  <c r="P340" i="4" s="1"/>
  <c r="R340" i="4" s="1"/>
  <c r="I340" i="4"/>
  <c r="F340" i="4"/>
  <c r="AN295" i="4"/>
  <c r="AJ295" i="4"/>
  <c r="AL295" i="4" s="1"/>
  <c r="AG295" i="4"/>
  <c r="X295" i="4"/>
  <c r="Z295" i="4" s="1"/>
  <c r="U295" i="4"/>
  <c r="L295" i="4"/>
  <c r="N295" i="4" s="1"/>
  <c r="I295" i="4"/>
  <c r="AH294" i="4"/>
  <c r="AJ294" i="4" s="1"/>
  <c r="AG294" i="4"/>
  <c r="AD294" i="4"/>
  <c r="V294" i="4"/>
  <c r="Y294" i="4" s="1"/>
  <c r="U294" i="4"/>
  <c r="R294" i="4"/>
  <c r="J294" i="4"/>
  <c r="M294" i="4" s="1"/>
  <c r="I294" i="4"/>
  <c r="F294" i="4"/>
  <c r="AH280" i="4"/>
  <c r="AJ280" i="4" s="1"/>
  <c r="AL280" i="4" s="1"/>
  <c r="AG280" i="4"/>
  <c r="AD280" i="4"/>
  <c r="V280" i="4"/>
  <c r="U280" i="4"/>
  <c r="R280" i="4"/>
  <c r="J280" i="4"/>
  <c r="L280" i="4" s="1"/>
  <c r="N280" i="4" s="1"/>
  <c r="I280" i="4"/>
  <c r="F280" i="4"/>
  <c r="AN261" i="4"/>
  <c r="AH261" i="4"/>
  <c r="AJ261" i="4" s="1"/>
  <c r="AL261" i="4" s="1"/>
  <c r="AG261" i="4"/>
  <c r="AD261" i="4"/>
  <c r="V261" i="4"/>
  <c r="X261" i="4" s="1"/>
  <c r="Z261" i="4" s="1"/>
  <c r="U261" i="4"/>
  <c r="R261" i="4"/>
  <c r="J261" i="4"/>
  <c r="L261" i="4" s="1"/>
  <c r="I261" i="4"/>
  <c r="F261" i="4"/>
  <c r="AN255" i="4"/>
  <c r="AH255" i="4"/>
  <c r="AJ255" i="4" s="1"/>
  <c r="AL255" i="4" s="1"/>
  <c r="AG255" i="4"/>
  <c r="AD255" i="4"/>
  <c r="V255" i="4"/>
  <c r="X255" i="4" s="1"/>
  <c r="Z255" i="4" s="1"/>
  <c r="U255" i="4"/>
  <c r="R255" i="4"/>
  <c r="J255" i="4"/>
  <c r="L255" i="4" s="1"/>
  <c r="I255" i="4"/>
  <c r="F255" i="4"/>
  <c r="AN233" i="4"/>
  <c r="AJ233" i="4"/>
  <c r="AL233" i="4" s="1"/>
  <c r="AG233" i="4"/>
  <c r="X233" i="4"/>
  <c r="Z233" i="4" s="1"/>
  <c r="U233" i="4"/>
  <c r="L233" i="4"/>
  <c r="I233" i="4"/>
  <c r="AH232" i="4"/>
  <c r="AK232" i="4" s="1"/>
  <c r="AG232" i="4"/>
  <c r="AD232" i="4"/>
  <c r="V232" i="4"/>
  <c r="Y232" i="4" s="1"/>
  <c r="U232" i="4"/>
  <c r="R232" i="4"/>
  <c r="J232" i="4"/>
  <c r="M232" i="4" s="1"/>
  <c r="I232" i="4"/>
  <c r="F232" i="4"/>
  <c r="C317" i="9"/>
  <c r="AN231" i="4"/>
  <c r="AH231" i="4"/>
  <c r="AJ231" i="4" s="1"/>
  <c r="AL231" i="4" s="1"/>
  <c r="AG231" i="4"/>
  <c r="AD231" i="4"/>
  <c r="V231" i="4"/>
  <c r="X231" i="4" s="1"/>
  <c r="Z231" i="4" s="1"/>
  <c r="U231" i="4"/>
  <c r="R231" i="4"/>
  <c r="J231" i="4"/>
  <c r="L231" i="4" s="1"/>
  <c r="I231" i="4"/>
  <c r="F231" i="4"/>
  <c r="AN196" i="4"/>
  <c r="AJ196" i="4"/>
  <c r="AL196" i="4" s="1"/>
  <c r="AG196" i="4"/>
  <c r="X196" i="4"/>
  <c r="Z196" i="4" s="1"/>
  <c r="U196" i="4"/>
  <c r="L196" i="4"/>
  <c r="I196" i="4"/>
  <c r="AH195" i="4"/>
  <c r="AK195" i="4" s="1"/>
  <c r="AG195" i="4"/>
  <c r="AD195" i="4"/>
  <c r="V195" i="4"/>
  <c r="Y195" i="4" s="1"/>
  <c r="U195" i="4"/>
  <c r="R195" i="4"/>
  <c r="J195" i="4"/>
  <c r="M195" i="4" s="1"/>
  <c r="I195" i="4"/>
  <c r="F195" i="4"/>
  <c r="AN170" i="4"/>
  <c r="AJ170" i="4"/>
  <c r="AL170" i="4" s="1"/>
  <c r="AG170" i="4"/>
  <c r="X170" i="4"/>
  <c r="Z170" i="4" s="1"/>
  <c r="U170" i="4"/>
  <c r="L170" i="4"/>
  <c r="I170" i="4"/>
  <c r="AH169" i="4"/>
  <c r="AJ169" i="4" s="1"/>
  <c r="AG169" i="4"/>
  <c r="AD169" i="4"/>
  <c r="V169" i="4"/>
  <c r="Y169" i="4" s="1"/>
  <c r="U169" i="4"/>
  <c r="R169" i="4"/>
  <c r="J169" i="4"/>
  <c r="L169" i="4" s="1"/>
  <c r="I169" i="4"/>
  <c r="F169" i="4"/>
  <c r="AN145" i="4"/>
  <c r="AJ145" i="4"/>
  <c r="AL145" i="4" s="1"/>
  <c r="AG145" i="4"/>
  <c r="X145" i="4"/>
  <c r="Z145" i="4" s="1"/>
  <c r="U145" i="4"/>
  <c r="L145" i="4"/>
  <c r="I145" i="4"/>
  <c r="AH144" i="4"/>
  <c r="AJ144" i="4" s="1"/>
  <c r="AG144" i="4"/>
  <c r="AD144" i="4"/>
  <c r="V144" i="4"/>
  <c r="X144" i="4" s="1"/>
  <c r="U144" i="4"/>
  <c r="R144" i="4"/>
  <c r="J144" i="4"/>
  <c r="M144" i="4" s="1"/>
  <c r="I144" i="4"/>
  <c r="F144" i="4"/>
  <c r="C200" i="9"/>
  <c r="AN143" i="4"/>
  <c r="AH143" i="4"/>
  <c r="AJ143" i="4" s="1"/>
  <c r="AL143" i="4" s="1"/>
  <c r="AG143" i="4"/>
  <c r="AD143" i="4"/>
  <c r="V143" i="4"/>
  <c r="X143" i="4" s="1"/>
  <c r="Z143" i="4" s="1"/>
  <c r="U143" i="4"/>
  <c r="R143" i="4"/>
  <c r="J143" i="4"/>
  <c r="L143" i="4" s="1"/>
  <c r="I143" i="4"/>
  <c r="F143" i="4"/>
  <c r="M146" i="9"/>
  <c r="AN106" i="4"/>
  <c r="AH106" i="4"/>
  <c r="AJ106" i="4" s="1"/>
  <c r="AL106" i="4" s="1"/>
  <c r="AG106" i="4"/>
  <c r="AD106" i="4"/>
  <c r="V106" i="4"/>
  <c r="X106" i="4" s="1"/>
  <c r="Z106" i="4" s="1"/>
  <c r="U106" i="4"/>
  <c r="R106" i="4"/>
  <c r="J106" i="4"/>
  <c r="L106" i="4" s="1"/>
  <c r="N106" i="4" s="1"/>
  <c r="I106" i="4"/>
  <c r="F106" i="4"/>
  <c r="V340" i="4" l="1"/>
  <c r="X340" i="4" s="1"/>
  <c r="F4" i="2"/>
  <c r="H4" i="2" s="1"/>
  <c r="X280" i="4"/>
  <c r="AM280" i="4" s="1"/>
  <c r="Y280" i="4"/>
  <c r="AN280" i="4" s="1"/>
  <c r="AM341" i="4"/>
  <c r="AO341" i="4" s="1"/>
  <c r="AQ341" i="4" s="1"/>
  <c r="AR341" i="4" s="1"/>
  <c r="AS341" i="4" s="1"/>
  <c r="H5" i="2"/>
  <c r="P8" i="2"/>
  <c r="Z4" i="2"/>
  <c r="Z5" i="2"/>
  <c r="P4" i="2"/>
  <c r="P6" i="2"/>
  <c r="P7" i="2"/>
  <c r="Z6" i="2"/>
  <c r="Z7" i="2"/>
  <c r="X10" i="2"/>
  <c r="Z3" i="2"/>
  <c r="Z8" i="2"/>
  <c r="Z9" i="2"/>
  <c r="N10" i="2"/>
  <c r="P3" i="2"/>
  <c r="P5" i="2"/>
  <c r="P9" i="2"/>
  <c r="H3" i="2"/>
  <c r="F10" i="2"/>
  <c r="F11" i="2" s="1"/>
  <c r="H6" i="2"/>
  <c r="G7" i="2"/>
  <c r="G8" i="2" s="1"/>
  <c r="G9" i="2" s="1"/>
  <c r="G10" i="2" s="1"/>
  <c r="Y340" i="4"/>
  <c r="L340" i="4"/>
  <c r="N340" i="4" s="1"/>
  <c r="N341" i="4"/>
  <c r="AM295" i="4"/>
  <c r="AO295" i="4" s="1"/>
  <c r="AQ295" i="4" s="1"/>
  <c r="AK294" i="4"/>
  <c r="AN294" i="4" s="1"/>
  <c r="X294" i="4"/>
  <c r="Z294" i="4" s="1"/>
  <c r="L294" i="4"/>
  <c r="N261" i="4"/>
  <c r="AM261" i="4"/>
  <c r="AO261" i="4" s="1"/>
  <c r="AQ261" i="4" s="1"/>
  <c r="AM170" i="4"/>
  <c r="AO170" i="4" s="1"/>
  <c r="AQ170" i="4" s="1"/>
  <c r="AR170" i="4" s="1"/>
  <c r="AS170" i="4" s="1"/>
  <c r="AM233" i="4"/>
  <c r="AO233" i="4" s="1"/>
  <c r="AQ233" i="4" s="1"/>
  <c r="AR233" i="4" s="1"/>
  <c r="AS233" i="4" s="1"/>
  <c r="N255" i="4"/>
  <c r="AM255" i="4"/>
  <c r="AO255" i="4" s="1"/>
  <c r="AQ255" i="4" s="1"/>
  <c r="AN232" i="4"/>
  <c r="N233" i="4"/>
  <c r="AJ232" i="4"/>
  <c r="AL232" i="4" s="1"/>
  <c r="L232" i="4"/>
  <c r="X232" i="4"/>
  <c r="Z232" i="4" s="1"/>
  <c r="N231" i="4"/>
  <c r="AM231" i="4"/>
  <c r="AO231" i="4" s="1"/>
  <c r="AQ231" i="4" s="1"/>
  <c r="AM196" i="4"/>
  <c r="AO196" i="4" s="1"/>
  <c r="AQ196" i="4" s="1"/>
  <c r="AR196" i="4" s="1"/>
  <c r="AS196" i="4" s="1"/>
  <c r="X195" i="4"/>
  <c r="Z195" i="4" s="1"/>
  <c r="AN195" i="4"/>
  <c r="N196" i="4"/>
  <c r="AJ195" i="4"/>
  <c r="AL195" i="4" s="1"/>
  <c r="L195" i="4"/>
  <c r="M169" i="4"/>
  <c r="N169" i="4" s="1"/>
  <c r="AK169" i="4"/>
  <c r="N170" i="4"/>
  <c r="X169" i="4"/>
  <c r="Z169" i="4" s="1"/>
  <c r="AM145" i="4"/>
  <c r="AO145" i="4" s="1"/>
  <c r="AQ145" i="4" s="1"/>
  <c r="AR145" i="4" s="1"/>
  <c r="AS145" i="4" s="1"/>
  <c r="Y144" i="4"/>
  <c r="Z144" i="4" s="1"/>
  <c r="N145" i="4"/>
  <c r="L144" i="4"/>
  <c r="AK144" i="4"/>
  <c r="AL144" i="4" s="1"/>
  <c r="N143" i="4"/>
  <c r="AM143" i="4"/>
  <c r="AO143" i="4" s="1"/>
  <c r="AQ143" i="4" s="1"/>
  <c r="AM106" i="4"/>
  <c r="AO106" i="4" s="1"/>
  <c r="AQ106" i="4" s="1"/>
  <c r="AB340" i="4" l="1"/>
  <c r="AO280" i="4"/>
  <c r="AQ280" i="4" s="1"/>
  <c r="AR280" i="4" s="1"/>
  <c r="AS280" i="4" s="1"/>
  <c r="Z280" i="4"/>
  <c r="H7" i="2"/>
  <c r="H8" i="2"/>
  <c r="X11" i="2"/>
  <c r="X12" i="2" s="1"/>
  <c r="Z10" i="2"/>
  <c r="N11" i="2"/>
  <c r="P10" i="2"/>
  <c r="H9" i="2"/>
  <c r="H11" i="2"/>
  <c r="F12" i="2"/>
  <c r="F13" i="2" s="1"/>
  <c r="H10" i="2"/>
  <c r="Z340" i="4"/>
  <c r="N294" i="4"/>
  <c r="AM294" i="4"/>
  <c r="AO294" i="4" s="1"/>
  <c r="AQ294" i="4" s="1"/>
  <c r="AR295" i="4"/>
  <c r="AS295" i="4" s="1"/>
  <c r="AL294" i="4"/>
  <c r="AN169" i="4"/>
  <c r="AR261" i="4"/>
  <c r="AS261" i="4" s="1"/>
  <c r="AR255" i="4"/>
  <c r="AS255" i="4" s="1"/>
  <c r="AM232" i="4"/>
  <c r="AO232" i="4" s="1"/>
  <c r="AQ232" i="4" s="1"/>
  <c r="N232" i="4"/>
  <c r="AR231" i="4"/>
  <c r="AS231" i="4" s="1"/>
  <c r="N195" i="4"/>
  <c r="AM195" i="4"/>
  <c r="AO195" i="4" s="1"/>
  <c r="AQ195" i="4" s="1"/>
  <c r="AL169" i="4"/>
  <c r="AM169" i="4"/>
  <c r="N144" i="4"/>
  <c r="AM144" i="4"/>
  <c r="AN144" i="4"/>
  <c r="AR143" i="4"/>
  <c r="AS143" i="4" s="1"/>
  <c r="AR106" i="4"/>
  <c r="AS106" i="4" s="1"/>
  <c r="AE340" i="4" l="1"/>
  <c r="AG340" i="4" s="1"/>
  <c r="AH340" i="4"/>
  <c r="AD340" i="4"/>
  <c r="F14" i="2"/>
  <c r="H13" i="2"/>
  <c r="Z12" i="2"/>
  <c r="X13" i="2"/>
  <c r="Z11" i="2"/>
  <c r="N12" i="2"/>
  <c r="P11" i="2"/>
  <c r="H12" i="2"/>
  <c r="AR294" i="4"/>
  <c r="AS294" i="4" s="1"/>
  <c r="AO169" i="4"/>
  <c r="AQ169" i="4" s="1"/>
  <c r="AR169" i="4" s="1"/>
  <c r="AS169" i="4" s="1"/>
  <c r="AR232" i="4"/>
  <c r="AS232" i="4" s="1"/>
  <c r="AR195" i="4"/>
  <c r="AS195" i="4" s="1"/>
  <c r="AO144" i="4"/>
  <c r="AQ144" i="4" s="1"/>
  <c r="AK340" i="4" l="1"/>
  <c r="AN340" i="4" s="1"/>
  <c r="AJ340" i="4"/>
  <c r="X14" i="2"/>
  <c r="Z13" i="2"/>
  <c r="F15" i="2"/>
  <c r="H14" i="2"/>
  <c r="P12" i="2"/>
  <c r="N13" i="2"/>
  <c r="AR144" i="4"/>
  <c r="AS144" i="4" s="1"/>
  <c r="AL340" i="4" l="1"/>
  <c r="AM340" i="4"/>
  <c r="AO340" i="4" s="1"/>
  <c r="AQ340" i="4" s="1"/>
  <c r="AR340" i="4" s="1"/>
  <c r="AS340" i="4" s="1"/>
  <c r="F16" i="2"/>
  <c r="H15" i="2"/>
  <c r="X15" i="2"/>
  <c r="Z15" i="2" s="1"/>
  <c r="Z14" i="2"/>
  <c r="N14" i="2"/>
  <c r="N15" i="2" s="1"/>
  <c r="P13" i="2"/>
  <c r="H16" i="2" l="1"/>
  <c r="F17" i="2"/>
  <c r="H17" i="2" s="1"/>
  <c r="N16" i="2"/>
  <c r="P15" i="2"/>
  <c r="P14" i="2"/>
  <c r="R11" i="2" s="1"/>
  <c r="P16" i="2" l="1"/>
  <c r="N17" i="2"/>
  <c r="P17" i="2" s="1"/>
  <c r="AN57" i="4"/>
  <c r="AH57" i="4"/>
  <c r="AJ57" i="4" s="1"/>
  <c r="AL57" i="4" s="1"/>
  <c r="AG57" i="4"/>
  <c r="AD57" i="4"/>
  <c r="V57" i="4"/>
  <c r="X57" i="4" s="1"/>
  <c r="Z57" i="4" s="1"/>
  <c r="U57" i="4"/>
  <c r="R57" i="4"/>
  <c r="J57" i="4"/>
  <c r="L57" i="4" s="1"/>
  <c r="I57" i="4"/>
  <c r="F57" i="4"/>
  <c r="F58" i="4"/>
  <c r="I58" i="4"/>
  <c r="J58" i="4"/>
  <c r="L58" i="4" s="1"/>
  <c r="R58" i="4"/>
  <c r="U58" i="4"/>
  <c r="V58" i="4"/>
  <c r="X58" i="4" s="1"/>
  <c r="Z58" i="4" s="1"/>
  <c r="AD58" i="4"/>
  <c r="AG58" i="4"/>
  <c r="AH58" i="4"/>
  <c r="AJ58" i="4" s="1"/>
  <c r="AL58" i="4" s="1"/>
  <c r="AN58" i="4"/>
  <c r="AH33" i="4"/>
  <c r="AK33" i="4" s="1"/>
  <c r="AG33" i="4"/>
  <c r="AD33" i="4"/>
  <c r="V33" i="4"/>
  <c r="U33" i="4"/>
  <c r="R33" i="4"/>
  <c r="J33" i="4"/>
  <c r="M33" i="4" s="1"/>
  <c r="I33" i="4"/>
  <c r="F33" i="4"/>
  <c r="C6" i="9"/>
  <c r="D13" i="9" s="1"/>
  <c r="X33" i="4" l="1"/>
  <c r="Y33" i="4"/>
  <c r="AN33" i="4" s="1"/>
  <c r="N57" i="4"/>
  <c r="AM57" i="4"/>
  <c r="AO57" i="4" s="1"/>
  <c r="AQ57" i="4" s="1"/>
  <c r="AM58" i="4"/>
  <c r="AO58" i="4" s="1"/>
  <c r="AQ58" i="4" s="1"/>
  <c r="AR58" i="4" s="1"/>
  <c r="AS58" i="4" s="1"/>
  <c r="N58" i="4"/>
  <c r="L33" i="4"/>
  <c r="AJ33" i="4"/>
  <c r="AL33" i="4" s="1"/>
  <c r="L21" i="12"/>
  <c r="K21" i="12"/>
  <c r="M21" i="12" l="1"/>
  <c r="AR57" i="4"/>
  <c r="AS57" i="4" s="1"/>
  <c r="Z33" i="4"/>
  <c r="N33" i="4"/>
  <c r="AM33" i="4"/>
  <c r="AO33" i="4" s="1"/>
  <c r="AQ33" i="4" s="1"/>
  <c r="W21" i="12" l="1"/>
  <c r="AR33" i="4"/>
  <c r="AS33" i="4" s="1"/>
  <c r="N59" i="18" l="1"/>
  <c r="N41" i="18"/>
  <c r="N36" i="18"/>
  <c r="N31" i="18"/>
  <c r="N23" i="18"/>
  <c r="N8" i="18"/>
  <c r="N43" i="18" l="1"/>
  <c r="N60" i="18" s="1"/>
  <c r="N62" i="18" s="1"/>
  <c r="H465" i="9" l="1"/>
  <c r="C465" i="9"/>
  <c r="AN320" i="4"/>
  <c r="AJ320" i="4"/>
  <c r="AL320" i="4" s="1"/>
  <c r="AG320" i="4"/>
  <c r="X320" i="4"/>
  <c r="Z320" i="4" s="1"/>
  <c r="U320" i="4"/>
  <c r="L320" i="4"/>
  <c r="I320" i="4"/>
  <c r="AH319" i="4"/>
  <c r="AK319" i="4" s="1"/>
  <c r="AG319" i="4"/>
  <c r="AD319" i="4"/>
  <c r="V319" i="4"/>
  <c r="Y319" i="4" s="1"/>
  <c r="U319" i="4"/>
  <c r="R319" i="4"/>
  <c r="J319" i="4"/>
  <c r="M319" i="4" s="1"/>
  <c r="I319" i="4"/>
  <c r="F319" i="4"/>
  <c r="AM320" i="4" l="1"/>
  <c r="AO320" i="4" s="1"/>
  <c r="AQ320" i="4" s="1"/>
  <c r="AR320" i="4" s="1"/>
  <c r="AS320" i="4" s="1"/>
  <c r="AN319" i="4"/>
  <c r="X319" i="4"/>
  <c r="Z319" i="4" s="1"/>
  <c r="N320" i="4"/>
  <c r="AJ319" i="4"/>
  <c r="AL319" i="4" s="1"/>
  <c r="L319" i="4"/>
  <c r="AN297" i="4"/>
  <c r="AJ297" i="4"/>
  <c r="AL297" i="4" s="1"/>
  <c r="AG297" i="4"/>
  <c r="X297" i="4"/>
  <c r="Z297" i="4" s="1"/>
  <c r="U297" i="4"/>
  <c r="L297" i="4"/>
  <c r="I297" i="4"/>
  <c r="AH296" i="4"/>
  <c r="AK296" i="4" s="1"/>
  <c r="AG296" i="4"/>
  <c r="AD296" i="4"/>
  <c r="V296" i="4"/>
  <c r="Y296" i="4" s="1"/>
  <c r="U296" i="4"/>
  <c r="R296" i="4"/>
  <c r="J296" i="4"/>
  <c r="M296" i="4" s="1"/>
  <c r="I296" i="4"/>
  <c r="F296" i="4"/>
  <c r="AN296" i="4" l="1"/>
  <c r="N319" i="4"/>
  <c r="AM319" i="4"/>
  <c r="AO319" i="4" s="1"/>
  <c r="AQ319" i="4" s="1"/>
  <c r="AM297" i="4"/>
  <c r="AO297" i="4" s="1"/>
  <c r="AQ297" i="4" s="1"/>
  <c r="AR297" i="4" s="1"/>
  <c r="AS297" i="4" s="1"/>
  <c r="N297" i="4"/>
  <c r="AJ296" i="4"/>
  <c r="AL296" i="4" s="1"/>
  <c r="L296" i="4"/>
  <c r="X296" i="4"/>
  <c r="Z296" i="4" s="1"/>
  <c r="AR319" i="4" l="1"/>
  <c r="AS319" i="4" s="1"/>
  <c r="AM296" i="4"/>
  <c r="AO296" i="4" s="1"/>
  <c r="AQ296" i="4" s="1"/>
  <c r="N296" i="4"/>
  <c r="AR296" i="4" l="1"/>
  <c r="AS296" i="4" s="1"/>
  <c r="M336" i="9" l="1"/>
  <c r="H336" i="9"/>
  <c r="C336" i="9"/>
  <c r="C330" i="9"/>
  <c r="AN240" i="4"/>
  <c r="AH240" i="4"/>
  <c r="AJ240" i="4" s="1"/>
  <c r="AL240" i="4" s="1"/>
  <c r="AG240" i="4"/>
  <c r="AD240" i="4"/>
  <c r="V240" i="4"/>
  <c r="X240" i="4" s="1"/>
  <c r="Z240" i="4" s="1"/>
  <c r="U240" i="4"/>
  <c r="R240" i="4"/>
  <c r="J240" i="4"/>
  <c r="L240" i="4" s="1"/>
  <c r="I240" i="4"/>
  <c r="F240" i="4"/>
  <c r="C333" i="9"/>
  <c r="AN244" i="4"/>
  <c r="AH244" i="4"/>
  <c r="AJ244" i="4" s="1"/>
  <c r="AL244" i="4" s="1"/>
  <c r="AG244" i="4"/>
  <c r="AD244" i="4"/>
  <c r="V244" i="4"/>
  <c r="X244" i="4" s="1"/>
  <c r="U244" i="4"/>
  <c r="R244" i="4"/>
  <c r="J244" i="4"/>
  <c r="L244" i="4" s="1"/>
  <c r="N244" i="4" s="1"/>
  <c r="I244" i="4"/>
  <c r="F244" i="4"/>
  <c r="M318" i="9"/>
  <c r="H318" i="9"/>
  <c r="AN235" i="4"/>
  <c r="AJ235" i="4"/>
  <c r="AL235" i="4" s="1"/>
  <c r="AG235" i="4"/>
  <c r="X235" i="4"/>
  <c r="Z235" i="4" s="1"/>
  <c r="U235" i="4"/>
  <c r="L235" i="4"/>
  <c r="I235" i="4"/>
  <c r="AH234" i="4"/>
  <c r="AK234" i="4" s="1"/>
  <c r="AG234" i="4"/>
  <c r="AD234" i="4"/>
  <c r="V234" i="4"/>
  <c r="Y234" i="4" s="1"/>
  <c r="U234" i="4"/>
  <c r="R234" i="4"/>
  <c r="J234" i="4"/>
  <c r="M234" i="4" s="1"/>
  <c r="I234" i="4"/>
  <c r="F234" i="4"/>
  <c r="AN248" i="4"/>
  <c r="AJ248" i="4"/>
  <c r="AL248" i="4" s="1"/>
  <c r="AG248" i="4"/>
  <c r="X248" i="4"/>
  <c r="Z248" i="4" s="1"/>
  <c r="U248" i="4"/>
  <c r="L248" i="4"/>
  <c r="I248" i="4"/>
  <c r="AH247" i="4"/>
  <c r="AK247" i="4" s="1"/>
  <c r="AG247" i="4"/>
  <c r="AD247" i="4"/>
  <c r="V247" i="4"/>
  <c r="Y247" i="4" s="1"/>
  <c r="U247" i="4"/>
  <c r="R247" i="4"/>
  <c r="J247" i="4"/>
  <c r="M247" i="4" s="1"/>
  <c r="I247" i="4"/>
  <c r="F247" i="4"/>
  <c r="C318" i="9"/>
  <c r="AN247" i="4" l="1"/>
  <c r="AN234" i="4"/>
  <c r="AM248" i="4"/>
  <c r="AO248" i="4" s="1"/>
  <c r="AQ248" i="4" s="1"/>
  <c r="AR248" i="4" s="1"/>
  <c r="AS248" i="4" s="1"/>
  <c r="N240" i="4"/>
  <c r="AM240" i="4"/>
  <c r="AO240" i="4" s="1"/>
  <c r="AQ240" i="4" s="1"/>
  <c r="AM235" i="4"/>
  <c r="AO235" i="4" s="1"/>
  <c r="AQ235" i="4" s="1"/>
  <c r="AR235" i="4" s="1"/>
  <c r="AS235" i="4" s="1"/>
  <c r="AM244" i="4"/>
  <c r="Z244" i="4"/>
  <c r="X234" i="4"/>
  <c r="Z234" i="4" s="1"/>
  <c r="N235" i="4"/>
  <c r="AJ234" i="4"/>
  <c r="AL234" i="4" s="1"/>
  <c r="L234" i="4"/>
  <c r="N248" i="4"/>
  <c r="AJ247" i="4"/>
  <c r="AL247" i="4" s="1"/>
  <c r="L247" i="4"/>
  <c r="X247" i="4"/>
  <c r="Z247" i="4" s="1"/>
  <c r="M300" i="9"/>
  <c r="H300" i="9"/>
  <c r="C298" i="9"/>
  <c r="C300" i="9"/>
  <c r="AN217" i="4"/>
  <c r="AH217" i="4"/>
  <c r="AJ217" i="4" s="1"/>
  <c r="AL217" i="4" s="1"/>
  <c r="AG217" i="4"/>
  <c r="AD217" i="4"/>
  <c r="V217" i="4"/>
  <c r="X217" i="4" s="1"/>
  <c r="Z217" i="4" s="1"/>
  <c r="U217" i="4"/>
  <c r="R217" i="4"/>
  <c r="J217" i="4"/>
  <c r="L217" i="4" s="1"/>
  <c r="I217" i="4"/>
  <c r="F217" i="4"/>
  <c r="AO244" i="4" l="1"/>
  <c r="AQ244" i="4" s="1"/>
  <c r="AR244" i="4" s="1"/>
  <c r="AS244" i="4" s="1"/>
  <c r="AR240" i="4"/>
  <c r="AS240" i="4" s="1"/>
  <c r="N234" i="4"/>
  <c r="AM234" i="4"/>
  <c r="AO234" i="4" s="1"/>
  <c r="AQ234" i="4" s="1"/>
  <c r="N247" i="4"/>
  <c r="AM247" i="4"/>
  <c r="AO247" i="4" s="1"/>
  <c r="AQ247" i="4" s="1"/>
  <c r="AM217" i="4"/>
  <c r="AO217" i="4" s="1"/>
  <c r="AQ217" i="4" s="1"/>
  <c r="AR217" i="4" s="1"/>
  <c r="AS217" i="4" s="1"/>
  <c r="N217" i="4"/>
  <c r="C281" i="9"/>
  <c r="M282" i="9"/>
  <c r="AN207" i="4"/>
  <c r="AH207" i="4"/>
  <c r="AJ207" i="4" s="1"/>
  <c r="AL207" i="4" s="1"/>
  <c r="AG207" i="4"/>
  <c r="AD207" i="4"/>
  <c r="V207" i="4"/>
  <c r="X207" i="4" s="1"/>
  <c r="Z207" i="4" s="1"/>
  <c r="U207" i="4"/>
  <c r="R207" i="4"/>
  <c r="J207" i="4"/>
  <c r="L207" i="4" s="1"/>
  <c r="I207" i="4"/>
  <c r="F207" i="4"/>
  <c r="AN205" i="4"/>
  <c r="AH205" i="4"/>
  <c r="AJ205" i="4" s="1"/>
  <c r="AL205" i="4" s="1"/>
  <c r="AG205" i="4"/>
  <c r="AD205" i="4"/>
  <c r="V205" i="4"/>
  <c r="X205" i="4" s="1"/>
  <c r="Z205" i="4" s="1"/>
  <c r="U205" i="4"/>
  <c r="R205" i="4"/>
  <c r="J205" i="4"/>
  <c r="L205" i="4" s="1"/>
  <c r="I205" i="4"/>
  <c r="F205" i="4"/>
  <c r="Y365" i="2"/>
  <c r="O114" i="2"/>
  <c r="M267" i="9"/>
  <c r="H267" i="9"/>
  <c r="C267" i="9"/>
  <c r="C264" i="9"/>
  <c r="N82" i="2" l="1"/>
  <c r="N83" i="2" s="1"/>
  <c r="N84" i="2" s="1"/>
  <c r="N85" i="2" s="1"/>
  <c r="AR234" i="4"/>
  <c r="AS234" i="4" s="1"/>
  <c r="AR247" i="4"/>
  <c r="AS247" i="4" s="1"/>
  <c r="AM207" i="4"/>
  <c r="AO207" i="4" s="1"/>
  <c r="AQ207" i="4" s="1"/>
  <c r="N207" i="4"/>
  <c r="AM205" i="4"/>
  <c r="AO205" i="4" s="1"/>
  <c r="AQ205" i="4" s="1"/>
  <c r="N205" i="4"/>
  <c r="P82" i="2" l="1"/>
  <c r="P83" i="2"/>
  <c r="P84" i="2"/>
  <c r="AR207" i="4"/>
  <c r="AS207" i="4" s="1"/>
  <c r="AR205" i="4"/>
  <c r="AS205" i="4" s="1"/>
  <c r="P85" i="2"/>
  <c r="N86" i="2"/>
  <c r="O94" i="2" l="1"/>
  <c r="P86" i="2"/>
  <c r="N87" i="2"/>
  <c r="N88" i="2" s="1"/>
  <c r="P88" i="2" s="1"/>
  <c r="N114" i="2" l="1"/>
  <c r="P87" i="2"/>
  <c r="R82" i="2" s="1"/>
  <c r="O132" i="2" l="1"/>
  <c r="R123" i="2" l="1"/>
  <c r="AN193" i="4"/>
  <c r="AH193" i="4"/>
  <c r="AJ193" i="4" s="1"/>
  <c r="AL193" i="4" s="1"/>
  <c r="AG193" i="4"/>
  <c r="AD193" i="4"/>
  <c r="V193" i="4"/>
  <c r="X193" i="4" s="1"/>
  <c r="Z193" i="4" s="1"/>
  <c r="U193" i="4"/>
  <c r="R193" i="4"/>
  <c r="J193" i="4"/>
  <c r="L193" i="4" s="1"/>
  <c r="I193" i="4"/>
  <c r="F193" i="4"/>
  <c r="AM193" i="4" l="1"/>
  <c r="AO193" i="4" s="1"/>
  <c r="AQ193" i="4" s="1"/>
  <c r="N193" i="4"/>
  <c r="E94" i="5"/>
  <c r="C231" i="9"/>
  <c r="C229" i="9"/>
  <c r="AN167" i="4"/>
  <c r="AH167" i="4"/>
  <c r="AJ167" i="4" s="1"/>
  <c r="AL167" i="4" s="1"/>
  <c r="AG167" i="4"/>
  <c r="AD167" i="4"/>
  <c r="V167" i="4"/>
  <c r="X167" i="4" s="1"/>
  <c r="Z167" i="4" s="1"/>
  <c r="U167" i="4"/>
  <c r="R167" i="4"/>
  <c r="J167" i="4"/>
  <c r="L167" i="4" s="1"/>
  <c r="I167" i="4"/>
  <c r="F167" i="4"/>
  <c r="AR193" i="4" l="1"/>
  <c r="AS193" i="4" s="1"/>
  <c r="AM167" i="4"/>
  <c r="AO167" i="4" s="1"/>
  <c r="AQ167" i="4" s="1"/>
  <c r="N167" i="4"/>
  <c r="AR167" i="4" l="1"/>
  <c r="AS167" i="4" s="1"/>
  <c r="E89" i="5" l="1"/>
  <c r="E93" i="5" s="1"/>
  <c r="C216" i="9"/>
  <c r="AN156" i="4"/>
  <c r="AH156" i="4"/>
  <c r="AJ156" i="4" s="1"/>
  <c r="AL156" i="4" s="1"/>
  <c r="AG156" i="4"/>
  <c r="AD156" i="4"/>
  <c r="V156" i="4"/>
  <c r="X156" i="4" s="1"/>
  <c r="Z156" i="4" s="1"/>
  <c r="U156" i="4"/>
  <c r="R156" i="4"/>
  <c r="J156" i="4"/>
  <c r="L156" i="4" s="1"/>
  <c r="I156" i="4"/>
  <c r="F156" i="4"/>
  <c r="E87" i="5"/>
  <c r="N156" i="4" l="1"/>
  <c r="AM156" i="4"/>
  <c r="AO156" i="4" s="1"/>
  <c r="AQ156" i="4" s="1"/>
  <c r="M201" i="9"/>
  <c r="H201" i="9"/>
  <c r="C201" i="9"/>
  <c r="AN147" i="4"/>
  <c r="AJ147" i="4"/>
  <c r="AL147" i="4" s="1"/>
  <c r="AG147" i="4"/>
  <c r="X147" i="4"/>
  <c r="Z147" i="4" s="1"/>
  <c r="U147" i="4"/>
  <c r="L147" i="4"/>
  <c r="I147" i="4"/>
  <c r="AH146" i="4"/>
  <c r="AK146" i="4" s="1"/>
  <c r="AG146" i="4"/>
  <c r="AD146" i="4"/>
  <c r="V146" i="4"/>
  <c r="Y146" i="4" s="1"/>
  <c r="U146" i="4"/>
  <c r="R146" i="4"/>
  <c r="J146" i="4"/>
  <c r="M146" i="4" s="1"/>
  <c r="I146" i="4"/>
  <c r="F146" i="4"/>
  <c r="E84" i="5"/>
  <c r="AR156" i="4" l="1"/>
  <c r="AS156" i="4" s="1"/>
  <c r="AN146" i="4"/>
  <c r="AM147" i="4"/>
  <c r="AO147" i="4" s="1"/>
  <c r="AQ147" i="4" s="1"/>
  <c r="AR147" i="4" s="1"/>
  <c r="AS147" i="4" s="1"/>
  <c r="N147" i="4"/>
  <c r="L146" i="4"/>
  <c r="AJ146" i="4"/>
  <c r="AL146" i="4" s="1"/>
  <c r="X146" i="4"/>
  <c r="Z146" i="4" s="1"/>
  <c r="N146" i="4" l="1"/>
  <c r="AM146" i="4"/>
  <c r="AO146" i="4" s="1"/>
  <c r="AQ146" i="4" s="1"/>
  <c r="AR146" i="4" l="1"/>
  <c r="AS146" i="4" s="1"/>
  <c r="AN122" i="4" l="1"/>
  <c r="AJ122" i="4"/>
  <c r="AL122" i="4" s="1"/>
  <c r="AG122" i="4"/>
  <c r="X122" i="4"/>
  <c r="Z122" i="4" s="1"/>
  <c r="U122" i="4"/>
  <c r="L122" i="4"/>
  <c r="I122" i="4"/>
  <c r="AH121" i="4"/>
  <c r="AK121" i="4" s="1"/>
  <c r="AG121" i="4"/>
  <c r="AD121" i="4"/>
  <c r="V121" i="4"/>
  <c r="Y121" i="4" s="1"/>
  <c r="U121" i="4"/>
  <c r="R121" i="4"/>
  <c r="J121" i="4"/>
  <c r="M121" i="4" s="1"/>
  <c r="I121" i="4"/>
  <c r="F121" i="4"/>
  <c r="M148" i="9"/>
  <c r="H148" i="9"/>
  <c r="C148" i="9"/>
  <c r="AN110" i="4"/>
  <c r="AJ110" i="4"/>
  <c r="AL110" i="4" s="1"/>
  <c r="AG110" i="4"/>
  <c r="X110" i="4"/>
  <c r="Z110" i="4" s="1"/>
  <c r="U110" i="4"/>
  <c r="L110" i="4"/>
  <c r="I110" i="4"/>
  <c r="AH109" i="4"/>
  <c r="AK109" i="4" s="1"/>
  <c r="AG109" i="4"/>
  <c r="AD109" i="4"/>
  <c r="V109" i="4"/>
  <c r="Y109" i="4" s="1"/>
  <c r="U109" i="4"/>
  <c r="R109" i="4"/>
  <c r="J109" i="4"/>
  <c r="M109" i="4" s="1"/>
  <c r="I109" i="4"/>
  <c r="F109" i="4"/>
  <c r="O190" i="2" l="1"/>
  <c r="O171" i="2"/>
  <c r="AN109" i="4"/>
  <c r="AM122" i="4"/>
  <c r="AO122" i="4" s="1"/>
  <c r="AQ122" i="4" s="1"/>
  <c r="AR122" i="4" s="1"/>
  <c r="AS122" i="4" s="1"/>
  <c r="AN121" i="4"/>
  <c r="AM110" i="4"/>
  <c r="AO110" i="4" s="1"/>
  <c r="AQ110" i="4" s="1"/>
  <c r="AR110" i="4" s="1"/>
  <c r="AS110" i="4" s="1"/>
  <c r="X121" i="4"/>
  <c r="Z121" i="4" s="1"/>
  <c r="N122" i="4"/>
  <c r="AJ121" i="4"/>
  <c r="AL121" i="4" s="1"/>
  <c r="L121" i="4"/>
  <c r="N110" i="4"/>
  <c r="AJ109" i="4"/>
  <c r="AL109" i="4" s="1"/>
  <c r="L109" i="4"/>
  <c r="X109" i="4"/>
  <c r="Z109" i="4" s="1"/>
  <c r="N121" i="4" l="1"/>
  <c r="AM121" i="4"/>
  <c r="AO121" i="4" s="1"/>
  <c r="AQ121" i="4" s="1"/>
  <c r="N109" i="4"/>
  <c r="AM109" i="4"/>
  <c r="AO109" i="4" s="1"/>
  <c r="AQ109" i="4" s="1"/>
  <c r="AR121" i="4" l="1"/>
  <c r="AS121" i="4" s="1"/>
  <c r="AR109" i="4"/>
  <c r="AS109" i="4" s="1"/>
  <c r="M69" i="18" l="1"/>
  <c r="M68" i="18"/>
  <c r="M67" i="18"/>
  <c r="M59" i="18"/>
  <c r="L59" i="18"/>
  <c r="I59" i="18"/>
  <c r="G59" i="18"/>
  <c r="F59" i="18"/>
  <c r="E59" i="18"/>
  <c r="D59" i="18"/>
  <c r="K56" i="18"/>
  <c r="J56" i="18"/>
  <c r="J59" i="18" s="1"/>
  <c r="I56" i="18"/>
  <c r="K52" i="18"/>
  <c r="K59" i="18" s="1"/>
  <c r="M41" i="18"/>
  <c r="L41" i="18"/>
  <c r="K41" i="18"/>
  <c r="J41" i="18"/>
  <c r="I41" i="18"/>
  <c r="G41" i="18"/>
  <c r="F41" i="18"/>
  <c r="E41" i="18"/>
  <c r="D41" i="18"/>
  <c r="M36" i="18"/>
  <c r="L36" i="18"/>
  <c r="K36" i="18"/>
  <c r="J36" i="18"/>
  <c r="I36" i="18"/>
  <c r="G36" i="18"/>
  <c r="F36" i="18"/>
  <c r="E36" i="18"/>
  <c r="D36" i="18"/>
  <c r="M31" i="18"/>
  <c r="L31" i="18"/>
  <c r="K31" i="18"/>
  <c r="J31" i="18"/>
  <c r="I31" i="18"/>
  <c r="G31" i="18"/>
  <c r="F31" i="18"/>
  <c r="E31" i="18"/>
  <c r="D31" i="18"/>
  <c r="M23" i="18"/>
  <c r="L23" i="18"/>
  <c r="K23" i="18"/>
  <c r="J23" i="18"/>
  <c r="I23" i="18"/>
  <c r="G23" i="18"/>
  <c r="F23" i="18"/>
  <c r="F43" i="18" s="1"/>
  <c r="F60" i="18" s="1"/>
  <c r="F62" i="18" s="1"/>
  <c r="E23" i="18"/>
  <c r="E43" i="18" s="1"/>
  <c r="E60" i="18" s="1"/>
  <c r="E62" i="18" s="1"/>
  <c r="D23" i="18"/>
  <c r="M8" i="18"/>
  <c r="M43" i="18" s="1"/>
  <c r="M60" i="18" s="1"/>
  <c r="M62" i="18" s="1"/>
  <c r="L8" i="18"/>
  <c r="K8" i="18"/>
  <c r="J8" i="18"/>
  <c r="I8" i="18"/>
  <c r="G8" i="18"/>
  <c r="G43" i="18" s="1"/>
  <c r="G60" i="18" s="1"/>
  <c r="G62" i="18" s="1"/>
  <c r="F8" i="18"/>
  <c r="E8" i="18"/>
  <c r="D8" i="18"/>
  <c r="D43" i="18" l="1"/>
  <c r="D60" i="18" s="1"/>
  <c r="D62" i="18" s="1"/>
  <c r="K43" i="18"/>
  <c r="K60" i="18" s="1"/>
  <c r="K62" i="18" s="1"/>
  <c r="I43" i="18"/>
  <c r="I60" i="18" s="1"/>
  <c r="I62" i="18" s="1"/>
  <c r="J43" i="18"/>
  <c r="J60" i="18" s="1"/>
  <c r="J62" i="18" s="1"/>
  <c r="L43" i="18"/>
  <c r="L60" i="18" s="1"/>
  <c r="L62" i="18" s="1"/>
  <c r="M108" i="9"/>
  <c r="M106" i="9"/>
  <c r="C110" i="9"/>
  <c r="C109" i="9"/>
  <c r="C107" i="9"/>
  <c r="C106" i="9"/>
  <c r="AN76" i="4"/>
  <c r="AH76" i="4"/>
  <c r="AJ76" i="4" s="1"/>
  <c r="AL76" i="4" s="1"/>
  <c r="AG76" i="4"/>
  <c r="AD76" i="4"/>
  <c r="V76" i="4"/>
  <c r="X76" i="4" s="1"/>
  <c r="Z76" i="4" s="1"/>
  <c r="U76" i="4"/>
  <c r="R76" i="4"/>
  <c r="J76" i="4"/>
  <c r="L76" i="4" s="1"/>
  <c r="I76" i="4"/>
  <c r="F76" i="4"/>
  <c r="C88" i="9"/>
  <c r="AN67" i="4"/>
  <c r="AH67" i="4"/>
  <c r="AJ67" i="4" s="1"/>
  <c r="AL67" i="4" s="1"/>
  <c r="AG67" i="4"/>
  <c r="AD67" i="4"/>
  <c r="V67" i="4"/>
  <c r="X67" i="4" s="1"/>
  <c r="Z67" i="4" s="1"/>
  <c r="U67" i="4"/>
  <c r="R67" i="4"/>
  <c r="J67" i="4"/>
  <c r="L67" i="4" s="1"/>
  <c r="I67" i="4"/>
  <c r="F67" i="4"/>
  <c r="AM76" i="4" l="1"/>
  <c r="AO76" i="4" s="1"/>
  <c r="AQ76" i="4" s="1"/>
  <c r="N76" i="4"/>
  <c r="N67" i="4"/>
  <c r="AM67" i="4"/>
  <c r="AO67" i="4" s="1"/>
  <c r="AQ67" i="4" s="1"/>
  <c r="AR76" i="4" l="1"/>
  <c r="AS76" i="4" s="1"/>
  <c r="AR67" i="4"/>
  <c r="AS67" i="4" s="1"/>
  <c r="C72" i="9" l="1"/>
  <c r="M74" i="9"/>
  <c r="M72" i="9"/>
  <c r="AN60" i="4"/>
  <c r="AJ60" i="4"/>
  <c r="AL60" i="4" s="1"/>
  <c r="AG60" i="4"/>
  <c r="X60" i="4"/>
  <c r="Z60" i="4" s="1"/>
  <c r="U60" i="4"/>
  <c r="L60" i="4"/>
  <c r="I60" i="4"/>
  <c r="AH59" i="4"/>
  <c r="AK59" i="4" s="1"/>
  <c r="AG59" i="4"/>
  <c r="AD59" i="4"/>
  <c r="V59" i="4"/>
  <c r="Y59" i="4" s="1"/>
  <c r="U59" i="4"/>
  <c r="R59" i="4"/>
  <c r="J59" i="4"/>
  <c r="M59" i="4" s="1"/>
  <c r="I59" i="4"/>
  <c r="F59" i="4"/>
  <c r="Q90" i="2"/>
  <c r="Y94" i="2"/>
  <c r="AN59" i="4" l="1"/>
  <c r="AM60" i="4"/>
  <c r="AO60" i="4" s="1"/>
  <c r="AQ60" i="4" s="1"/>
  <c r="AR60" i="4" s="1"/>
  <c r="AS60" i="4" s="1"/>
  <c r="N60" i="4"/>
  <c r="AJ59" i="4"/>
  <c r="AL59" i="4" s="1"/>
  <c r="L59" i="4"/>
  <c r="X59" i="4"/>
  <c r="Z59" i="4" s="1"/>
  <c r="AM59" i="4" l="1"/>
  <c r="AO59" i="4" s="1"/>
  <c r="AQ59" i="4" s="1"/>
  <c r="N59" i="4"/>
  <c r="X82" i="2"/>
  <c r="AR59" i="4" l="1"/>
  <c r="AS59" i="4" s="1"/>
  <c r="X83" i="2"/>
  <c r="Z82" i="2"/>
  <c r="C56" i="9"/>
  <c r="AN41" i="4"/>
  <c r="AH41" i="4"/>
  <c r="AJ41" i="4" s="1"/>
  <c r="AL41" i="4" s="1"/>
  <c r="AG41" i="4"/>
  <c r="AD41" i="4"/>
  <c r="V41" i="4"/>
  <c r="X41" i="4" s="1"/>
  <c r="Z41" i="4" s="1"/>
  <c r="U41" i="4"/>
  <c r="R41" i="4"/>
  <c r="J41" i="4"/>
  <c r="L41" i="4" s="1"/>
  <c r="I41" i="4"/>
  <c r="F41" i="4"/>
  <c r="X84" i="2" l="1"/>
  <c r="Z83" i="2"/>
  <c r="N41" i="4"/>
  <c r="AM41" i="4"/>
  <c r="AO41" i="4" s="1"/>
  <c r="AQ41" i="4" s="1"/>
  <c r="Z84" i="2" l="1"/>
  <c r="X85" i="2"/>
  <c r="AR41" i="4"/>
  <c r="AS41" i="4" s="1"/>
  <c r="Z85" i="2" l="1"/>
  <c r="X86" i="2"/>
  <c r="Z86" i="2" s="1"/>
  <c r="M60" i="9"/>
  <c r="G64" i="2"/>
  <c r="H59" i="9"/>
  <c r="C55" i="9"/>
  <c r="AN39" i="4"/>
  <c r="AH39" i="4"/>
  <c r="AJ39" i="4" s="1"/>
  <c r="AL39" i="4" s="1"/>
  <c r="AG39" i="4"/>
  <c r="AD39" i="4"/>
  <c r="V39" i="4"/>
  <c r="X39" i="4" s="1"/>
  <c r="Z39" i="4" s="1"/>
  <c r="U39" i="4"/>
  <c r="R39" i="4"/>
  <c r="J39" i="4"/>
  <c r="L39" i="4" s="1"/>
  <c r="I39" i="4"/>
  <c r="F39" i="4"/>
  <c r="C59" i="9"/>
  <c r="AN45" i="4"/>
  <c r="AH45" i="4"/>
  <c r="AJ45" i="4" s="1"/>
  <c r="AL45" i="4" s="1"/>
  <c r="AG45" i="4"/>
  <c r="AD45" i="4"/>
  <c r="V45" i="4"/>
  <c r="X45" i="4" s="1"/>
  <c r="Z45" i="4" s="1"/>
  <c r="U45" i="4"/>
  <c r="R45" i="4"/>
  <c r="J45" i="4"/>
  <c r="L45" i="4" s="1"/>
  <c r="I45" i="4"/>
  <c r="F45" i="4"/>
  <c r="N64" i="2" l="1"/>
  <c r="N65" i="2" s="1"/>
  <c r="F64" i="2"/>
  <c r="F65" i="2"/>
  <c r="N39" i="4"/>
  <c r="AM39" i="4"/>
  <c r="AO39" i="4" s="1"/>
  <c r="AQ39" i="4" s="1"/>
  <c r="N45" i="4"/>
  <c r="AM45" i="4"/>
  <c r="AO45" i="4" s="1"/>
  <c r="AQ45" i="4" s="1"/>
  <c r="N66" i="2" l="1"/>
  <c r="P65" i="2"/>
  <c r="F66" i="2"/>
  <c r="F67" i="2" s="1"/>
  <c r="H67" i="2" s="1"/>
  <c r="H65" i="2"/>
  <c r="H64" i="2"/>
  <c r="AR39" i="4"/>
  <c r="AS39" i="4" s="1"/>
  <c r="AR45" i="4"/>
  <c r="AS45" i="4" s="1"/>
  <c r="M42" i="9"/>
  <c r="O56" i="2"/>
  <c r="N67" i="2" l="1"/>
  <c r="P66" i="2"/>
  <c r="H66" i="2"/>
  <c r="AN9" i="4"/>
  <c r="AH9" i="4"/>
  <c r="AJ9" i="4" s="1"/>
  <c r="AL9" i="4" s="1"/>
  <c r="AG9" i="4"/>
  <c r="AD9" i="4"/>
  <c r="V9" i="4"/>
  <c r="X9" i="4" s="1"/>
  <c r="Z9" i="4" s="1"/>
  <c r="U9" i="4"/>
  <c r="R9" i="4"/>
  <c r="J9" i="4"/>
  <c r="L9" i="4" s="1"/>
  <c r="I9" i="4"/>
  <c r="F9" i="4"/>
  <c r="X7" i="12"/>
  <c r="X3" i="12"/>
  <c r="P46" i="16"/>
  <c r="N47" i="16"/>
  <c r="P47" i="16" s="1"/>
  <c r="P48" i="16"/>
  <c r="P49" i="16"/>
  <c r="P50" i="16"/>
  <c r="N68" i="2" l="1"/>
  <c r="P67" i="2"/>
  <c r="N9" i="4"/>
  <c r="AM9" i="4"/>
  <c r="AO9" i="4" s="1"/>
  <c r="AQ9" i="4" s="1"/>
  <c r="N69" i="2" l="1"/>
  <c r="P68" i="2"/>
  <c r="AR9" i="4"/>
  <c r="AS9" i="4" s="1"/>
  <c r="N70" i="2" l="1"/>
  <c r="P69" i="2"/>
  <c r="O64" i="2"/>
  <c r="P70" i="2" l="1"/>
  <c r="N71" i="2"/>
  <c r="P71" i="2" s="1"/>
  <c r="O73" i="2"/>
  <c r="P64" i="2"/>
  <c r="R65" i="2" s="1"/>
  <c r="X4" i="12" l="1"/>
  <c r="O547" i="2" l="1"/>
  <c r="E100" i="5"/>
  <c r="E107" i="5" s="1"/>
  <c r="C463" i="9"/>
  <c r="AN343" i="4"/>
  <c r="AJ343" i="4"/>
  <c r="AL343" i="4" s="1"/>
  <c r="AG343" i="4"/>
  <c r="X343" i="4"/>
  <c r="Z343" i="4" s="1"/>
  <c r="U343" i="4"/>
  <c r="L343" i="4"/>
  <c r="I343" i="4"/>
  <c r="U342" i="4"/>
  <c r="J342" i="4"/>
  <c r="M342" i="4" s="1"/>
  <c r="P342" i="4" s="1"/>
  <c r="R342" i="4" s="1"/>
  <c r="I342" i="4"/>
  <c r="F342" i="4"/>
  <c r="M450" i="9"/>
  <c r="H450" i="9"/>
  <c r="C450" i="9"/>
  <c r="AN331" i="4"/>
  <c r="AJ331" i="4"/>
  <c r="AL331" i="4" s="1"/>
  <c r="AG331" i="4"/>
  <c r="X331" i="4"/>
  <c r="Z331" i="4" s="1"/>
  <c r="U331" i="4"/>
  <c r="L331" i="4"/>
  <c r="I331" i="4"/>
  <c r="AH330" i="4"/>
  <c r="AK330" i="4" s="1"/>
  <c r="AG330" i="4"/>
  <c r="AD330" i="4"/>
  <c r="V330" i="4"/>
  <c r="Y330" i="4" s="1"/>
  <c r="U330" i="4"/>
  <c r="R330" i="4"/>
  <c r="J330" i="4"/>
  <c r="M330" i="4" s="1"/>
  <c r="I330" i="4"/>
  <c r="F330" i="4"/>
  <c r="O488" i="2"/>
  <c r="O470" i="2"/>
  <c r="I426" i="9" s="1"/>
  <c r="M401" i="9"/>
  <c r="H401" i="9"/>
  <c r="C401" i="9"/>
  <c r="U299" i="4"/>
  <c r="J290" i="4"/>
  <c r="C397" i="9"/>
  <c r="C382" i="9"/>
  <c r="AN278" i="4"/>
  <c r="AH278" i="4"/>
  <c r="AJ278" i="4" s="1"/>
  <c r="AL278" i="4" s="1"/>
  <c r="AG278" i="4"/>
  <c r="AD278" i="4"/>
  <c r="V278" i="4"/>
  <c r="X278" i="4" s="1"/>
  <c r="Z278" i="4" s="1"/>
  <c r="U278" i="4"/>
  <c r="R278" i="4"/>
  <c r="J278" i="4"/>
  <c r="L278" i="4" s="1"/>
  <c r="I278" i="4"/>
  <c r="F278" i="4"/>
  <c r="C380" i="9"/>
  <c r="C379" i="9"/>
  <c r="V342" i="4" l="1"/>
  <c r="Y342" i="4" s="1"/>
  <c r="AB342" i="4" s="1"/>
  <c r="AE342" i="4" s="1"/>
  <c r="AG342" i="4" s="1"/>
  <c r="AD342" i="4"/>
  <c r="AH342" i="4"/>
  <c r="AK342" i="4" s="1"/>
  <c r="AN342" i="4" s="1"/>
  <c r="AM343" i="4"/>
  <c r="AO343" i="4" s="1"/>
  <c r="AQ343" i="4" s="1"/>
  <c r="AR343" i="4" s="1"/>
  <c r="AS343" i="4" s="1"/>
  <c r="N343" i="4"/>
  <c r="L342" i="4"/>
  <c r="AN330" i="4"/>
  <c r="AM331" i="4"/>
  <c r="AO331" i="4" s="1"/>
  <c r="AQ331" i="4" s="1"/>
  <c r="AR331" i="4" s="1"/>
  <c r="AS331" i="4" s="1"/>
  <c r="N331" i="4"/>
  <c r="AJ330" i="4"/>
  <c r="AL330" i="4" s="1"/>
  <c r="L330" i="4"/>
  <c r="X330" i="4"/>
  <c r="Z330" i="4" s="1"/>
  <c r="AM278" i="4"/>
  <c r="AO278" i="4" s="1"/>
  <c r="AQ278" i="4" s="1"/>
  <c r="N278" i="4"/>
  <c r="X342" i="4" l="1"/>
  <c r="Z342" i="4" s="1"/>
  <c r="AJ342" i="4"/>
  <c r="AL342" i="4" s="1"/>
  <c r="N342" i="4"/>
  <c r="N330" i="4"/>
  <c r="AM330" i="4"/>
  <c r="AO330" i="4" s="1"/>
  <c r="AQ330" i="4" s="1"/>
  <c r="AR278" i="4"/>
  <c r="AS278" i="4" s="1"/>
  <c r="C366" i="9"/>
  <c r="C363" i="9"/>
  <c r="AM342" i="4" l="1"/>
  <c r="AO342" i="4" s="1"/>
  <c r="AQ342" i="4" s="1"/>
  <c r="AR342" i="4"/>
  <c r="AS342" i="4" s="1"/>
  <c r="AR330" i="4"/>
  <c r="AS330" i="4" s="1"/>
  <c r="C352" i="9"/>
  <c r="C349" i="9"/>
  <c r="C347" i="9"/>
  <c r="AN258" i="4"/>
  <c r="AJ258" i="4"/>
  <c r="AL258" i="4" s="1"/>
  <c r="AG258" i="4"/>
  <c r="X258" i="4"/>
  <c r="Z258" i="4" s="1"/>
  <c r="U258" i="4"/>
  <c r="L258" i="4"/>
  <c r="I258" i="4"/>
  <c r="AH257" i="4"/>
  <c r="AK257" i="4" s="1"/>
  <c r="AG257" i="4"/>
  <c r="AD257" i="4"/>
  <c r="V257" i="4"/>
  <c r="Y257" i="4" s="1"/>
  <c r="U257" i="4"/>
  <c r="R257" i="4"/>
  <c r="J257" i="4"/>
  <c r="M257" i="4" s="1"/>
  <c r="I257" i="4"/>
  <c r="F257" i="4"/>
  <c r="O383" i="2"/>
  <c r="AN257" i="4" l="1"/>
  <c r="AM258" i="4"/>
  <c r="AO258" i="4" s="1"/>
  <c r="AQ258" i="4" s="1"/>
  <c r="AR258" i="4" s="1"/>
  <c r="AS258" i="4" s="1"/>
  <c r="X257" i="4"/>
  <c r="Z257" i="4" s="1"/>
  <c r="N258" i="4"/>
  <c r="AJ257" i="4"/>
  <c r="AL257" i="4" s="1"/>
  <c r="L257" i="4"/>
  <c r="N257" i="4" l="1"/>
  <c r="AM257" i="4"/>
  <c r="AO257" i="4" s="1"/>
  <c r="AQ257" i="4" s="1"/>
  <c r="AR257" i="4" l="1"/>
  <c r="AS257" i="4" s="1"/>
  <c r="N383" i="2" l="1"/>
  <c r="M335" i="9" l="1"/>
  <c r="H335" i="9"/>
  <c r="C335" i="9"/>
  <c r="AN246" i="4"/>
  <c r="AJ246" i="4"/>
  <c r="AL246" i="4" s="1"/>
  <c r="AG246" i="4"/>
  <c r="X246" i="4"/>
  <c r="Z246" i="4" s="1"/>
  <c r="U246" i="4"/>
  <c r="L246" i="4"/>
  <c r="N246" i="4" s="1"/>
  <c r="I246" i="4"/>
  <c r="AH245" i="4"/>
  <c r="AK245" i="4" s="1"/>
  <c r="AG245" i="4"/>
  <c r="AD245" i="4"/>
  <c r="V245" i="4"/>
  <c r="X245" i="4" s="1"/>
  <c r="U245" i="4"/>
  <c r="R245" i="4"/>
  <c r="J245" i="4"/>
  <c r="M245" i="4" s="1"/>
  <c r="I245" i="4"/>
  <c r="F245" i="4"/>
  <c r="C329" i="9"/>
  <c r="Y245" i="4" l="1"/>
  <c r="Z245" i="4" s="1"/>
  <c r="AJ245" i="4"/>
  <c r="AL245" i="4" s="1"/>
  <c r="L245" i="4"/>
  <c r="AM246" i="4"/>
  <c r="AO246" i="4" s="1"/>
  <c r="AQ246" i="4" s="1"/>
  <c r="H319" i="9"/>
  <c r="C319" i="9"/>
  <c r="C314" i="9"/>
  <c r="C313" i="9"/>
  <c r="AN245" i="4" l="1"/>
  <c r="N245" i="4"/>
  <c r="AM245" i="4"/>
  <c r="AR246" i="4"/>
  <c r="AS246" i="4" s="1"/>
  <c r="AO245" i="4" l="1"/>
  <c r="AQ245" i="4" s="1"/>
  <c r="AR245" i="4" s="1"/>
  <c r="AS245" i="4" s="1"/>
  <c r="L20" i="12" l="1"/>
  <c r="K20" i="12"/>
  <c r="J31" i="12"/>
  <c r="M20" i="12" l="1"/>
  <c r="W20" i="12" s="1"/>
  <c r="C296" i="9"/>
  <c r="M285" i="9"/>
  <c r="C285" i="9"/>
  <c r="C279" i="9"/>
  <c r="AN209" i="4"/>
  <c r="AJ209" i="4"/>
  <c r="AL209" i="4" s="1"/>
  <c r="AG209" i="4"/>
  <c r="X209" i="4"/>
  <c r="Z209" i="4" s="1"/>
  <c r="U209" i="4"/>
  <c r="L209" i="4"/>
  <c r="I209" i="4"/>
  <c r="AH208" i="4"/>
  <c r="AK208" i="4" s="1"/>
  <c r="AG208" i="4"/>
  <c r="AD208" i="4"/>
  <c r="V208" i="4"/>
  <c r="Y208" i="4" s="1"/>
  <c r="U208" i="4"/>
  <c r="R208" i="4"/>
  <c r="J208" i="4"/>
  <c r="L208" i="4" s="1"/>
  <c r="I208" i="4"/>
  <c r="F208" i="4"/>
  <c r="C278" i="9"/>
  <c r="AN198" i="4"/>
  <c r="AJ198" i="4"/>
  <c r="AL198" i="4" s="1"/>
  <c r="AG198" i="4"/>
  <c r="X198" i="4"/>
  <c r="Z198" i="4" s="1"/>
  <c r="U198" i="4"/>
  <c r="L198" i="4"/>
  <c r="N198" i="4" s="1"/>
  <c r="I198" i="4"/>
  <c r="AH197" i="4"/>
  <c r="AK197" i="4" s="1"/>
  <c r="AG197" i="4"/>
  <c r="AD197" i="4"/>
  <c r="V197" i="4"/>
  <c r="X197" i="4" s="1"/>
  <c r="U197" i="4"/>
  <c r="R197" i="4"/>
  <c r="J197" i="4"/>
  <c r="L197" i="4" s="1"/>
  <c r="I197" i="4"/>
  <c r="F197" i="4"/>
  <c r="C251" i="9"/>
  <c r="AN185" i="4"/>
  <c r="AJ185" i="4"/>
  <c r="AL185" i="4" s="1"/>
  <c r="AG185" i="4"/>
  <c r="X185" i="4"/>
  <c r="Z185" i="4" s="1"/>
  <c r="U185" i="4"/>
  <c r="L185" i="4"/>
  <c r="I185" i="4"/>
  <c r="AH184" i="4"/>
  <c r="AK184" i="4" s="1"/>
  <c r="AG184" i="4"/>
  <c r="AD184" i="4"/>
  <c r="V184" i="4"/>
  <c r="Y184" i="4" s="1"/>
  <c r="U184" i="4"/>
  <c r="R184" i="4"/>
  <c r="J184" i="4"/>
  <c r="M184" i="4" s="1"/>
  <c r="I184" i="4"/>
  <c r="F184" i="4"/>
  <c r="H232" i="9"/>
  <c r="H233" i="9"/>
  <c r="C233" i="9"/>
  <c r="C232" i="9"/>
  <c r="M233" i="9"/>
  <c r="M232" i="9"/>
  <c r="J164" i="4"/>
  <c r="L164" i="4" s="1"/>
  <c r="F164" i="4"/>
  <c r="I164" i="4"/>
  <c r="R164" i="4"/>
  <c r="U164" i="4"/>
  <c r="V164" i="4"/>
  <c r="X164" i="4" s="1"/>
  <c r="Z164" i="4" s="1"/>
  <c r="AD164" i="4"/>
  <c r="AG164" i="4"/>
  <c r="AH164" i="4"/>
  <c r="AJ164" i="4" s="1"/>
  <c r="AL164" i="4" s="1"/>
  <c r="AN164" i="4"/>
  <c r="AN168" i="4"/>
  <c r="AH168" i="4"/>
  <c r="AJ168" i="4" s="1"/>
  <c r="AL168" i="4" s="1"/>
  <c r="AG168" i="4"/>
  <c r="AD168" i="4"/>
  <c r="V168" i="4"/>
  <c r="X168" i="4" s="1"/>
  <c r="Z168" i="4" s="1"/>
  <c r="U168" i="4"/>
  <c r="R168" i="4"/>
  <c r="J168" i="4"/>
  <c r="L168" i="4" s="1"/>
  <c r="I168" i="4"/>
  <c r="F168" i="4"/>
  <c r="AM209" i="4" l="1"/>
  <c r="AO209" i="4" s="1"/>
  <c r="AQ209" i="4" s="1"/>
  <c r="AR209" i="4" s="1"/>
  <c r="AS209" i="4" s="1"/>
  <c r="N209" i="4"/>
  <c r="AJ208" i="4"/>
  <c r="AL208" i="4" s="1"/>
  <c r="M208" i="4"/>
  <c r="AN208" i="4" s="1"/>
  <c r="X208" i="4"/>
  <c r="Z208" i="4" s="1"/>
  <c r="AM185" i="4"/>
  <c r="AO185" i="4" s="1"/>
  <c r="AQ185" i="4" s="1"/>
  <c r="Y197" i="4"/>
  <c r="Z197" i="4" s="1"/>
  <c r="M197" i="4"/>
  <c r="N197" i="4" s="1"/>
  <c r="AN184" i="4"/>
  <c r="AJ197" i="4"/>
  <c r="AL197" i="4" s="1"/>
  <c r="AM198" i="4"/>
  <c r="AO198" i="4" s="1"/>
  <c r="AQ198" i="4" s="1"/>
  <c r="X184" i="4"/>
  <c r="Z184" i="4" s="1"/>
  <c r="N185" i="4"/>
  <c r="AJ184" i="4"/>
  <c r="AL184" i="4" s="1"/>
  <c r="L184" i="4"/>
  <c r="N164" i="4"/>
  <c r="AM164" i="4"/>
  <c r="AO164" i="4" s="1"/>
  <c r="AQ164" i="4" s="1"/>
  <c r="AM168" i="4"/>
  <c r="AO168" i="4" s="1"/>
  <c r="AQ168" i="4" s="1"/>
  <c r="N168" i="4"/>
  <c r="N208" i="4" l="1"/>
  <c r="AM208" i="4"/>
  <c r="AO208" i="4" s="1"/>
  <c r="AQ208" i="4" s="1"/>
  <c r="AR185" i="4"/>
  <c r="AS185" i="4" s="1"/>
  <c r="AN197" i="4"/>
  <c r="AR198" i="4"/>
  <c r="AS198" i="4" s="1"/>
  <c r="AM197" i="4"/>
  <c r="N184" i="4"/>
  <c r="AM184" i="4"/>
  <c r="AO184" i="4" s="1"/>
  <c r="AQ184" i="4" s="1"/>
  <c r="AR164" i="4"/>
  <c r="AS164" i="4" s="1"/>
  <c r="AR168" i="4"/>
  <c r="AS168" i="4" s="1"/>
  <c r="AO197" i="4" l="1"/>
  <c r="AQ197" i="4" s="1"/>
  <c r="AR197" i="4" s="1"/>
  <c r="AS197" i="4" s="1"/>
  <c r="AR208" i="4"/>
  <c r="AS208" i="4" s="1"/>
  <c r="AR184" i="4"/>
  <c r="AS184" i="4" s="1"/>
  <c r="C215" i="9" l="1"/>
  <c r="C212" i="9"/>
  <c r="AN150" i="4"/>
  <c r="AH150" i="4"/>
  <c r="AJ150" i="4" s="1"/>
  <c r="AL150" i="4" s="1"/>
  <c r="AG150" i="4"/>
  <c r="AD150" i="4"/>
  <c r="V150" i="4"/>
  <c r="X150" i="4" s="1"/>
  <c r="Z150" i="4" s="1"/>
  <c r="U150" i="4"/>
  <c r="R150" i="4"/>
  <c r="J150" i="4"/>
  <c r="L150" i="4" s="1"/>
  <c r="I150" i="4"/>
  <c r="F150" i="4"/>
  <c r="AN154" i="4"/>
  <c r="AH154" i="4"/>
  <c r="AJ154" i="4" s="1"/>
  <c r="AL154" i="4" s="1"/>
  <c r="AG154" i="4"/>
  <c r="AD154" i="4"/>
  <c r="V154" i="4"/>
  <c r="X154" i="4" s="1"/>
  <c r="Z154" i="4" s="1"/>
  <c r="U154" i="4"/>
  <c r="R154" i="4"/>
  <c r="J154" i="4"/>
  <c r="L154" i="4" s="1"/>
  <c r="I154" i="4"/>
  <c r="F154" i="4"/>
  <c r="E83" i="5"/>
  <c r="E88" i="5" s="1"/>
  <c r="M202" i="9"/>
  <c r="H202" i="9"/>
  <c r="C202" i="9"/>
  <c r="C197" i="9"/>
  <c r="AM150" i="4" l="1"/>
  <c r="AO150" i="4" s="1"/>
  <c r="AQ150" i="4" s="1"/>
  <c r="N150" i="4"/>
  <c r="AM154" i="4"/>
  <c r="AO154" i="4" s="1"/>
  <c r="AQ154" i="4" s="1"/>
  <c r="N154" i="4"/>
  <c r="AR150" i="4" l="1"/>
  <c r="AS150" i="4" s="1"/>
  <c r="AR154" i="4"/>
  <c r="AS154" i="4" s="1"/>
  <c r="O224" i="2" l="1"/>
  <c r="N224" i="2" l="1"/>
  <c r="X5" i="12" l="1"/>
  <c r="C167" i="9"/>
  <c r="C160" i="9"/>
  <c r="C161" i="9"/>
  <c r="AN115" i="4"/>
  <c r="AH115" i="4"/>
  <c r="AJ115" i="4" s="1"/>
  <c r="AL115" i="4" s="1"/>
  <c r="AG115" i="4"/>
  <c r="AD115" i="4"/>
  <c r="V115" i="4"/>
  <c r="X115" i="4" s="1"/>
  <c r="U115" i="4"/>
  <c r="R115" i="4"/>
  <c r="J115" i="4"/>
  <c r="L115" i="4" s="1"/>
  <c r="N115" i="4" s="1"/>
  <c r="I115" i="4"/>
  <c r="F115" i="4"/>
  <c r="Y190" i="2"/>
  <c r="Q187" i="2"/>
  <c r="E67" i="5"/>
  <c r="E75" i="5" s="1"/>
  <c r="M149" i="9"/>
  <c r="M142" i="9"/>
  <c r="H149" i="9"/>
  <c r="H142" i="9"/>
  <c r="C149" i="9"/>
  <c r="C146" i="9"/>
  <c r="C144" i="9"/>
  <c r="C143" i="9"/>
  <c r="AN101" i="4"/>
  <c r="AH101" i="4"/>
  <c r="AJ101" i="4" s="1"/>
  <c r="AL101" i="4" s="1"/>
  <c r="AG101" i="4"/>
  <c r="AD101" i="4"/>
  <c r="V101" i="4"/>
  <c r="X101" i="4" s="1"/>
  <c r="U101" i="4"/>
  <c r="R101" i="4"/>
  <c r="J101" i="4"/>
  <c r="L101" i="4" s="1"/>
  <c r="N101" i="4" s="1"/>
  <c r="I101" i="4"/>
  <c r="F101" i="4"/>
  <c r="Y171" i="2"/>
  <c r="G171" i="2"/>
  <c r="B10" i="14" s="1"/>
  <c r="M127" i="9"/>
  <c r="H127" i="9"/>
  <c r="C127" i="9"/>
  <c r="AN96" i="4"/>
  <c r="AJ96" i="4"/>
  <c r="AL96" i="4" s="1"/>
  <c r="AG96" i="4"/>
  <c r="X96" i="4"/>
  <c r="Z96" i="4" s="1"/>
  <c r="U96" i="4"/>
  <c r="L96" i="4"/>
  <c r="N96" i="4" s="1"/>
  <c r="I96" i="4"/>
  <c r="AH95" i="4"/>
  <c r="AK95" i="4" s="1"/>
  <c r="AG95" i="4"/>
  <c r="AD95" i="4"/>
  <c r="V95" i="4"/>
  <c r="X95" i="4" s="1"/>
  <c r="U95" i="4"/>
  <c r="R95" i="4"/>
  <c r="J95" i="4"/>
  <c r="M95" i="4" s="1"/>
  <c r="I95" i="4"/>
  <c r="F95" i="4"/>
  <c r="E49" i="5"/>
  <c r="E55" i="5" s="1"/>
  <c r="O151" i="2"/>
  <c r="H109" i="9"/>
  <c r="I104" i="9"/>
  <c r="E42" i="5"/>
  <c r="C89" i="9"/>
  <c r="E32" i="5"/>
  <c r="E41" i="5" s="1"/>
  <c r="M78" i="9"/>
  <c r="H78" i="9"/>
  <c r="C78" i="9"/>
  <c r="Q88" i="2"/>
  <c r="C58" i="9"/>
  <c r="M58" i="9"/>
  <c r="H60" i="9"/>
  <c r="C60" i="9"/>
  <c r="E27" i="5"/>
  <c r="E26" i="5"/>
  <c r="E19" i="5"/>
  <c r="E25" i="5" s="1"/>
  <c r="C41" i="9"/>
  <c r="AN32" i="4"/>
  <c r="AH32" i="4"/>
  <c r="AJ32" i="4" s="1"/>
  <c r="AL32" i="4" s="1"/>
  <c r="AG32" i="4"/>
  <c r="AD32" i="4"/>
  <c r="V32" i="4"/>
  <c r="X32" i="4" s="1"/>
  <c r="Z32" i="4" s="1"/>
  <c r="U32" i="4"/>
  <c r="R32" i="4"/>
  <c r="J32" i="4"/>
  <c r="L32" i="4" s="1"/>
  <c r="I32" i="4"/>
  <c r="F32" i="4"/>
  <c r="AN23" i="4"/>
  <c r="AJ23" i="4"/>
  <c r="AL23" i="4" s="1"/>
  <c r="AG23" i="4"/>
  <c r="X23" i="4"/>
  <c r="Z23" i="4" s="1"/>
  <c r="U23" i="4"/>
  <c r="L23" i="4"/>
  <c r="I23" i="4"/>
  <c r="AH22" i="4"/>
  <c r="AJ22" i="4" s="1"/>
  <c r="AG22" i="4"/>
  <c r="AD22" i="4"/>
  <c r="V22" i="4"/>
  <c r="X22" i="4" s="1"/>
  <c r="U22" i="4"/>
  <c r="R22" i="4"/>
  <c r="J22" i="4"/>
  <c r="M22" i="4" s="1"/>
  <c r="I22" i="4"/>
  <c r="F22" i="4"/>
  <c r="C23" i="9"/>
  <c r="E16" i="5"/>
  <c r="E18" i="5" s="1"/>
  <c r="AN13" i="4"/>
  <c r="AJ13" i="4"/>
  <c r="AL13" i="4" s="1"/>
  <c r="AG13" i="4"/>
  <c r="X13" i="4"/>
  <c r="Z13" i="4" s="1"/>
  <c r="U13" i="4"/>
  <c r="L13" i="4"/>
  <c r="N13" i="4" s="1"/>
  <c r="I13" i="4"/>
  <c r="AH12" i="4"/>
  <c r="AK12" i="4" s="1"/>
  <c r="AG12" i="4"/>
  <c r="AD12" i="4"/>
  <c r="V12" i="4"/>
  <c r="X12" i="4" s="1"/>
  <c r="U12" i="4"/>
  <c r="R12" i="4"/>
  <c r="J12" i="4"/>
  <c r="M12" i="4" s="1"/>
  <c r="I12" i="4"/>
  <c r="F12" i="4"/>
  <c r="E31" i="5" l="1"/>
  <c r="E48" i="5"/>
  <c r="Z115" i="4"/>
  <c r="AM115" i="4"/>
  <c r="AO115" i="4" s="1"/>
  <c r="AQ115" i="4" s="1"/>
  <c r="AM101" i="4"/>
  <c r="AO101" i="4" s="1"/>
  <c r="AQ101" i="4" s="1"/>
  <c r="Z101" i="4"/>
  <c r="Y95" i="4"/>
  <c r="AN95" i="4" s="1"/>
  <c r="AJ95" i="4"/>
  <c r="AL95" i="4" s="1"/>
  <c r="L95" i="4"/>
  <c r="AM96" i="4"/>
  <c r="AO96" i="4" s="1"/>
  <c r="AQ96" i="4" s="1"/>
  <c r="I86" i="9"/>
  <c r="N32" i="4"/>
  <c r="AM32" i="4"/>
  <c r="AO32" i="4" s="1"/>
  <c r="AQ32" i="4" s="1"/>
  <c r="AM23" i="4"/>
  <c r="AO23" i="4" s="1"/>
  <c r="AQ23" i="4" s="1"/>
  <c r="AR23" i="4" s="1"/>
  <c r="AS23" i="4" s="1"/>
  <c r="Y22" i="4"/>
  <c r="Z22" i="4" s="1"/>
  <c r="N23" i="4"/>
  <c r="AK22" i="4"/>
  <c r="AL22" i="4" s="1"/>
  <c r="L22" i="4"/>
  <c r="Y12" i="4"/>
  <c r="AN12" i="4" s="1"/>
  <c r="AJ12" i="4"/>
  <c r="AL12" i="4" s="1"/>
  <c r="L12" i="4"/>
  <c r="AM13" i="4"/>
  <c r="AO13" i="4" s="1"/>
  <c r="AQ13" i="4" s="1"/>
  <c r="G190" i="2" l="1"/>
  <c r="B11" i="14" s="1"/>
  <c r="AR115" i="4"/>
  <c r="AS115" i="4" s="1"/>
  <c r="AR101" i="4"/>
  <c r="AS101" i="4" s="1"/>
  <c r="Z95" i="4"/>
  <c r="AR96" i="4"/>
  <c r="AS96" i="4" s="1"/>
  <c r="AM95" i="4"/>
  <c r="AO95" i="4" s="1"/>
  <c r="AQ95" i="4" s="1"/>
  <c r="N95" i="4"/>
  <c r="AR32" i="4"/>
  <c r="AS32" i="4" s="1"/>
  <c r="N22" i="4"/>
  <c r="AM22" i="4"/>
  <c r="AN22" i="4"/>
  <c r="Z12" i="4"/>
  <c r="AR13" i="4"/>
  <c r="AS13" i="4" s="1"/>
  <c r="AM12" i="4"/>
  <c r="AO12" i="4" s="1"/>
  <c r="AQ12" i="4" s="1"/>
  <c r="N12" i="4"/>
  <c r="AR95" i="4" l="1"/>
  <c r="AS95" i="4" s="1"/>
  <c r="AO22" i="4"/>
  <c r="AQ22" i="4" s="1"/>
  <c r="AR22" i="4" s="1"/>
  <c r="AS22" i="4" s="1"/>
  <c r="AR12" i="4"/>
  <c r="AS12" i="4" s="1"/>
  <c r="F190" i="2" l="1"/>
  <c r="N132" i="2" l="1"/>
  <c r="K19" i="12" l="1"/>
  <c r="L19" i="12"/>
  <c r="M19" i="12" l="1"/>
  <c r="D55" i="11"/>
  <c r="H501" i="9"/>
  <c r="H500" i="9"/>
  <c r="H499" i="9"/>
  <c r="H498" i="9"/>
  <c r="H497" i="9"/>
  <c r="M500" i="9"/>
  <c r="M499" i="9"/>
  <c r="M497" i="9"/>
  <c r="C501" i="9"/>
  <c r="C500" i="9"/>
  <c r="C499" i="9"/>
  <c r="I495" i="9"/>
  <c r="C498" i="9"/>
  <c r="W19" i="12" l="1"/>
  <c r="F547" i="2"/>
  <c r="N547" i="2" l="1"/>
  <c r="C497" i="9"/>
  <c r="D504" i="9" s="1"/>
  <c r="H486" i="9"/>
  <c r="G529" i="2"/>
  <c r="AN357" i="4" l="1"/>
  <c r="AJ357" i="4"/>
  <c r="AL357" i="4" s="1"/>
  <c r="AG357" i="4"/>
  <c r="X357" i="4"/>
  <c r="Z357" i="4" s="1"/>
  <c r="U357" i="4"/>
  <c r="L357" i="4"/>
  <c r="I357" i="4"/>
  <c r="AH356" i="4"/>
  <c r="AK356" i="4" s="1"/>
  <c r="AG356" i="4"/>
  <c r="AD356" i="4"/>
  <c r="V356" i="4"/>
  <c r="Y356" i="4" s="1"/>
  <c r="U356" i="4"/>
  <c r="R356" i="4"/>
  <c r="J356" i="4"/>
  <c r="M356" i="4" s="1"/>
  <c r="I356" i="4"/>
  <c r="F356" i="4"/>
  <c r="M467" i="9"/>
  <c r="H467" i="9"/>
  <c r="C467" i="9"/>
  <c r="C461" i="9"/>
  <c r="Y510" i="2"/>
  <c r="O510" i="2"/>
  <c r="AM357" i="4" l="1"/>
  <c r="AO357" i="4" s="1"/>
  <c r="AQ357" i="4" s="1"/>
  <c r="AR357" i="4" s="1"/>
  <c r="AS357" i="4" s="1"/>
  <c r="AN356" i="4"/>
  <c r="X356" i="4"/>
  <c r="Z356" i="4" s="1"/>
  <c r="N357" i="4"/>
  <c r="AJ356" i="4"/>
  <c r="AL356" i="4" s="1"/>
  <c r="L356" i="4"/>
  <c r="N356" i="4" l="1"/>
  <c r="AM356" i="4"/>
  <c r="AO356" i="4" s="1"/>
  <c r="AQ356" i="4" s="1"/>
  <c r="AR356" i="4" l="1"/>
  <c r="AS356" i="4" s="1"/>
  <c r="C431" i="9" l="1"/>
  <c r="C429" i="9"/>
  <c r="C428" i="9"/>
  <c r="H418" i="9"/>
  <c r="H412" i="9"/>
  <c r="C418" i="9"/>
  <c r="C414" i="9"/>
  <c r="M416" i="9"/>
  <c r="M413" i="9"/>
  <c r="M412" i="9"/>
  <c r="C412" i="9"/>
  <c r="AN307" i="4"/>
  <c r="AJ307" i="4"/>
  <c r="AL307" i="4" s="1"/>
  <c r="AG307" i="4"/>
  <c r="X307" i="4"/>
  <c r="Z307" i="4" s="1"/>
  <c r="U307" i="4"/>
  <c r="L307" i="4"/>
  <c r="N307" i="4" s="1"/>
  <c r="I307" i="4"/>
  <c r="AH306" i="4"/>
  <c r="AK306" i="4" s="1"/>
  <c r="AG306" i="4"/>
  <c r="AD306" i="4"/>
  <c r="V306" i="4"/>
  <c r="Y306" i="4" s="1"/>
  <c r="U306" i="4"/>
  <c r="R306" i="4"/>
  <c r="J306" i="4"/>
  <c r="M306" i="4" s="1"/>
  <c r="F306" i="4"/>
  <c r="M402" i="9"/>
  <c r="M396" i="9"/>
  <c r="H399" i="9"/>
  <c r="H396" i="9"/>
  <c r="C402" i="9"/>
  <c r="C400" i="9"/>
  <c r="C398" i="9"/>
  <c r="C396" i="9"/>
  <c r="M365" i="9"/>
  <c r="M368" i="9"/>
  <c r="M363" i="9"/>
  <c r="H368" i="9"/>
  <c r="H365" i="9"/>
  <c r="H363" i="9"/>
  <c r="C368" i="9"/>
  <c r="C365" i="9"/>
  <c r="AN270" i="4"/>
  <c r="AJ270" i="4"/>
  <c r="AL270" i="4" s="1"/>
  <c r="AG270" i="4"/>
  <c r="X270" i="4"/>
  <c r="Z270" i="4" s="1"/>
  <c r="U270" i="4"/>
  <c r="L270" i="4"/>
  <c r="I270" i="4"/>
  <c r="AH269" i="4"/>
  <c r="AK269" i="4" s="1"/>
  <c r="AG269" i="4"/>
  <c r="AD269" i="4"/>
  <c r="V269" i="4"/>
  <c r="Y269" i="4" s="1"/>
  <c r="U269" i="4"/>
  <c r="R269" i="4"/>
  <c r="J269" i="4"/>
  <c r="M269" i="4" s="1"/>
  <c r="I269" i="4"/>
  <c r="F269" i="4"/>
  <c r="C346" i="9"/>
  <c r="C316" i="9"/>
  <c r="AN229" i="4"/>
  <c r="AH229" i="4"/>
  <c r="AJ229" i="4" s="1"/>
  <c r="AL229" i="4" s="1"/>
  <c r="AG229" i="4"/>
  <c r="AD229" i="4"/>
  <c r="V229" i="4"/>
  <c r="X229" i="4" s="1"/>
  <c r="Z229" i="4" s="1"/>
  <c r="U229" i="4"/>
  <c r="R229" i="4"/>
  <c r="J229" i="4"/>
  <c r="L229" i="4" s="1"/>
  <c r="I229" i="4"/>
  <c r="F229" i="4"/>
  <c r="C297" i="9"/>
  <c r="C295" i="9"/>
  <c r="AN212" i="4"/>
  <c r="AH212" i="4"/>
  <c r="AJ212" i="4" s="1"/>
  <c r="AL212" i="4" s="1"/>
  <c r="AG212" i="4"/>
  <c r="AD212" i="4"/>
  <c r="V212" i="4"/>
  <c r="X212" i="4" s="1"/>
  <c r="Z212" i="4" s="1"/>
  <c r="U212" i="4"/>
  <c r="R212" i="4"/>
  <c r="J212" i="4"/>
  <c r="L212" i="4" s="1"/>
  <c r="I212" i="4"/>
  <c r="F212" i="4"/>
  <c r="C104" i="10"/>
  <c r="Y313" i="2"/>
  <c r="H262" i="9"/>
  <c r="M266" i="9"/>
  <c r="H266" i="9"/>
  <c r="C266" i="9"/>
  <c r="C263" i="9"/>
  <c r="C262" i="9"/>
  <c r="AN190" i="4"/>
  <c r="AH190" i="4"/>
  <c r="AJ190" i="4" s="1"/>
  <c r="AG190" i="4"/>
  <c r="AD190" i="4"/>
  <c r="V190" i="4"/>
  <c r="X190" i="4" s="1"/>
  <c r="Z190" i="4" s="1"/>
  <c r="U190" i="4"/>
  <c r="R190" i="4"/>
  <c r="J190" i="4"/>
  <c r="L190" i="4" s="1"/>
  <c r="I190" i="4"/>
  <c r="F190" i="4"/>
  <c r="C261" i="9"/>
  <c r="C246" i="9"/>
  <c r="C244" i="9"/>
  <c r="AN172" i="4"/>
  <c r="AJ172" i="4"/>
  <c r="AL172" i="4" s="1"/>
  <c r="AG172" i="4"/>
  <c r="X172" i="4"/>
  <c r="Z172" i="4" s="1"/>
  <c r="U172" i="4"/>
  <c r="L172" i="4"/>
  <c r="I172" i="4"/>
  <c r="AH171" i="4"/>
  <c r="AK171" i="4" s="1"/>
  <c r="AG171" i="4"/>
  <c r="AD171" i="4"/>
  <c r="V171" i="4"/>
  <c r="Y171" i="4" s="1"/>
  <c r="U171" i="4"/>
  <c r="R171" i="4"/>
  <c r="J171" i="4"/>
  <c r="M171" i="4" s="1"/>
  <c r="I171" i="4"/>
  <c r="F171" i="4"/>
  <c r="AN160" i="4"/>
  <c r="AJ160" i="4"/>
  <c r="AL160" i="4" s="1"/>
  <c r="AG160" i="4"/>
  <c r="X160" i="4"/>
  <c r="Z160" i="4" s="1"/>
  <c r="U160" i="4"/>
  <c r="L160" i="4"/>
  <c r="I160" i="4"/>
  <c r="AH159" i="4"/>
  <c r="AK159" i="4" s="1"/>
  <c r="AG159" i="4"/>
  <c r="AD159" i="4"/>
  <c r="V159" i="4"/>
  <c r="Y159" i="4" s="1"/>
  <c r="U159" i="4"/>
  <c r="R159" i="4"/>
  <c r="J159" i="4"/>
  <c r="M159" i="4" s="1"/>
  <c r="I159" i="4"/>
  <c r="F159" i="4"/>
  <c r="G224" i="2"/>
  <c r="B13" i="14" s="1"/>
  <c r="C182" i="9"/>
  <c r="AN135" i="4"/>
  <c r="AJ135" i="4"/>
  <c r="AL135" i="4" s="1"/>
  <c r="AG135" i="4"/>
  <c r="X135" i="4"/>
  <c r="Z135" i="4" s="1"/>
  <c r="U135" i="4"/>
  <c r="L135" i="4"/>
  <c r="I135" i="4"/>
  <c r="AH134" i="4"/>
  <c r="AK134" i="4" s="1"/>
  <c r="AG134" i="4"/>
  <c r="AD134" i="4"/>
  <c r="V134" i="4"/>
  <c r="Y134" i="4" s="1"/>
  <c r="U134" i="4"/>
  <c r="R134" i="4"/>
  <c r="J134" i="4"/>
  <c r="M134" i="4" s="1"/>
  <c r="I134" i="4"/>
  <c r="F134" i="4"/>
  <c r="AN130" i="4"/>
  <c r="AH130" i="4"/>
  <c r="AJ130" i="4" s="1"/>
  <c r="AL130" i="4" s="1"/>
  <c r="AG130" i="4"/>
  <c r="AD130" i="4"/>
  <c r="V130" i="4"/>
  <c r="X130" i="4" s="1"/>
  <c r="Z130" i="4" s="1"/>
  <c r="U130" i="4"/>
  <c r="R130" i="4"/>
  <c r="J130" i="4"/>
  <c r="L130" i="4" s="1"/>
  <c r="N130" i="4" s="1"/>
  <c r="I130" i="4"/>
  <c r="F130" i="4"/>
  <c r="H167" i="9"/>
  <c r="H143" i="9"/>
  <c r="H144" i="9"/>
  <c r="H126" i="9"/>
  <c r="AN94" i="4"/>
  <c r="AH94" i="4"/>
  <c r="AJ94" i="4" s="1"/>
  <c r="AL94" i="4" s="1"/>
  <c r="AG94" i="4"/>
  <c r="AD94" i="4"/>
  <c r="V94" i="4"/>
  <c r="X94" i="4" s="1"/>
  <c r="Z94" i="4" s="1"/>
  <c r="U94" i="4"/>
  <c r="R94" i="4"/>
  <c r="J94" i="4"/>
  <c r="L94" i="4" s="1"/>
  <c r="I94" i="4"/>
  <c r="F94" i="4"/>
  <c r="D369" i="9" l="1"/>
  <c r="AM270" i="4"/>
  <c r="AO270" i="4" s="1"/>
  <c r="AQ270" i="4" s="1"/>
  <c r="AR270" i="4" s="1"/>
  <c r="AS270" i="4" s="1"/>
  <c r="AN306" i="4"/>
  <c r="X306" i="4"/>
  <c r="Z306" i="4" s="1"/>
  <c r="AJ306" i="4"/>
  <c r="AL306" i="4" s="1"/>
  <c r="L306" i="4"/>
  <c r="AM307" i="4"/>
  <c r="AO307" i="4" s="1"/>
  <c r="AQ307" i="4" s="1"/>
  <c r="AN269" i="4"/>
  <c r="X269" i="4"/>
  <c r="Z269" i="4" s="1"/>
  <c r="N270" i="4"/>
  <c r="AJ269" i="4"/>
  <c r="AL269" i="4" s="1"/>
  <c r="L269" i="4"/>
  <c r="N229" i="4"/>
  <c r="AM229" i="4"/>
  <c r="AO229" i="4" s="1"/>
  <c r="AQ229" i="4" s="1"/>
  <c r="AM212" i="4"/>
  <c r="AO212" i="4" s="1"/>
  <c r="AQ212" i="4" s="1"/>
  <c r="N212" i="4"/>
  <c r="AL190" i="4"/>
  <c r="AM190" i="4"/>
  <c r="AO190" i="4" s="1"/>
  <c r="AQ190" i="4" s="1"/>
  <c r="N190" i="4"/>
  <c r="AN171" i="4"/>
  <c r="AM172" i="4"/>
  <c r="AO172" i="4" s="1"/>
  <c r="AQ172" i="4" s="1"/>
  <c r="AR172" i="4" s="1"/>
  <c r="AS172" i="4" s="1"/>
  <c r="AN159" i="4"/>
  <c r="X171" i="4"/>
  <c r="Z171" i="4" s="1"/>
  <c r="N172" i="4"/>
  <c r="AJ171" i="4"/>
  <c r="AL171" i="4" s="1"/>
  <c r="L171" i="4"/>
  <c r="AN134" i="4"/>
  <c r="AM160" i="4"/>
  <c r="AO160" i="4" s="1"/>
  <c r="AQ160" i="4" s="1"/>
  <c r="AR160" i="4" s="1"/>
  <c r="AS160" i="4" s="1"/>
  <c r="AJ159" i="4"/>
  <c r="AL159" i="4" s="1"/>
  <c r="L159" i="4"/>
  <c r="N160" i="4"/>
  <c r="X159" i="4"/>
  <c r="Z159" i="4" s="1"/>
  <c r="AM135" i="4"/>
  <c r="AO135" i="4" s="1"/>
  <c r="AQ135" i="4" s="1"/>
  <c r="AR135" i="4" s="1"/>
  <c r="AS135" i="4" s="1"/>
  <c r="X134" i="4"/>
  <c r="Z134" i="4" s="1"/>
  <c r="N135" i="4"/>
  <c r="AJ134" i="4"/>
  <c r="AL134" i="4" s="1"/>
  <c r="L134" i="4"/>
  <c r="AM130" i="4"/>
  <c r="AO130" i="4" s="1"/>
  <c r="AQ130" i="4" s="1"/>
  <c r="N94" i="4"/>
  <c r="AM94" i="4"/>
  <c r="AO94" i="4" s="1"/>
  <c r="AQ94" i="4" s="1"/>
  <c r="AR307" i="4" l="1"/>
  <c r="AS307" i="4" s="1"/>
  <c r="N306" i="4"/>
  <c r="AM306" i="4"/>
  <c r="AO306" i="4" s="1"/>
  <c r="AQ306" i="4" s="1"/>
  <c r="N269" i="4"/>
  <c r="AM269" i="4"/>
  <c r="AO269" i="4" s="1"/>
  <c r="AQ269" i="4" s="1"/>
  <c r="AR229" i="4"/>
  <c r="AS229" i="4" s="1"/>
  <c r="AR212" i="4"/>
  <c r="AS212" i="4" s="1"/>
  <c r="AR190" i="4"/>
  <c r="AS190" i="4" s="1"/>
  <c r="N171" i="4"/>
  <c r="AM171" i="4"/>
  <c r="AO171" i="4" s="1"/>
  <c r="AQ171" i="4" s="1"/>
  <c r="N159" i="4"/>
  <c r="AM159" i="4"/>
  <c r="AO159" i="4" s="1"/>
  <c r="AQ159" i="4" s="1"/>
  <c r="N134" i="4"/>
  <c r="AM134" i="4"/>
  <c r="AO134" i="4" s="1"/>
  <c r="AQ134" i="4" s="1"/>
  <c r="AR130" i="4"/>
  <c r="AS130" i="4" s="1"/>
  <c r="AR94" i="4"/>
  <c r="AS94" i="4" s="1"/>
  <c r="AR306" i="4" l="1"/>
  <c r="AS306" i="4" s="1"/>
  <c r="AR269" i="4"/>
  <c r="AS269" i="4" s="1"/>
  <c r="AR171" i="4"/>
  <c r="AS171" i="4" s="1"/>
  <c r="AR159" i="4"/>
  <c r="AS159" i="4" s="1"/>
  <c r="AR134" i="4"/>
  <c r="AS134" i="4" s="1"/>
  <c r="C73" i="9"/>
  <c r="AN54" i="4"/>
  <c r="AH54" i="4"/>
  <c r="AJ54" i="4" s="1"/>
  <c r="AL54" i="4" s="1"/>
  <c r="AG54" i="4"/>
  <c r="AD54" i="4"/>
  <c r="V54" i="4"/>
  <c r="X54" i="4" s="1"/>
  <c r="Z54" i="4" s="1"/>
  <c r="U54" i="4"/>
  <c r="R54" i="4"/>
  <c r="J54" i="4"/>
  <c r="L54" i="4" s="1"/>
  <c r="I54" i="4"/>
  <c r="F54" i="4"/>
  <c r="Q87" i="2"/>
  <c r="N54" i="4" l="1"/>
  <c r="AM54" i="4"/>
  <c r="AO54" i="4" s="1"/>
  <c r="AQ54" i="4" s="1"/>
  <c r="AR54" i="4" l="1"/>
  <c r="AS54" i="4" s="1"/>
  <c r="H56" i="9" l="1"/>
  <c r="AN49" i="4"/>
  <c r="AJ49" i="4"/>
  <c r="AL49" i="4" s="1"/>
  <c r="AG49" i="4"/>
  <c r="X49" i="4"/>
  <c r="Z49" i="4" s="1"/>
  <c r="U49" i="4"/>
  <c r="L49" i="4"/>
  <c r="I49" i="4"/>
  <c r="AH48" i="4"/>
  <c r="AK48" i="4" s="1"/>
  <c r="AG48" i="4"/>
  <c r="AD48" i="4"/>
  <c r="V48" i="4"/>
  <c r="Y48" i="4" s="1"/>
  <c r="U48" i="4"/>
  <c r="R48" i="4"/>
  <c r="J48" i="4"/>
  <c r="M48" i="4" s="1"/>
  <c r="I48" i="4"/>
  <c r="F48" i="4"/>
  <c r="M45" i="9"/>
  <c r="M44" i="9"/>
  <c r="M40" i="9"/>
  <c r="H45" i="9"/>
  <c r="H44" i="9"/>
  <c r="H42" i="9"/>
  <c r="H40" i="9"/>
  <c r="H38" i="9"/>
  <c r="C45" i="9"/>
  <c r="C44" i="9"/>
  <c r="C40" i="9"/>
  <c r="AK34" i="4"/>
  <c r="AG34" i="4"/>
  <c r="X34" i="4"/>
  <c r="U34" i="4"/>
  <c r="M34" i="4"/>
  <c r="I34" i="4"/>
  <c r="J25" i="4"/>
  <c r="L25" i="4" s="1"/>
  <c r="AN26" i="4"/>
  <c r="AH26" i="4"/>
  <c r="AJ26" i="4" s="1"/>
  <c r="AL26" i="4" s="1"/>
  <c r="AG26" i="4"/>
  <c r="AD26" i="4"/>
  <c r="V26" i="4"/>
  <c r="X26" i="4" s="1"/>
  <c r="Z26" i="4" s="1"/>
  <c r="U26" i="4"/>
  <c r="R26" i="4"/>
  <c r="J26" i="4"/>
  <c r="L26" i="4" s="1"/>
  <c r="I26" i="4"/>
  <c r="F26" i="4"/>
  <c r="AN31" i="4"/>
  <c r="AH31" i="4"/>
  <c r="AJ31" i="4" s="1"/>
  <c r="AL31" i="4" s="1"/>
  <c r="AG31" i="4"/>
  <c r="AD31" i="4"/>
  <c r="V31" i="4"/>
  <c r="X31" i="4" s="1"/>
  <c r="Z31" i="4" s="1"/>
  <c r="U31" i="4"/>
  <c r="R31" i="4"/>
  <c r="J31" i="4"/>
  <c r="L31" i="4" s="1"/>
  <c r="I31" i="4"/>
  <c r="F31" i="4"/>
  <c r="AN36" i="4"/>
  <c r="AJ36" i="4"/>
  <c r="AL36" i="4" s="1"/>
  <c r="AG36" i="4"/>
  <c r="X36" i="4"/>
  <c r="Z36" i="4" s="1"/>
  <c r="U36" i="4"/>
  <c r="L36" i="4"/>
  <c r="I36" i="4"/>
  <c r="AH35" i="4"/>
  <c r="AJ35" i="4" s="1"/>
  <c r="AG35" i="4"/>
  <c r="AD35" i="4"/>
  <c r="V35" i="4"/>
  <c r="X35" i="4" s="1"/>
  <c r="U35" i="4"/>
  <c r="R35" i="4"/>
  <c r="J35" i="4"/>
  <c r="L35" i="4" s="1"/>
  <c r="I35" i="4"/>
  <c r="F35" i="4"/>
  <c r="G56" i="2"/>
  <c r="Y56" i="2"/>
  <c r="N36" i="9" s="1"/>
  <c r="C28" i="9"/>
  <c r="M28" i="9"/>
  <c r="M24" i="9"/>
  <c r="M22" i="9"/>
  <c r="H28" i="9"/>
  <c r="H26" i="9"/>
  <c r="H24" i="9"/>
  <c r="H22" i="9"/>
  <c r="AM36" i="4" l="1"/>
  <c r="AO36" i="4" s="1"/>
  <c r="AQ36" i="4" s="1"/>
  <c r="AR36" i="4" s="1"/>
  <c r="AS36" i="4" s="1"/>
  <c r="C38" i="9"/>
  <c r="AM49" i="4"/>
  <c r="AO49" i="4" s="1"/>
  <c r="AQ49" i="4" s="1"/>
  <c r="AR49" i="4" s="1"/>
  <c r="AS49" i="4" s="1"/>
  <c r="AN48" i="4"/>
  <c r="L48" i="4"/>
  <c r="N49" i="4"/>
  <c r="AJ48" i="4"/>
  <c r="AL48" i="4" s="1"/>
  <c r="X48" i="4"/>
  <c r="Z48" i="4" s="1"/>
  <c r="Y34" i="4"/>
  <c r="Z34" i="4" s="1"/>
  <c r="AJ34" i="4"/>
  <c r="AL34" i="4" s="1"/>
  <c r="L34" i="4"/>
  <c r="N26" i="4"/>
  <c r="AM26" i="4"/>
  <c r="AO26" i="4" s="1"/>
  <c r="AQ26" i="4" s="1"/>
  <c r="Y35" i="4"/>
  <c r="Z35" i="4" s="1"/>
  <c r="M35" i="4"/>
  <c r="AK35" i="4"/>
  <c r="AL35" i="4" s="1"/>
  <c r="N31" i="4"/>
  <c r="AM31" i="4"/>
  <c r="AO31" i="4" s="1"/>
  <c r="AQ31" i="4" s="1"/>
  <c r="AM35" i="4"/>
  <c r="N36" i="4"/>
  <c r="AN16" i="4"/>
  <c r="AH16" i="4"/>
  <c r="AJ16" i="4" s="1"/>
  <c r="AL16" i="4" s="1"/>
  <c r="AG16" i="4"/>
  <c r="AD16" i="4"/>
  <c r="V16" i="4"/>
  <c r="X16" i="4" s="1"/>
  <c r="Z16" i="4" s="1"/>
  <c r="U16" i="4"/>
  <c r="R16" i="4"/>
  <c r="J16" i="4"/>
  <c r="L16" i="4" s="1"/>
  <c r="I16" i="4"/>
  <c r="F16" i="4"/>
  <c r="C22" i="9"/>
  <c r="Y27" i="2"/>
  <c r="Y38" i="2" s="1"/>
  <c r="O27" i="2"/>
  <c r="O38" i="2" s="1"/>
  <c r="G27" i="2"/>
  <c r="G38" i="2" s="1"/>
  <c r="B3" i="14" s="1"/>
  <c r="O8" i="10"/>
  <c r="O10" i="10" s="1"/>
  <c r="O11" i="10" s="1"/>
  <c r="H8" i="10"/>
  <c r="H10" i="10" s="1"/>
  <c r="H11" i="10" s="1"/>
  <c r="J4" i="4"/>
  <c r="H4" i="10"/>
  <c r="H5" i="10" s="1"/>
  <c r="F27" i="2" l="1"/>
  <c r="F28" i="2" s="1"/>
  <c r="N27" i="2"/>
  <c r="N28" i="2" s="1"/>
  <c r="AN34" i="4"/>
  <c r="AN35" i="4"/>
  <c r="AO35" i="4" s="1"/>
  <c r="AQ35" i="4" s="1"/>
  <c r="AR35" i="4" s="1"/>
  <c r="AS35" i="4" s="1"/>
  <c r="N48" i="4"/>
  <c r="AM48" i="4"/>
  <c r="AO48" i="4" s="1"/>
  <c r="AQ48" i="4" s="1"/>
  <c r="N34" i="4"/>
  <c r="AM34" i="4"/>
  <c r="N35" i="4"/>
  <c r="AR26" i="4"/>
  <c r="AS26" i="4" s="1"/>
  <c r="AR31" i="4"/>
  <c r="AS31" i="4" s="1"/>
  <c r="N16" i="4"/>
  <c r="AM16" i="4"/>
  <c r="AO16" i="4" s="1"/>
  <c r="AQ16" i="4" s="1"/>
  <c r="X27" i="2"/>
  <c r="N29" i="2" l="1"/>
  <c r="P28" i="2"/>
  <c r="F29" i="2"/>
  <c r="H28" i="2"/>
  <c r="N313" i="2"/>
  <c r="AO34" i="4"/>
  <c r="AQ34" i="4" s="1"/>
  <c r="AR34" i="4" s="1"/>
  <c r="AS34" i="4" s="1"/>
  <c r="AR48" i="4"/>
  <c r="AS48" i="4" s="1"/>
  <c r="AR16" i="4"/>
  <c r="AS16" i="4" s="1"/>
  <c r="X28" i="2"/>
  <c r="Z27" i="2"/>
  <c r="P27" i="2"/>
  <c r="H27" i="2"/>
  <c r="K18" i="12"/>
  <c r="L18" i="12"/>
  <c r="N30" i="2" l="1"/>
  <c r="P29" i="2"/>
  <c r="H29" i="2"/>
  <c r="F30" i="2"/>
  <c r="N56" i="2"/>
  <c r="X56" i="2"/>
  <c r="M18" i="12"/>
  <c r="X29" i="2"/>
  <c r="X30" i="2" s="1"/>
  <c r="Z28" i="2"/>
  <c r="X23" i="12"/>
  <c r="E11" i="5"/>
  <c r="E15" i="5" l="1"/>
  <c r="E109" i="5" s="1"/>
  <c r="W18" i="12"/>
  <c r="Z30" i="2"/>
  <c r="X31" i="2"/>
  <c r="N31" i="2"/>
  <c r="P30" i="2"/>
  <c r="H30" i="2"/>
  <c r="Z29" i="2"/>
  <c r="Z31" i="2" l="1"/>
  <c r="X32" i="2"/>
  <c r="N32" i="2"/>
  <c r="P31" i="2"/>
  <c r="X33" i="2" l="1"/>
  <c r="Z32" i="2"/>
  <c r="N33" i="2"/>
  <c r="N34" i="2" s="1"/>
  <c r="P34" i="2" s="1"/>
  <c r="P32" i="2"/>
  <c r="Z33" i="2" l="1"/>
  <c r="X34" i="2"/>
  <c r="P33" i="2"/>
  <c r="R28" i="2" s="1"/>
  <c r="F55" i="11"/>
  <c r="X35" i="2" l="1"/>
  <c r="Z35" i="2" s="1"/>
  <c r="Z34" i="2"/>
  <c r="N38" i="2"/>
  <c r="P427" i="9"/>
  <c r="R176" i="10"/>
  <c r="P176" i="10"/>
  <c r="O176" i="10"/>
  <c r="N176" i="10"/>
  <c r="N178" i="10" s="1"/>
  <c r="N179" i="10" s="1"/>
  <c r="M176" i="10"/>
  <c r="M178" i="10" s="1"/>
  <c r="M179" i="10" s="1"/>
  <c r="L176" i="10"/>
  <c r="L178" i="10" s="1"/>
  <c r="L179" i="10" s="1"/>
  <c r="K176" i="10"/>
  <c r="K178" i="10" s="1"/>
  <c r="K179" i="10" s="1"/>
  <c r="J176" i="10"/>
  <c r="J178" i="10" s="1"/>
  <c r="J179" i="10" s="1"/>
  <c r="I176" i="10"/>
  <c r="I178" i="10" s="1"/>
  <c r="I179" i="10" s="1"/>
  <c r="H176" i="10"/>
  <c r="H178" i="10" s="1"/>
  <c r="H179" i="10" s="1"/>
  <c r="G176" i="10"/>
  <c r="G178" i="10" s="1"/>
  <c r="G179" i="10" s="1"/>
  <c r="F176" i="10"/>
  <c r="F178" i="10" s="1"/>
  <c r="F179" i="10" s="1"/>
  <c r="E176" i="10"/>
  <c r="E178" i="10" s="1"/>
  <c r="E179" i="10" s="1"/>
  <c r="D176" i="10"/>
  <c r="D178" i="10" s="1"/>
  <c r="D179" i="10" s="1"/>
  <c r="C176" i="10"/>
  <c r="C178" i="10" s="1"/>
  <c r="C179" i="10" s="1"/>
  <c r="AG359" i="4"/>
  <c r="AG360" i="4"/>
  <c r="AG361" i="4"/>
  <c r="AG362" i="4"/>
  <c r="AG364" i="4"/>
  <c r="AG365" i="4"/>
  <c r="AG367" i="4"/>
  <c r="AG369" i="4"/>
  <c r="AG370" i="4"/>
  <c r="AE371" i="4"/>
  <c r="N506" i="9" s="1"/>
  <c r="AB371" i="4"/>
  <c r="S371" i="4"/>
  <c r="I506" i="9" s="1"/>
  <c r="P371" i="4"/>
  <c r="AN370" i="4"/>
  <c r="AJ370" i="4"/>
  <c r="AL370" i="4" s="1"/>
  <c r="X370" i="4"/>
  <c r="U370" i="4"/>
  <c r="L370" i="4"/>
  <c r="N370" i="4" s="1"/>
  <c r="I370" i="4"/>
  <c r="AH369" i="4"/>
  <c r="AK369" i="4" s="1"/>
  <c r="AD369" i="4"/>
  <c r="V369" i="4"/>
  <c r="Y369" i="4" s="1"/>
  <c r="U369" i="4"/>
  <c r="R369" i="4"/>
  <c r="J369" i="4"/>
  <c r="M369" i="4" s="1"/>
  <c r="I369" i="4"/>
  <c r="F369" i="4"/>
  <c r="AN367" i="4"/>
  <c r="AH367" i="4"/>
  <c r="AJ367" i="4" s="1"/>
  <c r="AL367" i="4" s="1"/>
  <c r="AD367" i="4"/>
  <c r="V367" i="4"/>
  <c r="X367" i="4" s="1"/>
  <c r="Z367" i="4" s="1"/>
  <c r="U367" i="4"/>
  <c r="R367" i="4"/>
  <c r="J367" i="4"/>
  <c r="L367" i="4" s="1"/>
  <c r="I367" i="4"/>
  <c r="F367" i="4"/>
  <c r="AN365" i="4"/>
  <c r="AH365" i="4"/>
  <c r="AJ365" i="4" s="1"/>
  <c r="AL365" i="4" s="1"/>
  <c r="AD365" i="4"/>
  <c r="V365" i="4"/>
  <c r="X365" i="4" s="1"/>
  <c r="Z365" i="4" s="1"/>
  <c r="U365" i="4"/>
  <c r="R365" i="4"/>
  <c r="J365" i="4"/>
  <c r="L365" i="4" s="1"/>
  <c r="F365" i="4"/>
  <c r="AH364" i="4"/>
  <c r="AD364" i="4"/>
  <c r="V364" i="4"/>
  <c r="Y364" i="4" s="1"/>
  <c r="U364" i="4"/>
  <c r="R364" i="4"/>
  <c r="F364" i="4"/>
  <c r="AN362" i="4"/>
  <c r="AH362" i="4"/>
  <c r="AJ362" i="4" s="1"/>
  <c r="AL362" i="4" s="1"/>
  <c r="AD362" i="4"/>
  <c r="V362" i="4"/>
  <c r="X362" i="4" s="1"/>
  <c r="Z362" i="4" s="1"/>
  <c r="U362" i="4"/>
  <c r="R362" i="4"/>
  <c r="J362" i="4"/>
  <c r="L362" i="4" s="1"/>
  <c r="I362" i="4"/>
  <c r="F362" i="4"/>
  <c r="AN361" i="4"/>
  <c r="AH361" i="4"/>
  <c r="AJ361" i="4" s="1"/>
  <c r="AL361" i="4" s="1"/>
  <c r="AD361" i="4"/>
  <c r="V361" i="4"/>
  <c r="X361" i="4" s="1"/>
  <c r="Z361" i="4" s="1"/>
  <c r="U361" i="4"/>
  <c r="R361" i="4"/>
  <c r="G371" i="4"/>
  <c r="D506" i="9" s="1"/>
  <c r="AN360" i="4"/>
  <c r="AH360" i="4"/>
  <c r="AJ360" i="4" s="1"/>
  <c r="AL360" i="4" s="1"/>
  <c r="AD360" i="4"/>
  <c r="V360" i="4"/>
  <c r="U360" i="4"/>
  <c r="R360" i="4"/>
  <c r="J360" i="4"/>
  <c r="L360" i="4" s="1"/>
  <c r="I360" i="4"/>
  <c r="F360" i="4"/>
  <c r="AN359" i="4"/>
  <c r="AH359" i="4"/>
  <c r="AD359" i="4"/>
  <c r="V359" i="4"/>
  <c r="X359" i="4" s="1"/>
  <c r="U359" i="4"/>
  <c r="R359" i="4"/>
  <c r="I359" i="4"/>
  <c r="D371" i="4"/>
  <c r="F31" i="14"/>
  <c r="M486" i="9"/>
  <c r="M482" i="9"/>
  <c r="M481" i="9"/>
  <c r="M480" i="9"/>
  <c r="M478" i="9"/>
  <c r="H481" i="9"/>
  <c r="H480" i="9"/>
  <c r="J351" i="4"/>
  <c r="L351" i="4" s="1"/>
  <c r="I347" i="4"/>
  <c r="C486" i="9"/>
  <c r="C481" i="9"/>
  <c r="C480" i="9"/>
  <c r="C479" i="9"/>
  <c r="AE358" i="4"/>
  <c r="N489" i="9" s="1"/>
  <c r="AB358" i="4"/>
  <c r="S358" i="4"/>
  <c r="I489" i="9" s="1"/>
  <c r="P358" i="4"/>
  <c r="AN352" i="4"/>
  <c r="AH352" i="4"/>
  <c r="AJ352" i="4" s="1"/>
  <c r="AL352" i="4" s="1"/>
  <c r="AG352" i="4"/>
  <c r="AD352" i="4"/>
  <c r="V352" i="4"/>
  <c r="X352" i="4" s="1"/>
  <c r="Z352" i="4" s="1"/>
  <c r="U352" i="4"/>
  <c r="R352" i="4"/>
  <c r="J352" i="4"/>
  <c r="L352" i="4" s="1"/>
  <c r="I352" i="4"/>
  <c r="F352" i="4"/>
  <c r="AN351" i="4"/>
  <c r="AH351" i="4"/>
  <c r="AJ351" i="4" s="1"/>
  <c r="AL351" i="4" s="1"/>
  <c r="AG351" i="4"/>
  <c r="AD351" i="4"/>
  <c r="V351" i="4"/>
  <c r="X351" i="4" s="1"/>
  <c r="Z351" i="4" s="1"/>
  <c r="U351" i="4"/>
  <c r="R351" i="4"/>
  <c r="F351" i="4"/>
  <c r="AH350" i="4"/>
  <c r="AK350" i="4" s="1"/>
  <c r="AG350" i="4"/>
  <c r="AD350" i="4"/>
  <c r="V350" i="4"/>
  <c r="Y350" i="4" s="1"/>
  <c r="U350" i="4"/>
  <c r="R350" i="4"/>
  <c r="F350" i="4"/>
  <c r="AN348" i="4"/>
  <c r="AH348" i="4"/>
  <c r="AJ348" i="4" s="1"/>
  <c r="AL348" i="4" s="1"/>
  <c r="AG348" i="4"/>
  <c r="AD348" i="4"/>
  <c r="V348" i="4"/>
  <c r="X348" i="4" s="1"/>
  <c r="Z348" i="4" s="1"/>
  <c r="U348" i="4"/>
  <c r="R348" i="4"/>
  <c r="J348" i="4"/>
  <c r="L348" i="4" s="1"/>
  <c r="I348" i="4"/>
  <c r="F348" i="4"/>
  <c r="AN347" i="4"/>
  <c r="AH347" i="4"/>
  <c r="AJ347" i="4" s="1"/>
  <c r="AL347" i="4" s="1"/>
  <c r="AG347" i="4"/>
  <c r="AD347" i="4"/>
  <c r="V347" i="4"/>
  <c r="X347" i="4" s="1"/>
  <c r="Z347" i="4" s="1"/>
  <c r="U347" i="4"/>
  <c r="R347" i="4"/>
  <c r="AN346" i="4"/>
  <c r="AH346" i="4"/>
  <c r="AJ346" i="4" s="1"/>
  <c r="AL346" i="4" s="1"/>
  <c r="AG346" i="4"/>
  <c r="AD346" i="4"/>
  <c r="V346" i="4"/>
  <c r="X346" i="4" s="1"/>
  <c r="Z346" i="4" s="1"/>
  <c r="U346" i="4"/>
  <c r="R346" i="4"/>
  <c r="J346" i="4"/>
  <c r="L346" i="4" s="1"/>
  <c r="I346" i="4"/>
  <c r="F346" i="4"/>
  <c r="AN345" i="4"/>
  <c r="AH345" i="4"/>
  <c r="AG345" i="4"/>
  <c r="AD345" i="4"/>
  <c r="V345" i="4"/>
  <c r="U345" i="4"/>
  <c r="R345" i="4"/>
  <c r="I345" i="4"/>
  <c r="Y529" i="2"/>
  <c r="J30" i="14" s="1"/>
  <c r="O529" i="2"/>
  <c r="I476" i="9" s="1"/>
  <c r="R170" i="10"/>
  <c r="P170" i="10"/>
  <c r="O170" i="10"/>
  <c r="N170" i="10"/>
  <c r="N172" i="10" s="1"/>
  <c r="N173" i="10" s="1"/>
  <c r="M170" i="10"/>
  <c r="M172" i="10" s="1"/>
  <c r="M173" i="10" s="1"/>
  <c r="L170" i="10"/>
  <c r="L172" i="10" s="1"/>
  <c r="L173" i="10" s="1"/>
  <c r="K170" i="10"/>
  <c r="K172" i="10" s="1"/>
  <c r="K173" i="10" s="1"/>
  <c r="J170" i="10"/>
  <c r="J172" i="10" s="1"/>
  <c r="J173" i="10" s="1"/>
  <c r="I170" i="10"/>
  <c r="I172" i="10" s="1"/>
  <c r="I173" i="10" s="1"/>
  <c r="H170" i="10"/>
  <c r="H172" i="10" s="1"/>
  <c r="H173" i="10" s="1"/>
  <c r="G170" i="10"/>
  <c r="G172" i="10" s="1"/>
  <c r="G173" i="10" s="1"/>
  <c r="F170" i="10"/>
  <c r="F172" i="10" s="1"/>
  <c r="F173" i="10" s="1"/>
  <c r="E170" i="10"/>
  <c r="E172" i="10" s="1"/>
  <c r="E173" i="10" s="1"/>
  <c r="D170" i="10"/>
  <c r="D172" i="10" s="1"/>
  <c r="D173" i="10" s="1"/>
  <c r="C170" i="10"/>
  <c r="C172" i="10" s="1"/>
  <c r="C173" i="10" s="1"/>
  <c r="M463" i="9"/>
  <c r="M460" i="9"/>
  <c r="H460" i="9"/>
  <c r="C464" i="9"/>
  <c r="AN334" i="4"/>
  <c r="AH334" i="4"/>
  <c r="AJ334" i="4" s="1"/>
  <c r="AL334" i="4" s="1"/>
  <c r="AG334" i="4"/>
  <c r="AD334" i="4"/>
  <c r="V334" i="4"/>
  <c r="X334" i="4" s="1"/>
  <c r="Z334" i="4" s="1"/>
  <c r="U334" i="4"/>
  <c r="R334" i="4"/>
  <c r="J334" i="4"/>
  <c r="L334" i="4" s="1"/>
  <c r="I334" i="4"/>
  <c r="F334" i="4"/>
  <c r="R164" i="10"/>
  <c r="P164" i="10"/>
  <c r="O164" i="10"/>
  <c r="N164" i="10"/>
  <c r="N166" i="10" s="1"/>
  <c r="N167" i="10" s="1"/>
  <c r="M164" i="10"/>
  <c r="M166" i="10" s="1"/>
  <c r="M167" i="10" s="1"/>
  <c r="L164" i="10"/>
  <c r="L166" i="10" s="1"/>
  <c r="L167" i="10" s="1"/>
  <c r="K164" i="10"/>
  <c r="K166" i="10" s="1"/>
  <c r="K167" i="10" s="1"/>
  <c r="J164" i="10"/>
  <c r="J166" i="10" s="1"/>
  <c r="J167" i="10" s="1"/>
  <c r="I164" i="10"/>
  <c r="I166" i="10" s="1"/>
  <c r="I167" i="10" s="1"/>
  <c r="H164" i="10"/>
  <c r="H166" i="10" s="1"/>
  <c r="H167" i="10" s="1"/>
  <c r="G164" i="10"/>
  <c r="G166" i="10" s="1"/>
  <c r="G167" i="10" s="1"/>
  <c r="F164" i="10"/>
  <c r="F166" i="10" s="1"/>
  <c r="F167" i="10" s="1"/>
  <c r="E164" i="10"/>
  <c r="E166" i="10" s="1"/>
  <c r="E167" i="10" s="1"/>
  <c r="D164" i="10"/>
  <c r="D166" i="10" s="1"/>
  <c r="D167" i="10" s="1"/>
  <c r="C164" i="10"/>
  <c r="C166" i="10" s="1"/>
  <c r="C167" i="10" s="1"/>
  <c r="M444" i="9"/>
  <c r="C445" i="9"/>
  <c r="AN325" i="4"/>
  <c r="AH325" i="4"/>
  <c r="AJ325" i="4" s="1"/>
  <c r="AL325" i="4" s="1"/>
  <c r="AG325" i="4"/>
  <c r="AD325" i="4"/>
  <c r="V325" i="4"/>
  <c r="X325" i="4" s="1"/>
  <c r="Z325" i="4" s="1"/>
  <c r="U325" i="4"/>
  <c r="R325" i="4"/>
  <c r="J325" i="4"/>
  <c r="L325" i="4" s="1"/>
  <c r="I325" i="4"/>
  <c r="F325" i="4"/>
  <c r="R158" i="10"/>
  <c r="P158" i="10"/>
  <c r="O158" i="10"/>
  <c r="N158" i="10"/>
  <c r="N160" i="10" s="1"/>
  <c r="N161" i="10" s="1"/>
  <c r="M158" i="10"/>
  <c r="M160" i="10" s="1"/>
  <c r="M161" i="10" s="1"/>
  <c r="L158" i="10"/>
  <c r="L160" i="10" s="1"/>
  <c r="L161" i="10" s="1"/>
  <c r="K158" i="10"/>
  <c r="K160" i="10" s="1"/>
  <c r="K161" i="10" s="1"/>
  <c r="J158" i="10"/>
  <c r="J160" i="10" s="1"/>
  <c r="J161" i="10" s="1"/>
  <c r="I158" i="10"/>
  <c r="I160" i="10" s="1"/>
  <c r="I161" i="10" s="1"/>
  <c r="H158" i="10"/>
  <c r="H160" i="10" s="1"/>
  <c r="H161" i="10" s="1"/>
  <c r="G158" i="10"/>
  <c r="G160" i="10" s="1"/>
  <c r="G161" i="10" s="1"/>
  <c r="F158" i="10"/>
  <c r="F160" i="10" s="1"/>
  <c r="F161" i="10" s="1"/>
  <c r="E158" i="10"/>
  <c r="E160" i="10" s="1"/>
  <c r="E161" i="10" s="1"/>
  <c r="D158" i="10"/>
  <c r="D160" i="10" s="1"/>
  <c r="D161" i="10" s="1"/>
  <c r="C158" i="10"/>
  <c r="C160" i="10" s="1"/>
  <c r="C161" i="10" s="1"/>
  <c r="M434" i="9"/>
  <c r="M430" i="9"/>
  <c r="M428" i="9"/>
  <c r="H434" i="9"/>
  <c r="H430" i="9"/>
  <c r="H428" i="9"/>
  <c r="C434" i="9"/>
  <c r="C416" i="9"/>
  <c r="AN310" i="4"/>
  <c r="AH310" i="4"/>
  <c r="AJ310" i="4" s="1"/>
  <c r="AL310" i="4" s="1"/>
  <c r="AG310" i="4"/>
  <c r="AD310" i="4"/>
  <c r="V310" i="4"/>
  <c r="X310" i="4" s="1"/>
  <c r="Z310" i="4" s="1"/>
  <c r="U310" i="4"/>
  <c r="R310" i="4"/>
  <c r="J310" i="4"/>
  <c r="L310" i="4" s="1"/>
  <c r="I310" i="4"/>
  <c r="F310" i="4"/>
  <c r="R152" i="10"/>
  <c r="P152" i="10"/>
  <c r="O152" i="10"/>
  <c r="N152" i="10"/>
  <c r="N154" i="10" s="1"/>
  <c r="N155" i="10" s="1"/>
  <c r="M152" i="10"/>
  <c r="M154" i="10" s="1"/>
  <c r="M155" i="10" s="1"/>
  <c r="L152" i="10"/>
  <c r="L154" i="10" s="1"/>
  <c r="L155" i="10" s="1"/>
  <c r="K152" i="10"/>
  <c r="K154" i="10" s="1"/>
  <c r="K155" i="10" s="1"/>
  <c r="J152" i="10"/>
  <c r="J154" i="10" s="1"/>
  <c r="J155" i="10" s="1"/>
  <c r="I152" i="10"/>
  <c r="I154" i="10" s="1"/>
  <c r="I155" i="10" s="1"/>
  <c r="H152" i="10"/>
  <c r="H154" i="10" s="1"/>
  <c r="H155" i="10" s="1"/>
  <c r="G152" i="10"/>
  <c r="G154" i="10" s="1"/>
  <c r="G155" i="10" s="1"/>
  <c r="F152" i="10"/>
  <c r="F154" i="10" s="1"/>
  <c r="F155" i="10" s="1"/>
  <c r="E152" i="10"/>
  <c r="E154" i="10" s="1"/>
  <c r="E155" i="10" s="1"/>
  <c r="D152" i="10"/>
  <c r="D154" i="10" s="1"/>
  <c r="D155" i="10" s="1"/>
  <c r="C152" i="10"/>
  <c r="C154" i="10" s="1"/>
  <c r="C155" i="10" s="1"/>
  <c r="R146" i="10"/>
  <c r="P146" i="10"/>
  <c r="O146" i="10"/>
  <c r="N146" i="10"/>
  <c r="N148" i="10" s="1"/>
  <c r="N149" i="10" s="1"/>
  <c r="M146" i="10"/>
  <c r="M148" i="10" s="1"/>
  <c r="M149" i="10" s="1"/>
  <c r="L146" i="10"/>
  <c r="L148" i="10" s="1"/>
  <c r="L149" i="10" s="1"/>
  <c r="K146" i="10"/>
  <c r="K148" i="10" s="1"/>
  <c r="K149" i="10" s="1"/>
  <c r="J146" i="10"/>
  <c r="J148" i="10" s="1"/>
  <c r="J149" i="10" s="1"/>
  <c r="I146" i="10"/>
  <c r="I148" i="10" s="1"/>
  <c r="I149" i="10" s="1"/>
  <c r="H146" i="10"/>
  <c r="H148" i="10" s="1"/>
  <c r="H149" i="10" s="1"/>
  <c r="G146" i="10"/>
  <c r="G148" i="10" s="1"/>
  <c r="G149" i="10" s="1"/>
  <c r="F146" i="10"/>
  <c r="F148" i="10" s="1"/>
  <c r="F149" i="10" s="1"/>
  <c r="E146" i="10"/>
  <c r="E148" i="10" s="1"/>
  <c r="E149" i="10" s="1"/>
  <c r="D146" i="10"/>
  <c r="D148" i="10" s="1"/>
  <c r="D149" i="10" s="1"/>
  <c r="C146" i="10"/>
  <c r="C148" i="10" s="1"/>
  <c r="C149" i="10" s="1"/>
  <c r="H402" i="9"/>
  <c r="H398" i="9"/>
  <c r="C399" i="9"/>
  <c r="R140" i="10"/>
  <c r="P140" i="10"/>
  <c r="O140" i="10"/>
  <c r="N140" i="10"/>
  <c r="N142" i="10" s="1"/>
  <c r="N143" i="10" s="1"/>
  <c r="M140" i="10"/>
  <c r="M142" i="10" s="1"/>
  <c r="M143" i="10" s="1"/>
  <c r="L140" i="10"/>
  <c r="L142" i="10" s="1"/>
  <c r="L143" i="10" s="1"/>
  <c r="K140" i="10"/>
  <c r="K142" i="10" s="1"/>
  <c r="K143" i="10" s="1"/>
  <c r="J140" i="10"/>
  <c r="J142" i="10" s="1"/>
  <c r="J143" i="10" s="1"/>
  <c r="I140" i="10"/>
  <c r="I142" i="10" s="1"/>
  <c r="I143" i="10" s="1"/>
  <c r="H140" i="10"/>
  <c r="H142" i="10" s="1"/>
  <c r="H143" i="10" s="1"/>
  <c r="G140" i="10"/>
  <c r="G142" i="10" s="1"/>
  <c r="G143" i="10" s="1"/>
  <c r="F140" i="10"/>
  <c r="F142" i="10" s="1"/>
  <c r="F143" i="10" s="1"/>
  <c r="E140" i="10"/>
  <c r="E142" i="10" s="1"/>
  <c r="E143" i="10" s="1"/>
  <c r="D140" i="10"/>
  <c r="D142" i="10" s="1"/>
  <c r="D143" i="10" s="1"/>
  <c r="C140" i="10"/>
  <c r="C142" i="10" s="1"/>
  <c r="C143" i="10" s="1"/>
  <c r="R134" i="10"/>
  <c r="P134" i="10"/>
  <c r="O134" i="10"/>
  <c r="N134" i="10"/>
  <c r="N136" i="10" s="1"/>
  <c r="N137" i="10" s="1"/>
  <c r="M134" i="10"/>
  <c r="M136" i="10" s="1"/>
  <c r="M137" i="10" s="1"/>
  <c r="L134" i="10"/>
  <c r="L136" i="10" s="1"/>
  <c r="L137" i="10" s="1"/>
  <c r="K134" i="10"/>
  <c r="K136" i="10" s="1"/>
  <c r="K137" i="10" s="1"/>
  <c r="J134" i="10"/>
  <c r="J136" i="10" s="1"/>
  <c r="J137" i="10" s="1"/>
  <c r="I134" i="10"/>
  <c r="I136" i="10" s="1"/>
  <c r="I137" i="10" s="1"/>
  <c r="H134" i="10"/>
  <c r="H136" i="10" s="1"/>
  <c r="H137" i="10" s="1"/>
  <c r="G134" i="10"/>
  <c r="G136" i="10" s="1"/>
  <c r="G137" i="10" s="1"/>
  <c r="F134" i="10"/>
  <c r="F136" i="10" s="1"/>
  <c r="F137" i="10" s="1"/>
  <c r="E134" i="10"/>
  <c r="E136" i="10" s="1"/>
  <c r="E137" i="10" s="1"/>
  <c r="D134" i="10"/>
  <c r="D136" i="10" s="1"/>
  <c r="D137" i="10" s="1"/>
  <c r="C134" i="10"/>
  <c r="C136" i="10" s="1"/>
  <c r="C137" i="10" s="1"/>
  <c r="P128" i="10"/>
  <c r="O128" i="10"/>
  <c r="N128" i="10"/>
  <c r="N130" i="10" s="1"/>
  <c r="N131" i="10" s="1"/>
  <c r="M128" i="10"/>
  <c r="M130" i="10" s="1"/>
  <c r="M131" i="10" s="1"/>
  <c r="L128" i="10"/>
  <c r="L130" i="10" s="1"/>
  <c r="L131" i="10" s="1"/>
  <c r="K128" i="10"/>
  <c r="K130" i="10" s="1"/>
  <c r="K131" i="10" s="1"/>
  <c r="J128" i="10"/>
  <c r="J130" i="10" s="1"/>
  <c r="J131" i="10" s="1"/>
  <c r="I128" i="10"/>
  <c r="I130" i="10" s="1"/>
  <c r="I131" i="10" s="1"/>
  <c r="H128" i="10"/>
  <c r="H130" i="10" s="1"/>
  <c r="H131" i="10" s="1"/>
  <c r="G128" i="10"/>
  <c r="G130" i="10" s="1"/>
  <c r="G131" i="10" s="1"/>
  <c r="F128" i="10"/>
  <c r="F130" i="10" s="1"/>
  <c r="F131" i="10" s="1"/>
  <c r="E128" i="10"/>
  <c r="E130" i="10" s="1"/>
  <c r="E131" i="10" s="1"/>
  <c r="D128" i="10"/>
  <c r="D130" i="10" s="1"/>
  <c r="D131" i="10" s="1"/>
  <c r="C128" i="10"/>
  <c r="C130" i="10" s="1"/>
  <c r="C131" i="10" s="1"/>
  <c r="M352" i="9"/>
  <c r="H352" i="9"/>
  <c r="P122" i="10"/>
  <c r="O122" i="10"/>
  <c r="N122" i="10"/>
  <c r="N124" i="10" s="1"/>
  <c r="N125" i="10" s="1"/>
  <c r="M122" i="10"/>
  <c r="M124" i="10" s="1"/>
  <c r="M125" i="10" s="1"/>
  <c r="L122" i="10"/>
  <c r="L124" i="10" s="1"/>
  <c r="L125" i="10" s="1"/>
  <c r="K122" i="10"/>
  <c r="K124" i="10" s="1"/>
  <c r="K125" i="10" s="1"/>
  <c r="J122" i="10"/>
  <c r="J124" i="10" s="1"/>
  <c r="J125" i="10" s="1"/>
  <c r="I122" i="10"/>
  <c r="I124" i="10" s="1"/>
  <c r="I125" i="10" s="1"/>
  <c r="H122" i="10"/>
  <c r="H124" i="10" s="1"/>
  <c r="H125" i="10" s="1"/>
  <c r="G122" i="10"/>
  <c r="G124" i="10" s="1"/>
  <c r="G125" i="10" s="1"/>
  <c r="F122" i="10"/>
  <c r="F124" i="10" s="1"/>
  <c r="F125" i="10" s="1"/>
  <c r="E122" i="10"/>
  <c r="E124" i="10" s="1"/>
  <c r="E125" i="10" s="1"/>
  <c r="D122" i="10"/>
  <c r="D124" i="10" s="1"/>
  <c r="D125" i="10" s="1"/>
  <c r="C122" i="10"/>
  <c r="C124" i="10" s="1"/>
  <c r="C125" i="10" s="1"/>
  <c r="H329" i="9"/>
  <c r="C331" i="9"/>
  <c r="P116" i="10"/>
  <c r="O116" i="10"/>
  <c r="N116" i="10"/>
  <c r="N118" i="10" s="1"/>
  <c r="N119" i="10" s="1"/>
  <c r="M116" i="10"/>
  <c r="M118" i="10" s="1"/>
  <c r="M119" i="10" s="1"/>
  <c r="L116" i="10"/>
  <c r="L118" i="10" s="1"/>
  <c r="L119" i="10" s="1"/>
  <c r="K116" i="10"/>
  <c r="K118" i="10" s="1"/>
  <c r="K119" i="10" s="1"/>
  <c r="J116" i="10"/>
  <c r="J118" i="10" s="1"/>
  <c r="J119" i="10" s="1"/>
  <c r="I116" i="10"/>
  <c r="I118" i="10" s="1"/>
  <c r="I119" i="10" s="1"/>
  <c r="H116" i="10"/>
  <c r="H118" i="10" s="1"/>
  <c r="H119" i="10" s="1"/>
  <c r="G116" i="10"/>
  <c r="G118" i="10" s="1"/>
  <c r="G119" i="10" s="1"/>
  <c r="F116" i="10"/>
  <c r="F118" i="10" s="1"/>
  <c r="F119" i="10" s="1"/>
  <c r="E116" i="10"/>
  <c r="E118" i="10" s="1"/>
  <c r="E119" i="10" s="1"/>
  <c r="D116" i="10"/>
  <c r="D118" i="10" s="1"/>
  <c r="D119" i="10" s="1"/>
  <c r="C116" i="10"/>
  <c r="C118" i="10" s="1"/>
  <c r="C119" i="10" s="1"/>
  <c r="M319" i="9"/>
  <c r="M313" i="9"/>
  <c r="AN225" i="4"/>
  <c r="AH225" i="4"/>
  <c r="AJ225" i="4" s="1"/>
  <c r="AL225" i="4" s="1"/>
  <c r="AG225" i="4"/>
  <c r="AD225" i="4"/>
  <c r="V225" i="4"/>
  <c r="X225" i="4" s="1"/>
  <c r="Z225" i="4" s="1"/>
  <c r="U225" i="4"/>
  <c r="R225" i="4"/>
  <c r="J225" i="4"/>
  <c r="L225" i="4" s="1"/>
  <c r="I225" i="4"/>
  <c r="F225" i="4"/>
  <c r="C110" i="10"/>
  <c r="C112" i="10" s="1"/>
  <c r="C113" i="10" s="1"/>
  <c r="P110" i="10"/>
  <c r="O110" i="10"/>
  <c r="N110" i="10"/>
  <c r="N112" i="10" s="1"/>
  <c r="N113" i="10" s="1"/>
  <c r="M110" i="10"/>
  <c r="M112" i="10" s="1"/>
  <c r="M113" i="10" s="1"/>
  <c r="L110" i="10"/>
  <c r="L112" i="10" s="1"/>
  <c r="L113" i="10" s="1"/>
  <c r="K110" i="10"/>
  <c r="K112" i="10" s="1"/>
  <c r="K113" i="10" s="1"/>
  <c r="J110" i="10"/>
  <c r="J112" i="10" s="1"/>
  <c r="J113" i="10" s="1"/>
  <c r="I110" i="10"/>
  <c r="I112" i="10" s="1"/>
  <c r="I113" i="10" s="1"/>
  <c r="H110" i="10"/>
  <c r="H112" i="10" s="1"/>
  <c r="H113" i="10" s="1"/>
  <c r="G110" i="10"/>
  <c r="G112" i="10" s="1"/>
  <c r="G113" i="10" s="1"/>
  <c r="F110" i="10"/>
  <c r="F112" i="10" s="1"/>
  <c r="F113" i="10" s="1"/>
  <c r="E110" i="10"/>
  <c r="E112" i="10" s="1"/>
  <c r="E113" i="10" s="1"/>
  <c r="D110" i="10"/>
  <c r="D112" i="10" s="1"/>
  <c r="D113" i="10" s="1"/>
  <c r="M302" i="9"/>
  <c r="H302" i="9"/>
  <c r="H298" i="9"/>
  <c r="H296" i="9"/>
  <c r="C302" i="9"/>
  <c r="AN222" i="4"/>
  <c r="AJ222" i="4"/>
  <c r="AL222" i="4" s="1"/>
  <c r="AG222" i="4"/>
  <c r="X222" i="4"/>
  <c r="Z222" i="4" s="1"/>
  <c r="U222" i="4"/>
  <c r="L222" i="4"/>
  <c r="N222" i="4" s="1"/>
  <c r="I222" i="4"/>
  <c r="AH221" i="4"/>
  <c r="AK221" i="4" s="1"/>
  <c r="AG221" i="4"/>
  <c r="AD221" i="4"/>
  <c r="V221" i="4"/>
  <c r="X221" i="4" s="1"/>
  <c r="U221" i="4"/>
  <c r="R221" i="4"/>
  <c r="J221" i="4"/>
  <c r="L221" i="4" s="1"/>
  <c r="I221" i="4"/>
  <c r="F221" i="4"/>
  <c r="Y348" i="2"/>
  <c r="O348" i="2"/>
  <c r="P104" i="10"/>
  <c r="O104" i="10"/>
  <c r="N104" i="10"/>
  <c r="N106" i="10" s="1"/>
  <c r="N107" i="10" s="1"/>
  <c r="M104" i="10"/>
  <c r="M106" i="10" s="1"/>
  <c r="M107" i="10" s="1"/>
  <c r="L104" i="10"/>
  <c r="L106" i="10" s="1"/>
  <c r="L107" i="10" s="1"/>
  <c r="K104" i="10"/>
  <c r="K106" i="10" s="1"/>
  <c r="K107" i="10" s="1"/>
  <c r="J104" i="10"/>
  <c r="J106" i="10" s="1"/>
  <c r="J107" i="10" s="1"/>
  <c r="I104" i="10"/>
  <c r="I106" i="10" s="1"/>
  <c r="I107" i="10" s="1"/>
  <c r="H104" i="10"/>
  <c r="H106" i="10" s="1"/>
  <c r="H107" i="10" s="1"/>
  <c r="G104" i="10"/>
  <c r="G106" i="10" s="1"/>
  <c r="G107" i="10" s="1"/>
  <c r="F104" i="10"/>
  <c r="F106" i="10" s="1"/>
  <c r="F107" i="10" s="1"/>
  <c r="E104" i="10"/>
  <c r="E106" i="10" s="1"/>
  <c r="E107" i="10" s="1"/>
  <c r="D104" i="10"/>
  <c r="D106" i="10" s="1"/>
  <c r="D107" i="10" s="1"/>
  <c r="C106" i="10"/>
  <c r="C107" i="10" s="1"/>
  <c r="J31" i="14" l="1"/>
  <c r="N495" i="9"/>
  <c r="I487" i="9"/>
  <c r="D403" i="9"/>
  <c r="C460" i="9"/>
  <c r="D344" i="4"/>
  <c r="C478" i="9"/>
  <c r="D487" i="9" s="1"/>
  <c r="D358" i="4"/>
  <c r="C444" i="9"/>
  <c r="D332" i="4"/>
  <c r="B30" i="14"/>
  <c r="N476" i="9"/>
  <c r="R371" i="4"/>
  <c r="AG371" i="4"/>
  <c r="AD371" i="4"/>
  <c r="AH371" i="4"/>
  <c r="AN369" i="4"/>
  <c r="AK364" i="4"/>
  <c r="AK371" i="4" s="1"/>
  <c r="AJ364" i="4"/>
  <c r="I361" i="4"/>
  <c r="N365" i="4"/>
  <c r="AM365" i="4"/>
  <c r="AO365" i="4" s="1"/>
  <c r="AQ365" i="4" s="1"/>
  <c r="U371" i="4"/>
  <c r="V371" i="4"/>
  <c r="X360" i="4"/>
  <c r="Z360" i="4" s="1"/>
  <c r="AM370" i="4"/>
  <c r="AO370" i="4" s="1"/>
  <c r="AQ370" i="4" s="1"/>
  <c r="Z370" i="4"/>
  <c r="AM362" i="4"/>
  <c r="AO362" i="4" s="1"/>
  <c r="AQ362" i="4" s="1"/>
  <c r="N362" i="4"/>
  <c r="AJ359" i="4"/>
  <c r="J364" i="4"/>
  <c r="I364" i="4"/>
  <c r="AJ369" i="4"/>
  <c r="AL369" i="4" s="1"/>
  <c r="I365" i="4"/>
  <c r="F359" i="4"/>
  <c r="J359" i="4"/>
  <c r="X364" i="4"/>
  <c r="Z364" i="4" s="1"/>
  <c r="AM367" i="4"/>
  <c r="AO367" i="4" s="1"/>
  <c r="AQ367" i="4" s="1"/>
  <c r="N367" i="4"/>
  <c r="L369" i="4"/>
  <c r="G358" i="4"/>
  <c r="D489" i="9" s="1"/>
  <c r="N360" i="4"/>
  <c r="J361" i="4"/>
  <c r="L361" i="4" s="1"/>
  <c r="Z359" i="4"/>
  <c r="F361" i="4"/>
  <c r="I351" i="4"/>
  <c r="X369" i="4"/>
  <c r="Z369" i="4" s="1"/>
  <c r="G547" i="2"/>
  <c r="F30" i="14"/>
  <c r="AB513" i="2"/>
  <c r="AB514" i="2" s="1"/>
  <c r="AB515" i="2" s="1"/>
  <c r="AB516" i="2" s="1"/>
  <c r="I350" i="4"/>
  <c r="J350" i="4"/>
  <c r="M350" i="4" s="1"/>
  <c r="AN350" i="4" s="1"/>
  <c r="AH358" i="4"/>
  <c r="AD358" i="4"/>
  <c r="AG358" i="4"/>
  <c r="AK358" i="4"/>
  <c r="Y358" i="4"/>
  <c r="N351" i="4"/>
  <c r="AM351" i="4"/>
  <c r="AO351" i="4" s="1"/>
  <c r="AQ351" i="4" s="1"/>
  <c r="N346" i="4"/>
  <c r="AM346" i="4"/>
  <c r="AO346" i="4" s="1"/>
  <c r="AQ346" i="4" s="1"/>
  <c r="N348" i="4"/>
  <c r="AM348" i="4"/>
  <c r="AO348" i="4" s="1"/>
  <c r="AQ348" i="4" s="1"/>
  <c r="AJ345" i="4"/>
  <c r="J345" i="4"/>
  <c r="X350" i="4"/>
  <c r="Z350" i="4" s="1"/>
  <c r="AM352" i="4"/>
  <c r="AO352" i="4" s="1"/>
  <c r="AQ352" i="4" s="1"/>
  <c r="F345" i="4"/>
  <c r="N352" i="4"/>
  <c r="J347" i="4"/>
  <c r="L347" i="4" s="1"/>
  <c r="F347" i="4"/>
  <c r="V358" i="4"/>
  <c r="R358" i="4"/>
  <c r="X345" i="4"/>
  <c r="U358" i="4"/>
  <c r="N487" i="9"/>
  <c r="AJ350" i="4"/>
  <c r="AL350" i="4" s="1"/>
  <c r="N334" i="4"/>
  <c r="AM334" i="4"/>
  <c r="AO334" i="4" s="1"/>
  <c r="AQ334" i="4" s="1"/>
  <c r="N325" i="4"/>
  <c r="AM325" i="4"/>
  <c r="AO325" i="4" s="1"/>
  <c r="AQ325" i="4" s="1"/>
  <c r="N310" i="4"/>
  <c r="AM310" i="4"/>
  <c r="AO310" i="4" s="1"/>
  <c r="AQ310" i="4" s="1"/>
  <c r="N225" i="4"/>
  <c r="AM225" i="4"/>
  <c r="AO225" i="4" s="1"/>
  <c r="AQ225" i="4" s="1"/>
  <c r="Y221" i="4"/>
  <c r="Z221" i="4" s="1"/>
  <c r="AM222" i="4"/>
  <c r="AO222" i="4" s="1"/>
  <c r="AQ222" i="4" s="1"/>
  <c r="AJ221" i="4"/>
  <c r="AL221" i="4" s="1"/>
  <c r="M221" i="4"/>
  <c r="R98" i="10"/>
  <c r="P98" i="10"/>
  <c r="O98" i="10"/>
  <c r="N98" i="10"/>
  <c r="N100" i="10" s="1"/>
  <c r="N101" i="10" s="1"/>
  <c r="M98" i="10"/>
  <c r="M100" i="10" s="1"/>
  <c r="M101" i="10" s="1"/>
  <c r="L98" i="10"/>
  <c r="L100" i="10" s="1"/>
  <c r="L101" i="10" s="1"/>
  <c r="K98" i="10"/>
  <c r="K100" i="10" s="1"/>
  <c r="K101" i="10" s="1"/>
  <c r="J98" i="10"/>
  <c r="J100" i="10" s="1"/>
  <c r="J101" i="10" s="1"/>
  <c r="I98" i="10"/>
  <c r="I100" i="10" s="1"/>
  <c r="I101" i="10" s="1"/>
  <c r="H98" i="10"/>
  <c r="H100" i="10" s="1"/>
  <c r="H101" i="10" s="1"/>
  <c r="G98" i="10"/>
  <c r="G100" i="10" s="1"/>
  <c r="G101" i="10" s="1"/>
  <c r="F98" i="10"/>
  <c r="F100" i="10" s="1"/>
  <c r="F101" i="10" s="1"/>
  <c r="E98" i="10"/>
  <c r="E100" i="10" s="1"/>
  <c r="E101" i="10" s="1"/>
  <c r="D98" i="10"/>
  <c r="D100" i="10" s="1"/>
  <c r="D101" i="10" s="1"/>
  <c r="C98" i="10"/>
  <c r="C100" i="10" s="1"/>
  <c r="C101" i="10" s="1"/>
  <c r="B31" i="14" l="1"/>
  <c r="D495" i="9"/>
  <c r="AL364" i="4"/>
  <c r="Y371" i="4"/>
  <c r="I358" i="4"/>
  <c r="AM360" i="4"/>
  <c r="AO360" i="4" s="1"/>
  <c r="AQ360" i="4" s="1"/>
  <c r="AR360" i="4" s="1"/>
  <c r="AS360" i="4" s="1"/>
  <c r="Z371" i="4"/>
  <c r="I371" i="4"/>
  <c r="AR365" i="4"/>
  <c r="AS365" i="4" s="1"/>
  <c r="N361" i="4"/>
  <c r="AM361" i="4"/>
  <c r="AO361" i="4" s="1"/>
  <c r="AQ361" i="4" s="1"/>
  <c r="M364" i="4"/>
  <c r="L364" i="4"/>
  <c r="AJ371" i="4"/>
  <c r="AL359" i="4"/>
  <c r="N369" i="4"/>
  <c r="AM369" i="4"/>
  <c r="AO369" i="4" s="1"/>
  <c r="AQ369" i="4" s="1"/>
  <c r="AR362" i="4"/>
  <c r="AS362" i="4" s="1"/>
  <c r="AR367" i="4"/>
  <c r="AS367" i="4" s="1"/>
  <c r="AR370" i="4"/>
  <c r="AS370" i="4" s="1"/>
  <c r="L359" i="4"/>
  <c r="J371" i="4"/>
  <c r="X371" i="4"/>
  <c r="F371" i="4"/>
  <c r="AB532" i="2"/>
  <c r="AB533" i="2" s="1"/>
  <c r="AB534" i="2" s="1"/>
  <c r="AB535" i="2" s="1"/>
  <c r="L350" i="4"/>
  <c r="N350" i="4" s="1"/>
  <c r="AN358" i="4"/>
  <c r="AR348" i="4"/>
  <c r="AS348" i="4" s="1"/>
  <c r="F358" i="4"/>
  <c r="AR352" i="4"/>
  <c r="AS352" i="4" s="1"/>
  <c r="L345" i="4"/>
  <c r="J358" i="4"/>
  <c r="X358" i="4"/>
  <c r="Z345" i="4"/>
  <c r="AR351" i="4"/>
  <c r="AS351" i="4" s="1"/>
  <c r="N347" i="4"/>
  <c r="AM347" i="4"/>
  <c r="AO347" i="4" s="1"/>
  <c r="AQ347" i="4" s="1"/>
  <c r="AJ358" i="4"/>
  <c r="AL345" i="4"/>
  <c r="AL358" i="4" s="1"/>
  <c r="AR346" i="4"/>
  <c r="AS346" i="4" s="1"/>
  <c r="M358" i="4"/>
  <c r="D476" i="9"/>
  <c r="AR334" i="4"/>
  <c r="AS334" i="4" s="1"/>
  <c r="AR325" i="4"/>
  <c r="AS325" i="4" s="1"/>
  <c r="AR310" i="4"/>
  <c r="AS310" i="4" s="1"/>
  <c r="AN221" i="4"/>
  <c r="AR225" i="4"/>
  <c r="AS225" i="4" s="1"/>
  <c r="AR222" i="4"/>
  <c r="AS222" i="4" s="1"/>
  <c r="N221" i="4"/>
  <c r="AM221" i="4"/>
  <c r="R513" i="2" l="1"/>
  <c r="R514" i="2" s="1"/>
  <c r="R515" i="2" s="1"/>
  <c r="R516" i="2" s="1"/>
  <c r="AL371" i="4"/>
  <c r="AR369" i="4"/>
  <c r="AS369" i="4" s="1"/>
  <c r="AM350" i="4"/>
  <c r="AO350" i="4" s="1"/>
  <c r="AQ350" i="4" s="1"/>
  <c r="AR350" i="4" s="1"/>
  <c r="AS350" i="4" s="1"/>
  <c r="N359" i="4"/>
  <c r="L371" i="4"/>
  <c r="AM359" i="4"/>
  <c r="N364" i="4"/>
  <c r="AM364" i="4"/>
  <c r="AN364" i="4"/>
  <c r="AN371" i="4" s="1"/>
  <c r="M371" i="4"/>
  <c r="AR361" i="4"/>
  <c r="AS361" i="4" s="1"/>
  <c r="Z358" i="4"/>
  <c r="N345" i="4"/>
  <c r="N358" i="4" s="1"/>
  <c r="AM345" i="4"/>
  <c r="L358" i="4"/>
  <c r="AR347" i="4"/>
  <c r="AS347" i="4" s="1"/>
  <c r="AO221" i="4"/>
  <c r="AQ221" i="4" s="1"/>
  <c r="AR221" i="4" s="1"/>
  <c r="N371" i="4" l="1"/>
  <c r="AO364" i="4"/>
  <c r="AQ364" i="4" s="1"/>
  <c r="AM371" i="4"/>
  <c r="AO359" i="4"/>
  <c r="AO345" i="4"/>
  <c r="AM358" i="4"/>
  <c r="AS221" i="4"/>
  <c r="R92" i="10"/>
  <c r="P92" i="10"/>
  <c r="O92" i="10"/>
  <c r="N92" i="10"/>
  <c r="N94" i="10" s="1"/>
  <c r="N95" i="10" s="1"/>
  <c r="M92" i="10"/>
  <c r="M94" i="10" s="1"/>
  <c r="M95" i="10" s="1"/>
  <c r="L92" i="10"/>
  <c r="L94" i="10" s="1"/>
  <c r="L95" i="10" s="1"/>
  <c r="K92" i="10"/>
  <c r="K94" i="10" s="1"/>
  <c r="K95" i="10" s="1"/>
  <c r="J92" i="10"/>
  <c r="J94" i="10" s="1"/>
  <c r="J95" i="10" s="1"/>
  <c r="I92" i="10"/>
  <c r="I94" i="10" s="1"/>
  <c r="I95" i="10" s="1"/>
  <c r="H92" i="10"/>
  <c r="H94" i="10" s="1"/>
  <c r="H95" i="10" s="1"/>
  <c r="G92" i="10"/>
  <c r="G94" i="10" s="1"/>
  <c r="G95" i="10" s="1"/>
  <c r="F92" i="10"/>
  <c r="F94" i="10" s="1"/>
  <c r="F95" i="10" s="1"/>
  <c r="E92" i="10"/>
  <c r="E94" i="10" s="1"/>
  <c r="E95" i="10" s="1"/>
  <c r="D92" i="10"/>
  <c r="D94" i="10" s="1"/>
  <c r="D95" i="10" s="1"/>
  <c r="C92" i="10"/>
  <c r="C94" i="10" s="1"/>
  <c r="C95" i="10" s="1"/>
  <c r="P86" i="10"/>
  <c r="O86" i="10"/>
  <c r="N86" i="10"/>
  <c r="N88" i="10" s="1"/>
  <c r="N89" i="10" s="1"/>
  <c r="M86" i="10"/>
  <c r="M88" i="10" s="1"/>
  <c r="M89" i="10" s="1"/>
  <c r="L86" i="10"/>
  <c r="L88" i="10" s="1"/>
  <c r="L89" i="10" s="1"/>
  <c r="K86" i="10"/>
  <c r="K88" i="10" s="1"/>
  <c r="K89" i="10" s="1"/>
  <c r="J86" i="10"/>
  <c r="J88" i="10" s="1"/>
  <c r="J89" i="10" s="1"/>
  <c r="I86" i="10"/>
  <c r="I88" i="10" s="1"/>
  <c r="I89" i="10" s="1"/>
  <c r="H86" i="10"/>
  <c r="H88" i="10" s="1"/>
  <c r="H89" i="10" s="1"/>
  <c r="G86" i="10"/>
  <c r="G88" i="10" s="1"/>
  <c r="G89" i="10" s="1"/>
  <c r="F86" i="10"/>
  <c r="F88" i="10" s="1"/>
  <c r="F89" i="10" s="1"/>
  <c r="E86" i="10"/>
  <c r="D86" i="10"/>
  <c r="D88" i="10" s="1"/>
  <c r="D89" i="10" s="1"/>
  <c r="C86" i="10"/>
  <c r="C88" i="10" s="1"/>
  <c r="C89" i="10" s="1"/>
  <c r="M244" i="9"/>
  <c r="H246" i="9"/>
  <c r="H244" i="9"/>
  <c r="C245" i="9"/>
  <c r="M234" i="9"/>
  <c r="H234" i="9"/>
  <c r="C234" i="9"/>
  <c r="C228" i="9"/>
  <c r="P80" i="10"/>
  <c r="O80" i="10"/>
  <c r="N80" i="10"/>
  <c r="N82" i="10" s="1"/>
  <c r="N83" i="10" s="1"/>
  <c r="M80" i="10"/>
  <c r="M82" i="10" s="1"/>
  <c r="M83" i="10" s="1"/>
  <c r="L80" i="10"/>
  <c r="L82" i="10" s="1"/>
  <c r="L83" i="10" s="1"/>
  <c r="K80" i="10"/>
  <c r="K82" i="10" s="1"/>
  <c r="K83" i="10" s="1"/>
  <c r="J80" i="10"/>
  <c r="J82" i="10" s="1"/>
  <c r="J83" i="10" s="1"/>
  <c r="I80" i="10"/>
  <c r="I82" i="10" s="1"/>
  <c r="I83" i="10" s="1"/>
  <c r="H80" i="10"/>
  <c r="H82" i="10" s="1"/>
  <c r="H83" i="10" s="1"/>
  <c r="G80" i="10"/>
  <c r="G82" i="10" s="1"/>
  <c r="G83" i="10" s="1"/>
  <c r="F80" i="10"/>
  <c r="F82" i="10" s="1"/>
  <c r="F83" i="10" s="1"/>
  <c r="E80" i="10"/>
  <c r="E82" i="10" s="1"/>
  <c r="E83" i="10" s="1"/>
  <c r="D80" i="10"/>
  <c r="D82" i="10" s="1"/>
  <c r="D83" i="10" s="1"/>
  <c r="C80" i="10"/>
  <c r="C82" i="10" s="1"/>
  <c r="C83" i="10" s="1"/>
  <c r="C218" i="9"/>
  <c r="C213" i="9"/>
  <c r="P74" i="10"/>
  <c r="O74" i="10"/>
  <c r="N74" i="10"/>
  <c r="N76" i="10" s="1"/>
  <c r="N77" i="10" s="1"/>
  <c r="M74" i="10"/>
  <c r="M76" i="10" s="1"/>
  <c r="M77" i="10" s="1"/>
  <c r="L74" i="10"/>
  <c r="L76" i="10" s="1"/>
  <c r="L77" i="10" s="1"/>
  <c r="K74" i="10"/>
  <c r="K76" i="10" s="1"/>
  <c r="K77" i="10" s="1"/>
  <c r="J74" i="10"/>
  <c r="J76" i="10" s="1"/>
  <c r="J77" i="10" s="1"/>
  <c r="I74" i="10"/>
  <c r="I76" i="10" s="1"/>
  <c r="I77" i="10" s="1"/>
  <c r="H74" i="10"/>
  <c r="H76" i="10" s="1"/>
  <c r="H77" i="10" s="1"/>
  <c r="G74" i="10"/>
  <c r="G76" i="10" s="1"/>
  <c r="G77" i="10" s="1"/>
  <c r="F74" i="10"/>
  <c r="F76" i="10" s="1"/>
  <c r="F77" i="10" s="1"/>
  <c r="E74" i="10"/>
  <c r="E76" i="10" s="1"/>
  <c r="E77" i="10" s="1"/>
  <c r="D74" i="10"/>
  <c r="D76" i="10" s="1"/>
  <c r="D77" i="10" s="1"/>
  <c r="M196" i="9"/>
  <c r="H198" i="9"/>
  <c r="H196" i="9"/>
  <c r="C198" i="9"/>
  <c r="C196" i="9"/>
  <c r="AN138" i="4"/>
  <c r="AH138" i="4"/>
  <c r="AJ138" i="4" s="1"/>
  <c r="AL138" i="4" s="1"/>
  <c r="AG138" i="4"/>
  <c r="AD138" i="4"/>
  <c r="V138" i="4"/>
  <c r="X138" i="4" s="1"/>
  <c r="Z138" i="4" s="1"/>
  <c r="U138" i="4"/>
  <c r="R138" i="4"/>
  <c r="J138" i="4"/>
  <c r="L138" i="4" s="1"/>
  <c r="I138" i="4"/>
  <c r="F138" i="4"/>
  <c r="E88" i="10" l="1"/>
  <c r="E89" i="10" s="1"/>
  <c r="AO371" i="4"/>
  <c r="AQ359" i="4"/>
  <c r="AR364" i="4"/>
  <c r="AS364" i="4" s="1"/>
  <c r="AQ345" i="4"/>
  <c r="AO358" i="4"/>
  <c r="X529" i="2"/>
  <c r="AM138" i="4"/>
  <c r="AO138" i="4" s="1"/>
  <c r="AQ138" i="4" s="1"/>
  <c r="N138" i="4"/>
  <c r="AQ371" i="4" l="1"/>
  <c r="AR359" i="4"/>
  <c r="AR371" i="4" s="1"/>
  <c r="R532" i="2"/>
  <c r="R533" i="2" s="1"/>
  <c r="R534" i="2" s="1"/>
  <c r="R535" i="2" s="1"/>
  <c r="R538" i="2"/>
  <c r="R539" i="2" s="1"/>
  <c r="R540" i="2" s="1"/>
  <c r="R541" i="2" s="1"/>
  <c r="F529" i="2"/>
  <c r="X547" i="2"/>
  <c r="AR345" i="4"/>
  <c r="AR358" i="4" s="1"/>
  <c r="AQ358" i="4"/>
  <c r="R520" i="2"/>
  <c r="R521" i="2" s="1"/>
  <c r="R522" i="2" s="1"/>
  <c r="AR138" i="4"/>
  <c r="AS138" i="4" s="1"/>
  <c r="R529" i="2" l="1"/>
  <c r="AS359" i="4"/>
  <c r="AS371" i="4" s="1"/>
  <c r="R547" i="2"/>
  <c r="AS345" i="4"/>
  <c r="AS358" i="4" s="1"/>
  <c r="P68" i="10" l="1"/>
  <c r="O68" i="10"/>
  <c r="N68" i="10"/>
  <c r="N70" i="10" s="1"/>
  <c r="N71" i="10" s="1"/>
  <c r="M68" i="10"/>
  <c r="M70" i="10" s="1"/>
  <c r="M71" i="10" s="1"/>
  <c r="L68" i="10"/>
  <c r="L70" i="10" s="1"/>
  <c r="L71" i="10" s="1"/>
  <c r="K68" i="10"/>
  <c r="K70" i="10" s="1"/>
  <c r="K71" i="10" s="1"/>
  <c r="J68" i="10"/>
  <c r="J70" i="10" s="1"/>
  <c r="J71" i="10" s="1"/>
  <c r="I68" i="10"/>
  <c r="I70" i="10" s="1"/>
  <c r="I71" i="10" s="1"/>
  <c r="H68" i="10"/>
  <c r="H70" i="10" s="1"/>
  <c r="H71" i="10" s="1"/>
  <c r="G68" i="10"/>
  <c r="G70" i="10" s="1"/>
  <c r="G71" i="10" s="1"/>
  <c r="F68" i="10"/>
  <c r="F70" i="10" s="1"/>
  <c r="F71" i="10" s="1"/>
  <c r="E68" i="10"/>
  <c r="E70" i="10" s="1"/>
  <c r="E71" i="10" s="1"/>
  <c r="D68" i="10"/>
  <c r="D70" i="10" s="1"/>
  <c r="D71" i="10" s="1"/>
  <c r="M185" i="9"/>
  <c r="H185" i="9"/>
  <c r="H180" i="9"/>
  <c r="C185" i="9"/>
  <c r="C183" i="9"/>
  <c r="C181" i="9"/>
  <c r="C179" i="9"/>
  <c r="U128" i="4"/>
  <c r="C180" i="9"/>
  <c r="AN127" i="4"/>
  <c r="AH127" i="4"/>
  <c r="AJ127" i="4" s="1"/>
  <c r="AL127" i="4" s="1"/>
  <c r="AG127" i="4"/>
  <c r="AD127" i="4"/>
  <c r="V127" i="4"/>
  <c r="X127" i="4" s="1"/>
  <c r="Z127" i="4" s="1"/>
  <c r="U127" i="4"/>
  <c r="R127" i="4"/>
  <c r="J127" i="4"/>
  <c r="L127" i="4" s="1"/>
  <c r="I127" i="4"/>
  <c r="F127" i="4"/>
  <c r="C162" i="9"/>
  <c r="M162" i="9"/>
  <c r="M161" i="9"/>
  <c r="M160" i="9"/>
  <c r="M167" i="9"/>
  <c r="H161" i="9"/>
  <c r="C164" i="9"/>
  <c r="P62" i="10"/>
  <c r="O62" i="10"/>
  <c r="N62" i="10"/>
  <c r="N64" i="10" s="1"/>
  <c r="N65" i="10" s="1"/>
  <c r="M62" i="10"/>
  <c r="M64" i="10" s="1"/>
  <c r="M65" i="10" s="1"/>
  <c r="L62" i="10"/>
  <c r="L64" i="10" s="1"/>
  <c r="L65" i="10" s="1"/>
  <c r="K62" i="10"/>
  <c r="K64" i="10" s="1"/>
  <c r="K65" i="10" s="1"/>
  <c r="J62" i="10"/>
  <c r="J64" i="10" s="1"/>
  <c r="J65" i="10" s="1"/>
  <c r="I62" i="10"/>
  <c r="I64" i="10" s="1"/>
  <c r="I65" i="10" s="1"/>
  <c r="H62" i="10"/>
  <c r="H64" i="10" s="1"/>
  <c r="H65" i="10" s="1"/>
  <c r="G62" i="10"/>
  <c r="G64" i="10" s="1"/>
  <c r="G65" i="10" s="1"/>
  <c r="F62" i="10"/>
  <c r="F64" i="10" s="1"/>
  <c r="F65" i="10" s="1"/>
  <c r="E62" i="10"/>
  <c r="E64" i="10" s="1"/>
  <c r="E65" i="10" s="1"/>
  <c r="D62" i="10"/>
  <c r="D64" i="10" s="1"/>
  <c r="D65" i="10" s="1"/>
  <c r="P56" i="10"/>
  <c r="O56" i="10"/>
  <c r="N56" i="10"/>
  <c r="N58" i="10" s="1"/>
  <c r="N59" i="10" s="1"/>
  <c r="M56" i="10"/>
  <c r="M58" i="10" s="1"/>
  <c r="M59" i="10" s="1"/>
  <c r="L56" i="10"/>
  <c r="L58" i="10" s="1"/>
  <c r="L59" i="10" s="1"/>
  <c r="K56" i="10"/>
  <c r="K58" i="10" s="1"/>
  <c r="K59" i="10" s="1"/>
  <c r="J56" i="10"/>
  <c r="J58" i="10" s="1"/>
  <c r="J59" i="10" s="1"/>
  <c r="I56" i="10"/>
  <c r="I58" i="10" s="1"/>
  <c r="I59" i="10" s="1"/>
  <c r="H56" i="10"/>
  <c r="H58" i="10" s="1"/>
  <c r="H59" i="10" s="1"/>
  <c r="G56" i="10"/>
  <c r="G58" i="10" s="1"/>
  <c r="G59" i="10" s="1"/>
  <c r="F56" i="10"/>
  <c r="F58" i="10" s="1"/>
  <c r="F59" i="10" s="1"/>
  <c r="E56" i="10"/>
  <c r="E58" i="10" s="1"/>
  <c r="E59" i="10" s="1"/>
  <c r="D56" i="10"/>
  <c r="D58" i="10" s="1"/>
  <c r="D59" i="10" s="1"/>
  <c r="AH117" i="4"/>
  <c r="AJ117" i="4" s="1"/>
  <c r="N127" i="4" l="1"/>
  <c r="AM127" i="4"/>
  <c r="AO127" i="4" s="1"/>
  <c r="AQ127" i="4" s="1"/>
  <c r="N529" i="2" l="1"/>
  <c r="AR127" i="4"/>
  <c r="AS127" i="4" s="1"/>
  <c r="P50" i="10"/>
  <c r="O50" i="10"/>
  <c r="N50" i="10"/>
  <c r="N52" i="10" s="1"/>
  <c r="N53" i="10" s="1"/>
  <c r="M50" i="10"/>
  <c r="M52" i="10" s="1"/>
  <c r="M53" i="10" s="1"/>
  <c r="L50" i="10"/>
  <c r="L52" i="10" s="1"/>
  <c r="L53" i="10" s="1"/>
  <c r="K50" i="10"/>
  <c r="K52" i="10" s="1"/>
  <c r="K53" i="10" s="1"/>
  <c r="J50" i="10"/>
  <c r="J52" i="10" s="1"/>
  <c r="J53" i="10" s="1"/>
  <c r="I50" i="10"/>
  <c r="I52" i="10" s="1"/>
  <c r="I53" i="10" s="1"/>
  <c r="H50" i="10"/>
  <c r="H52" i="10" s="1"/>
  <c r="H53" i="10" s="1"/>
  <c r="G50" i="10"/>
  <c r="G52" i="10" s="1"/>
  <c r="G53" i="10" s="1"/>
  <c r="F50" i="10"/>
  <c r="F52" i="10" s="1"/>
  <c r="F53" i="10" s="1"/>
  <c r="E50" i="10"/>
  <c r="E52" i="10" s="1"/>
  <c r="E53" i="10" s="1"/>
  <c r="D50" i="10"/>
  <c r="D52" i="10" s="1"/>
  <c r="D53" i="10" s="1"/>
  <c r="C130" i="9"/>
  <c r="M130" i="9"/>
  <c r="M125" i="9"/>
  <c r="M123" i="9"/>
  <c r="H130" i="9"/>
  <c r="H124" i="9"/>
  <c r="AN92" i="4"/>
  <c r="AH92" i="4"/>
  <c r="AJ92" i="4" s="1"/>
  <c r="AL92" i="4" s="1"/>
  <c r="AG92" i="4"/>
  <c r="AD92" i="4"/>
  <c r="V92" i="4"/>
  <c r="X92" i="4" s="1"/>
  <c r="Z92" i="4" s="1"/>
  <c r="U92" i="4"/>
  <c r="R92" i="4"/>
  <c r="J92" i="4"/>
  <c r="L92" i="4" s="1"/>
  <c r="I92" i="4"/>
  <c r="F92" i="4"/>
  <c r="M113" i="9"/>
  <c r="M109" i="9"/>
  <c r="H113" i="9"/>
  <c r="H106" i="9"/>
  <c r="C108" i="9"/>
  <c r="P44" i="10"/>
  <c r="O44" i="10"/>
  <c r="N44" i="10"/>
  <c r="N46" i="10" s="1"/>
  <c r="N47" i="10" s="1"/>
  <c r="M44" i="10"/>
  <c r="M46" i="10" s="1"/>
  <c r="M47" i="10" s="1"/>
  <c r="L44" i="10"/>
  <c r="L46" i="10" s="1"/>
  <c r="L47" i="10" s="1"/>
  <c r="K44" i="10"/>
  <c r="K46" i="10" s="1"/>
  <c r="K47" i="10" s="1"/>
  <c r="J44" i="10"/>
  <c r="J46" i="10" s="1"/>
  <c r="J47" i="10" s="1"/>
  <c r="I44" i="10"/>
  <c r="I46" i="10" s="1"/>
  <c r="I47" i="10" s="1"/>
  <c r="H44" i="10"/>
  <c r="H46" i="10" s="1"/>
  <c r="H47" i="10" s="1"/>
  <c r="G44" i="10"/>
  <c r="G46" i="10" s="1"/>
  <c r="G47" i="10" s="1"/>
  <c r="F44" i="10"/>
  <c r="F46" i="10" s="1"/>
  <c r="F47" i="10" s="1"/>
  <c r="E44" i="10"/>
  <c r="E46" i="10" s="1"/>
  <c r="E47" i="10" s="1"/>
  <c r="D44" i="10"/>
  <c r="D46" i="10" s="1"/>
  <c r="D47" i="10" s="1"/>
  <c r="C44" i="10"/>
  <c r="AN84" i="4"/>
  <c r="AJ84" i="4"/>
  <c r="AL84" i="4" s="1"/>
  <c r="AG84" i="4"/>
  <c r="X84" i="4"/>
  <c r="Z84" i="4" s="1"/>
  <c r="U84" i="4"/>
  <c r="L84" i="4"/>
  <c r="I84" i="4"/>
  <c r="AH83" i="4"/>
  <c r="AK83" i="4" s="1"/>
  <c r="AG83" i="4"/>
  <c r="AD83" i="4"/>
  <c r="V83" i="4"/>
  <c r="Y83" i="4" s="1"/>
  <c r="U83" i="4"/>
  <c r="R83" i="4"/>
  <c r="J83" i="4"/>
  <c r="L83" i="4" s="1"/>
  <c r="I83" i="4"/>
  <c r="F83" i="4"/>
  <c r="P38" i="10"/>
  <c r="O38" i="10"/>
  <c r="N38" i="10"/>
  <c r="N40" i="10" s="1"/>
  <c r="N41" i="10" s="1"/>
  <c r="M38" i="10"/>
  <c r="M40" i="10" s="1"/>
  <c r="M41" i="10" s="1"/>
  <c r="L38" i="10"/>
  <c r="L40" i="10" s="1"/>
  <c r="L41" i="10" s="1"/>
  <c r="K38" i="10"/>
  <c r="K40" i="10" s="1"/>
  <c r="K41" i="10" s="1"/>
  <c r="J38" i="10"/>
  <c r="J40" i="10" s="1"/>
  <c r="J41" i="10" s="1"/>
  <c r="I38" i="10"/>
  <c r="I40" i="10" s="1"/>
  <c r="I41" i="10" s="1"/>
  <c r="H38" i="10"/>
  <c r="H40" i="10" s="1"/>
  <c r="H41" i="10" s="1"/>
  <c r="G38" i="10"/>
  <c r="G40" i="10" s="1"/>
  <c r="G41" i="10" s="1"/>
  <c r="F38" i="10"/>
  <c r="F40" i="10" s="1"/>
  <c r="F41" i="10" s="1"/>
  <c r="E38" i="10"/>
  <c r="E40" i="10" s="1"/>
  <c r="E41" i="10" s="1"/>
  <c r="D38" i="10"/>
  <c r="D40" i="10" s="1"/>
  <c r="D41" i="10" s="1"/>
  <c r="C38" i="10"/>
  <c r="C40" i="10" s="1"/>
  <c r="C41" i="10" s="1"/>
  <c r="M96" i="9"/>
  <c r="M88" i="9"/>
  <c r="H96" i="9"/>
  <c r="H88" i="9"/>
  <c r="C96" i="9"/>
  <c r="C91" i="9"/>
  <c r="C90" i="9"/>
  <c r="J63" i="4"/>
  <c r="AN73" i="4"/>
  <c r="AJ73" i="4"/>
  <c r="AL73" i="4" s="1"/>
  <c r="AG73" i="4"/>
  <c r="X73" i="4"/>
  <c r="Z73" i="4" s="1"/>
  <c r="U73" i="4"/>
  <c r="L73" i="4"/>
  <c r="I73" i="4"/>
  <c r="AH72" i="4"/>
  <c r="AJ72" i="4" s="1"/>
  <c r="AG72" i="4"/>
  <c r="AD72" i="4"/>
  <c r="V72" i="4"/>
  <c r="Y72" i="4" s="1"/>
  <c r="U72" i="4"/>
  <c r="R72" i="4"/>
  <c r="J72" i="4"/>
  <c r="M72" i="4" s="1"/>
  <c r="I72" i="4"/>
  <c r="F72" i="4"/>
  <c r="P32" i="10"/>
  <c r="O32" i="10"/>
  <c r="N32" i="10"/>
  <c r="N34" i="10" s="1"/>
  <c r="N35" i="10" s="1"/>
  <c r="M32" i="10"/>
  <c r="M34" i="10" s="1"/>
  <c r="M35" i="10" s="1"/>
  <c r="L32" i="10"/>
  <c r="L34" i="10" s="1"/>
  <c r="L35" i="10" s="1"/>
  <c r="K32" i="10"/>
  <c r="K34" i="10" s="1"/>
  <c r="K35" i="10" s="1"/>
  <c r="J32" i="10"/>
  <c r="J34" i="10" s="1"/>
  <c r="J35" i="10" s="1"/>
  <c r="I32" i="10"/>
  <c r="I34" i="10" s="1"/>
  <c r="I35" i="10" s="1"/>
  <c r="H32" i="10"/>
  <c r="H34" i="10" s="1"/>
  <c r="H35" i="10" s="1"/>
  <c r="G32" i="10"/>
  <c r="G34" i="10" s="1"/>
  <c r="G35" i="10" s="1"/>
  <c r="F32" i="10"/>
  <c r="F34" i="10" s="1"/>
  <c r="F35" i="10" s="1"/>
  <c r="E32" i="10"/>
  <c r="E34" i="10" s="1"/>
  <c r="E35" i="10" s="1"/>
  <c r="D32" i="10"/>
  <c r="D34" i="10" s="1"/>
  <c r="D35" i="10" s="1"/>
  <c r="C32" i="10"/>
  <c r="C34" i="10" s="1"/>
  <c r="C35" i="10" s="1"/>
  <c r="H72" i="9"/>
  <c r="H62" i="9"/>
  <c r="H58" i="9"/>
  <c r="H55" i="9"/>
  <c r="C62" i="9"/>
  <c r="M55" i="9"/>
  <c r="M62" i="9"/>
  <c r="M57" i="9"/>
  <c r="P28" i="10"/>
  <c r="P29" i="10" s="1"/>
  <c r="O26" i="10"/>
  <c r="O28" i="10" s="1"/>
  <c r="O29" i="10" s="1"/>
  <c r="N26" i="10"/>
  <c r="N28" i="10" s="1"/>
  <c r="N29" i="10" s="1"/>
  <c r="M26" i="10"/>
  <c r="M28" i="10" s="1"/>
  <c r="M29" i="10" s="1"/>
  <c r="L26" i="10"/>
  <c r="L28" i="10" s="1"/>
  <c r="L29" i="10" s="1"/>
  <c r="K26" i="10"/>
  <c r="K28" i="10" s="1"/>
  <c r="K29" i="10" s="1"/>
  <c r="J26" i="10"/>
  <c r="J28" i="10" s="1"/>
  <c r="J29" i="10" s="1"/>
  <c r="I26" i="10"/>
  <c r="I28" i="10" s="1"/>
  <c r="I29" i="10" s="1"/>
  <c r="H26" i="10"/>
  <c r="H28" i="10" s="1"/>
  <c r="H29" i="10" s="1"/>
  <c r="G26" i="10"/>
  <c r="G28" i="10" s="1"/>
  <c r="G29" i="10" s="1"/>
  <c r="F26" i="10"/>
  <c r="F28" i="10" s="1"/>
  <c r="F29" i="10" s="1"/>
  <c r="E26" i="10"/>
  <c r="E28" i="10" s="1"/>
  <c r="E29" i="10" s="1"/>
  <c r="D26" i="10"/>
  <c r="D28" i="10" s="1"/>
  <c r="D29" i="10" s="1"/>
  <c r="C26" i="10"/>
  <c r="C28" i="10" s="1"/>
  <c r="C29" i="10" s="1"/>
  <c r="G73" i="2"/>
  <c r="B5" i="14" s="1"/>
  <c r="P20" i="10"/>
  <c r="P22" i="10" s="1"/>
  <c r="P23" i="10" s="1"/>
  <c r="O20" i="10"/>
  <c r="O22" i="10" s="1"/>
  <c r="O23" i="10" s="1"/>
  <c r="N20" i="10"/>
  <c r="N22" i="10" s="1"/>
  <c r="N23" i="10" s="1"/>
  <c r="M20" i="10"/>
  <c r="M22" i="10" s="1"/>
  <c r="M23" i="10" s="1"/>
  <c r="L20" i="10"/>
  <c r="L22" i="10" s="1"/>
  <c r="L23" i="10" s="1"/>
  <c r="K20" i="10"/>
  <c r="K22" i="10" s="1"/>
  <c r="K23" i="10" s="1"/>
  <c r="J20" i="10"/>
  <c r="J22" i="10" s="1"/>
  <c r="J23" i="10" s="1"/>
  <c r="I20" i="10"/>
  <c r="I22" i="10" s="1"/>
  <c r="I23" i="10" s="1"/>
  <c r="H20" i="10"/>
  <c r="H22" i="10" s="1"/>
  <c r="H23" i="10" s="1"/>
  <c r="G20" i="10"/>
  <c r="G22" i="10" s="1"/>
  <c r="G23" i="10" s="1"/>
  <c r="F22" i="10"/>
  <c r="F23" i="10" s="1"/>
  <c r="E22" i="10"/>
  <c r="E23" i="10" s="1"/>
  <c r="D20" i="10"/>
  <c r="D22" i="10" s="1"/>
  <c r="D23" i="10" s="1"/>
  <c r="C20" i="10"/>
  <c r="C22" i="10" s="1"/>
  <c r="C23" i="10" s="1"/>
  <c r="H14" i="10"/>
  <c r="H16" i="10" s="1"/>
  <c r="H17" i="10" s="1"/>
  <c r="M41" i="9"/>
  <c r="M39" i="9"/>
  <c r="H39" i="9"/>
  <c r="C39" i="9"/>
  <c r="P14" i="10"/>
  <c r="O14" i="10"/>
  <c r="O16" i="10" s="1"/>
  <c r="O17" i="10" s="1"/>
  <c r="N14" i="10"/>
  <c r="N16" i="10" s="1"/>
  <c r="N17" i="10" s="1"/>
  <c r="M14" i="10"/>
  <c r="M16" i="10" s="1"/>
  <c r="M17" i="10" s="1"/>
  <c r="L14" i="10"/>
  <c r="L16" i="10" s="1"/>
  <c r="L17" i="10" s="1"/>
  <c r="K14" i="10"/>
  <c r="K16" i="10" s="1"/>
  <c r="K17" i="10" s="1"/>
  <c r="J14" i="10"/>
  <c r="J16" i="10" s="1"/>
  <c r="J17" i="10" s="1"/>
  <c r="I14" i="10"/>
  <c r="I16" i="10" s="1"/>
  <c r="I17" i="10" s="1"/>
  <c r="G14" i="10"/>
  <c r="G16" i="10" s="1"/>
  <c r="G17" i="10" s="1"/>
  <c r="F14" i="10"/>
  <c r="F16" i="10" s="1"/>
  <c r="F17" i="10" s="1"/>
  <c r="E14" i="10"/>
  <c r="E16" i="10" s="1"/>
  <c r="E17" i="10" s="1"/>
  <c r="D14" i="10"/>
  <c r="D16" i="10" s="1"/>
  <c r="D17" i="10" s="1"/>
  <c r="C14" i="10"/>
  <c r="C16" i="10" s="1"/>
  <c r="C17" i="10" s="1"/>
  <c r="P8" i="10"/>
  <c r="N8" i="10"/>
  <c r="N10" i="10" s="1"/>
  <c r="N11" i="10" s="1"/>
  <c r="M8" i="10"/>
  <c r="L8" i="10"/>
  <c r="L10" i="10" s="1"/>
  <c r="L11" i="10" s="1"/>
  <c r="K8" i="10"/>
  <c r="J8" i="10"/>
  <c r="I8" i="10"/>
  <c r="G8" i="10"/>
  <c r="F8" i="10"/>
  <c r="E8" i="10"/>
  <c r="D8" i="10"/>
  <c r="C8" i="10"/>
  <c r="H25" i="9"/>
  <c r="C24" i="9"/>
  <c r="J34" i="12"/>
  <c r="J30" i="12"/>
  <c r="J29" i="12"/>
  <c r="J28" i="12"/>
  <c r="L17" i="12"/>
  <c r="K17" i="12"/>
  <c r="L16" i="12"/>
  <c r="K16" i="12"/>
  <c r="L15" i="12"/>
  <c r="K15" i="12"/>
  <c r="L14" i="12"/>
  <c r="K14" i="12"/>
  <c r="L13" i="12"/>
  <c r="K13" i="12"/>
  <c r="L12" i="12"/>
  <c r="K12" i="12"/>
  <c r="L11" i="12"/>
  <c r="K11" i="12"/>
  <c r="L10" i="12"/>
  <c r="K10" i="12"/>
  <c r="L9" i="12"/>
  <c r="K9" i="12"/>
  <c r="L8" i="12"/>
  <c r="K8" i="12"/>
  <c r="L7" i="12"/>
  <c r="K7" i="12"/>
  <c r="L6" i="12"/>
  <c r="K6" i="12"/>
  <c r="L5" i="12"/>
  <c r="K5" i="12"/>
  <c r="L4" i="12"/>
  <c r="K4" i="12"/>
  <c r="L3" i="12"/>
  <c r="K3" i="12"/>
  <c r="C46" i="10" l="1"/>
  <c r="C48" i="10"/>
  <c r="M7" i="12"/>
  <c r="M13" i="12"/>
  <c r="N46" i="9"/>
  <c r="M9" i="12"/>
  <c r="M14" i="12"/>
  <c r="M4" i="12"/>
  <c r="M10" i="12"/>
  <c r="M5" i="12"/>
  <c r="M12" i="12"/>
  <c r="M16" i="12"/>
  <c r="M8" i="12"/>
  <c r="M11" i="12"/>
  <c r="M17" i="12"/>
  <c r="J35" i="12"/>
  <c r="N92" i="4"/>
  <c r="AM92" i="4"/>
  <c r="AO92" i="4" s="1"/>
  <c r="AQ92" i="4" s="1"/>
  <c r="AM84" i="4"/>
  <c r="AO84" i="4" s="1"/>
  <c r="AQ84" i="4" s="1"/>
  <c r="AR84" i="4" s="1"/>
  <c r="AS84" i="4" s="1"/>
  <c r="M83" i="4"/>
  <c r="N83" i="4" s="1"/>
  <c r="N84" i="4"/>
  <c r="AJ83" i="4"/>
  <c r="AL83" i="4" s="1"/>
  <c r="X83" i="4"/>
  <c r="Z83" i="4" s="1"/>
  <c r="AM73" i="4"/>
  <c r="AO73" i="4" s="1"/>
  <c r="AQ73" i="4" s="1"/>
  <c r="AR73" i="4" s="1"/>
  <c r="AS73" i="4" s="1"/>
  <c r="L72" i="4"/>
  <c r="N73" i="4"/>
  <c r="AK72" i="4"/>
  <c r="AL72" i="4" s="1"/>
  <c r="X72" i="4"/>
  <c r="Z72" i="4" s="1"/>
  <c r="M6" i="12"/>
  <c r="M15" i="12"/>
  <c r="M3" i="12"/>
  <c r="C47" i="10" l="1"/>
  <c r="C50" i="10"/>
  <c r="W17" i="12"/>
  <c r="W11" i="12"/>
  <c r="W8" i="12"/>
  <c r="W16" i="12"/>
  <c r="W3" i="12"/>
  <c r="W12" i="12"/>
  <c r="W15" i="12"/>
  <c r="W5" i="12"/>
  <c r="W10" i="12"/>
  <c r="W4" i="12"/>
  <c r="W14" i="12"/>
  <c r="W9" i="12"/>
  <c r="W13" i="12"/>
  <c r="W7" i="12"/>
  <c r="AN83" i="4"/>
  <c r="AR92" i="4"/>
  <c r="AS92" i="4" s="1"/>
  <c r="AM83" i="4"/>
  <c r="AM72" i="4"/>
  <c r="N72" i="4"/>
  <c r="AN72" i="4"/>
  <c r="X65" i="2"/>
  <c r="W6" i="12" l="1"/>
  <c r="T23" i="12"/>
  <c r="C52" i="10"/>
  <c r="C54" i="10"/>
  <c r="C56" i="10" s="1"/>
  <c r="AO83" i="4"/>
  <c r="AQ83" i="4" s="1"/>
  <c r="AR83" i="4" s="1"/>
  <c r="AS83" i="4" s="1"/>
  <c r="AO72" i="4"/>
  <c r="AQ72" i="4" s="1"/>
  <c r="AR72" i="4" s="1"/>
  <c r="X66" i="2"/>
  <c r="X67" i="2" s="1"/>
  <c r="Z65" i="2"/>
  <c r="P4" i="10"/>
  <c r="P5" i="10" s="1"/>
  <c r="O4" i="10"/>
  <c r="O5" i="10" s="1"/>
  <c r="N4" i="10"/>
  <c r="N5" i="10" s="1"/>
  <c r="L4" i="10"/>
  <c r="L5" i="10" s="1"/>
  <c r="W23" i="12" l="1"/>
  <c r="C58" i="10"/>
  <c r="C60" i="10"/>
  <c r="C62" i="10" s="1"/>
  <c r="C53" i="10"/>
  <c r="Z67" i="2"/>
  <c r="X68" i="2"/>
  <c r="AS72" i="4"/>
  <c r="Z66" i="2"/>
  <c r="C64" i="10" l="1"/>
  <c r="C66" i="10"/>
  <c r="C68" i="10" s="1"/>
  <c r="C59" i="10"/>
  <c r="X69" i="2"/>
  <c r="Z68" i="2"/>
  <c r="AE13" i="2"/>
  <c r="K31" i="14"/>
  <c r="G31" i="14"/>
  <c r="C31" i="14"/>
  <c r="K30" i="14"/>
  <c r="G30" i="14"/>
  <c r="C30" i="14"/>
  <c r="C70" i="10" l="1"/>
  <c r="C72" i="10"/>
  <c r="C74" i="10" s="1"/>
  <c r="C76" i="10" s="1"/>
  <c r="C77" i="10" s="1"/>
  <c r="C65" i="10"/>
  <c r="Z69" i="2"/>
  <c r="N31" i="14"/>
  <c r="N30" i="14"/>
  <c r="C71" i="10" l="1"/>
  <c r="M464" i="9"/>
  <c r="H461" i="9"/>
  <c r="H444" i="9" l="1"/>
  <c r="C448" i="9"/>
  <c r="C447" i="9"/>
  <c r="C446" i="9"/>
  <c r="AN312" i="4"/>
  <c r="AH312" i="4"/>
  <c r="AJ312" i="4" s="1"/>
  <c r="AL312" i="4" s="1"/>
  <c r="AG312" i="4"/>
  <c r="AD312" i="4"/>
  <c r="V312" i="4"/>
  <c r="X312" i="4" s="1"/>
  <c r="Z312" i="4" s="1"/>
  <c r="U312" i="4"/>
  <c r="R312" i="4"/>
  <c r="J312" i="4"/>
  <c r="L312" i="4" s="1"/>
  <c r="I312" i="4"/>
  <c r="F312" i="4"/>
  <c r="D451" i="9" l="1"/>
  <c r="N312" i="4"/>
  <c r="AM312" i="4"/>
  <c r="AO312" i="4" s="1"/>
  <c r="AQ312" i="4" s="1"/>
  <c r="AR312" i="4" l="1"/>
  <c r="AS312" i="4" s="1"/>
  <c r="M418" i="9" l="1"/>
  <c r="M398" i="9"/>
  <c r="M397" i="9"/>
  <c r="H397" i="9"/>
  <c r="I403" i="9" s="1"/>
  <c r="Q343" i="2"/>
  <c r="M362" i="9"/>
  <c r="H362" i="9"/>
  <c r="H346" i="9"/>
  <c r="C348" i="9"/>
  <c r="C350" i="9"/>
  <c r="M332" i="9"/>
  <c r="M329" i="9"/>
  <c r="H332" i="9"/>
  <c r="H314" i="9"/>
  <c r="C315" i="9"/>
  <c r="H295" i="9"/>
  <c r="F206" i="4"/>
  <c r="D353" i="9" l="1"/>
  <c r="M278" i="9"/>
  <c r="AG151" i="4" l="1"/>
  <c r="M251" i="9" l="1"/>
  <c r="M247" i="9"/>
  <c r="H247" i="9"/>
  <c r="H245" i="9"/>
  <c r="C247" i="9"/>
  <c r="M231" i="9"/>
  <c r="M229" i="9"/>
  <c r="M228" i="9"/>
  <c r="H231" i="9"/>
  <c r="H228" i="9"/>
  <c r="C230" i="9"/>
  <c r="AN175" i="4" l="1"/>
  <c r="AH175" i="4"/>
  <c r="AJ175" i="4" s="1"/>
  <c r="AL175" i="4" s="1"/>
  <c r="AG175" i="4"/>
  <c r="AD175" i="4"/>
  <c r="V175" i="4"/>
  <c r="X175" i="4" s="1"/>
  <c r="Z175" i="4" s="1"/>
  <c r="U175" i="4"/>
  <c r="R175" i="4"/>
  <c r="J175" i="4"/>
  <c r="L175" i="4" s="1"/>
  <c r="I175" i="4"/>
  <c r="F175" i="4"/>
  <c r="AN163" i="4"/>
  <c r="AH163" i="4"/>
  <c r="AJ163" i="4" s="1"/>
  <c r="AL163" i="4" s="1"/>
  <c r="AG163" i="4"/>
  <c r="AD163" i="4"/>
  <c r="V163" i="4"/>
  <c r="X163" i="4" s="1"/>
  <c r="Z163" i="4" s="1"/>
  <c r="U163" i="4"/>
  <c r="R163" i="4"/>
  <c r="J163" i="4"/>
  <c r="L163" i="4" s="1"/>
  <c r="I163" i="4"/>
  <c r="F163" i="4"/>
  <c r="M200" i="9"/>
  <c r="H200" i="9"/>
  <c r="H199" i="9"/>
  <c r="C199" i="9"/>
  <c r="M183" i="9"/>
  <c r="M182" i="9"/>
  <c r="M179" i="9"/>
  <c r="H183" i="9"/>
  <c r="H182" i="9"/>
  <c r="H179" i="9"/>
  <c r="H162" i="9"/>
  <c r="C125" i="9"/>
  <c r="H90" i="9"/>
  <c r="D252" i="9" l="1"/>
  <c r="N175" i="4"/>
  <c r="AM175" i="4"/>
  <c r="AO175" i="4" s="1"/>
  <c r="AQ175" i="4" s="1"/>
  <c r="N163" i="4"/>
  <c r="AM163" i="4"/>
  <c r="AO163" i="4" s="1"/>
  <c r="AQ163" i="4" s="1"/>
  <c r="C75" i="9"/>
  <c r="C76" i="9"/>
  <c r="AR175" i="4" l="1"/>
  <c r="AS175" i="4" s="1"/>
  <c r="AR163" i="4"/>
  <c r="AS163" i="4" s="1"/>
  <c r="C74" i="9" l="1"/>
  <c r="AN52" i="4"/>
  <c r="AH52" i="4"/>
  <c r="AJ52" i="4" s="1"/>
  <c r="AL52" i="4" s="1"/>
  <c r="AG52" i="4"/>
  <c r="AD52" i="4"/>
  <c r="V52" i="4"/>
  <c r="X52" i="4" s="1"/>
  <c r="Z52" i="4" s="1"/>
  <c r="U52" i="4"/>
  <c r="R52" i="4"/>
  <c r="J52" i="4"/>
  <c r="L52" i="4" s="1"/>
  <c r="I52" i="4"/>
  <c r="F52" i="4"/>
  <c r="H41" i="9"/>
  <c r="I46" i="9" s="1"/>
  <c r="AN28" i="4"/>
  <c r="AH28" i="4"/>
  <c r="AJ28" i="4" s="1"/>
  <c r="AL28" i="4" s="1"/>
  <c r="AG28" i="4"/>
  <c r="AD28" i="4"/>
  <c r="V28" i="4"/>
  <c r="X28" i="4" s="1"/>
  <c r="Z28" i="4" s="1"/>
  <c r="U28" i="4"/>
  <c r="R28" i="4"/>
  <c r="J28" i="4"/>
  <c r="L28" i="4" s="1"/>
  <c r="I28" i="4"/>
  <c r="F28" i="4"/>
  <c r="D79" i="9" l="1"/>
  <c r="N52" i="4"/>
  <c r="AM52" i="4"/>
  <c r="AO52" i="4" s="1"/>
  <c r="AQ52" i="4" s="1"/>
  <c r="N28" i="4"/>
  <c r="AM28" i="4"/>
  <c r="AO28" i="4" s="1"/>
  <c r="AQ28" i="4" s="1"/>
  <c r="AB76" i="2" l="1"/>
  <c r="AB77" i="2" s="1"/>
  <c r="AB78" i="2" s="1"/>
  <c r="AB79" i="2" s="1"/>
  <c r="R41" i="2"/>
  <c r="R42" i="2" s="1"/>
  <c r="R43" i="2" s="1"/>
  <c r="R44" i="2" s="1"/>
  <c r="AR52" i="4"/>
  <c r="AS52" i="4" s="1"/>
  <c r="AR28" i="4"/>
  <c r="AS28" i="4" s="1"/>
  <c r="AN4" i="4" l="1"/>
  <c r="AH4" i="4"/>
  <c r="AJ4" i="4" s="1"/>
  <c r="AL4" i="4" s="1"/>
  <c r="AG4" i="4"/>
  <c r="AD4" i="4"/>
  <c r="V4" i="4"/>
  <c r="X4" i="4" s="1"/>
  <c r="U4" i="4"/>
  <c r="R4" i="4"/>
  <c r="L4" i="4"/>
  <c r="N4" i="4" s="1"/>
  <c r="I4" i="4"/>
  <c r="F4" i="4"/>
  <c r="M10" i="10"/>
  <c r="M11" i="10" s="1"/>
  <c r="K10" i="10"/>
  <c r="K11" i="10" s="1"/>
  <c r="J10" i="10"/>
  <c r="J11" i="10" s="1"/>
  <c r="I10" i="10"/>
  <c r="I11" i="10" s="1"/>
  <c r="G10" i="10"/>
  <c r="G11" i="10" s="1"/>
  <c r="F10" i="10"/>
  <c r="F11" i="10" s="1"/>
  <c r="E10" i="10"/>
  <c r="E11" i="10" s="1"/>
  <c r="D10" i="10"/>
  <c r="D11" i="10" s="1"/>
  <c r="C10" i="10"/>
  <c r="C11" i="10" s="1"/>
  <c r="C4" i="10"/>
  <c r="C5" i="10" s="1"/>
  <c r="D4" i="10"/>
  <c r="D5" i="10" s="1"/>
  <c r="E4" i="10"/>
  <c r="E5" i="10" s="1"/>
  <c r="F4" i="10"/>
  <c r="F5" i="10" s="1"/>
  <c r="G4" i="10"/>
  <c r="G5" i="10" s="1"/>
  <c r="I4" i="10"/>
  <c r="I5" i="10" s="1"/>
  <c r="J4" i="10"/>
  <c r="J5" i="10" s="1"/>
  <c r="K4" i="10"/>
  <c r="K5" i="10" s="1"/>
  <c r="M4" i="10"/>
  <c r="M5" i="10" s="1"/>
  <c r="O19" i="2"/>
  <c r="I4" i="9" s="1"/>
  <c r="I5" i="9" s="1"/>
  <c r="I14" i="9" s="1"/>
  <c r="AM4" i="4" l="1"/>
  <c r="AO4" i="4" s="1"/>
  <c r="AQ4" i="4" s="1"/>
  <c r="Z4" i="4"/>
  <c r="AR4" i="4" l="1"/>
  <c r="AS4" i="4" s="1"/>
  <c r="C462" i="9"/>
  <c r="D468" i="9" s="1"/>
  <c r="AN336" i="4"/>
  <c r="AH336" i="4"/>
  <c r="AJ336" i="4" s="1"/>
  <c r="AL336" i="4" s="1"/>
  <c r="AG336" i="4"/>
  <c r="AD336" i="4"/>
  <c r="V336" i="4"/>
  <c r="X336" i="4" s="1"/>
  <c r="Z336" i="4" s="1"/>
  <c r="U336" i="4"/>
  <c r="R336" i="4"/>
  <c r="J336" i="4"/>
  <c r="L336" i="4" s="1"/>
  <c r="N336" i="4" s="1"/>
  <c r="I336" i="4"/>
  <c r="F336" i="4"/>
  <c r="AM336" i="4" l="1"/>
  <c r="AO336" i="4" s="1"/>
  <c r="AQ336" i="4" s="1"/>
  <c r="AR336" i="4" l="1"/>
  <c r="AS336" i="4" s="1"/>
  <c r="C413" i="9" l="1"/>
  <c r="AN302" i="4"/>
  <c r="AH302" i="4"/>
  <c r="AJ302" i="4" s="1"/>
  <c r="AL302" i="4" s="1"/>
  <c r="AG302" i="4"/>
  <c r="AD302" i="4"/>
  <c r="V302" i="4"/>
  <c r="X302" i="4" s="1"/>
  <c r="Z302" i="4" s="1"/>
  <c r="U302" i="4"/>
  <c r="R302" i="4"/>
  <c r="J302" i="4"/>
  <c r="L302" i="4" s="1"/>
  <c r="I302" i="4"/>
  <c r="F302" i="4"/>
  <c r="AN300" i="4"/>
  <c r="AH300" i="4"/>
  <c r="AJ300" i="4" s="1"/>
  <c r="AL300" i="4" s="1"/>
  <c r="AG300" i="4"/>
  <c r="AD300" i="4"/>
  <c r="V300" i="4"/>
  <c r="X300" i="4" s="1"/>
  <c r="Z300" i="4" s="1"/>
  <c r="U300" i="4"/>
  <c r="R300" i="4"/>
  <c r="J300" i="4"/>
  <c r="L300" i="4" s="1"/>
  <c r="I300" i="4"/>
  <c r="F300" i="4"/>
  <c r="AN289" i="4"/>
  <c r="AH289" i="4"/>
  <c r="AJ289" i="4" s="1"/>
  <c r="AL289" i="4" s="1"/>
  <c r="AG289" i="4"/>
  <c r="AD289" i="4"/>
  <c r="V289" i="4"/>
  <c r="X289" i="4" s="1"/>
  <c r="Z289" i="4" s="1"/>
  <c r="U289" i="4"/>
  <c r="R289" i="4"/>
  <c r="J289" i="4"/>
  <c r="L289" i="4" s="1"/>
  <c r="I289" i="4"/>
  <c r="F289" i="4"/>
  <c r="AM302" i="4" l="1"/>
  <c r="AO302" i="4" s="1"/>
  <c r="AQ302" i="4" s="1"/>
  <c r="N302" i="4"/>
  <c r="N300" i="4"/>
  <c r="AM300" i="4"/>
  <c r="AO300" i="4" s="1"/>
  <c r="AQ300" i="4" s="1"/>
  <c r="AM289" i="4"/>
  <c r="AO289" i="4" s="1"/>
  <c r="AQ289" i="4" s="1"/>
  <c r="N289" i="4"/>
  <c r="AR302" i="4" l="1"/>
  <c r="AS302" i="4" s="1"/>
  <c r="AR300" i="4"/>
  <c r="AS300" i="4" s="1"/>
  <c r="AR289" i="4"/>
  <c r="AS289" i="4" s="1"/>
  <c r="H385" i="9" l="1"/>
  <c r="M385" i="9"/>
  <c r="M379" i="9"/>
  <c r="AN284" i="4"/>
  <c r="AJ284" i="4"/>
  <c r="AL284" i="4" s="1"/>
  <c r="AG284" i="4"/>
  <c r="X284" i="4"/>
  <c r="Z284" i="4" s="1"/>
  <c r="U284" i="4"/>
  <c r="L284" i="4"/>
  <c r="N284" i="4" s="1"/>
  <c r="I284" i="4"/>
  <c r="C385" i="9"/>
  <c r="AN283" i="4"/>
  <c r="AH283" i="4"/>
  <c r="AJ283" i="4" s="1"/>
  <c r="AL283" i="4" s="1"/>
  <c r="AG283" i="4"/>
  <c r="AD283" i="4"/>
  <c r="V283" i="4"/>
  <c r="X283" i="4" s="1"/>
  <c r="Z283" i="4" s="1"/>
  <c r="U283" i="4"/>
  <c r="R283" i="4"/>
  <c r="J283" i="4"/>
  <c r="L283" i="4" s="1"/>
  <c r="I283" i="4"/>
  <c r="F283" i="4"/>
  <c r="AN273" i="4"/>
  <c r="AH273" i="4"/>
  <c r="AJ273" i="4" s="1"/>
  <c r="AL273" i="4" s="1"/>
  <c r="AG273" i="4"/>
  <c r="AD273" i="4"/>
  <c r="V273" i="4"/>
  <c r="X273" i="4" s="1"/>
  <c r="Z273" i="4" s="1"/>
  <c r="U273" i="4"/>
  <c r="R273" i="4"/>
  <c r="J273" i="4"/>
  <c r="L273" i="4" s="1"/>
  <c r="I273" i="4"/>
  <c r="F273" i="4"/>
  <c r="AH274" i="4"/>
  <c r="AJ274" i="4" s="1"/>
  <c r="AN275" i="4"/>
  <c r="AH275" i="4"/>
  <c r="AJ275" i="4" s="1"/>
  <c r="AL275" i="4" s="1"/>
  <c r="AG275" i="4"/>
  <c r="AD275" i="4"/>
  <c r="V275" i="4"/>
  <c r="X275" i="4" s="1"/>
  <c r="Z275" i="4" s="1"/>
  <c r="U275" i="4"/>
  <c r="R275" i="4"/>
  <c r="J275" i="4"/>
  <c r="L275" i="4" s="1"/>
  <c r="I275" i="4"/>
  <c r="F275" i="4"/>
  <c r="I369" i="9"/>
  <c r="N283" i="4" l="1"/>
  <c r="AM283" i="4"/>
  <c r="AO283" i="4" s="1"/>
  <c r="AQ283" i="4" s="1"/>
  <c r="AR283" i="4" s="1"/>
  <c r="AM284" i="4"/>
  <c r="AO284" i="4" s="1"/>
  <c r="AQ284" i="4" s="1"/>
  <c r="N273" i="4"/>
  <c r="AM273" i="4"/>
  <c r="AO273" i="4" s="1"/>
  <c r="AQ273" i="4" s="1"/>
  <c r="N275" i="4"/>
  <c r="AM275" i="4"/>
  <c r="AO275" i="4" s="1"/>
  <c r="AQ275" i="4" s="1"/>
  <c r="AR284" i="4" l="1"/>
  <c r="AS284" i="4" s="1"/>
  <c r="AS283" i="4"/>
  <c r="AR273" i="4"/>
  <c r="AS273" i="4" s="1"/>
  <c r="AR275" i="4"/>
  <c r="AS275" i="4" s="1"/>
  <c r="N348" i="2" l="1"/>
  <c r="M347" i="9"/>
  <c r="M346" i="9"/>
  <c r="H347" i="9"/>
  <c r="AN251" i="4"/>
  <c r="AH251" i="4"/>
  <c r="AJ251" i="4" s="1"/>
  <c r="AL251" i="4" s="1"/>
  <c r="AG251" i="4"/>
  <c r="AD251" i="4"/>
  <c r="V251" i="4"/>
  <c r="X251" i="4" s="1"/>
  <c r="Z251" i="4" s="1"/>
  <c r="U251" i="4"/>
  <c r="R251" i="4"/>
  <c r="J251" i="4"/>
  <c r="L251" i="4" s="1"/>
  <c r="I251" i="4"/>
  <c r="F251" i="4"/>
  <c r="K20" i="14"/>
  <c r="G20" i="14"/>
  <c r="C20" i="14"/>
  <c r="N251" i="4" l="1"/>
  <c r="AM251" i="4"/>
  <c r="AO251" i="4" s="1"/>
  <c r="AQ251" i="4" s="1"/>
  <c r="AN238" i="4"/>
  <c r="AH238" i="4"/>
  <c r="AJ238" i="4" s="1"/>
  <c r="AL238" i="4" s="1"/>
  <c r="AG238" i="4"/>
  <c r="AD238" i="4"/>
  <c r="V238" i="4"/>
  <c r="X238" i="4" s="1"/>
  <c r="Z238" i="4" s="1"/>
  <c r="U238" i="4"/>
  <c r="R238" i="4"/>
  <c r="J238" i="4"/>
  <c r="L238" i="4" s="1"/>
  <c r="N238" i="4" s="1"/>
  <c r="I238" i="4"/>
  <c r="F238" i="4"/>
  <c r="AR251" i="4" l="1"/>
  <c r="AS251" i="4" s="1"/>
  <c r="AM238" i="4"/>
  <c r="AO238" i="4" s="1"/>
  <c r="AQ238" i="4" s="1"/>
  <c r="AR238" i="4" l="1"/>
  <c r="AS238" i="4" s="1"/>
  <c r="H280" i="9" l="1"/>
  <c r="H285" i="9"/>
  <c r="C282" i="9"/>
  <c r="C280" i="9"/>
  <c r="AN201" i="4"/>
  <c r="AH201" i="4"/>
  <c r="AJ201" i="4" s="1"/>
  <c r="AL201" i="4" s="1"/>
  <c r="AG201" i="4"/>
  <c r="AD201" i="4"/>
  <c r="V201" i="4"/>
  <c r="X201" i="4" s="1"/>
  <c r="Z201" i="4" s="1"/>
  <c r="U201" i="4"/>
  <c r="R201" i="4"/>
  <c r="J201" i="4"/>
  <c r="L201" i="4" s="1"/>
  <c r="I201" i="4"/>
  <c r="F201" i="4"/>
  <c r="H261" i="9"/>
  <c r="I328" i="4"/>
  <c r="AN188" i="4"/>
  <c r="AH188" i="4"/>
  <c r="AJ188" i="4" s="1"/>
  <c r="AL188" i="4" s="1"/>
  <c r="AG188" i="4"/>
  <c r="AD188" i="4"/>
  <c r="V188" i="4"/>
  <c r="X188" i="4" s="1"/>
  <c r="Z188" i="4" s="1"/>
  <c r="U188" i="4"/>
  <c r="R188" i="4"/>
  <c r="J188" i="4"/>
  <c r="L188" i="4" s="1"/>
  <c r="I188" i="4"/>
  <c r="F188" i="4"/>
  <c r="H251" i="9"/>
  <c r="I252" i="9" s="1"/>
  <c r="AE332" i="4"/>
  <c r="AE321" i="4"/>
  <c r="N437" i="9" s="1"/>
  <c r="AE308" i="4"/>
  <c r="AE298" i="4"/>
  <c r="N405" i="9" s="1"/>
  <c r="AE285" i="4"/>
  <c r="AE271" i="4"/>
  <c r="N371" i="9" s="1"/>
  <c r="AE259" i="4"/>
  <c r="AE249" i="4"/>
  <c r="AE236" i="4"/>
  <c r="AE223" i="4"/>
  <c r="AE210" i="4"/>
  <c r="AE199" i="4"/>
  <c r="AB332" i="4"/>
  <c r="AB321" i="4"/>
  <c r="AB308" i="4"/>
  <c r="AB298" i="4"/>
  <c r="AB285" i="4"/>
  <c r="AB271" i="4"/>
  <c r="AB259" i="4"/>
  <c r="AB249" i="4"/>
  <c r="AB236" i="4"/>
  <c r="AB223" i="4"/>
  <c r="AB210" i="4"/>
  <c r="AB199" i="4"/>
  <c r="S344" i="4"/>
  <c r="S332" i="4"/>
  <c r="S321" i="4"/>
  <c r="S308" i="4"/>
  <c r="S298" i="4"/>
  <c r="I405" i="9" s="1"/>
  <c r="S285" i="4"/>
  <c r="S271" i="4"/>
  <c r="I371" i="9" s="1"/>
  <c r="S259" i="4"/>
  <c r="S249" i="4"/>
  <c r="I339" i="9" s="1"/>
  <c r="S236" i="4"/>
  <c r="S223" i="4"/>
  <c r="I305" i="9" s="1"/>
  <c r="S210" i="4"/>
  <c r="I288" i="9" s="1"/>
  <c r="S199" i="4"/>
  <c r="P332" i="4"/>
  <c r="P321" i="4"/>
  <c r="P308" i="4"/>
  <c r="P298" i="4"/>
  <c r="P285" i="4"/>
  <c r="P271" i="4"/>
  <c r="P259" i="4"/>
  <c r="P249" i="4"/>
  <c r="P236" i="4"/>
  <c r="P223" i="4"/>
  <c r="P210" i="4"/>
  <c r="P199" i="4"/>
  <c r="G344" i="4"/>
  <c r="G332" i="4"/>
  <c r="G308" i="4"/>
  <c r="G298" i="4"/>
  <c r="D405" i="9" s="1"/>
  <c r="G285" i="4"/>
  <c r="D388" i="9" s="1"/>
  <c r="G271" i="4"/>
  <c r="G259" i="4"/>
  <c r="G249" i="4"/>
  <c r="D339" i="9" s="1"/>
  <c r="G236" i="4"/>
  <c r="D322" i="9" s="1"/>
  <c r="G223" i="4"/>
  <c r="D305" i="9" s="1"/>
  <c r="G210" i="4"/>
  <c r="D288" i="9" s="1"/>
  <c r="G199" i="4"/>
  <c r="D286" i="9" l="1"/>
  <c r="N201" i="4"/>
  <c r="AM201" i="4"/>
  <c r="AO201" i="4" s="1"/>
  <c r="AQ201" i="4" s="1"/>
  <c r="N188" i="4"/>
  <c r="AM188" i="4"/>
  <c r="AO188" i="4" s="1"/>
  <c r="AQ188" i="4" s="1"/>
  <c r="AR201" i="4" l="1"/>
  <c r="AS201" i="4" s="1"/>
  <c r="AR188" i="4"/>
  <c r="AS188" i="4" s="1"/>
  <c r="AN177" i="4"/>
  <c r="AH177" i="4"/>
  <c r="AJ177" i="4" s="1"/>
  <c r="AL177" i="4" s="1"/>
  <c r="AG177" i="4"/>
  <c r="AD177" i="4"/>
  <c r="V177" i="4"/>
  <c r="X177" i="4" s="1"/>
  <c r="Z177" i="4" s="1"/>
  <c r="U177" i="4"/>
  <c r="R177" i="4"/>
  <c r="J177" i="4"/>
  <c r="L177" i="4" s="1"/>
  <c r="I177" i="4"/>
  <c r="F177" i="4"/>
  <c r="M218" i="9"/>
  <c r="H218" i="9"/>
  <c r="M213" i="9"/>
  <c r="AN125" i="4"/>
  <c r="AH125" i="4"/>
  <c r="AJ125" i="4" s="1"/>
  <c r="AL125" i="4" s="1"/>
  <c r="AG125" i="4"/>
  <c r="AD125" i="4"/>
  <c r="V125" i="4"/>
  <c r="X125" i="4" s="1"/>
  <c r="Z125" i="4" s="1"/>
  <c r="U125" i="4"/>
  <c r="R125" i="4"/>
  <c r="J125" i="4"/>
  <c r="L125" i="4" s="1"/>
  <c r="I125" i="4"/>
  <c r="F125" i="4"/>
  <c r="J113" i="4"/>
  <c r="M144" i="9"/>
  <c r="AN99" i="4"/>
  <c r="AH99" i="4"/>
  <c r="AJ99" i="4" s="1"/>
  <c r="AL99" i="4" s="1"/>
  <c r="AG99" i="4"/>
  <c r="AD99" i="4"/>
  <c r="V99" i="4"/>
  <c r="X99" i="4" s="1"/>
  <c r="Z99" i="4" s="1"/>
  <c r="U99" i="4"/>
  <c r="R99" i="4"/>
  <c r="J99" i="4"/>
  <c r="L99" i="4" s="1"/>
  <c r="I99" i="4"/>
  <c r="F99" i="4"/>
  <c r="AN63" i="4"/>
  <c r="AH63" i="4"/>
  <c r="AJ63" i="4" s="1"/>
  <c r="AL63" i="4" s="1"/>
  <c r="AG63" i="4"/>
  <c r="AD63" i="4"/>
  <c r="V63" i="4"/>
  <c r="X63" i="4" s="1"/>
  <c r="Z63" i="4" s="1"/>
  <c r="U63" i="4"/>
  <c r="R63" i="4"/>
  <c r="L63" i="4"/>
  <c r="I63" i="4"/>
  <c r="F63" i="4"/>
  <c r="C57" i="9"/>
  <c r="D63" i="9" l="1"/>
  <c r="N177" i="4"/>
  <c r="AM177" i="4"/>
  <c r="AO177" i="4" s="1"/>
  <c r="AQ177" i="4" s="1"/>
  <c r="AR177" i="4" s="1"/>
  <c r="D161" i="4"/>
  <c r="AM125" i="4"/>
  <c r="AO125" i="4" s="1"/>
  <c r="AQ125" i="4" s="1"/>
  <c r="N125" i="4"/>
  <c r="AM99" i="4"/>
  <c r="AO99" i="4" s="1"/>
  <c r="AQ99" i="4" s="1"/>
  <c r="N99" i="4"/>
  <c r="Y151" i="2"/>
  <c r="AM63" i="4"/>
  <c r="AO63" i="4" s="1"/>
  <c r="AQ63" i="4" s="1"/>
  <c r="N63" i="4"/>
  <c r="AS177" i="4" l="1"/>
  <c r="AR125" i="4"/>
  <c r="AS125" i="4" s="1"/>
  <c r="AR99" i="4"/>
  <c r="AS99" i="4" s="1"/>
  <c r="AR63" i="4"/>
  <c r="AS63" i="4" s="1"/>
  <c r="E114" i="5" l="1"/>
  <c r="F67" i="11" s="1"/>
  <c r="AC381" i="4" l="1"/>
  <c r="H464" i="9"/>
  <c r="H463" i="9"/>
  <c r="H379" i="9"/>
  <c r="C381" i="9"/>
  <c r="M350" i="9"/>
  <c r="M349" i="9"/>
  <c r="M348" i="9"/>
  <c r="H349" i="9"/>
  <c r="H348" i="9"/>
  <c r="H331" i="9"/>
  <c r="C332" i="9"/>
  <c r="D337" i="9" s="1"/>
  <c r="O365" i="2"/>
  <c r="D303" i="9"/>
  <c r="H297" i="9"/>
  <c r="H282" i="9"/>
  <c r="H214" i="9"/>
  <c r="H212" i="9"/>
  <c r="C214" i="9"/>
  <c r="M198" i="9"/>
  <c r="M180" i="9"/>
  <c r="M163" i="9"/>
  <c r="D219" i="9" l="1"/>
  <c r="N353" i="9"/>
  <c r="F28" i="14"/>
  <c r="N168" i="9"/>
  <c r="D46" i="9"/>
  <c r="G28" i="14" l="1"/>
  <c r="AH303" i="4"/>
  <c r="AJ303" i="4" s="1"/>
  <c r="AG303" i="4"/>
  <c r="AD303" i="4"/>
  <c r="V303" i="4"/>
  <c r="Y303" i="4" s="1"/>
  <c r="U303" i="4"/>
  <c r="R303" i="4"/>
  <c r="J303" i="4"/>
  <c r="M303" i="4" s="1"/>
  <c r="I303" i="4"/>
  <c r="F303" i="4"/>
  <c r="AN338" i="4"/>
  <c r="AH338" i="4"/>
  <c r="AJ338" i="4" s="1"/>
  <c r="AL338" i="4" s="1"/>
  <c r="AG338" i="4"/>
  <c r="AD338" i="4"/>
  <c r="V338" i="4"/>
  <c r="X338" i="4" s="1"/>
  <c r="Z338" i="4" s="1"/>
  <c r="U338" i="4"/>
  <c r="R338" i="4"/>
  <c r="J338" i="4"/>
  <c r="L338" i="4" s="1"/>
  <c r="I338" i="4"/>
  <c r="F338" i="4"/>
  <c r="AK303" i="4" l="1"/>
  <c r="AL303" i="4" s="1"/>
  <c r="L303" i="4"/>
  <c r="X303" i="4"/>
  <c r="Z303" i="4" s="1"/>
  <c r="N338" i="4"/>
  <c r="AM338" i="4"/>
  <c r="AO338" i="4" s="1"/>
  <c r="AQ338" i="4" s="1"/>
  <c r="AN303" i="4" l="1"/>
  <c r="N303" i="4"/>
  <c r="AM303" i="4"/>
  <c r="AR338" i="4"/>
  <c r="AS338" i="4" s="1"/>
  <c r="AN287" i="4"/>
  <c r="AH287" i="4"/>
  <c r="AJ287" i="4" s="1"/>
  <c r="AL287" i="4" s="1"/>
  <c r="AG287" i="4"/>
  <c r="AD287" i="4"/>
  <c r="V287" i="4"/>
  <c r="X287" i="4" s="1"/>
  <c r="Z287" i="4" s="1"/>
  <c r="U287" i="4"/>
  <c r="R287" i="4"/>
  <c r="J287" i="4"/>
  <c r="L287" i="4" s="1"/>
  <c r="I287" i="4"/>
  <c r="F287" i="4"/>
  <c r="R290" i="4"/>
  <c r="U286" i="4"/>
  <c r="R292" i="4"/>
  <c r="R291" i="4"/>
  <c r="AD256" i="4"/>
  <c r="AD254" i="4"/>
  <c r="AD253" i="4"/>
  <c r="AD252" i="4"/>
  <c r="AN242" i="4"/>
  <c r="AH242" i="4"/>
  <c r="AJ242" i="4" s="1"/>
  <c r="AL242" i="4" s="1"/>
  <c r="AG242" i="4"/>
  <c r="AD242" i="4"/>
  <c r="V242" i="4"/>
  <c r="X242" i="4" s="1"/>
  <c r="Z242" i="4" s="1"/>
  <c r="U242" i="4"/>
  <c r="R242" i="4"/>
  <c r="J242" i="4"/>
  <c r="L242" i="4" s="1"/>
  <c r="I242" i="4"/>
  <c r="F242" i="4"/>
  <c r="X348" i="2" l="1"/>
  <c r="AO303" i="4"/>
  <c r="AQ303" i="4" s="1"/>
  <c r="R288" i="4"/>
  <c r="N287" i="4"/>
  <c r="AM287" i="4"/>
  <c r="AO287" i="4" s="1"/>
  <c r="AQ287" i="4" s="1"/>
  <c r="N242" i="4"/>
  <c r="AM242" i="4"/>
  <c r="AO242" i="4" s="1"/>
  <c r="AQ242" i="4" s="1"/>
  <c r="AR242" i="4" s="1"/>
  <c r="AR303" i="4" l="1"/>
  <c r="AS303" i="4" s="1"/>
  <c r="AR287" i="4"/>
  <c r="AS287" i="4" s="1"/>
  <c r="AS242" i="4"/>
  <c r="F119" i="4"/>
  <c r="AN113" i="4"/>
  <c r="AH113" i="4"/>
  <c r="AJ113" i="4" s="1"/>
  <c r="AL113" i="4" s="1"/>
  <c r="AG113" i="4"/>
  <c r="AD113" i="4"/>
  <c r="V113" i="4"/>
  <c r="X113" i="4" s="1"/>
  <c r="U113" i="4"/>
  <c r="R113" i="4"/>
  <c r="L113" i="4"/>
  <c r="N113" i="4" s="1"/>
  <c r="I113" i="4"/>
  <c r="F113" i="4"/>
  <c r="AM113" i="4" l="1"/>
  <c r="AO113" i="4" s="1"/>
  <c r="AQ113" i="4" s="1"/>
  <c r="Z113" i="4"/>
  <c r="AN373" i="4"/>
  <c r="U373" i="4"/>
  <c r="I373" i="4"/>
  <c r="AR113" i="4" l="1"/>
  <c r="AS113" i="4" s="1"/>
  <c r="M447" i="9"/>
  <c r="M446" i="9"/>
  <c r="H447" i="9"/>
  <c r="H446" i="9"/>
  <c r="H445" i="9"/>
  <c r="M431" i="9"/>
  <c r="M429" i="9"/>
  <c r="H431" i="9"/>
  <c r="H429" i="9"/>
  <c r="C432" i="9"/>
  <c r="C430" i="9"/>
  <c r="M415" i="9"/>
  <c r="M414" i="9"/>
  <c r="H416" i="9"/>
  <c r="H415" i="9"/>
  <c r="H414" i="9"/>
  <c r="H413" i="9"/>
  <c r="C415" i="9"/>
  <c r="D419" i="9" s="1"/>
  <c r="M399" i="9"/>
  <c r="N403" i="9" s="1"/>
  <c r="M382" i="9"/>
  <c r="M381" i="9"/>
  <c r="M380" i="9"/>
  <c r="H382" i="9"/>
  <c r="H381" i="9"/>
  <c r="H380" i="9"/>
  <c r="D386" i="9"/>
  <c r="N369" i="9"/>
  <c r="H350" i="9"/>
  <c r="I353" i="9" s="1"/>
  <c r="M331" i="9"/>
  <c r="M330" i="9"/>
  <c r="H330" i="9"/>
  <c r="I337" i="9" s="1"/>
  <c r="M316" i="9"/>
  <c r="M315" i="9"/>
  <c r="M314" i="9"/>
  <c r="H316" i="9"/>
  <c r="H315" i="9"/>
  <c r="H313" i="9"/>
  <c r="M298" i="9"/>
  <c r="M297" i="9"/>
  <c r="M296" i="9"/>
  <c r="M295" i="9"/>
  <c r="D435" i="9" l="1"/>
  <c r="N337" i="9"/>
  <c r="I451" i="9"/>
  <c r="N451" i="9"/>
  <c r="I435" i="9"/>
  <c r="N435" i="9"/>
  <c r="N419" i="9"/>
  <c r="I419" i="9"/>
  <c r="I303" i="9"/>
  <c r="N303" i="9"/>
  <c r="I386" i="9"/>
  <c r="N386" i="9"/>
  <c r="N320" i="9"/>
  <c r="D320" i="9"/>
  <c r="I320" i="9"/>
  <c r="J29" i="14" l="1"/>
  <c r="K29" i="14" s="1"/>
  <c r="I337" i="4"/>
  <c r="I339" i="4"/>
  <c r="I470" i="9"/>
  <c r="D470" i="9"/>
  <c r="AN339" i="4"/>
  <c r="AH339" i="4"/>
  <c r="AJ339" i="4" s="1"/>
  <c r="AL339" i="4" s="1"/>
  <c r="AG339" i="4"/>
  <c r="AD339" i="4"/>
  <c r="V339" i="4"/>
  <c r="X339" i="4" s="1"/>
  <c r="Z339" i="4" s="1"/>
  <c r="U339" i="4"/>
  <c r="R339" i="4"/>
  <c r="J339" i="4"/>
  <c r="L339" i="4" s="1"/>
  <c r="N339" i="4" s="1"/>
  <c r="F339" i="4"/>
  <c r="U337" i="4"/>
  <c r="J337" i="4"/>
  <c r="M337" i="4" s="1"/>
  <c r="P337" i="4" s="1"/>
  <c r="F337" i="4"/>
  <c r="AN335" i="4"/>
  <c r="AH335" i="4"/>
  <c r="AJ335" i="4" s="1"/>
  <c r="AL335" i="4" s="1"/>
  <c r="AG335" i="4"/>
  <c r="AD335" i="4"/>
  <c r="V335" i="4"/>
  <c r="X335" i="4" s="1"/>
  <c r="Z335" i="4" s="1"/>
  <c r="U335" i="4"/>
  <c r="R335" i="4"/>
  <c r="J335" i="4"/>
  <c r="L335" i="4" s="1"/>
  <c r="I335" i="4"/>
  <c r="F335" i="4"/>
  <c r="AN333" i="4"/>
  <c r="AH333" i="4"/>
  <c r="AJ333" i="4" s="1"/>
  <c r="AG333" i="4"/>
  <c r="AD333" i="4"/>
  <c r="V333" i="4"/>
  <c r="X333" i="4" s="1"/>
  <c r="U333" i="4"/>
  <c r="R333" i="4"/>
  <c r="J333" i="4"/>
  <c r="L333" i="4" s="1"/>
  <c r="I333" i="4"/>
  <c r="F333" i="4"/>
  <c r="Y488" i="2"/>
  <c r="J28" i="14" s="1"/>
  <c r="I442" i="9"/>
  <c r="F323" i="4"/>
  <c r="I323" i="4"/>
  <c r="J323" i="4"/>
  <c r="L323" i="4" s="1"/>
  <c r="N323" i="4" s="1"/>
  <c r="R323" i="4"/>
  <c r="U323" i="4"/>
  <c r="V323" i="4"/>
  <c r="X323" i="4" s="1"/>
  <c r="Z323" i="4" s="1"/>
  <c r="AD323" i="4"/>
  <c r="AG323" i="4"/>
  <c r="AH323" i="4"/>
  <c r="AJ323" i="4" s="1"/>
  <c r="AL323" i="4" s="1"/>
  <c r="AN323" i="4"/>
  <c r="N453" i="9"/>
  <c r="I453" i="9"/>
  <c r="D453" i="9"/>
  <c r="AN328" i="4"/>
  <c r="AH328" i="4"/>
  <c r="AJ328" i="4" s="1"/>
  <c r="AL328" i="4" s="1"/>
  <c r="AG328" i="4"/>
  <c r="AD328" i="4"/>
  <c r="V328" i="4"/>
  <c r="X328" i="4" s="1"/>
  <c r="U328" i="4"/>
  <c r="R328" i="4"/>
  <c r="J328" i="4"/>
  <c r="L328" i="4" s="1"/>
  <c r="N328" i="4" s="1"/>
  <c r="F328" i="4"/>
  <c r="AN327" i="4"/>
  <c r="AH327" i="4"/>
  <c r="AJ327" i="4" s="1"/>
  <c r="AL327" i="4" s="1"/>
  <c r="AG327" i="4"/>
  <c r="AD327" i="4"/>
  <c r="V327" i="4"/>
  <c r="X327" i="4" s="1"/>
  <c r="Z327" i="4" s="1"/>
  <c r="U327" i="4"/>
  <c r="R327" i="4"/>
  <c r="J327" i="4"/>
  <c r="L327" i="4" s="1"/>
  <c r="I327" i="4"/>
  <c r="F327" i="4"/>
  <c r="AH326" i="4"/>
  <c r="AK326" i="4" s="1"/>
  <c r="AG326" i="4"/>
  <c r="AD326" i="4"/>
  <c r="V326" i="4"/>
  <c r="X326" i="4" s="1"/>
  <c r="U326" i="4"/>
  <c r="R326" i="4"/>
  <c r="J326" i="4"/>
  <c r="M326" i="4" s="1"/>
  <c r="I326" i="4"/>
  <c r="F326" i="4"/>
  <c r="AN324" i="4"/>
  <c r="AH324" i="4"/>
  <c r="AJ324" i="4" s="1"/>
  <c r="AL324" i="4" s="1"/>
  <c r="AG324" i="4"/>
  <c r="AD324" i="4"/>
  <c r="V324" i="4"/>
  <c r="X324" i="4" s="1"/>
  <c r="Z324" i="4" s="1"/>
  <c r="U324" i="4"/>
  <c r="R324" i="4"/>
  <c r="J324" i="4"/>
  <c r="L324" i="4" s="1"/>
  <c r="I324" i="4"/>
  <c r="F324" i="4"/>
  <c r="AN322" i="4"/>
  <c r="AH322" i="4"/>
  <c r="AJ322" i="4" s="1"/>
  <c r="AG322" i="4"/>
  <c r="AD322" i="4"/>
  <c r="V322" i="4"/>
  <c r="X322" i="4" s="1"/>
  <c r="U322" i="4"/>
  <c r="R322" i="4"/>
  <c r="I322" i="4"/>
  <c r="Y470" i="2"/>
  <c r="J27" i="14" s="1"/>
  <c r="K27" i="14" s="1"/>
  <c r="I437" i="9"/>
  <c r="D437" i="9"/>
  <c r="D321" i="4"/>
  <c r="AN315" i="4"/>
  <c r="AH315" i="4"/>
  <c r="AJ315" i="4" s="1"/>
  <c r="AL315" i="4" s="1"/>
  <c r="AG315" i="4"/>
  <c r="AD315" i="4"/>
  <c r="V315" i="4"/>
  <c r="X315" i="4" s="1"/>
  <c r="Z315" i="4" s="1"/>
  <c r="U315" i="4"/>
  <c r="R315" i="4"/>
  <c r="J315" i="4"/>
  <c r="L315" i="4" s="1"/>
  <c r="N315" i="4" s="1"/>
  <c r="I315" i="4"/>
  <c r="F315" i="4"/>
  <c r="AN314" i="4"/>
  <c r="AH314" i="4"/>
  <c r="AJ314" i="4" s="1"/>
  <c r="AL314" i="4" s="1"/>
  <c r="AG314" i="4"/>
  <c r="AD314" i="4"/>
  <c r="V314" i="4"/>
  <c r="X314" i="4" s="1"/>
  <c r="Z314" i="4" s="1"/>
  <c r="U314" i="4"/>
  <c r="R314" i="4"/>
  <c r="J314" i="4"/>
  <c r="L314" i="4" s="1"/>
  <c r="I314" i="4"/>
  <c r="F314" i="4"/>
  <c r="AH313" i="4"/>
  <c r="AK313" i="4" s="1"/>
  <c r="AG313" i="4"/>
  <c r="AD313" i="4"/>
  <c r="V313" i="4"/>
  <c r="X313" i="4" s="1"/>
  <c r="U313" i="4"/>
  <c r="R313" i="4"/>
  <c r="J313" i="4"/>
  <c r="M313" i="4" s="1"/>
  <c r="I313" i="4"/>
  <c r="F313" i="4"/>
  <c r="AN311" i="4"/>
  <c r="AH311" i="4"/>
  <c r="AJ311" i="4" s="1"/>
  <c r="AL311" i="4" s="1"/>
  <c r="AG311" i="4"/>
  <c r="AD311" i="4"/>
  <c r="V311" i="4"/>
  <c r="U311" i="4"/>
  <c r="R311" i="4"/>
  <c r="J311" i="4"/>
  <c r="L311" i="4" s="1"/>
  <c r="I311" i="4"/>
  <c r="F311" i="4"/>
  <c r="AN309" i="4"/>
  <c r="AH309" i="4"/>
  <c r="AJ309" i="4" s="1"/>
  <c r="AG309" i="4"/>
  <c r="AD309" i="4"/>
  <c r="V309" i="4"/>
  <c r="X309" i="4" s="1"/>
  <c r="Z309" i="4" s="1"/>
  <c r="U309" i="4"/>
  <c r="R309" i="4"/>
  <c r="J309" i="4"/>
  <c r="L309" i="4" s="1"/>
  <c r="I309" i="4"/>
  <c r="F309" i="4"/>
  <c r="N421" i="9"/>
  <c r="I421" i="9"/>
  <c r="D421" i="9"/>
  <c r="D308" i="4"/>
  <c r="AN305" i="4"/>
  <c r="AH305" i="4"/>
  <c r="AJ305" i="4" s="1"/>
  <c r="AL305" i="4" s="1"/>
  <c r="AG305" i="4"/>
  <c r="AD305" i="4"/>
  <c r="V305" i="4"/>
  <c r="X305" i="4" s="1"/>
  <c r="Z305" i="4" s="1"/>
  <c r="U305" i="4"/>
  <c r="R305" i="4"/>
  <c r="J305" i="4"/>
  <c r="L305" i="4" s="1"/>
  <c r="N305" i="4" s="1"/>
  <c r="I305" i="4"/>
  <c r="F305" i="4"/>
  <c r="AN304" i="4"/>
  <c r="AH304" i="4"/>
  <c r="AJ304" i="4" s="1"/>
  <c r="AL304" i="4" s="1"/>
  <c r="AG304" i="4"/>
  <c r="AD304" i="4"/>
  <c r="V304" i="4"/>
  <c r="X304" i="4" s="1"/>
  <c r="Z304" i="4" s="1"/>
  <c r="U304" i="4"/>
  <c r="R304" i="4"/>
  <c r="J304" i="4"/>
  <c r="L304" i="4" s="1"/>
  <c r="I304" i="4"/>
  <c r="F304" i="4"/>
  <c r="AN301" i="4"/>
  <c r="AH301" i="4"/>
  <c r="AJ301" i="4" s="1"/>
  <c r="AL301" i="4" s="1"/>
  <c r="AG301" i="4"/>
  <c r="AD301" i="4"/>
  <c r="V301" i="4"/>
  <c r="X301" i="4" s="1"/>
  <c r="Z301" i="4" s="1"/>
  <c r="U301" i="4"/>
  <c r="R301" i="4"/>
  <c r="J301" i="4"/>
  <c r="I301" i="4"/>
  <c r="F301" i="4"/>
  <c r="AN299" i="4"/>
  <c r="AH299" i="4"/>
  <c r="AJ299" i="4" s="1"/>
  <c r="AG299" i="4"/>
  <c r="AD299" i="4"/>
  <c r="V299" i="4"/>
  <c r="R299" i="4"/>
  <c r="J299" i="4"/>
  <c r="L299" i="4" s="1"/>
  <c r="I299" i="4"/>
  <c r="F299" i="4"/>
  <c r="Y452" i="2"/>
  <c r="O452" i="2"/>
  <c r="F26" i="14" s="1"/>
  <c r="AH288" i="4"/>
  <c r="AJ288" i="4" s="1"/>
  <c r="AL288" i="4" s="1"/>
  <c r="AN292" i="4"/>
  <c r="AH292" i="4"/>
  <c r="AJ292" i="4" s="1"/>
  <c r="AL292" i="4" s="1"/>
  <c r="AG292" i="4"/>
  <c r="AD292" i="4"/>
  <c r="V292" i="4"/>
  <c r="X292" i="4" s="1"/>
  <c r="Z292" i="4" s="1"/>
  <c r="U292" i="4"/>
  <c r="J292" i="4"/>
  <c r="L292" i="4" s="1"/>
  <c r="I292" i="4"/>
  <c r="F292" i="4"/>
  <c r="AN291" i="4"/>
  <c r="AH291" i="4"/>
  <c r="AJ291" i="4" s="1"/>
  <c r="AL291" i="4" s="1"/>
  <c r="AG291" i="4"/>
  <c r="AD291" i="4"/>
  <c r="V291" i="4"/>
  <c r="X291" i="4" s="1"/>
  <c r="Z291" i="4" s="1"/>
  <c r="U291" i="4"/>
  <c r="J291" i="4"/>
  <c r="L291" i="4" s="1"/>
  <c r="I291" i="4"/>
  <c r="F291" i="4"/>
  <c r="AH290" i="4"/>
  <c r="AK290" i="4" s="1"/>
  <c r="AG290" i="4"/>
  <c r="AD290" i="4"/>
  <c r="V290" i="4"/>
  <c r="Y290" i="4" s="1"/>
  <c r="U290" i="4"/>
  <c r="M290" i="4"/>
  <c r="I290" i="4"/>
  <c r="F290" i="4"/>
  <c r="AN288" i="4"/>
  <c r="AG288" i="4"/>
  <c r="AD288" i="4"/>
  <c r="V288" i="4"/>
  <c r="X288" i="4" s="1"/>
  <c r="Z288" i="4" s="1"/>
  <c r="U288" i="4"/>
  <c r="J288" i="4"/>
  <c r="L288" i="4" s="1"/>
  <c r="I288" i="4"/>
  <c r="F288" i="4"/>
  <c r="AN286" i="4"/>
  <c r="AH286" i="4"/>
  <c r="AJ286" i="4" s="1"/>
  <c r="AG286" i="4"/>
  <c r="AD286" i="4"/>
  <c r="V286" i="4"/>
  <c r="R286" i="4"/>
  <c r="I286" i="4"/>
  <c r="F286" i="4"/>
  <c r="Y418" i="2"/>
  <c r="J24" i="14" s="1"/>
  <c r="K24" i="14" s="1"/>
  <c r="O418" i="2"/>
  <c r="AH262" i="4"/>
  <c r="N388" i="9"/>
  <c r="I388" i="9"/>
  <c r="AN279" i="4"/>
  <c r="AH279" i="4"/>
  <c r="AJ279" i="4" s="1"/>
  <c r="AL279" i="4" s="1"/>
  <c r="AG279" i="4"/>
  <c r="AD279" i="4"/>
  <c r="V279" i="4"/>
  <c r="X279" i="4" s="1"/>
  <c r="Z279" i="4" s="1"/>
  <c r="U279" i="4"/>
  <c r="R279" i="4"/>
  <c r="J279" i="4"/>
  <c r="L279" i="4" s="1"/>
  <c r="I279" i="4"/>
  <c r="F279" i="4"/>
  <c r="AN277" i="4"/>
  <c r="AH277" i="4"/>
  <c r="AG277" i="4"/>
  <c r="AD277" i="4"/>
  <c r="V277" i="4"/>
  <c r="X277" i="4" s="1"/>
  <c r="Z277" i="4" s="1"/>
  <c r="U277" i="4"/>
  <c r="R277" i="4"/>
  <c r="J277" i="4"/>
  <c r="L277" i="4" s="1"/>
  <c r="I277" i="4"/>
  <c r="F277" i="4"/>
  <c r="AH276" i="4"/>
  <c r="AK276" i="4" s="1"/>
  <c r="AG276" i="4"/>
  <c r="AD276" i="4"/>
  <c r="V276" i="4"/>
  <c r="Y276" i="4" s="1"/>
  <c r="U276" i="4"/>
  <c r="R276" i="4"/>
  <c r="J276" i="4"/>
  <c r="M276" i="4" s="1"/>
  <c r="I276" i="4"/>
  <c r="F276" i="4"/>
  <c r="AN274" i="4"/>
  <c r="AL274" i="4"/>
  <c r="AG274" i="4"/>
  <c r="AD274" i="4"/>
  <c r="V274" i="4"/>
  <c r="X274" i="4" s="1"/>
  <c r="Z274" i="4" s="1"/>
  <c r="U274" i="4"/>
  <c r="R274" i="4"/>
  <c r="J274" i="4"/>
  <c r="L274" i="4" s="1"/>
  <c r="I274" i="4"/>
  <c r="F274" i="4"/>
  <c r="AN272" i="4"/>
  <c r="AH272" i="4"/>
  <c r="AJ272" i="4" s="1"/>
  <c r="AG272" i="4"/>
  <c r="AD272" i="4"/>
  <c r="V272" i="4"/>
  <c r="U272" i="4"/>
  <c r="R272" i="4"/>
  <c r="I272" i="4"/>
  <c r="Y401" i="2"/>
  <c r="J23" i="14" s="1"/>
  <c r="K23" i="14" s="1"/>
  <c r="O401" i="2"/>
  <c r="F23" i="14" s="1"/>
  <c r="G23" i="14" s="1"/>
  <c r="Y383" i="2"/>
  <c r="J22" i="14" s="1"/>
  <c r="K22" i="14" s="1"/>
  <c r="I311" i="9"/>
  <c r="G348" i="2"/>
  <c r="Y330" i="2"/>
  <c r="J19" i="14" s="1"/>
  <c r="K19" i="14" s="1"/>
  <c r="AH213" i="4"/>
  <c r="V213" i="4"/>
  <c r="H462" i="9" l="1"/>
  <c r="I468" i="9" s="1"/>
  <c r="P344" i="4"/>
  <c r="R337" i="4"/>
  <c r="V337" i="4"/>
  <c r="Y337" i="4" s="1"/>
  <c r="X151" i="2"/>
  <c r="K28" i="14"/>
  <c r="AM274" i="4"/>
  <c r="AO274" i="4" s="1"/>
  <c r="AQ274" i="4" s="1"/>
  <c r="AR274" i="4" s="1"/>
  <c r="F27" i="14"/>
  <c r="G27" i="14" s="1"/>
  <c r="I377" i="9"/>
  <c r="F24" i="14"/>
  <c r="G24" i="14" s="1"/>
  <c r="N410" i="9"/>
  <c r="J26" i="14"/>
  <c r="K26" i="14" s="1"/>
  <c r="I410" i="9"/>
  <c r="G26" i="14"/>
  <c r="I293" i="9"/>
  <c r="F19" i="14"/>
  <c r="G19" i="14" s="1"/>
  <c r="D311" i="9"/>
  <c r="N344" i="9"/>
  <c r="N458" i="9"/>
  <c r="N442" i="9"/>
  <c r="N426" i="9"/>
  <c r="N377" i="9"/>
  <c r="N360" i="9"/>
  <c r="I360" i="9"/>
  <c r="N311" i="9"/>
  <c r="N293" i="9"/>
  <c r="AK332" i="4"/>
  <c r="J322" i="4"/>
  <c r="L322" i="4" s="1"/>
  <c r="AM322" i="4" s="1"/>
  <c r="F272" i="4"/>
  <c r="F285" i="4" s="1"/>
  <c r="G510" i="2"/>
  <c r="B29" i="14" s="1"/>
  <c r="C29" i="14" s="1"/>
  <c r="R344" i="4"/>
  <c r="F344" i="4"/>
  <c r="I344" i="4"/>
  <c r="U344" i="4"/>
  <c r="D285" i="4"/>
  <c r="F322" i="4"/>
  <c r="F332" i="4" s="1"/>
  <c r="J272" i="4"/>
  <c r="L272" i="4" s="1"/>
  <c r="N272" i="4" s="1"/>
  <c r="V344" i="4"/>
  <c r="J344" i="4"/>
  <c r="AM333" i="4"/>
  <c r="N333" i="4"/>
  <c r="M344" i="4"/>
  <c r="AL333" i="4"/>
  <c r="Z333" i="4"/>
  <c r="N335" i="4"/>
  <c r="AM335" i="4"/>
  <c r="AO335" i="4" s="1"/>
  <c r="AQ335" i="4" s="1"/>
  <c r="X337" i="4"/>
  <c r="L337" i="4"/>
  <c r="AM339" i="4"/>
  <c r="AO339" i="4" s="1"/>
  <c r="AQ339" i="4" s="1"/>
  <c r="AR339" i="4" s="1"/>
  <c r="G488" i="2"/>
  <c r="B28" i="14" s="1"/>
  <c r="AM323" i="4"/>
  <c r="AO323" i="4" s="1"/>
  <c r="AQ323" i="4" s="1"/>
  <c r="AK321" i="4"/>
  <c r="AD332" i="4"/>
  <c r="Y326" i="4"/>
  <c r="Z326" i="4" s="1"/>
  <c r="Y313" i="4"/>
  <c r="Z313" i="4" s="1"/>
  <c r="R321" i="4"/>
  <c r="U332" i="4"/>
  <c r="I332" i="4"/>
  <c r="U321" i="4"/>
  <c r="AG332" i="4"/>
  <c r="R332" i="4"/>
  <c r="AL322" i="4"/>
  <c r="M332" i="4"/>
  <c r="N327" i="4"/>
  <c r="AM327" i="4"/>
  <c r="AO327" i="4" s="1"/>
  <c r="AQ327" i="4" s="1"/>
  <c r="AR327" i="4" s="1"/>
  <c r="Z328" i="4"/>
  <c r="AM328" i="4"/>
  <c r="AO328" i="4" s="1"/>
  <c r="AQ328" i="4" s="1"/>
  <c r="AR328" i="4" s="1"/>
  <c r="AM324" i="4"/>
  <c r="AO324" i="4" s="1"/>
  <c r="AQ324" i="4" s="1"/>
  <c r="AR324" i="4" s="1"/>
  <c r="N324" i="4"/>
  <c r="Z322" i="4"/>
  <c r="AG321" i="4"/>
  <c r="L326" i="4"/>
  <c r="V332" i="4"/>
  <c r="AH332" i="4"/>
  <c r="AJ326" i="4"/>
  <c r="AL326" i="4" s="1"/>
  <c r="I321" i="4"/>
  <c r="V321" i="4"/>
  <c r="J321" i="4"/>
  <c r="AD321" i="4"/>
  <c r="F321" i="4"/>
  <c r="G470" i="2"/>
  <c r="B27" i="14" s="1"/>
  <c r="C27" i="14" s="1"/>
  <c r="N309" i="4"/>
  <c r="AM309" i="4"/>
  <c r="N314" i="4"/>
  <c r="AM314" i="4"/>
  <c r="AO314" i="4" s="1"/>
  <c r="AQ314" i="4" s="1"/>
  <c r="AL309" i="4"/>
  <c r="M321" i="4"/>
  <c r="AH321" i="4"/>
  <c r="X311" i="4"/>
  <c r="Z311" i="4" s="1"/>
  <c r="AJ313" i="4"/>
  <c r="AL313" i="4" s="1"/>
  <c r="F308" i="4"/>
  <c r="L313" i="4"/>
  <c r="AM315" i="4"/>
  <c r="AO315" i="4" s="1"/>
  <c r="AQ315" i="4" s="1"/>
  <c r="AK308" i="4"/>
  <c r="I308" i="4"/>
  <c r="J308" i="4"/>
  <c r="AG308" i="4"/>
  <c r="R308" i="4"/>
  <c r="V308" i="4"/>
  <c r="AD308" i="4"/>
  <c r="U308" i="4"/>
  <c r="AL299" i="4"/>
  <c r="M308" i="4"/>
  <c r="N299" i="4"/>
  <c r="N304" i="4"/>
  <c r="AM304" i="4"/>
  <c r="AO304" i="4" s="1"/>
  <c r="AQ304" i="4" s="1"/>
  <c r="AR304" i="4" s="1"/>
  <c r="X299" i="4"/>
  <c r="L301" i="4"/>
  <c r="AD298" i="4"/>
  <c r="AH308" i="4"/>
  <c r="AM305" i="4"/>
  <c r="AO305" i="4" s="1"/>
  <c r="AQ305" i="4" s="1"/>
  <c r="G452" i="2"/>
  <c r="I298" i="4"/>
  <c r="X290" i="4"/>
  <c r="Z290" i="4" s="1"/>
  <c r="J286" i="4"/>
  <c r="L286" i="4" s="1"/>
  <c r="N286" i="4" s="1"/>
  <c r="R298" i="4"/>
  <c r="U298" i="4"/>
  <c r="AG298" i="4"/>
  <c r="V298" i="4"/>
  <c r="D298" i="4"/>
  <c r="AH298" i="4"/>
  <c r="AL286" i="4"/>
  <c r="AN290" i="4"/>
  <c r="M298" i="4"/>
  <c r="AM288" i="4"/>
  <c r="AO288" i="4" s="1"/>
  <c r="AQ288" i="4" s="1"/>
  <c r="AR288" i="4" s="1"/>
  <c r="N288" i="4"/>
  <c r="Y298" i="4"/>
  <c r="N292" i="4"/>
  <c r="AM292" i="4"/>
  <c r="AO292" i="4" s="1"/>
  <c r="AQ292" i="4" s="1"/>
  <c r="AR292" i="4" s="1"/>
  <c r="F298" i="4"/>
  <c r="AM291" i="4"/>
  <c r="AO291" i="4" s="1"/>
  <c r="AQ291" i="4" s="1"/>
  <c r="AR291" i="4" s="1"/>
  <c r="N291" i="4"/>
  <c r="AJ290" i="4"/>
  <c r="AL290" i="4" s="1"/>
  <c r="X286" i="4"/>
  <c r="L290" i="4"/>
  <c r="G418" i="2"/>
  <c r="B24" i="14" s="1"/>
  <c r="C24" i="14" s="1"/>
  <c r="AG285" i="4"/>
  <c r="Y285" i="4"/>
  <c r="I285" i="4"/>
  <c r="AD285" i="4"/>
  <c r="AH285" i="4"/>
  <c r="U285" i="4"/>
  <c r="R285" i="4"/>
  <c r="V285" i="4"/>
  <c r="N277" i="4"/>
  <c r="N274" i="4"/>
  <c r="AM279" i="4"/>
  <c r="AO279" i="4" s="1"/>
  <c r="AQ279" i="4" s="1"/>
  <c r="AR279" i="4" s="1"/>
  <c r="N279" i="4"/>
  <c r="AL272" i="4"/>
  <c r="M285" i="4"/>
  <c r="AN276" i="4"/>
  <c r="X272" i="4"/>
  <c r="X276" i="4"/>
  <c r="Z276" i="4" s="1"/>
  <c r="AJ277" i="4"/>
  <c r="AL277" i="4" s="1"/>
  <c r="AK285" i="4"/>
  <c r="AJ276" i="4"/>
  <c r="AL276" i="4" s="1"/>
  <c r="L276" i="4"/>
  <c r="G401" i="2"/>
  <c r="B23" i="14" s="1"/>
  <c r="C23" i="14" s="1"/>
  <c r="G383" i="2"/>
  <c r="B22" i="14" s="1"/>
  <c r="C22" i="14" s="1"/>
  <c r="G330" i="2"/>
  <c r="B19" i="14" s="1"/>
  <c r="C19" i="14" s="1"/>
  <c r="Y435" i="2"/>
  <c r="J25" i="14" s="1"/>
  <c r="K25" i="14" s="1"/>
  <c r="O435" i="2"/>
  <c r="J21" i="14"/>
  <c r="D371" i="9"/>
  <c r="D271" i="4"/>
  <c r="AN265" i="4"/>
  <c r="AH265" i="4"/>
  <c r="AJ265" i="4" s="1"/>
  <c r="AL265" i="4" s="1"/>
  <c r="AG265" i="4"/>
  <c r="AD265" i="4"/>
  <c r="V265" i="4"/>
  <c r="X265" i="4" s="1"/>
  <c r="Z265" i="4" s="1"/>
  <c r="U265" i="4"/>
  <c r="R265" i="4"/>
  <c r="J265" i="4"/>
  <c r="L265" i="4" s="1"/>
  <c r="I265" i="4"/>
  <c r="F265" i="4"/>
  <c r="AN264" i="4"/>
  <c r="AH264" i="4"/>
  <c r="AJ264" i="4" s="1"/>
  <c r="AL264" i="4" s="1"/>
  <c r="AG264" i="4"/>
  <c r="AD264" i="4"/>
  <c r="V264" i="4"/>
  <c r="X264" i="4" s="1"/>
  <c r="Z264" i="4" s="1"/>
  <c r="U264" i="4"/>
  <c r="R264" i="4"/>
  <c r="J264" i="4"/>
  <c r="L264" i="4" s="1"/>
  <c r="I264" i="4"/>
  <c r="F264" i="4"/>
  <c r="AN262" i="4"/>
  <c r="AJ262" i="4"/>
  <c r="AL262" i="4" s="1"/>
  <c r="AG262" i="4"/>
  <c r="AD262" i="4"/>
  <c r="V262" i="4"/>
  <c r="X262" i="4" s="1"/>
  <c r="Z262" i="4" s="1"/>
  <c r="U262" i="4"/>
  <c r="R262" i="4"/>
  <c r="J262" i="4"/>
  <c r="L262" i="4" s="1"/>
  <c r="I262" i="4"/>
  <c r="F262" i="4"/>
  <c r="AN260" i="4"/>
  <c r="AH260" i="4"/>
  <c r="AJ260" i="4" s="1"/>
  <c r="AG260" i="4"/>
  <c r="AD260" i="4"/>
  <c r="V260" i="4"/>
  <c r="U260" i="4"/>
  <c r="R260" i="4"/>
  <c r="I260" i="4"/>
  <c r="J260" i="4"/>
  <c r="N355" i="9"/>
  <c r="I355" i="9"/>
  <c r="D355" i="9"/>
  <c r="AN256" i="4"/>
  <c r="AH256" i="4"/>
  <c r="AJ256" i="4" s="1"/>
  <c r="AL256" i="4" s="1"/>
  <c r="AG256" i="4"/>
  <c r="V256" i="4"/>
  <c r="X256" i="4" s="1"/>
  <c r="Z256" i="4" s="1"/>
  <c r="U256" i="4"/>
  <c r="R256" i="4"/>
  <c r="J256" i="4"/>
  <c r="L256" i="4" s="1"/>
  <c r="I256" i="4"/>
  <c r="F256" i="4"/>
  <c r="AN254" i="4"/>
  <c r="AH254" i="4"/>
  <c r="AJ254" i="4" s="1"/>
  <c r="AL254" i="4" s="1"/>
  <c r="AG254" i="4"/>
  <c r="V254" i="4"/>
  <c r="X254" i="4" s="1"/>
  <c r="Z254" i="4" s="1"/>
  <c r="U254" i="4"/>
  <c r="R254" i="4"/>
  <c r="J254" i="4"/>
  <c r="L254" i="4" s="1"/>
  <c r="I254" i="4"/>
  <c r="F254" i="4"/>
  <c r="AH253" i="4"/>
  <c r="AK253" i="4" s="1"/>
  <c r="AG253" i="4"/>
  <c r="V253" i="4"/>
  <c r="Y253" i="4" s="1"/>
  <c r="U253" i="4"/>
  <c r="R253" i="4"/>
  <c r="J253" i="4"/>
  <c r="I253" i="4"/>
  <c r="F253" i="4"/>
  <c r="AN252" i="4"/>
  <c r="AH252" i="4"/>
  <c r="AJ252" i="4" s="1"/>
  <c r="AL252" i="4" s="1"/>
  <c r="AG252" i="4"/>
  <c r="V252" i="4"/>
  <c r="X252" i="4" s="1"/>
  <c r="Z252" i="4" s="1"/>
  <c r="U252" i="4"/>
  <c r="R252" i="4"/>
  <c r="J252" i="4"/>
  <c r="L252" i="4" s="1"/>
  <c r="I252" i="4"/>
  <c r="F252" i="4"/>
  <c r="AN250" i="4"/>
  <c r="AH250" i="4"/>
  <c r="AJ250" i="4" s="1"/>
  <c r="AG250" i="4"/>
  <c r="AD250" i="4"/>
  <c r="V250" i="4"/>
  <c r="U250" i="4"/>
  <c r="R250" i="4"/>
  <c r="I250" i="4"/>
  <c r="F250" i="4"/>
  <c r="N339" i="9"/>
  <c r="AN243" i="4"/>
  <c r="AH243" i="4"/>
  <c r="AJ243" i="4" s="1"/>
  <c r="AL243" i="4" s="1"/>
  <c r="AG243" i="4"/>
  <c r="AD243" i="4"/>
  <c r="V243" i="4"/>
  <c r="X243" i="4" s="1"/>
  <c r="Z243" i="4" s="1"/>
  <c r="U243" i="4"/>
  <c r="R243" i="4"/>
  <c r="J243" i="4"/>
  <c r="L243" i="4" s="1"/>
  <c r="I243" i="4"/>
  <c r="F243" i="4"/>
  <c r="AH241" i="4"/>
  <c r="AK241" i="4" s="1"/>
  <c r="AG241" i="4"/>
  <c r="AD241" i="4"/>
  <c r="V241" i="4"/>
  <c r="X241" i="4" s="1"/>
  <c r="U241" i="4"/>
  <c r="R241" i="4"/>
  <c r="J241" i="4"/>
  <c r="M241" i="4" s="1"/>
  <c r="I241" i="4"/>
  <c r="F241" i="4"/>
  <c r="AN239" i="4"/>
  <c r="AH239" i="4"/>
  <c r="AJ239" i="4" s="1"/>
  <c r="AL239" i="4" s="1"/>
  <c r="AG239" i="4"/>
  <c r="AD239" i="4"/>
  <c r="V239" i="4"/>
  <c r="X239" i="4" s="1"/>
  <c r="Z239" i="4" s="1"/>
  <c r="U239" i="4"/>
  <c r="R239" i="4"/>
  <c r="J239" i="4"/>
  <c r="L239" i="4" s="1"/>
  <c r="I239" i="4"/>
  <c r="F239" i="4"/>
  <c r="AN237" i="4"/>
  <c r="AH237" i="4"/>
  <c r="AG237" i="4"/>
  <c r="AD237" i="4"/>
  <c r="V237" i="4"/>
  <c r="U237" i="4"/>
  <c r="R237" i="4"/>
  <c r="I237" i="4"/>
  <c r="J237" i="4"/>
  <c r="N322" i="9"/>
  <c r="I322" i="9"/>
  <c r="AN230" i="4"/>
  <c r="AH230" i="4"/>
  <c r="AJ230" i="4" s="1"/>
  <c r="AL230" i="4" s="1"/>
  <c r="AG230" i="4"/>
  <c r="AD230" i="4"/>
  <c r="V230" i="4"/>
  <c r="X230" i="4" s="1"/>
  <c r="Z230" i="4" s="1"/>
  <c r="U230" i="4"/>
  <c r="R230" i="4"/>
  <c r="J230" i="4"/>
  <c r="L230" i="4" s="1"/>
  <c r="I230" i="4"/>
  <c r="F230" i="4"/>
  <c r="AN228" i="4"/>
  <c r="AH228" i="4"/>
  <c r="AJ228" i="4" s="1"/>
  <c r="AL228" i="4" s="1"/>
  <c r="AG228" i="4"/>
  <c r="AD228" i="4"/>
  <c r="V228" i="4"/>
  <c r="X228" i="4" s="1"/>
  <c r="Z228" i="4" s="1"/>
  <c r="U228" i="4"/>
  <c r="R228" i="4"/>
  <c r="J228" i="4"/>
  <c r="L228" i="4" s="1"/>
  <c r="N228" i="4" s="1"/>
  <c r="I228" i="4"/>
  <c r="F228" i="4"/>
  <c r="AH227" i="4"/>
  <c r="AK227" i="4" s="1"/>
  <c r="AG227" i="4"/>
  <c r="AD227" i="4"/>
  <c r="V227" i="4"/>
  <c r="Y227" i="4" s="1"/>
  <c r="U227" i="4"/>
  <c r="R227" i="4"/>
  <c r="J227" i="4"/>
  <c r="M227" i="4" s="1"/>
  <c r="I227" i="4"/>
  <c r="F227" i="4"/>
  <c r="AN226" i="4"/>
  <c r="AH226" i="4"/>
  <c r="AJ226" i="4" s="1"/>
  <c r="AL226" i="4" s="1"/>
  <c r="AG226" i="4"/>
  <c r="AD226" i="4"/>
  <c r="V226" i="4"/>
  <c r="X226" i="4" s="1"/>
  <c r="Z226" i="4" s="1"/>
  <c r="U226" i="4"/>
  <c r="R226" i="4"/>
  <c r="J226" i="4"/>
  <c r="L226" i="4" s="1"/>
  <c r="I226" i="4"/>
  <c r="F226" i="4"/>
  <c r="AN224" i="4"/>
  <c r="AH224" i="4"/>
  <c r="AJ224" i="4" s="1"/>
  <c r="AG224" i="4"/>
  <c r="AD224" i="4"/>
  <c r="V224" i="4"/>
  <c r="U224" i="4"/>
  <c r="R224" i="4"/>
  <c r="I224" i="4"/>
  <c r="D236" i="4"/>
  <c r="N305" i="9"/>
  <c r="AN216" i="4"/>
  <c r="AH216" i="4"/>
  <c r="AJ216" i="4" s="1"/>
  <c r="AL216" i="4" s="1"/>
  <c r="AG216" i="4"/>
  <c r="AD216" i="4"/>
  <c r="V216" i="4"/>
  <c r="X216" i="4" s="1"/>
  <c r="Z216" i="4" s="1"/>
  <c r="U216" i="4"/>
  <c r="R216" i="4"/>
  <c r="J216" i="4"/>
  <c r="L216" i="4" s="1"/>
  <c r="I216" i="4"/>
  <c r="F216" i="4"/>
  <c r="AN215" i="4"/>
  <c r="AH215" i="4"/>
  <c r="AJ215" i="4" s="1"/>
  <c r="AL215" i="4" s="1"/>
  <c r="AG215" i="4"/>
  <c r="AD215" i="4"/>
  <c r="V215" i="4"/>
  <c r="X215" i="4" s="1"/>
  <c r="Z215" i="4" s="1"/>
  <c r="U215" i="4"/>
  <c r="R215" i="4"/>
  <c r="J215" i="4"/>
  <c r="L215" i="4" s="1"/>
  <c r="I215" i="4"/>
  <c r="F215" i="4"/>
  <c r="AH214" i="4"/>
  <c r="AK214" i="4" s="1"/>
  <c r="AG214" i="4"/>
  <c r="AD214" i="4"/>
  <c r="V214" i="4"/>
  <c r="X214" i="4" s="1"/>
  <c r="U214" i="4"/>
  <c r="R214" i="4"/>
  <c r="J214" i="4"/>
  <c r="M214" i="4" s="1"/>
  <c r="I214" i="4"/>
  <c r="F214" i="4"/>
  <c r="AN213" i="4"/>
  <c r="AJ213" i="4"/>
  <c r="AL213" i="4" s="1"/>
  <c r="AG213" i="4"/>
  <c r="AD213" i="4"/>
  <c r="U213" i="4"/>
  <c r="R213" i="4"/>
  <c r="J213" i="4"/>
  <c r="I213" i="4"/>
  <c r="F213" i="4"/>
  <c r="AN211" i="4"/>
  <c r="AH211" i="4"/>
  <c r="AG211" i="4"/>
  <c r="AD211" i="4"/>
  <c r="V211" i="4"/>
  <c r="X211" i="4" s="1"/>
  <c r="U211" i="4"/>
  <c r="R211" i="4"/>
  <c r="I211" i="4"/>
  <c r="M281" i="9"/>
  <c r="M280" i="9"/>
  <c r="M279" i="9"/>
  <c r="H281" i="9"/>
  <c r="H279" i="9"/>
  <c r="N288" i="9"/>
  <c r="D210" i="4"/>
  <c r="AN206" i="4"/>
  <c r="AH206" i="4"/>
  <c r="AJ206" i="4" s="1"/>
  <c r="AL206" i="4" s="1"/>
  <c r="AG206" i="4"/>
  <c r="AD206" i="4"/>
  <c r="V206" i="4"/>
  <c r="X206" i="4" s="1"/>
  <c r="Z206" i="4" s="1"/>
  <c r="U206" i="4"/>
  <c r="R206" i="4"/>
  <c r="J206" i="4"/>
  <c r="L206" i="4" s="1"/>
  <c r="N206" i="4" s="1"/>
  <c r="I206" i="4"/>
  <c r="AN204" i="4"/>
  <c r="AH204" i="4"/>
  <c r="AJ204" i="4" s="1"/>
  <c r="AL204" i="4" s="1"/>
  <c r="AG204" i="4"/>
  <c r="AD204" i="4"/>
  <c r="V204" i="4"/>
  <c r="X204" i="4" s="1"/>
  <c r="Z204" i="4" s="1"/>
  <c r="U204" i="4"/>
  <c r="R204" i="4"/>
  <c r="J204" i="4"/>
  <c r="L204" i="4" s="1"/>
  <c r="I204" i="4"/>
  <c r="F204" i="4"/>
  <c r="AH203" i="4"/>
  <c r="AK203" i="4" s="1"/>
  <c r="AG203" i="4"/>
  <c r="AD203" i="4"/>
  <c r="V203" i="4"/>
  <c r="Y203" i="4" s="1"/>
  <c r="U203" i="4"/>
  <c r="R203" i="4"/>
  <c r="J203" i="4"/>
  <c r="M203" i="4" s="1"/>
  <c r="I203" i="4"/>
  <c r="F203" i="4"/>
  <c r="AN202" i="4"/>
  <c r="AH202" i="4"/>
  <c r="AJ202" i="4" s="1"/>
  <c r="AL202" i="4" s="1"/>
  <c r="AG202" i="4"/>
  <c r="AD202" i="4"/>
  <c r="V202" i="4"/>
  <c r="X202" i="4" s="1"/>
  <c r="Z202" i="4" s="1"/>
  <c r="U202" i="4"/>
  <c r="R202" i="4"/>
  <c r="J202" i="4"/>
  <c r="L202" i="4" s="1"/>
  <c r="I202" i="4"/>
  <c r="F202" i="4"/>
  <c r="AN200" i="4"/>
  <c r="AH200" i="4"/>
  <c r="AJ200" i="4" s="1"/>
  <c r="AG200" i="4"/>
  <c r="AD200" i="4"/>
  <c r="V200" i="4"/>
  <c r="X200" i="4" s="1"/>
  <c r="Z200" i="4" s="1"/>
  <c r="U200" i="4"/>
  <c r="R200" i="4"/>
  <c r="J200" i="4"/>
  <c r="L200" i="4" s="1"/>
  <c r="I200" i="4"/>
  <c r="F200" i="4"/>
  <c r="J18" i="14"/>
  <c r="K18" i="14" s="1"/>
  <c r="F18" i="14"/>
  <c r="G18" i="14" s="1"/>
  <c r="M265" i="9"/>
  <c r="M264" i="9"/>
  <c r="M263" i="9"/>
  <c r="M262" i="9"/>
  <c r="M261" i="9"/>
  <c r="H265" i="9"/>
  <c r="H264" i="9"/>
  <c r="H263" i="9"/>
  <c r="C265" i="9"/>
  <c r="D268" i="9" s="1"/>
  <c r="M246" i="9"/>
  <c r="M245" i="9"/>
  <c r="N270" i="9"/>
  <c r="I270" i="9"/>
  <c r="D270" i="9"/>
  <c r="D199" i="4"/>
  <c r="AN194" i="4"/>
  <c r="AH194" i="4"/>
  <c r="AJ194" i="4" s="1"/>
  <c r="AL194" i="4" s="1"/>
  <c r="AG194" i="4"/>
  <c r="AD194" i="4"/>
  <c r="V194" i="4"/>
  <c r="X194" i="4" s="1"/>
  <c r="Z194" i="4" s="1"/>
  <c r="U194" i="4"/>
  <c r="R194" i="4"/>
  <c r="J194" i="4"/>
  <c r="L194" i="4" s="1"/>
  <c r="I194" i="4"/>
  <c r="F194" i="4"/>
  <c r="AN192" i="4"/>
  <c r="AH192" i="4"/>
  <c r="AJ192" i="4" s="1"/>
  <c r="AL192" i="4" s="1"/>
  <c r="AG192" i="4"/>
  <c r="AD192" i="4"/>
  <c r="V192" i="4"/>
  <c r="X192" i="4" s="1"/>
  <c r="Z192" i="4" s="1"/>
  <c r="U192" i="4"/>
  <c r="R192" i="4"/>
  <c r="J192" i="4"/>
  <c r="L192" i="4" s="1"/>
  <c r="I192" i="4"/>
  <c r="F192" i="4"/>
  <c r="AH191" i="4"/>
  <c r="AK191" i="4" s="1"/>
  <c r="AG191" i="4"/>
  <c r="AD191" i="4"/>
  <c r="V191" i="4"/>
  <c r="Y191" i="4" s="1"/>
  <c r="U191" i="4"/>
  <c r="R191" i="4"/>
  <c r="J191" i="4"/>
  <c r="L191" i="4" s="1"/>
  <c r="I191" i="4"/>
  <c r="F191" i="4"/>
  <c r="AN189" i="4"/>
  <c r="AH189" i="4"/>
  <c r="AJ189" i="4" s="1"/>
  <c r="AL189" i="4" s="1"/>
  <c r="AG189" i="4"/>
  <c r="AD189" i="4"/>
  <c r="V189" i="4"/>
  <c r="X189" i="4" s="1"/>
  <c r="Z189" i="4" s="1"/>
  <c r="U189" i="4"/>
  <c r="R189" i="4"/>
  <c r="J189" i="4"/>
  <c r="I189" i="4"/>
  <c r="F189" i="4"/>
  <c r="AN187" i="4"/>
  <c r="AH187" i="4"/>
  <c r="AG187" i="4"/>
  <c r="AD187" i="4"/>
  <c r="V187" i="4"/>
  <c r="X187" i="4" s="1"/>
  <c r="U187" i="4"/>
  <c r="R187" i="4"/>
  <c r="J187" i="4"/>
  <c r="L187" i="4" s="1"/>
  <c r="I187" i="4"/>
  <c r="F187" i="4"/>
  <c r="Y295" i="2"/>
  <c r="N259" i="9" s="1"/>
  <c r="O295" i="2"/>
  <c r="AE186" i="4"/>
  <c r="N254" i="9" s="1"/>
  <c r="AB186" i="4"/>
  <c r="S186" i="4"/>
  <c r="I254" i="9" s="1"/>
  <c r="P186" i="4"/>
  <c r="G186" i="4"/>
  <c r="D254" i="9" s="1"/>
  <c r="D186" i="4"/>
  <c r="AN180" i="4"/>
  <c r="AH180" i="4"/>
  <c r="AJ180" i="4" s="1"/>
  <c r="AL180" i="4" s="1"/>
  <c r="AG180" i="4"/>
  <c r="AD180" i="4"/>
  <c r="V180" i="4"/>
  <c r="X180" i="4" s="1"/>
  <c r="Z180" i="4" s="1"/>
  <c r="U180" i="4"/>
  <c r="R180" i="4"/>
  <c r="J180" i="4"/>
  <c r="L180" i="4" s="1"/>
  <c r="I180" i="4"/>
  <c r="F180" i="4"/>
  <c r="AN179" i="4"/>
  <c r="AH179" i="4"/>
  <c r="AJ179" i="4" s="1"/>
  <c r="AL179" i="4" s="1"/>
  <c r="AG179" i="4"/>
  <c r="AD179" i="4"/>
  <c r="V179" i="4"/>
  <c r="X179" i="4" s="1"/>
  <c r="Z179" i="4" s="1"/>
  <c r="U179" i="4"/>
  <c r="R179" i="4"/>
  <c r="J179" i="4"/>
  <c r="L179" i="4" s="1"/>
  <c r="I179" i="4"/>
  <c r="F179" i="4"/>
  <c r="AH178" i="4"/>
  <c r="AK178" i="4" s="1"/>
  <c r="AG178" i="4"/>
  <c r="AD178" i="4"/>
  <c r="V178" i="4"/>
  <c r="Y178" i="4" s="1"/>
  <c r="U178" i="4"/>
  <c r="R178" i="4"/>
  <c r="J178" i="4"/>
  <c r="M178" i="4" s="1"/>
  <c r="I178" i="4"/>
  <c r="F178" i="4"/>
  <c r="AN176" i="4"/>
  <c r="AH176" i="4"/>
  <c r="AJ176" i="4" s="1"/>
  <c r="AL176" i="4" s="1"/>
  <c r="AG176" i="4"/>
  <c r="AD176" i="4"/>
  <c r="V176" i="4"/>
  <c r="U176" i="4"/>
  <c r="R176" i="4"/>
  <c r="J176" i="4"/>
  <c r="I176" i="4"/>
  <c r="F176" i="4"/>
  <c r="AN174" i="4"/>
  <c r="AH174" i="4"/>
  <c r="AJ174" i="4" s="1"/>
  <c r="AG174" i="4"/>
  <c r="AD174" i="4"/>
  <c r="V174" i="4"/>
  <c r="X174" i="4" s="1"/>
  <c r="U174" i="4"/>
  <c r="R174" i="4"/>
  <c r="J174" i="4"/>
  <c r="L174" i="4" s="1"/>
  <c r="I174" i="4"/>
  <c r="F174" i="4"/>
  <c r="Y277" i="2"/>
  <c r="M230" i="9"/>
  <c r="N235" i="9" s="1"/>
  <c r="H230" i="9"/>
  <c r="H229" i="9"/>
  <c r="D235" i="9"/>
  <c r="Y259" i="2"/>
  <c r="N226" i="9" s="1"/>
  <c r="O259" i="2"/>
  <c r="AE173" i="4"/>
  <c r="N237" i="9" s="1"/>
  <c r="AB173" i="4"/>
  <c r="S173" i="4"/>
  <c r="I237" i="9" s="1"/>
  <c r="P173" i="4"/>
  <c r="G173" i="4"/>
  <c r="D237" i="9" s="1"/>
  <c r="D173" i="4"/>
  <c r="AN166" i="4"/>
  <c r="AH166" i="4"/>
  <c r="AJ166" i="4" s="1"/>
  <c r="AL166" i="4" s="1"/>
  <c r="AG166" i="4"/>
  <c r="AD166" i="4"/>
  <c r="V166" i="4"/>
  <c r="X166" i="4" s="1"/>
  <c r="Z166" i="4" s="1"/>
  <c r="U166" i="4"/>
  <c r="R166" i="4"/>
  <c r="J166" i="4"/>
  <c r="L166" i="4" s="1"/>
  <c r="I166" i="4"/>
  <c r="F166" i="4"/>
  <c r="AH165" i="4"/>
  <c r="AK165" i="4" s="1"/>
  <c r="AG165" i="4"/>
  <c r="AD165" i="4"/>
  <c r="V165" i="4"/>
  <c r="Y165" i="4" s="1"/>
  <c r="U165" i="4"/>
  <c r="R165" i="4"/>
  <c r="J165" i="4"/>
  <c r="M165" i="4" s="1"/>
  <c r="I165" i="4"/>
  <c r="F165" i="4"/>
  <c r="AN162" i="4"/>
  <c r="AH162" i="4"/>
  <c r="AJ162" i="4" s="1"/>
  <c r="AG162" i="4"/>
  <c r="AD162" i="4"/>
  <c r="V162" i="4"/>
  <c r="X162" i="4" s="1"/>
  <c r="U162" i="4"/>
  <c r="R162" i="4"/>
  <c r="J162" i="4"/>
  <c r="L162" i="4" s="1"/>
  <c r="I162" i="4"/>
  <c r="F162" i="4"/>
  <c r="M215" i="9"/>
  <c r="M214" i="9"/>
  <c r="M212" i="9"/>
  <c r="H215" i="9"/>
  <c r="H213" i="9"/>
  <c r="Y241" i="2"/>
  <c r="J14" i="14" s="1"/>
  <c r="K14" i="14" s="1"/>
  <c r="O241" i="2"/>
  <c r="AL378" i="4"/>
  <c r="AE161" i="4"/>
  <c r="N221" i="9" s="1"/>
  <c r="AB161" i="4"/>
  <c r="S161" i="4"/>
  <c r="I221" i="9" s="1"/>
  <c r="P161" i="4"/>
  <c r="G161" i="4"/>
  <c r="D221" i="9" s="1"/>
  <c r="AN155" i="4"/>
  <c r="AH155" i="4"/>
  <c r="AJ155" i="4" s="1"/>
  <c r="AL155" i="4" s="1"/>
  <c r="AG155" i="4"/>
  <c r="AD155" i="4"/>
  <c r="V155" i="4"/>
  <c r="X155" i="4" s="1"/>
  <c r="Z155" i="4" s="1"/>
  <c r="U155" i="4"/>
  <c r="R155" i="4"/>
  <c r="J155" i="4"/>
  <c r="L155" i="4" s="1"/>
  <c r="I155" i="4"/>
  <c r="F155" i="4"/>
  <c r="AN153" i="4"/>
  <c r="AH153" i="4"/>
  <c r="AJ153" i="4" s="1"/>
  <c r="AL153" i="4" s="1"/>
  <c r="AG153" i="4"/>
  <c r="AD153" i="4"/>
  <c r="V153" i="4"/>
  <c r="X153" i="4" s="1"/>
  <c r="Z153" i="4" s="1"/>
  <c r="U153" i="4"/>
  <c r="R153" i="4"/>
  <c r="J153" i="4"/>
  <c r="L153" i="4" s="1"/>
  <c r="I153" i="4"/>
  <c r="F153" i="4"/>
  <c r="AH152" i="4"/>
  <c r="AK152" i="4" s="1"/>
  <c r="AG152" i="4"/>
  <c r="AD152" i="4"/>
  <c r="V152" i="4"/>
  <c r="Y152" i="4" s="1"/>
  <c r="U152" i="4"/>
  <c r="R152" i="4"/>
  <c r="J152" i="4"/>
  <c r="L152" i="4" s="1"/>
  <c r="I152" i="4"/>
  <c r="F152" i="4"/>
  <c r="AN151" i="4"/>
  <c r="AH151" i="4"/>
  <c r="AJ151" i="4" s="1"/>
  <c r="AL151" i="4" s="1"/>
  <c r="AD151" i="4"/>
  <c r="V151" i="4"/>
  <c r="X151" i="4" s="1"/>
  <c r="Z151" i="4" s="1"/>
  <c r="U151" i="4"/>
  <c r="R151" i="4"/>
  <c r="J151" i="4"/>
  <c r="I151" i="4"/>
  <c r="F151" i="4"/>
  <c r="AN149" i="4"/>
  <c r="AH149" i="4"/>
  <c r="AG149" i="4"/>
  <c r="AD149" i="4"/>
  <c r="V149" i="4"/>
  <c r="X149" i="4" s="1"/>
  <c r="U149" i="4"/>
  <c r="R149" i="4"/>
  <c r="J149" i="4"/>
  <c r="L149" i="4" s="1"/>
  <c r="I149" i="4"/>
  <c r="F149" i="4"/>
  <c r="M199" i="9"/>
  <c r="M197" i="9"/>
  <c r="H197" i="9"/>
  <c r="D203" i="9"/>
  <c r="Y224" i="2"/>
  <c r="N194" i="9" s="1"/>
  <c r="AE148" i="4"/>
  <c r="N205" i="9" s="1"/>
  <c r="AB148" i="4"/>
  <c r="S148" i="4"/>
  <c r="I205" i="9" s="1"/>
  <c r="P148" i="4"/>
  <c r="G148" i="4"/>
  <c r="D205" i="9" s="1"/>
  <c r="D148" i="4"/>
  <c r="AN142" i="4"/>
  <c r="AH142" i="4"/>
  <c r="AJ142" i="4" s="1"/>
  <c r="AL142" i="4" s="1"/>
  <c r="AD142" i="4"/>
  <c r="V142" i="4"/>
  <c r="X142" i="4" s="1"/>
  <c r="Z142" i="4" s="1"/>
  <c r="U142" i="4"/>
  <c r="R142" i="4"/>
  <c r="J142" i="4"/>
  <c r="I142" i="4"/>
  <c r="F142" i="4"/>
  <c r="AN141" i="4"/>
  <c r="AH141" i="4"/>
  <c r="AJ141" i="4" s="1"/>
  <c r="AL141" i="4" s="1"/>
  <c r="AG141" i="4"/>
  <c r="AD141" i="4"/>
  <c r="V141" i="4"/>
  <c r="U141" i="4"/>
  <c r="R141" i="4"/>
  <c r="J141" i="4"/>
  <c r="L141" i="4" s="1"/>
  <c r="I141" i="4"/>
  <c r="F141" i="4"/>
  <c r="AH140" i="4"/>
  <c r="AJ140" i="4" s="1"/>
  <c r="AG140" i="4"/>
  <c r="AD140" i="4"/>
  <c r="V140" i="4"/>
  <c r="X140" i="4" s="1"/>
  <c r="U140" i="4"/>
  <c r="R140" i="4"/>
  <c r="J140" i="4"/>
  <c r="M140" i="4" s="1"/>
  <c r="I140" i="4"/>
  <c r="F140" i="4"/>
  <c r="AN139" i="4"/>
  <c r="AH139" i="4"/>
  <c r="AJ139" i="4" s="1"/>
  <c r="AL139" i="4" s="1"/>
  <c r="AG139" i="4"/>
  <c r="AD139" i="4"/>
  <c r="V139" i="4"/>
  <c r="X139" i="4" s="1"/>
  <c r="Z139" i="4" s="1"/>
  <c r="U139" i="4"/>
  <c r="R139" i="4"/>
  <c r="J139" i="4"/>
  <c r="L139" i="4" s="1"/>
  <c r="N139" i="4" s="1"/>
  <c r="I139" i="4"/>
  <c r="F139" i="4"/>
  <c r="AN137" i="4"/>
  <c r="AH137" i="4"/>
  <c r="AJ137" i="4" s="1"/>
  <c r="AG137" i="4"/>
  <c r="AD137" i="4"/>
  <c r="V137" i="4"/>
  <c r="X137" i="4" s="1"/>
  <c r="U137" i="4"/>
  <c r="R137" i="4"/>
  <c r="J137" i="4"/>
  <c r="L137" i="4" s="1"/>
  <c r="I137" i="4"/>
  <c r="F137" i="4"/>
  <c r="Y344" i="4" l="1"/>
  <c r="AB337" i="4"/>
  <c r="N268" i="9"/>
  <c r="I268" i="9"/>
  <c r="AR315" i="4"/>
  <c r="AS315" i="4" s="1"/>
  <c r="AR314" i="4"/>
  <c r="AS314" i="4" s="1"/>
  <c r="AR305" i="4"/>
  <c r="AS305" i="4" s="1"/>
  <c r="AS304" i="4"/>
  <c r="C28" i="14"/>
  <c r="N28" i="14" s="1"/>
  <c r="N203" i="9"/>
  <c r="I235" i="9"/>
  <c r="N252" i="9"/>
  <c r="N219" i="9"/>
  <c r="I286" i="9"/>
  <c r="N286" i="9"/>
  <c r="I219" i="9"/>
  <c r="I203" i="9"/>
  <c r="I173" i="4"/>
  <c r="B26" i="14"/>
  <c r="C26" i="14" s="1"/>
  <c r="N27" i="14"/>
  <c r="N23" i="14"/>
  <c r="I344" i="9"/>
  <c r="F22" i="14"/>
  <c r="G22" i="14" s="1"/>
  <c r="N24" i="14"/>
  <c r="I394" i="9"/>
  <c r="F25" i="14"/>
  <c r="G25" i="14" s="1"/>
  <c r="F21" i="14"/>
  <c r="G21" i="14" s="1"/>
  <c r="N19" i="14"/>
  <c r="N327" i="9"/>
  <c r="N341" i="9" s="1"/>
  <c r="K21" i="14"/>
  <c r="D344" i="9"/>
  <c r="R421" i="2"/>
  <c r="R422" i="2" s="1"/>
  <c r="R423" i="2" s="1"/>
  <c r="R424" i="2" s="1"/>
  <c r="J16" i="14"/>
  <c r="K16" i="14" s="1"/>
  <c r="N242" i="9"/>
  <c r="D458" i="9"/>
  <c r="D293" i="9"/>
  <c r="R298" i="2"/>
  <c r="R299" i="2" s="1"/>
  <c r="R300" i="2" s="1"/>
  <c r="R301" i="2" s="1"/>
  <c r="I327" i="9"/>
  <c r="N394" i="9"/>
  <c r="AB473" i="2"/>
  <c r="AB474" i="2" s="1"/>
  <c r="R351" i="2"/>
  <c r="R352" i="2" s="1"/>
  <c r="R353" i="2" s="1"/>
  <c r="R354" i="2" s="1"/>
  <c r="D442" i="9"/>
  <c r="D426" i="9"/>
  <c r="D410" i="9"/>
  <c r="D377" i="9"/>
  <c r="D360" i="9"/>
  <c r="N276" i="9"/>
  <c r="I276" i="9"/>
  <c r="J298" i="4"/>
  <c r="AK298" i="4"/>
  <c r="N322" i="4"/>
  <c r="AN313" i="4"/>
  <c r="AN321" i="4" s="1"/>
  <c r="J332" i="4"/>
  <c r="D223" i="4"/>
  <c r="Y332" i="4"/>
  <c r="AS274" i="4"/>
  <c r="AL298" i="4"/>
  <c r="R491" i="2"/>
  <c r="R492" i="2" s="1"/>
  <c r="R493" i="2" s="1"/>
  <c r="R494" i="2" s="1"/>
  <c r="R473" i="2"/>
  <c r="R474" i="2" s="1"/>
  <c r="R475" i="2" s="1"/>
  <c r="R476" i="2" s="1"/>
  <c r="AB491" i="2"/>
  <c r="AB492" i="2" s="1"/>
  <c r="Z337" i="4"/>
  <c r="Z344" i="4" s="1"/>
  <c r="J285" i="4"/>
  <c r="AM272" i="4"/>
  <c r="AO272" i="4" s="1"/>
  <c r="X344" i="4"/>
  <c r="AS339" i="4"/>
  <c r="N337" i="4"/>
  <c r="AO333" i="4"/>
  <c r="AR335" i="4"/>
  <c r="AS335" i="4" s="1"/>
  <c r="L344" i="4"/>
  <c r="R455" i="2"/>
  <c r="R456" i="2" s="1"/>
  <c r="R457" i="2" s="1"/>
  <c r="R458" i="2" s="1"/>
  <c r="AR323" i="4"/>
  <c r="AS323" i="4" s="1"/>
  <c r="AN326" i="4"/>
  <c r="AN332" i="4" s="1"/>
  <c r="AS324" i="4"/>
  <c r="N326" i="4"/>
  <c r="AM326" i="4"/>
  <c r="AJ332" i="4"/>
  <c r="AK210" i="4"/>
  <c r="AL332" i="4"/>
  <c r="Y308" i="4"/>
  <c r="AS327" i="4"/>
  <c r="X332" i="4"/>
  <c r="Z332" i="4"/>
  <c r="L332" i="4"/>
  <c r="AO322" i="4"/>
  <c r="Z321" i="4"/>
  <c r="Y321" i="4"/>
  <c r="R404" i="2"/>
  <c r="R405" i="2" s="1"/>
  <c r="R406" i="2" s="1"/>
  <c r="R407" i="2" s="1"/>
  <c r="AB455" i="2"/>
  <c r="AB456" i="2" s="1"/>
  <c r="AB457" i="2" s="1"/>
  <c r="AB458" i="2" s="1"/>
  <c r="AO309" i="4"/>
  <c r="L321" i="4"/>
  <c r="AM311" i="4"/>
  <c r="AO311" i="4" s="1"/>
  <c r="AQ311" i="4" s="1"/>
  <c r="N311" i="4"/>
  <c r="AN308" i="4"/>
  <c r="AL321" i="4"/>
  <c r="AJ321" i="4"/>
  <c r="N313" i="4"/>
  <c r="AM313" i="4"/>
  <c r="X321" i="4"/>
  <c r="AJ308" i="4"/>
  <c r="N301" i="4"/>
  <c r="AM301" i="4"/>
  <c r="AO301" i="4" s="1"/>
  <c r="AQ301" i="4" s="1"/>
  <c r="X308" i="4"/>
  <c r="Z299" i="4"/>
  <c r="AM299" i="4"/>
  <c r="L308" i="4"/>
  <c r="AL308" i="4"/>
  <c r="AB438" i="2"/>
  <c r="AB439" i="2" s="1"/>
  <c r="AB440" i="2" s="1"/>
  <c r="AB441" i="2" s="1"/>
  <c r="R438" i="2"/>
  <c r="R439" i="2" s="1"/>
  <c r="R440" i="2" s="1"/>
  <c r="R441" i="2" s="1"/>
  <c r="R368" i="2"/>
  <c r="R369" i="2" s="1"/>
  <c r="R370" i="2" s="1"/>
  <c r="R371" i="2" s="1"/>
  <c r="L298" i="4"/>
  <c r="AN298" i="4"/>
  <c r="X298" i="4"/>
  <c r="Z286" i="4"/>
  <c r="Z298" i="4" s="1"/>
  <c r="AM286" i="4"/>
  <c r="AS288" i="4"/>
  <c r="L285" i="4"/>
  <c r="AS291" i="4"/>
  <c r="AJ298" i="4"/>
  <c r="N290" i="4"/>
  <c r="AM290" i="4"/>
  <c r="AO290" i="4" s="1"/>
  <c r="AQ290" i="4" s="1"/>
  <c r="AR290" i="4" s="1"/>
  <c r="AS292" i="4"/>
  <c r="AB404" i="2"/>
  <c r="AB405" i="2" s="1"/>
  <c r="AB406" i="2" s="1"/>
  <c r="AB407" i="2" s="1"/>
  <c r="AJ285" i="4"/>
  <c r="AK186" i="4"/>
  <c r="AS279" i="4"/>
  <c r="D259" i="4"/>
  <c r="AD271" i="4"/>
  <c r="AL285" i="4"/>
  <c r="AM277" i="4"/>
  <c r="AO277" i="4" s="1"/>
  <c r="AQ277" i="4" s="1"/>
  <c r="AR277" i="4" s="1"/>
  <c r="X285" i="4"/>
  <c r="Z272" i="4"/>
  <c r="Z285" i="4" s="1"/>
  <c r="AM276" i="4"/>
  <c r="AO276" i="4" s="1"/>
  <c r="AQ276" i="4" s="1"/>
  <c r="AR276" i="4" s="1"/>
  <c r="N276" i="4"/>
  <c r="AN285" i="4"/>
  <c r="AB386" i="2"/>
  <c r="AB387" i="2" s="1"/>
  <c r="AB388" i="2" s="1"/>
  <c r="AB389" i="2" s="1"/>
  <c r="R386" i="2"/>
  <c r="R387" i="2" s="1"/>
  <c r="R388" i="2" s="1"/>
  <c r="R389" i="2" s="1"/>
  <c r="AB368" i="2"/>
  <c r="AB369" i="2" s="1"/>
  <c r="AM243" i="4"/>
  <c r="R333" i="2"/>
  <c r="R334" i="2" s="1"/>
  <c r="R335" i="2" s="1"/>
  <c r="R336" i="2" s="1"/>
  <c r="AB333" i="2"/>
  <c r="AB334" i="2" s="1"/>
  <c r="AB335" i="2" s="1"/>
  <c r="AB336" i="2" s="1"/>
  <c r="AB316" i="2"/>
  <c r="AB317" i="2" s="1"/>
  <c r="AB318" i="2" s="1"/>
  <c r="AB319" i="2" s="1"/>
  <c r="J17" i="14"/>
  <c r="K17" i="14" s="1"/>
  <c r="R316" i="2"/>
  <c r="R317" i="2" s="1"/>
  <c r="R318" i="2" s="1"/>
  <c r="R319" i="2" s="1"/>
  <c r="R271" i="4"/>
  <c r="I271" i="4"/>
  <c r="G435" i="2"/>
  <c r="B25" i="14" s="1"/>
  <c r="C25" i="14" s="1"/>
  <c r="AB280" i="2"/>
  <c r="AB281" i="2" s="1"/>
  <c r="AB282" i="2" s="1"/>
  <c r="AB283" i="2" s="1"/>
  <c r="G365" i="2"/>
  <c r="B21" i="14" s="1"/>
  <c r="C21" i="14" s="1"/>
  <c r="AM265" i="4"/>
  <c r="AO265" i="4" s="1"/>
  <c r="AQ265" i="4" s="1"/>
  <c r="AR265" i="4" s="1"/>
  <c r="N265" i="4"/>
  <c r="Y271" i="4"/>
  <c r="L260" i="4"/>
  <c r="J271" i="4"/>
  <c r="U271" i="4"/>
  <c r="V271" i="4"/>
  <c r="X260" i="4"/>
  <c r="AK271" i="4"/>
  <c r="AG271" i="4"/>
  <c r="AL260" i="4"/>
  <c r="N264" i="4"/>
  <c r="AM264" i="4"/>
  <c r="AO264" i="4" s="1"/>
  <c r="AQ264" i="4" s="1"/>
  <c r="AR264" i="4" s="1"/>
  <c r="M271" i="4"/>
  <c r="AG259" i="4"/>
  <c r="M253" i="4"/>
  <c r="AN253" i="4" s="1"/>
  <c r="L253" i="4"/>
  <c r="N262" i="4"/>
  <c r="AM262" i="4"/>
  <c r="AO262" i="4" s="1"/>
  <c r="AD259" i="4"/>
  <c r="Y259" i="4"/>
  <c r="AH271" i="4"/>
  <c r="AG249" i="4"/>
  <c r="AH249" i="4"/>
  <c r="F260" i="4"/>
  <c r="F271" i="4" s="1"/>
  <c r="U259" i="4"/>
  <c r="R259" i="4"/>
  <c r="V259" i="4"/>
  <c r="I259" i="4"/>
  <c r="F259" i="4"/>
  <c r="AL250" i="4"/>
  <c r="AM252" i="4"/>
  <c r="AO252" i="4" s="1"/>
  <c r="AQ252" i="4" s="1"/>
  <c r="AR252" i="4" s="1"/>
  <c r="N252" i="4"/>
  <c r="N254" i="4"/>
  <c r="AM254" i="4"/>
  <c r="AO254" i="4" s="1"/>
  <c r="AQ254" i="4" s="1"/>
  <c r="AR254" i="4" s="1"/>
  <c r="AM256" i="4"/>
  <c r="AO256" i="4" s="1"/>
  <c r="AQ256" i="4" s="1"/>
  <c r="N256" i="4"/>
  <c r="AJ237" i="4"/>
  <c r="AL237" i="4" s="1"/>
  <c r="I236" i="4"/>
  <c r="X253" i="4"/>
  <c r="Z253" i="4" s="1"/>
  <c r="I249" i="4"/>
  <c r="AK249" i="4"/>
  <c r="AJ253" i="4"/>
  <c r="AL253" i="4" s="1"/>
  <c r="AD249" i="4"/>
  <c r="J250" i="4"/>
  <c r="X250" i="4"/>
  <c r="R249" i="4"/>
  <c r="AH259" i="4"/>
  <c r="U249" i="4"/>
  <c r="AK199" i="4"/>
  <c r="Y236" i="4"/>
  <c r="V249" i="4"/>
  <c r="N239" i="4"/>
  <c r="AM239" i="4"/>
  <c r="AO239" i="4" s="1"/>
  <c r="AQ239" i="4" s="1"/>
  <c r="AR239" i="4" s="1"/>
  <c r="L237" i="4"/>
  <c r="J249" i="4"/>
  <c r="M249" i="4"/>
  <c r="X237" i="4"/>
  <c r="Y241" i="4"/>
  <c r="AD236" i="4"/>
  <c r="D249" i="4"/>
  <c r="N243" i="4"/>
  <c r="F237" i="4"/>
  <c r="F249" i="4" s="1"/>
  <c r="AJ241" i="4"/>
  <c r="AL241" i="4" s="1"/>
  <c r="L241" i="4"/>
  <c r="F224" i="4"/>
  <c r="F236" i="4" s="1"/>
  <c r="J224" i="4"/>
  <c r="J236" i="4" s="1"/>
  <c r="R236" i="4"/>
  <c r="F211" i="4"/>
  <c r="F223" i="4" s="1"/>
  <c r="J211" i="4"/>
  <c r="L211" i="4" s="1"/>
  <c r="N211" i="4" s="1"/>
  <c r="AM226" i="4"/>
  <c r="AO226" i="4" s="1"/>
  <c r="AQ226" i="4" s="1"/>
  <c r="AR226" i="4" s="1"/>
  <c r="N226" i="4"/>
  <c r="U236" i="4"/>
  <c r="X227" i="4"/>
  <c r="Z227" i="4" s="1"/>
  <c r="V236" i="4"/>
  <c r="AG236" i="4"/>
  <c r="AL224" i="4"/>
  <c r="AK236" i="4"/>
  <c r="AM228" i="4"/>
  <c r="AO228" i="4" s="1"/>
  <c r="AQ228" i="4" s="1"/>
  <c r="AR228" i="4" s="1"/>
  <c r="N230" i="4"/>
  <c r="AM230" i="4"/>
  <c r="AO230" i="4" s="1"/>
  <c r="AQ230" i="4" s="1"/>
  <c r="AR230" i="4" s="1"/>
  <c r="AN227" i="4"/>
  <c r="M236" i="4"/>
  <c r="AH236" i="4"/>
  <c r="AJ227" i="4"/>
  <c r="AL227" i="4" s="1"/>
  <c r="X224" i="4"/>
  <c r="L227" i="4"/>
  <c r="AK223" i="4"/>
  <c r="AD223" i="4"/>
  <c r="AG223" i="4"/>
  <c r="AH223" i="4"/>
  <c r="R210" i="4"/>
  <c r="F210" i="4"/>
  <c r="U223" i="4"/>
  <c r="V223" i="4"/>
  <c r="M148" i="4"/>
  <c r="R223" i="4"/>
  <c r="I223" i="4"/>
  <c r="N215" i="4"/>
  <c r="AM215" i="4"/>
  <c r="AO215" i="4" s="1"/>
  <c r="AQ215" i="4" s="1"/>
  <c r="AR215" i="4" s="1"/>
  <c r="M223" i="4"/>
  <c r="Z211" i="4"/>
  <c r="Y214" i="4"/>
  <c r="Y223" i="4" s="1"/>
  <c r="AJ211" i="4"/>
  <c r="L213" i="4"/>
  <c r="N216" i="4"/>
  <c r="AM216" i="4"/>
  <c r="AO216" i="4" s="1"/>
  <c r="AQ216" i="4" s="1"/>
  <c r="AR216" i="4" s="1"/>
  <c r="U199" i="4"/>
  <c r="X213" i="4"/>
  <c r="Z213" i="4" s="1"/>
  <c r="AJ214" i="4"/>
  <c r="AL214" i="4" s="1"/>
  <c r="L214" i="4"/>
  <c r="I210" i="4"/>
  <c r="AG210" i="4"/>
  <c r="U210" i="4"/>
  <c r="AD210" i="4"/>
  <c r="V210" i="4"/>
  <c r="N200" i="4"/>
  <c r="AM200" i="4"/>
  <c r="AM202" i="4"/>
  <c r="AO202" i="4" s="1"/>
  <c r="AQ202" i="4" s="1"/>
  <c r="AR202" i="4" s="1"/>
  <c r="N202" i="4"/>
  <c r="N204" i="4"/>
  <c r="AM204" i="4"/>
  <c r="AO204" i="4" s="1"/>
  <c r="AQ204" i="4" s="1"/>
  <c r="AR204" i="4" s="1"/>
  <c r="AL200" i="4"/>
  <c r="AN203" i="4"/>
  <c r="Y186" i="4"/>
  <c r="AJ203" i="4"/>
  <c r="AL203" i="4" s="1"/>
  <c r="X203" i="4"/>
  <c r="Z203" i="4" s="1"/>
  <c r="AH210" i="4"/>
  <c r="L203" i="4"/>
  <c r="J210" i="4"/>
  <c r="AM206" i="4"/>
  <c r="AO206" i="4" s="1"/>
  <c r="AQ206" i="4" s="1"/>
  <c r="AR206" i="4" s="1"/>
  <c r="Y199" i="4"/>
  <c r="R199" i="4"/>
  <c r="AD199" i="4"/>
  <c r="F17" i="14"/>
  <c r="I259" i="9"/>
  <c r="G313" i="2"/>
  <c r="I199" i="4"/>
  <c r="AH199" i="4"/>
  <c r="J199" i="4"/>
  <c r="AG199" i="4"/>
  <c r="F199" i="4"/>
  <c r="N187" i="4"/>
  <c r="N194" i="4"/>
  <c r="AM194" i="4"/>
  <c r="AO194" i="4" s="1"/>
  <c r="AQ194" i="4" s="1"/>
  <c r="AR194" i="4" s="1"/>
  <c r="N192" i="4"/>
  <c r="AM192" i="4"/>
  <c r="AO192" i="4" s="1"/>
  <c r="AQ192" i="4" s="1"/>
  <c r="AR192" i="4" s="1"/>
  <c r="M191" i="4"/>
  <c r="V199" i="4"/>
  <c r="Z187" i="4"/>
  <c r="X191" i="4"/>
  <c r="Z191" i="4" s="1"/>
  <c r="L189" i="4"/>
  <c r="AJ191" i="4"/>
  <c r="AL191" i="4" s="1"/>
  <c r="I186" i="4"/>
  <c r="AJ187" i="4"/>
  <c r="J186" i="4"/>
  <c r="U161" i="4"/>
  <c r="R186" i="4"/>
  <c r="G295" i="2"/>
  <c r="B17" i="14" s="1"/>
  <c r="AD186" i="4"/>
  <c r="U186" i="4"/>
  <c r="F186" i="4"/>
  <c r="V186" i="4"/>
  <c r="AG186" i="4"/>
  <c r="N180" i="4"/>
  <c r="AM180" i="4"/>
  <c r="AO180" i="4" s="1"/>
  <c r="AQ180" i="4" s="1"/>
  <c r="AR180" i="4" s="1"/>
  <c r="AM179" i="4"/>
  <c r="AO179" i="4" s="1"/>
  <c r="AQ179" i="4" s="1"/>
  <c r="AR179" i="4" s="1"/>
  <c r="N179" i="4"/>
  <c r="AL174" i="4"/>
  <c r="AM174" i="4"/>
  <c r="N174" i="4"/>
  <c r="AN178" i="4"/>
  <c r="L178" i="4"/>
  <c r="X178" i="4"/>
  <c r="Z178" i="4" s="1"/>
  <c r="L176" i="4"/>
  <c r="AH186" i="4"/>
  <c r="X176" i="4"/>
  <c r="Z176" i="4" s="1"/>
  <c r="AJ178" i="4"/>
  <c r="AL178" i="4" s="1"/>
  <c r="AD161" i="4"/>
  <c r="Z174" i="4"/>
  <c r="AK173" i="4"/>
  <c r="G277" i="2"/>
  <c r="B16" i="14" s="1"/>
  <c r="F15" i="14"/>
  <c r="J15" i="14"/>
  <c r="K15" i="14" s="1"/>
  <c r="N210" i="9"/>
  <c r="I226" i="9"/>
  <c r="G259" i="2"/>
  <c r="B15" i="14" s="1"/>
  <c r="F14" i="14"/>
  <c r="M13" i="14"/>
  <c r="J13" i="14"/>
  <c r="K13" i="14" s="1"/>
  <c r="I210" i="9"/>
  <c r="AG173" i="4"/>
  <c r="AD173" i="4"/>
  <c r="U173" i="4"/>
  <c r="V173" i="4"/>
  <c r="R173" i="4"/>
  <c r="L165" i="4"/>
  <c r="N165" i="4" s="1"/>
  <c r="F173" i="4"/>
  <c r="AM162" i="4"/>
  <c r="AO162" i="4" s="1"/>
  <c r="N162" i="4"/>
  <c r="Z162" i="4"/>
  <c r="N166" i="4"/>
  <c r="AM166" i="4"/>
  <c r="AO166" i="4" s="1"/>
  <c r="AQ166" i="4" s="1"/>
  <c r="AR166" i="4" s="1"/>
  <c r="AL162" i="4"/>
  <c r="M173" i="4"/>
  <c r="AN165" i="4"/>
  <c r="Y173" i="4"/>
  <c r="J173" i="4"/>
  <c r="AH173" i="4"/>
  <c r="AJ165" i="4"/>
  <c r="AL165" i="4" s="1"/>
  <c r="Y161" i="4"/>
  <c r="X165" i="4"/>
  <c r="I161" i="4"/>
  <c r="F13" i="14"/>
  <c r="I194" i="9"/>
  <c r="G241" i="2"/>
  <c r="R161" i="4"/>
  <c r="J161" i="4"/>
  <c r="AH161" i="4"/>
  <c r="AG161" i="4"/>
  <c r="V161" i="4"/>
  <c r="F161" i="4"/>
  <c r="N155" i="4"/>
  <c r="AM155" i="4"/>
  <c r="AO155" i="4" s="1"/>
  <c r="AQ155" i="4" s="1"/>
  <c r="AR155" i="4" s="1"/>
  <c r="N149" i="4"/>
  <c r="N153" i="4"/>
  <c r="AM153" i="4"/>
  <c r="AO153" i="4" s="1"/>
  <c r="AQ153" i="4" s="1"/>
  <c r="AR153" i="4" s="1"/>
  <c r="Z149" i="4"/>
  <c r="L151" i="4"/>
  <c r="L161" i="4" s="1"/>
  <c r="AJ152" i="4"/>
  <c r="AL152" i="4" s="1"/>
  <c r="M152" i="4"/>
  <c r="X152" i="4"/>
  <c r="Z152" i="4" s="1"/>
  <c r="AJ149" i="4"/>
  <c r="AM149" i="4" s="1"/>
  <c r="AG148" i="4"/>
  <c r="V148" i="4"/>
  <c r="AM137" i="4"/>
  <c r="AO137" i="4" s="1"/>
  <c r="F148" i="4"/>
  <c r="AK140" i="4"/>
  <c r="AK148" i="4" s="1"/>
  <c r="Y140" i="4"/>
  <c r="Z140" i="4" s="1"/>
  <c r="L140" i="4"/>
  <c r="AM140" i="4" s="1"/>
  <c r="AD148" i="4"/>
  <c r="U148" i="4"/>
  <c r="R148" i="4"/>
  <c r="I148" i="4"/>
  <c r="J148" i="4"/>
  <c r="Z137" i="4"/>
  <c r="AL137" i="4"/>
  <c r="N141" i="4"/>
  <c r="L142" i="4"/>
  <c r="AM139" i="4"/>
  <c r="AO139" i="4" s="1"/>
  <c r="AQ139" i="4" s="1"/>
  <c r="AR139" i="4" s="1"/>
  <c r="N137" i="4"/>
  <c r="X141" i="4"/>
  <c r="Z141" i="4" s="1"/>
  <c r="AH148" i="4"/>
  <c r="AB493" i="2" l="1"/>
  <c r="AB494" i="2" s="1"/>
  <c r="AE337" i="4"/>
  <c r="AH337" i="4" s="1"/>
  <c r="M462" i="9"/>
  <c r="N468" i="9" s="1"/>
  <c r="AB344" i="4"/>
  <c r="AD337" i="4"/>
  <c r="AD344" i="4" s="1"/>
  <c r="AB370" i="2"/>
  <c r="AB371" i="2" s="1"/>
  <c r="AB475" i="2"/>
  <c r="AB476" i="2" s="1"/>
  <c r="AO243" i="4"/>
  <c r="AQ243" i="4" s="1"/>
  <c r="AQ262" i="4"/>
  <c r="AR262" i="4" s="1"/>
  <c r="AS262" i="4" s="1"/>
  <c r="B18" i="14"/>
  <c r="C18" i="14" s="1"/>
  <c r="N18" i="14" s="1"/>
  <c r="D276" i="9"/>
  <c r="AR311" i="4"/>
  <c r="AS311" i="4" s="1"/>
  <c r="AS252" i="4"/>
  <c r="N26" i="14"/>
  <c r="N22" i="14"/>
  <c r="N25" i="14"/>
  <c r="N21" i="14"/>
  <c r="AS254" i="4"/>
  <c r="AB351" i="2"/>
  <c r="AB352" i="2" s="1"/>
  <c r="AB353" i="2" s="1"/>
  <c r="AB354" i="2" s="1"/>
  <c r="AB421" i="2"/>
  <c r="AB422" i="2" s="1"/>
  <c r="AB423" i="2" s="1"/>
  <c r="AB424" i="2" s="1"/>
  <c r="AB298" i="2"/>
  <c r="AB299" i="2" s="1"/>
  <c r="AB300" i="2" s="1"/>
  <c r="AB301" i="2" s="1"/>
  <c r="D394" i="9"/>
  <c r="D327" i="9"/>
  <c r="AR256" i="4"/>
  <c r="AS256" i="4" s="1"/>
  <c r="AO313" i="4"/>
  <c r="AQ313" i="4" s="1"/>
  <c r="N344" i="4"/>
  <c r="AS216" i="4"/>
  <c r="AS226" i="4"/>
  <c r="X452" i="2"/>
  <c r="N253" i="4"/>
  <c r="AQ333" i="4"/>
  <c r="AR333" i="4" s="1"/>
  <c r="AO326" i="4"/>
  <c r="AQ326" i="4" s="1"/>
  <c r="AR326" i="4" s="1"/>
  <c r="N332" i="4"/>
  <c r="N298" i="4"/>
  <c r="Z308" i="4"/>
  <c r="AQ322" i="4"/>
  <c r="AR322" i="4" s="1"/>
  <c r="AM332" i="4"/>
  <c r="N321" i="4"/>
  <c r="X470" i="2"/>
  <c r="X401" i="2"/>
  <c r="AM321" i="4"/>
  <c r="AQ309" i="4"/>
  <c r="N308" i="4"/>
  <c r="AO299" i="4"/>
  <c r="AM308" i="4"/>
  <c r="AR301" i="4"/>
  <c r="AS301" i="4" s="1"/>
  <c r="M259" i="4"/>
  <c r="AM298" i="4"/>
  <c r="AO286" i="4"/>
  <c r="AS290" i="4"/>
  <c r="N285" i="4"/>
  <c r="AQ272" i="4"/>
  <c r="AR272" i="4" s="1"/>
  <c r="AN271" i="4"/>
  <c r="AM285" i="4"/>
  <c r="AJ259" i="4"/>
  <c r="AS276" i="4"/>
  <c r="AS277" i="4"/>
  <c r="AN236" i="4"/>
  <c r="AJ271" i="4"/>
  <c r="R280" i="2"/>
  <c r="R281" i="2" s="1"/>
  <c r="R282" i="2" s="1"/>
  <c r="R283" i="2" s="1"/>
  <c r="AS264" i="4"/>
  <c r="AN259" i="4"/>
  <c r="AS265" i="4"/>
  <c r="AL271" i="4"/>
  <c r="AL259" i="4"/>
  <c r="Z260" i="4"/>
  <c r="Z271" i="4" s="1"/>
  <c r="X271" i="4"/>
  <c r="AK259" i="4"/>
  <c r="Y249" i="4"/>
  <c r="AL236" i="4"/>
  <c r="AL249" i="4"/>
  <c r="N260" i="4"/>
  <c r="AM260" i="4"/>
  <c r="L271" i="4"/>
  <c r="L250" i="4"/>
  <c r="J259" i="4"/>
  <c r="Z250" i="4"/>
  <c r="Z259" i="4" s="1"/>
  <c r="X259" i="4"/>
  <c r="AM253" i="4"/>
  <c r="AO253" i="4" s="1"/>
  <c r="AQ253" i="4" s="1"/>
  <c r="AR253" i="4" s="1"/>
  <c r="Z241" i="4"/>
  <c r="N241" i="4"/>
  <c r="AM241" i="4"/>
  <c r="AJ249" i="4"/>
  <c r="X249" i="4"/>
  <c r="Z237" i="4"/>
  <c r="AN241" i="4"/>
  <c r="J223" i="4"/>
  <c r="N237" i="4"/>
  <c r="AM237" i="4"/>
  <c r="L249" i="4"/>
  <c r="AN186" i="4"/>
  <c r="AS239" i="4"/>
  <c r="M186" i="4"/>
  <c r="L224" i="4"/>
  <c r="N224" i="4" s="1"/>
  <c r="AJ236" i="4"/>
  <c r="AM227" i="4"/>
  <c r="AO227" i="4" s="1"/>
  <c r="AQ227" i="4" s="1"/>
  <c r="AR227" i="4" s="1"/>
  <c r="X236" i="4"/>
  <c r="Z224" i="4"/>
  <c r="Z236" i="4" s="1"/>
  <c r="AS230" i="4"/>
  <c r="AS228" i="4"/>
  <c r="L223" i="4"/>
  <c r="Z210" i="4"/>
  <c r="X210" i="4"/>
  <c r="N214" i="4"/>
  <c r="AM214" i="4"/>
  <c r="AN214" i="4"/>
  <c r="Z214" i="4"/>
  <c r="Z223" i="4" s="1"/>
  <c r="N213" i="4"/>
  <c r="AM213" i="4"/>
  <c r="AO213" i="4" s="1"/>
  <c r="AQ213" i="4" s="1"/>
  <c r="AR213" i="4" s="1"/>
  <c r="AL211" i="4"/>
  <c r="AJ223" i="4"/>
  <c r="X223" i="4"/>
  <c r="AM211" i="4"/>
  <c r="Y210" i="4"/>
  <c r="AS215" i="4"/>
  <c r="AJ210" i="4"/>
  <c r="AN210" i="4"/>
  <c r="M210" i="4"/>
  <c r="L173" i="4"/>
  <c r="AS204" i="4"/>
  <c r="AS202" i="4"/>
  <c r="L186" i="4"/>
  <c r="AS206" i="4"/>
  <c r="AL210" i="4"/>
  <c r="N203" i="4"/>
  <c r="AM203" i="4"/>
  <c r="AO203" i="4" s="1"/>
  <c r="AQ203" i="4" s="1"/>
  <c r="AR203" i="4" s="1"/>
  <c r="AO200" i="4"/>
  <c r="L210" i="4"/>
  <c r="D242" i="9"/>
  <c r="D259" i="9"/>
  <c r="L199" i="4"/>
  <c r="AN191" i="4"/>
  <c r="AN199" i="4" s="1"/>
  <c r="M199" i="4"/>
  <c r="AS192" i="4"/>
  <c r="AL187" i="4"/>
  <c r="AL199" i="4" s="1"/>
  <c r="AJ199" i="4"/>
  <c r="Y148" i="4"/>
  <c r="AM189" i="4"/>
  <c r="AO189" i="4" s="1"/>
  <c r="AQ189" i="4" s="1"/>
  <c r="AR189" i="4" s="1"/>
  <c r="N189" i="4"/>
  <c r="AM191" i="4"/>
  <c r="AS194" i="4"/>
  <c r="Z186" i="4"/>
  <c r="X199" i="4"/>
  <c r="AM187" i="4"/>
  <c r="Z199" i="4"/>
  <c r="N191" i="4"/>
  <c r="AO174" i="4"/>
  <c r="AM176" i="4"/>
  <c r="AO176" i="4" s="1"/>
  <c r="AQ176" i="4" s="1"/>
  <c r="AR176" i="4" s="1"/>
  <c r="N176" i="4"/>
  <c r="AL173" i="4"/>
  <c r="AL186" i="4"/>
  <c r="AJ186" i="4"/>
  <c r="X186" i="4"/>
  <c r="N178" i="4"/>
  <c r="AM178" i="4"/>
  <c r="AO178" i="4" s="1"/>
  <c r="AQ178" i="4" s="1"/>
  <c r="AR178" i="4" s="1"/>
  <c r="AN173" i="4"/>
  <c r="AS179" i="4"/>
  <c r="AS180" i="4"/>
  <c r="D226" i="9"/>
  <c r="AB262" i="2"/>
  <c r="AB263" i="2" s="1"/>
  <c r="AB264" i="2" s="1"/>
  <c r="AB265" i="2" s="1"/>
  <c r="R262" i="2"/>
  <c r="R263" i="2" s="1"/>
  <c r="R264" i="2" s="1"/>
  <c r="R265" i="2" s="1"/>
  <c r="B14" i="14"/>
  <c r="D210" i="9"/>
  <c r="AB244" i="2"/>
  <c r="AB245" i="2" s="1"/>
  <c r="R244" i="2"/>
  <c r="R245" i="2" s="1"/>
  <c r="R246" i="2" s="1"/>
  <c r="R247" i="2" s="1"/>
  <c r="AJ173" i="4"/>
  <c r="AQ162" i="4"/>
  <c r="AR162" i="4" s="1"/>
  <c r="AS166" i="4"/>
  <c r="X173" i="4"/>
  <c r="X148" i="4"/>
  <c r="AK161" i="4"/>
  <c r="N173" i="4"/>
  <c r="Z165" i="4"/>
  <c r="AM165" i="4"/>
  <c r="AB227" i="2"/>
  <c r="AB228" i="2" s="1"/>
  <c r="AB229" i="2" s="1"/>
  <c r="AB230" i="2" s="1"/>
  <c r="R227" i="2"/>
  <c r="R228" i="2" s="1"/>
  <c r="R229" i="2" s="1"/>
  <c r="R230" i="2" s="1"/>
  <c r="D194" i="9"/>
  <c r="N140" i="4"/>
  <c r="AO149" i="4"/>
  <c r="AL149" i="4"/>
  <c r="AL161" i="4" s="1"/>
  <c r="AJ161" i="4"/>
  <c r="AM152" i="4"/>
  <c r="Z161" i="4"/>
  <c r="AS153" i="4"/>
  <c r="AS155" i="4"/>
  <c r="AN152" i="4"/>
  <c r="M161" i="4"/>
  <c r="AM151" i="4"/>
  <c r="AO151" i="4" s="1"/>
  <c r="AQ151" i="4" s="1"/>
  <c r="AR151" i="4" s="1"/>
  <c r="N151" i="4"/>
  <c r="N152" i="4"/>
  <c r="X161" i="4"/>
  <c r="L148" i="4"/>
  <c r="AN140" i="4"/>
  <c r="AO140" i="4" s="1"/>
  <c r="AL140" i="4"/>
  <c r="AL148" i="4" s="1"/>
  <c r="AB210" i="2"/>
  <c r="AB211" i="2" s="1"/>
  <c r="AB212" i="2" s="1"/>
  <c r="AB213" i="2" s="1"/>
  <c r="R210" i="2"/>
  <c r="R211" i="2" s="1"/>
  <c r="R212" i="2" s="1"/>
  <c r="R213" i="2" s="1"/>
  <c r="AQ137" i="4"/>
  <c r="AR137" i="4" s="1"/>
  <c r="AS139" i="4"/>
  <c r="AM142" i="4"/>
  <c r="AO142" i="4" s="1"/>
  <c r="AQ142" i="4" s="1"/>
  <c r="N142" i="4"/>
  <c r="AM141" i="4"/>
  <c r="AO141" i="4" s="1"/>
  <c r="AJ148" i="4"/>
  <c r="Z148" i="4"/>
  <c r="AJ337" i="4" l="1"/>
  <c r="AH344" i="4"/>
  <c r="AK337" i="4"/>
  <c r="AE344" i="4"/>
  <c r="N470" i="9" s="1"/>
  <c r="AG337" i="4"/>
  <c r="AG344" i="4" s="1"/>
  <c r="AB246" i="2"/>
  <c r="AB247" i="2" s="1"/>
  <c r="AR243" i="4"/>
  <c r="AS243" i="4" s="1"/>
  <c r="AR309" i="4"/>
  <c r="AS309" i="4" s="1"/>
  <c r="AR313" i="4"/>
  <c r="AS313" i="4" s="1"/>
  <c r="AS253" i="4"/>
  <c r="AS178" i="4"/>
  <c r="AQ140" i="4"/>
  <c r="AR140" i="4" s="1"/>
  <c r="AR142" i="4"/>
  <c r="AS142" i="4" s="1"/>
  <c r="AO321" i="4"/>
  <c r="AS326" i="4"/>
  <c r="AO332" i="4"/>
  <c r="AQ332" i="4"/>
  <c r="AR332" i="4"/>
  <c r="AQ321" i="4"/>
  <c r="AO308" i="4"/>
  <c r="AQ299" i="4"/>
  <c r="AO298" i="4"/>
  <c r="AQ286" i="4"/>
  <c r="AR286" i="4" s="1"/>
  <c r="Z249" i="4"/>
  <c r="AO285" i="4"/>
  <c r="AR285" i="4"/>
  <c r="AQ285" i="4"/>
  <c r="AN249" i="4"/>
  <c r="N271" i="4"/>
  <c r="AO260" i="4"/>
  <c r="AM271" i="4"/>
  <c r="N249" i="4"/>
  <c r="N250" i="4"/>
  <c r="N259" i="4" s="1"/>
  <c r="AM250" i="4"/>
  <c r="L259" i="4"/>
  <c r="AL223" i="4"/>
  <c r="AO237" i="4"/>
  <c r="AM249" i="4"/>
  <c r="N223" i="4"/>
  <c r="AO241" i="4"/>
  <c r="AQ241" i="4" s="1"/>
  <c r="AR241" i="4" s="1"/>
  <c r="AN223" i="4"/>
  <c r="AM224" i="4"/>
  <c r="AM236" i="4" s="1"/>
  <c r="L236" i="4"/>
  <c r="AS227" i="4"/>
  <c r="N236" i="4"/>
  <c r="AO211" i="4"/>
  <c r="AM223" i="4"/>
  <c r="N210" i="4"/>
  <c r="AS213" i="4"/>
  <c r="AO214" i="4"/>
  <c r="AQ214" i="4" s="1"/>
  <c r="AM210" i="4"/>
  <c r="AS203" i="4"/>
  <c r="AO191" i="4"/>
  <c r="AQ191" i="4" s="1"/>
  <c r="AR191" i="4" s="1"/>
  <c r="N186" i="4"/>
  <c r="AQ200" i="4"/>
  <c r="AR200" i="4" s="1"/>
  <c r="N199" i="4"/>
  <c r="AS189" i="4"/>
  <c r="AM199" i="4"/>
  <c r="AO187" i="4"/>
  <c r="X277" i="2"/>
  <c r="Z173" i="4"/>
  <c r="AS176" i="4"/>
  <c r="AO186" i="4"/>
  <c r="AQ174" i="4"/>
  <c r="AR174" i="4" s="1"/>
  <c r="AN161" i="4"/>
  <c r="AM186" i="4"/>
  <c r="AO165" i="4"/>
  <c r="AM173" i="4"/>
  <c r="AS162" i="4"/>
  <c r="AO152" i="4"/>
  <c r="AQ152" i="4" s="1"/>
  <c r="AR152" i="4" s="1"/>
  <c r="N161" i="4"/>
  <c r="N148" i="4"/>
  <c r="AQ149" i="4"/>
  <c r="AR149" i="4" s="1"/>
  <c r="AS151" i="4"/>
  <c r="AM161" i="4"/>
  <c r="AN148" i="4"/>
  <c r="AS137" i="4"/>
  <c r="AM148" i="4"/>
  <c r="AL337" i="4" l="1"/>
  <c r="AL344" i="4" s="1"/>
  <c r="AK344" i="4"/>
  <c r="AN337" i="4"/>
  <c r="AN344" i="4" s="1"/>
  <c r="AJ344" i="4"/>
  <c r="AM337" i="4"/>
  <c r="AR321" i="4"/>
  <c r="AR299" i="4"/>
  <c r="AS299" i="4" s="1"/>
  <c r="AS308" i="4" s="1"/>
  <c r="AR214" i="4"/>
  <c r="AS214" i="4" s="1"/>
  <c r="X418" i="2"/>
  <c r="AS149" i="4"/>
  <c r="AS140" i="4"/>
  <c r="AS191" i="4"/>
  <c r="F470" i="2"/>
  <c r="AS333" i="4"/>
  <c r="AS322" i="4"/>
  <c r="AS332" i="4" s="1"/>
  <c r="AS321" i="4"/>
  <c r="AQ308" i="4"/>
  <c r="AQ298" i="4"/>
  <c r="AR298" i="4"/>
  <c r="AS272" i="4"/>
  <c r="AS285" i="4" s="1"/>
  <c r="X224" i="2"/>
  <c r="AO271" i="4"/>
  <c r="AQ260" i="4"/>
  <c r="AR260" i="4" s="1"/>
  <c r="AO210" i="4"/>
  <c r="AO250" i="4"/>
  <c r="AM259" i="4"/>
  <c r="AO224" i="4"/>
  <c r="AO236" i="4" s="1"/>
  <c r="AS241" i="4"/>
  <c r="AO249" i="4"/>
  <c r="AQ237" i="4"/>
  <c r="AR237" i="4" s="1"/>
  <c r="AO223" i="4"/>
  <c r="AQ211" i="4"/>
  <c r="AR211" i="4" s="1"/>
  <c r="AQ210" i="4"/>
  <c r="AR210" i="4"/>
  <c r="AO199" i="4"/>
  <c r="AQ187" i="4"/>
  <c r="AR187" i="4" s="1"/>
  <c r="AQ186" i="4"/>
  <c r="AR186" i="4"/>
  <c r="AQ165" i="4"/>
  <c r="AR165" i="4" s="1"/>
  <c r="AO173" i="4"/>
  <c r="AO161" i="4"/>
  <c r="AS152" i="4"/>
  <c r="AQ161" i="4"/>
  <c r="AR161" i="4"/>
  <c r="AQ141" i="4"/>
  <c r="AR141" i="4" s="1"/>
  <c r="AO148" i="4"/>
  <c r="AO337" i="4" l="1"/>
  <c r="AM344" i="4"/>
  <c r="AR308" i="4"/>
  <c r="X365" i="2"/>
  <c r="X383" i="2"/>
  <c r="X510" i="2"/>
  <c r="X488" i="2"/>
  <c r="X330" i="2"/>
  <c r="F241" i="2"/>
  <c r="F313" i="2"/>
  <c r="R480" i="2"/>
  <c r="R498" i="2"/>
  <c r="R462" i="2"/>
  <c r="R463" i="2" s="1"/>
  <c r="R445" i="2"/>
  <c r="R446" i="2" s="1"/>
  <c r="F452" i="2"/>
  <c r="AQ224" i="4"/>
  <c r="AR224" i="4" s="1"/>
  <c r="AS286" i="4"/>
  <c r="AS298" i="4" s="1"/>
  <c r="F418" i="2"/>
  <c r="R411" i="2"/>
  <c r="R412" i="2" s="1"/>
  <c r="R413" i="2" s="1"/>
  <c r="R393" i="2"/>
  <c r="F401" i="2"/>
  <c r="R375" i="2"/>
  <c r="R376" i="2" s="1"/>
  <c r="F348" i="2"/>
  <c r="R339" i="2"/>
  <c r="R340" i="2" s="1"/>
  <c r="R341" i="2" s="1"/>
  <c r="R342" i="2" s="1"/>
  <c r="R323" i="2"/>
  <c r="R324" i="2" s="1"/>
  <c r="AQ271" i="4"/>
  <c r="AR271" i="4"/>
  <c r="AO259" i="4"/>
  <c r="AQ250" i="4"/>
  <c r="AR250" i="4" s="1"/>
  <c r="AQ249" i="4"/>
  <c r="AR249" i="4"/>
  <c r="AS237" i="4"/>
  <c r="AS249" i="4" s="1"/>
  <c r="AQ223" i="4"/>
  <c r="AR223" i="4"/>
  <c r="AS200" i="4"/>
  <c r="AS210" i="4" s="1"/>
  <c r="AQ199" i="4"/>
  <c r="AR199" i="4"/>
  <c r="AS174" i="4"/>
  <c r="AS186" i="4" s="1"/>
  <c r="AR173" i="4"/>
  <c r="AS165" i="4"/>
  <c r="AS173" i="4" s="1"/>
  <c r="AQ173" i="4"/>
  <c r="AS161" i="4"/>
  <c r="F224" i="2"/>
  <c r="AR148" i="4"/>
  <c r="AQ148" i="4"/>
  <c r="R499" i="2" l="1"/>
  <c r="R500" i="2" s="1"/>
  <c r="R510" i="2" s="1"/>
  <c r="AQ337" i="4"/>
  <c r="AO344" i="4"/>
  <c r="R394" i="2"/>
  <c r="R395" i="2" s="1"/>
  <c r="R401" i="2" s="1"/>
  <c r="R325" i="2"/>
  <c r="R330" i="2" s="1"/>
  <c r="R447" i="2"/>
  <c r="R452" i="2" s="1"/>
  <c r="R348" i="2"/>
  <c r="R464" i="2"/>
  <c r="R470" i="2" s="1"/>
  <c r="R418" i="2"/>
  <c r="R377" i="2"/>
  <c r="R383" i="2" s="1"/>
  <c r="X435" i="2"/>
  <c r="R481" i="2"/>
  <c r="X241" i="2"/>
  <c r="F330" i="2"/>
  <c r="X259" i="2"/>
  <c r="X295" i="2"/>
  <c r="X313" i="2"/>
  <c r="AR259" i="4"/>
  <c r="F435" i="2"/>
  <c r="R427" i="2"/>
  <c r="R428" i="2" s="1"/>
  <c r="R429" i="2" s="1"/>
  <c r="R430" i="2" s="1"/>
  <c r="F488" i="2"/>
  <c r="R304" i="2"/>
  <c r="R305" i="2" s="1"/>
  <c r="R306" i="2" s="1"/>
  <c r="R307" i="2" s="1"/>
  <c r="R358" i="2"/>
  <c r="R359" i="2" s="1"/>
  <c r="R360" i="2" s="1"/>
  <c r="AR236" i="4"/>
  <c r="N470" i="2"/>
  <c r="N452" i="2"/>
  <c r="AQ236" i="4"/>
  <c r="N401" i="2"/>
  <c r="AS260" i="4"/>
  <c r="AS271" i="4" s="1"/>
  <c r="AQ259" i="4"/>
  <c r="AS211" i="4"/>
  <c r="AS223" i="4" s="1"/>
  <c r="AS187" i="4"/>
  <c r="AS199" i="4" s="1"/>
  <c r="F295" i="2"/>
  <c r="F277" i="2"/>
  <c r="O277" i="2"/>
  <c r="I242" i="9" s="1"/>
  <c r="R250" i="2"/>
  <c r="R251" i="2" s="1"/>
  <c r="R234" i="2"/>
  <c r="R235" i="2" s="1"/>
  <c r="R236" i="2" s="1"/>
  <c r="R217" i="2"/>
  <c r="R218" i="2" s="1"/>
  <c r="R219" i="2" s="1"/>
  <c r="AS141" i="4"/>
  <c r="AS148" i="4" s="1"/>
  <c r="AQ344" i="4" l="1"/>
  <c r="AR337" i="4"/>
  <c r="AR344" i="4" s="1"/>
  <c r="R241" i="2"/>
  <c r="R365" i="2"/>
  <c r="R252" i="2"/>
  <c r="R253" i="2" s="1"/>
  <c r="R259" i="2" s="1"/>
  <c r="R313" i="2"/>
  <c r="R435" i="2"/>
  <c r="R482" i="2"/>
  <c r="R488" i="2" s="1"/>
  <c r="R224" i="2"/>
  <c r="F365" i="2"/>
  <c r="F383" i="2"/>
  <c r="F259" i="2"/>
  <c r="F510" i="2"/>
  <c r="AS224" i="4"/>
  <c r="AS236" i="4" s="1"/>
  <c r="N277" i="2"/>
  <c r="N418" i="2"/>
  <c r="R268" i="2"/>
  <c r="R269" i="2" s="1"/>
  <c r="R270" i="2" s="1"/>
  <c r="R271" i="2" s="1"/>
  <c r="AS250" i="4"/>
  <c r="AS259" i="4" s="1"/>
  <c r="F16" i="14"/>
  <c r="AS337" i="4" l="1"/>
  <c r="AS344" i="4" s="1"/>
  <c r="R277" i="2"/>
  <c r="N488" i="2"/>
  <c r="N330" i="2" l="1"/>
  <c r="N259" i="2"/>
  <c r="N365" i="2"/>
  <c r="N510" i="2"/>
  <c r="M181" i="9"/>
  <c r="H181" i="9"/>
  <c r="D186" i="9"/>
  <c r="Y207" i="2"/>
  <c r="O207" i="2"/>
  <c r="AE136" i="4"/>
  <c r="N188" i="9" s="1"/>
  <c r="AB136" i="4"/>
  <c r="S136" i="4"/>
  <c r="I188" i="9" s="1"/>
  <c r="P136" i="4"/>
  <c r="G136" i="4"/>
  <c r="D188" i="9" s="1"/>
  <c r="AN131" i="4"/>
  <c r="AH131" i="4"/>
  <c r="AJ131" i="4" s="1"/>
  <c r="AL131" i="4" s="1"/>
  <c r="AD131" i="4"/>
  <c r="V131" i="4"/>
  <c r="X131" i="4" s="1"/>
  <c r="Z131" i="4" s="1"/>
  <c r="U131" i="4"/>
  <c r="R131" i="4"/>
  <c r="J131" i="4"/>
  <c r="L131" i="4" s="1"/>
  <c r="I131" i="4"/>
  <c r="F131" i="4"/>
  <c r="AN129" i="4"/>
  <c r="AH129" i="4"/>
  <c r="AJ129" i="4" s="1"/>
  <c r="AL129" i="4" s="1"/>
  <c r="AG129" i="4"/>
  <c r="AD129" i="4"/>
  <c r="V129" i="4"/>
  <c r="X129" i="4" s="1"/>
  <c r="Z129" i="4" s="1"/>
  <c r="U129" i="4"/>
  <c r="R129" i="4"/>
  <c r="J129" i="4"/>
  <c r="L129" i="4" s="1"/>
  <c r="I129" i="4"/>
  <c r="F129" i="4"/>
  <c r="AH128" i="4"/>
  <c r="AK128" i="4" s="1"/>
  <c r="AG128" i="4"/>
  <c r="AD128" i="4"/>
  <c r="V128" i="4"/>
  <c r="Y128" i="4" s="1"/>
  <c r="R128" i="4"/>
  <c r="J128" i="4"/>
  <c r="M128" i="4" s="1"/>
  <c r="I128" i="4"/>
  <c r="F128" i="4"/>
  <c r="AN126" i="4"/>
  <c r="AH126" i="4"/>
  <c r="AJ126" i="4" s="1"/>
  <c r="AL126" i="4" s="1"/>
  <c r="AG126" i="4"/>
  <c r="AD126" i="4"/>
  <c r="V126" i="4"/>
  <c r="X126" i="4" s="1"/>
  <c r="Z126" i="4" s="1"/>
  <c r="U126" i="4"/>
  <c r="R126" i="4"/>
  <c r="J126" i="4"/>
  <c r="L126" i="4" s="1"/>
  <c r="I126" i="4"/>
  <c r="F126" i="4"/>
  <c r="AN124" i="4"/>
  <c r="AH124" i="4"/>
  <c r="AJ124" i="4" s="1"/>
  <c r="AD124" i="4"/>
  <c r="V124" i="4"/>
  <c r="X124" i="4" s="1"/>
  <c r="U124" i="4"/>
  <c r="R124" i="4"/>
  <c r="I124" i="4"/>
  <c r="D136" i="4"/>
  <c r="H163" i="9"/>
  <c r="N158" i="9"/>
  <c r="I158" i="9"/>
  <c r="D123" i="4"/>
  <c r="AE123" i="4"/>
  <c r="N170" i="9" s="1"/>
  <c r="AB123" i="4"/>
  <c r="S123" i="4"/>
  <c r="I170" i="9" s="1"/>
  <c r="P123" i="4"/>
  <c r="G123" i="4"/>
  <c r="D170" i="9" s="1"/>
  <c r="AN119" i="4"/>
  <c r="AH119" i="4"/>
  <c r="AJ119" i="4" s="1"/>
  <c r="AL119" i="4" s="1"/>
  <c r="AG119" i="4"/>
  <c r="AD119" i="4"/>
  <c r="V119" i="4"/>
  <c r="X119" i="4" s="1"/>
  <c r="Z119" i="4" s="1"/>
  <c r="U119" i="4"/>
  <c r="R119" i="4"/>
  <c r="J119" i="4"/>
  <c r="L119" i="4" s="1"/>
  <c r="I119" i="4"/>
  <c r="AN117" i="4"/>
  <c r="AL117" i="4"/>
  <c r="AG117" i="4"/>
  <c r="AD117" i="4"/>
  <c r="V117" i="4"/>
  <c r="X117" i="4" s="1"/>
  <c r="Z117" i="4" s="1"/>
  <c r="U117" i="4"/>
  <c r="R117" i="4"/>
  <c r="J117" i="4"/>
  <c r="L117" i="4" s="1"/>
  <c r="I117" i="4"/>
  <c r="F117" i="4"/>
  <c r="AH116" i="4"/>
  <c r="AK116" i="4" s="1"/>
  <c r="AG116" i="4"/>
  <c r="AD116" i="4"/>
  <c r="V116" i="4"/>
  <c r="Y116" i="4" s="1"/>
  <c r="U116" i="4"/>
  <c r="R116" i="4"/>
  <c r="J116" i="4"/>
  <c r="M116" i="4" s="1"/>
  <c r="I116" i="4"/>
  <c r="F116" i="4"/>
  <c r="AN114" i="4"/>
  <c r="AH114" i="4"/>
  <c r="AJ114" i="4" s="1"/>
  <c r="AL114" i="4" s="1"/>
  <c r="AG114" i="4"/>
  <c r="AD114" i="4"/>
  <c r="V114" i="4"/>
  <c r="X114" i="4" s="1"/>
  <c r="Z114" i="4" s="1"/>
  <c r="U114" i="4"/>
  <c r="R114" i="4"/>
  <c r="J114" i="4"/>
  <c r="I114" i="4"/>
  <c r="F114" i="4"/>
  <c r="AN112" i="4"/>
  <c r="AH112" i="4"/>
  <c r="AJ112" i="4" s="1"/>
  <c r="AG112" i="4"/>
  <c r="AD112" i="4"/>
  <c r="V112" i="4"/>
  <c r="U112" i="4"/>
  <c r="R112" i="4"/>
  <c r="I112" i="4"/>
  <c r="M145" i="9"/>
  <c r="M143" i="9"/>
  <c r="H145" i="9"/>
  <c r="C145" i="9"/>
  <c r="D150" i="9" s="1"/>
  <c r="N140" i="9"/>
  <c r="AE111" i="4"/>
  <c r="AB111" i="4"/>
  <c r="S111" i="4"/>
  <c r="I152" i="9" s="1"/>
  <c r="P111" i="4"/>
  <c r="G111" i="4"/>
  <c r="D152" i="9" s="1"/>
  <c r="D111" i="4"/>
  <c r="AN105" i="4"/>
  <c r="AH105" i="4"/>
  <c r="AJ105" i="4" s="1"/>
  <c r="AL105" i="4" s="1"/>
  <c r="AG105" i="4"/>
  <c r="AD105" i="4"/>
  <c r="V105" i="4"/>
  <c r="X105" i="4" s="1"/>
  <c r="Z105" i="4" s="1"/>
  <c r="U105" i="4"/>
  <c r="R105" i="4"/>
  <c r="J105" i="4"/>
  <c r="L105" i="4" s="1"/>
  <c r="I105" i="4"/>
  <c r="F105" i="4"/>
  <c r="AN103" i="4"/>
  <c r="AH103" i="4"/>
  <c r="AJ103" i="4" s="1"/>
  <c r="AL103" i="4" s="1"/>
  <c r="AG103" i="4"/>
  <c r="AD103" i="4"/>
  <c r="V103" i="4"/>
  <c r="X103" i="4" s="1"/>
  <c r="Z103" i="4" s="1"/>
  <c r="U103" i="4"/>
  <c r="R103" i="4"/>
  <c r="J103" i="4"/>
  <c r="L103" i="4" s="1"/>
  <c r="I103" i="4"/>
  <c r="F103" i="4"/>
  <c r="AN100" i="4"/>
  <c r="AH100" i="4"/>
  <c r="AJ100" i="4" s="1"/>
  <c r="AL100" i="4" s="1"/>
  <c r="AG100" i="4"/>
  <c r="AD100" i="4"/>
  <c r="V100" i="4"/>
  <c r="X100" i="4" s="1"/>
  <c r="Z100" i="4" s="1"/>
  <c r="U100" i="4"/>
  <c r="R100" i="4"/>
  <c r="J100" i="4"/>
  <c r="I100" i="4"/>
  <c r="F100" i="4"/>
  <c r="AN98" i="4"/>
  <c r="AH98" i="4"/>
  <c r="AJ98" i="4" s="1"/>
  <c r="AG98" i="4"/>
  <c r="AD98" i="4"/>
  <c r="V98" i="4"/>
  <c r="X98" i="4" s="1"/>
  <c r="U98" i="4"/>
  <c r="R98" i="4"/>
  <c r="J98" i="4"/>
  <c r="L98" i="4" s="1"/>
  <c r="I98" i="4"/>
  <c r="F98" i="4"/>
  <c r="G97" i="4"/>
  <c r="D133" i="9" s="1"/>
  <c r="M126" i="9"/>
  <c r="M124" i="9"/>
  <c r="H125" i="9"/>
  <c r="I131" i="9" s="1"/>
  <c r="AE97" i="4"/>
  <c r="N133" i="9" s="1"/>
  <c r="AB97" i="4"/>
  <c r="S97" i="4"/>
  <c r="I133" i="9" s="1"/>
  <c r="P97" i="4"/>
  <c r="D97" i="4"/>
  <c r="AN93" i="4"/>
  <c r="AH93" i="4"/>
  <c r="AJ93" i="4" s="1"/>
  <c r="AL93" i="4" s="1"/>
  <c r="AG93" i="4"/>
  <c r="AD93" i="4"/>
  <c r="V93" i="4"/>
  <c r="X93" i="4" s="1"/>
  <c r="Z93" i="4" s="1"/>
  <c r="U93" i="4"/>
  <c r="R93" i="4"/>
  <c r="J93" i="4"/>
  <c r="L93" i="4" s="1"/>
  <c r="I93" i="4"/>
  <c r="F93" i="4"/>
  <c r="AN91" i="4"/>
  <c r="AH91" i="4"/>
  <c r="AJ91" i="4" s="1"/>
  <c r="AL91" i="4" s="1"/>
  <c r="AG91" i="4"/>
  <c r="AD91" i="4"/>
  <c r="V91" i="4"/>
  <c r="X91" i="4" s="1"/>
  <c r="Z91" i="4" s="1"/>
  <c r="U91" i="4"/>
  <c r="R91" i="4"/>
  <c r="J91" i="4"/>
  <c r="L91" i="4" s="1"/>
  <c r="I91" i="4"/>
  <c r="F91" i="4"/>
  <c r="AH90" i="4"/>
  <c r="AK90" i="4" s="1"/>
  <c r="AG90" i="4"/>
  <c r="AD90" i="4"/>
  <c r="V90" i="4"/>
  <c r="U90" i="4"/>
  <c r="R90" i="4"/>
  <c r="J90" i="4"/>
  <c r="M90" i="4" s="1"/>
  <c r="I90" i="4"/>
  <c r="F90" i="4"/>
  <c r="AN88" i="4"/>
  <c r="AH88" i="4"/>
  <c r="AJ88" i="4" s="1"/>
  <c r="AL88" i="4" s="1"/>
  <c r="AG88" i="4"/>
  <c r="AD88" i="4"/>
  <c r="V88" i="4"/>
  <c r="X88" i="4" s="1"/>
  <c r="Z88" i="4" s="1"/>
  <c r="U88" i="4"/>
  <c r="R88" i="4"/>
  <c r="J88" i="4"/>
  <c r="L88" i="4" s="1"/>
  <c r="I88" i="4"/>
  <c r="F88" i="4"/>
  <c r="AN86" i="4"/>
  <c r="AH86" i="4"/>
  <c r="AG86" i="4"/>
  <c r="AD86" i="4"/>
  <c r="V86" i="4"/>
  <c r="X86" i="4" s="1"/>
  <c r="U86" i="4"/>
  <c r="R86" i="4"/>
  <c r="J86" i="4"/>
  <c r="L86" i="4" s="1"/>
  <c r="N86" i="4" s="1"/>
  <c r="I86" i="4"/>
  <c r="F86" i="4"/>
  <c r="M107" i="9"/>
  <c r="H108" i="9"/>
  <c r="H107" i="9"/>
  <c r="M92" i="9"/>
  <c r="M91" i="9"/>
  <c r="M90" i="9"/>
  <c r="H91" i="9"/>
  <c r="H89" i="9"/>
  <c r="C92" i="9"/>
  <c r="AE85" i="4"/>
  <c r="N116" i="9" s="1"/>
  <c r="AB85" i="4"/>
  <c r="S85" i="4"/>
  <c r="I116" i="9" s="1"/>
  <c r="P85" i="4"/>
  <c r="G85" i="4"/>
  <c r="D116" i="9" s="1"/>
  <c r="D85" i="4"/>
  <c r="AN81" i="4"/>
  <c r="AH81" i="4"/>
  <c r="AJ81" i="4" s="1"/>
  <c r="AL81" i="4" s="1"/>
  <c r="AG81" i="4"/>
  <c r="AD81" i="4"/>
  <c r="V81" i="4"/>
  <c r="X81" i="4" s="1"/>
  <c r="Z81" i="4" s="1"/>
  <c r="U81" i="4"/>
  <c r="R81" i="4"/>
  <c r="J81" i="4"/>
  <c r="L81" i="4" s="1"/>
  <c r="I81" i="4"/>
  <c r="F81" i="4"/>
  <c r="AN79" i="4"/>
  <c r="AH79" i="4"/>
  <c r="AJ79" i="4" s="1"/>
  <c r="AL79" i="4" s="1"/>
  <c r="AG79" i="4"/>
  <c r="AD79" i="4"/>
  <c r="V79" i="4"/>
  <c r="X79" i="4" s="1"/>
  <c r="Z79" i="4" s="1"/>
  <c r="U79" i="4"/>
  <c r="R79" i="4"/>
  <c r="J79" i="4"/>
  <c r="L79" i="4" s="1"/>
  <c r="I79" i="4"/>
  <c r="F79" i="4"/>
  <c r="AH78" i="4"/>
  <c r="AJ78" i="4" s="1"/>
  <c r="AG78" i="4"/>
  <c r="AD78" i="4"/>
  <c r="V78" i="4"/>
  <c r="X78" i="4" s="1"/>
  <c r="U78" i="4"/>
  <c r="R78" i="4"/>
  <c r="J78" i="4"/>
  <c r="L78" i="4" s="1"/>
  <c r="I78" i="4"/>
  <c r="F78" i="4"/>
  <c r="AN77" i="4"/>
  <c r="AH77" i="4"/>
  <c r="AJ77" i="4" s="1"/>
  <c r="AL77" i="4" s="1"/>
  <c r="AG77" i="4"/>
  <c r="AD77" i="4"/>
  <c r="V77" i="4"/>
  <c r="X77" i="4" s="1"/>
  <c r="Z77" i="4" s="1"/>
  <c r="U77" i="4"/>
  <c r="R77" i="4"/>
  <c r="J77" i="4"/>
  <c r="I77" i="4"/>
  <c r="F77" i="4"/>
  <c r="AN75" i="4"/>
  <c r="AH75" i="4"/>
  <c r="AJ75" i="4" s="1"/>
  <c r="AG75" i="4"/>
  <c r="AD75" i="4"/>
  <c r="V75" i="4"/>
  <c r="X75" i="4" s="1"/>
  <c r="Z75" i="4" s="1"/>
  <c r="U75" i="4"/>
  <c r="R75" i="4"/>
  <c r="J75" i="4"/>
  <c r="L75" i="4" s="1"/>
  <c r="I75" i="4"/>
  <c r="F75" i="4"/>
  <c r="Y132" i="2"/>
  <c r="N152" i="9" l="1"/>
  <c r="I97" i="9"/>
  <c r="AM117" i="4"/>
  <c r="AO117" i="4" s="1"/>
  <c r="AQ117" i="4" s="1"/>
  <c r="AR117" i="4" s="1"/>
  <c r="N435" i="2"/>
  <c r="N241" i="2"/>
  <c r="D131" i="9"/>
  <c r="D168" i="9"/>
  <c r="D97" i="9"/>
  <c r="D114" i="9"/>
  <c r="N131" i="9"/>
  <c r="N97" i="9"/>
  <c r="N114" i="9"/>
  <c r="I114" i="9"/>
  <c r="J11" i="14"/>
  <c r="I177" i="9"/>
  <c r="I168" i="9"/>
  <c r="N186" i="9"/>
  <c r="I186" i="9"/>
  <c r="I150" i="9"/>
  <c r="N150" i="9"/>
  <c r="AK136" i="4"/>
  <c r="AK123" i="4"/>
  <c r="F12" i="14"/>
  <c r="J12" i="14"/>
  <c r="K12" i="14" s="1"/>
  <c r="N177" i="9"/>
  <c r="Y123" i="4"/>
  <c r="AG136" i="4"/>
  <c r="G207" i="2"/>
  <c r="D177" i="9" s="1"/>
  <c r="J10" i="14"/>
  <c r="F11" i="14"/>
  <c r="F10" i="14"/>
  <c r="I136" i="4"/>
  <c r="F124" i="4"/>
  <c r="F136" i="4" s="1"/>
  <c r="J124" i="4"/>
  <c r="L124" i="4" s="1"/>
  <c r="N124" i="4" s="1"/>
  <c r="AD136" i="4"/>
  <c r="U136" i="4"/>
  <c r="L128" i="4"/>
  <c r="N128" i="4" s="1"/>
  <c r="AH136" i="4"/>
  <c r="AM126" i="4"/>
  <c r="AO126" i="4" s="1"/>
  <c r="AQ126" i="4" s="1"/>
  <c r="AR126" i="4" s="1"/>
  <c r="N126" i="4"/>
  <c r="R136" i="4"/>
  <c r="AM129" i="4"/>
  <c r="AO129" i="4" s="1"/>
  <c r="AQ129" i="4" s="1"/>
  <c r="N129" i="4"/>
  <c r="N131" i="4"/>
  <c r="AM131" i="4"/>
  <c r="AO131" i="4" s="1"/>
  <c r="AQ131" i="4" s="1"/>
  <c r="Z124" i="4"/>
  <c r="M136" i="4"/>
  <c r="AN128" i="4"/>
  <c r="AL124" i="4"/>
  <c r="F112" i="4"/>
  <c r="F123" i="4" s="1"/>
  <c r="J112" i="4"/>
  <c r="L112" i="4" s="1"/>
  <c r="N112" i="4" s="1"/>
  <c r="AJ128" i="4"/>
  <c r="AL128" i="4" s="1"/>
  <c r="V136" i="4"/>
  <c r="X128" i="4"/>
  <c r="Z128" i="4" s="1"/>
  <c r="D158" i="9"/>
  <c r="I140" i="9"/>
  <c r="U123" i="4"/>
  <c r="V123" i="4"/>
  <c r="X112" i="4"/>
  <c r="AG123" i="4"/>
  <c r="I123" i="4"/>
  <c r="R123" i="4"/>
  <c r="AD123" i="4"/>
  <c r="AN116" i="4"/>
  <c r="M123" i="4"/>
  <c r="N119" i="4"/>
  <c r="AM119" i="4"/>
  <c r="N117" i="4"/>
  <c r="AL112" i="4"/>
  <c r="X116" i="4"/>
  <c r="Z116" i="4" s="1"/>
  <c r="L114" i="4"/>
  <c r="AM114" i="4" s="1"/>
  <c r="AH123" i="4"/>
  <c r="I97" i="4"/>
  <c r="AJ116" i="4"/>
  <c r="AL116" i="4" s="1"/>
  <c r="L116" i="4"/>
  <c r="V111" i="4"/>
  <c r="I121" i="9"/>
  <c r="F9" i="14"/>
  <c r="N121" i="9"/>
  <c r="J9" i="14"/>
  <c r="U111" i="4"/>
  <c r="AM98" i="4"/>
  <c r="AO98" i="4" s="1"/>
  <c r="N98" i="4"/>
  <c r="I111" i="4"/>
  <c r="J111" i="4"/>
  <c r="AG111" i="4"/>
  <c r="AD111" i="4"/>
  <c r="R111" i="4"/>
  <c r="F111" i="4"/>
  <c r="M111" i="4"/>
  <c r="N105" i="4"/>
  <c r="AM105" i="4"/>
  <c r="AO105" i="4" s="1"/>
  <c r="AQ105" i="4" s="1"/>
  <c r="AR105" i="4" s="1"/>
  <c r="N103" i="4"/>
  <c r="AM103" i="4"/>
  <c r="AO103" i="4" s="1"/>
  <c r="AQ103" i="4" s="1"/>
  <c r="AR103" i="4" s="1"/>
  <c r="AL98" i="4"/>
  <c r="Z98" i="4"/>
  <c r="L100" i="4"/>
  <c r="Y111" i="4"/>
  <c r="AH111" i="4"/>
  <c r="R97" i="4"/>
  <c r="AJ90" i="4"/>
  <c r="AL90" i="4" s="1"/>
  <c r="L90" i="4"/>
  <c r="N90" i="4" s="1"/>
  <c r="AG97" i="4"/>
  <c r="AD97" i="4"/>
  <c r="AH97" i="4"/>
  <c r="V97" i="4"/>
  <c r="F97" i="4"/>
  <c r="U97" i="4"/>
  <c r="N93" i="4"/>
  <c r="AM93" i="4"/>
  <c r="AO93" i="4" s="1"/>
  <c r="AQ93" i="4" s="1"/>
  <c r="AR93" i="4" s="1"/>
  <c r="N88" i="4"/>
  <c r="AM88" i="4"/>
  <c r="AO88" i="4" s="1"/>
  <c r="AQ88" i="4" s="1"/>
  <c r="AR88" i="4" s="1"/>
  <c r="AK97" i="4"/>
  <c r="AM91" i="4"/>
  <c r="AO91" i="4" s="1"/>
  <c r="AQ91" i="4" s="1"/>
  <c r="AR91" i="4" s="1"/>
  <c r="N91" i="4"/>
  <c r="J97" i="4"/>
  <c r="M97" i="4"/>
  <c r="AJ86" i="4"/>
  <c r="AM86" i="4" s="1"/>
  <c r="Z86" i="4"/>
  <c r="X90" i="4"/>
  <c r="Y90" i="4"/>
  <c r="Y97" i="4" s="1"/>
  <c r="G151" i="2"/>
  <c r="B9" i="14" s="1"/>
  <c r="F8" i="14"/>
  <c r="J8" i="14"/>
  <c r="N104" i="9"/>
  <c r="R85" i="4"/>
  <c r="J85" i="4"/>
  <c r="I85" i="4"/>
  <c r="AD85" i="4"/>
  <c r="U85" i="4"/>
  <c r="AG85" i="4"/>
  <c r="F85" i="4"/>
  <c r="AM78" i="4"/>
  <c r="N81" i="4"/>
  <c r="AM81" i="4"/>
  <c r="AO81" i="4" s="1"/>
  <c r="AQ81" i="4" s="1"/>
  <c r="AR81" i="4" s="1"/>
  <c r="N75" i="4"/>
  <c r="AM75" i="4"/>
  <c r="AL75" i="4"/>
  <c r="AM79" i="4"/>
  <c r="AO79" i="4" s="1"/>
  <c r="AQ79" i="4" s="1"/>
  <c r="AR79" i="4" s="1"/>
  <c r="N79" i="4"/>
  <c r="L77" i="4"/>
  <c r="Y78" i="4"/>
  <c r="Y85" i="4" s="1"/>
  <c r="AH85" i="4"/>
  <c r="AK78" i="4"/>
  <c r="AK85" i="4" s="1"/>
  <c r="M78" i="4"/>
  <c r="N78" i="4" s="1"/>
  <c r="V85" i="4"/>
  <c r="G132" i="2"/>
  <c r="AB174" i="2" l="1"/>
  <c r="AB175" i="2" s="1"/>
  <c r="AB176" i="2" s="1"/>
  <c r="AB177" i="2" s="1"/>
  <c r="AO119" i="4"/>
  <c r="AQ119" i="4" s="1"/>
  <c r="AR129" i="4"/>
  <c r="AS129" i="4" s="1"/>
  <c r="AR131" i="4"/>
  <c r="AS131" i="4" s="1"/>
  <c r="AN123" i="4"/>
  <c r="X136" i="4"/>
  <c r="AM124" i="4"/>
  <c r="AO124" i="4" s="1"/>
  <c r="B12" i="14"/>
  <c r="J136" i="4"/>
  <c r="AB193" i="2"/>
  <c r="AB194" i="2" s="1"/>
  <c r="AB195" i="2" s="1"/>
  <c r="AB196" i="2" s="1"/>
  <c r="R193" i="2"/>
  <c r="R194" i="2" s="1"/>
  <c r="R195" i="2" s="1"/>
  <c r="R196" i="2" s="1"/>
  <c r="D140" i="9"/>
  <c r="AN136" i="4"/>
  <c r="N136" i="4"/>
  <c r="AS126" i="4"/>
  <c r="AL136" i="4"/>
  <c r="Z136" i="4"/>
  <c r="Y136" i="4"/>
  <c r="J123" i="4"/>
  <c r="AM128" i="4"/>
  <c r="AO128" i="4" s="1"/>
  <c r="AQ128" i="4" s="1"/>
  <c r="AR128" i="4" s="1"/>
  <c r="L136" i="4"/>
  <c r="AM112" i="4"/>
  <c r="AO112" i="4" s="1"/>
  <c r="AJ136" i="4"/>
  <c r="AJ85" i="4"/>
  <c r="R174" i="2"/>
  <c r="R175" i="2" s="1"/>
  <c r="R176" i="2" s="1"/>
  <c r="R177" i="2" s="1"/>
  <c r="AJ123" i="4"/>
  <c r="X123" i="4"/>
  <c r="Z112" i="4"/>
  <c r="Z123" i="4" s="1"/>
  <c r="AL123" i="4"/>
  <c r="N114" i="4"/>
  <c r="AO114" i="4"/>
  <c r="AQ114" i="4" s="1"/>
  <c r="AR114" i="4" s="1"/>
  <c r="AS117" i="4"/>
  <c r="L123" i="4"/>
  <c r="AK111" i="4"/>
  <c r="N116" i="4"/>
  <c r="AM116" i="4"/>
  <c r="AO116" i="4" s="1"/>
  <c r="AQ116" i="4" s="1"/>
  <c r="AR116" i="4" s="1"/>
  <c r="R154" i="2"/>
  <c r="R155" i="2" s="1"/>
  <c r="R156" i="2" s="1"/>
  <c r="R157" i="2" s="1"/>
  <c r="X171" i="2"/>
  <c r="AB154" i="2"/>
  <c r="AB155" i="2" s="1"/>
  <c r="AB156" i="2" s="1"/>
  <c r="AB157" i="2" s="1"/>
  <c r="D121" i="9"/>
  <c r="AJ111" i="4"/>
  <c r="AL111" i="4"/>
  <c r="X111" i="4"/>
  <c r="AQ98" i="4"/>
  <c r="AR98" i="4" s="1"/>
  <c r="AS103" i="4"/>
  <c r="AS105" i="4"/>
  <c r="L111" i="4"/>
  <c r="N100" i="4"/>
  <c r="AM100" i="4"/>
  <c r="Z111" i="4"/>
  <c r="AL78" i="4"/>
  <c r="AL85" i="4" s="1"/>
  <c r="AM90" i="4"/>
  <c r="Z90" i="4"/>
  <c r="Z97" i="4" s="1"/>
  <c r="AN90" i="4"/>
  <c r="AN97" i="4" s="1"/>
  <c r="AO86" i="4"/>
  <c r="X85" i="4"/>
  <c r="AS91" i="4"/>
  <c r="X97" i="4"/>
  <c r="AS88" i="4"/>
  <c r="N97" i="4"/>
  <c r="AL86" i="4"/>
  <c r="AL97" i="4" s="1"/>
  <c r="AJ97" i="4"/>
  <c r="AS93" i="4"/>
  <c r="L97" i="4"/>
  <c r="R135" i="2"/>
  <c r="R136" i="2" s="1"/>
  <c r="R137" i="2" s="1"/>
  <c r="R138" i="2" s="1"/>
  <c r="B8" i="14"/>
  <c r="D104" i="9"/>
  <c r="AB135" i="2"/>
  <c r="AB136" i="2" s="1"/>
  <c r="AB137" i="2" s="1"/>
  <c r="AB138" i="2" s="1"/>
  <c r="Z78" i="4"/>
  <c r="Z85" i="4" s="1"/>
  <c r="N77" i="4"/>
  <c r="AM77" i="4"/>
  <c r="AO77" i="4" s="1"/>
  <c r="AQ77" i="4" s="1"/>
  <c r="AR77" i="4" s="1"/>
  <c r="AS79" i="4"/>
  <c r="L85" i="4"/>
  <c r="AO75" i="4"/>
  <c r="AN78" i="4"/>
  <c r="AN85" i="4" s="1"/>
  <c r="M85" i="4"/>
  <c r="AS81" i="4"/>
  <c r="R117" i="2"/>
  <c r="R118" i="2" s="1"/>
  <c r="R119" i="2" s="1"/>
  <c r="R120" i="2" s="1"/>
  <c r="AB117" i="2"/>
  <c r="AB118" i="2" s="1"/>
  <c r="AB119" i="2" l="1"/>
  <c r="AB120" i="2" s="1"/>
  <c r="AR119" i="4"/>
  <c r="AS119" i="4" s="1"/>
  <c r="AN111" i="4"/>
  <c r="AS128" i="4"/>
  <c r="AM136" i="4"/>
  <c r="N111" i="4"/>
  <c r="AQ124" i="4"/>
  <c r="AR124" i="4" s="1"/>
  <c r="N123" i="4"/>
  <c r="AS116" i="4"/>
  <c r="AM123" i="4"/>
  <c r="AO123" i="4"/>
  <c r="AQ112" i="4"/>
  <c r="AR112" i="4" s="1"/>
  <c r="AS114" i="4"/>
  <c r="AO90" i="4"/>
  <c r="AQ90" i="4" s="1"/>
  <c r="AR90" i="4" s="1"/>
  <c r="AS98" i="4"/>
  <c r="AO100" i="4"/>
  <c r="AM111" i="4"/>
  <c r="AM97" i="4"/>
  <c r="AQ86" i="4"/>
  <c r="AR86" i="4" s="1"/>
  <c r="N85" i="4"/>
  <c r="AM85" i="4"/>
  <c r="AQ75" i="4"/>
  <c r="AR75" i="4" s="1"/>
  <c r="AO78" i="4"/>
  <c r="AQ78" i="4" s="1"/>
  <c r="AR78" i="4" s="1"/>
  <c r="AS77" i="4"/>
  <c r="AS86" i="4" l="1"/>
  <c r="AO136" i="4"/>
  <c r="AQ136" i="4"/>
  <c r="AR136" i="4"/>
  <c r="AS90" i="4"/>
  <c r="AQ123" i="4"/>
  <c r="AR123" i="4"/>
  <c r="AO97" i="4"/>
  <c r="AQ100" i="4"/>
  <c r="AR100" i="4" s="1"/>
  <c r="AO111" i="4"/>
  <c r="AS75" i="4"/>
  <c r="AQ97" i="4"/>
  <c r="AQ85" i="4"/>
  <c r="AS78" i="4"/>
  <c r="AO85" i="4"/>
  <c r="AR97" i="4" l="1"/>
  <c r="AS124" i="4"/>
  <c r="R160" i="2"/>
  <c r="R161" i="2" s="1"/>
  <c r="R162" i="2" s="1"/>
  <c r="R163" i="2" s="1"/>
  <c r="AS112" i="4"/>
  <c r="AS123" i="4" s="1"/>
  <c r="AR111" i="4"/>
  <c r="AQ111" i="4"/>
  <c r="AS97" i="4"/>
  <c r="F151" i="2"/>
  <c r="AS85" i="4"/>
  <c r="AR85" i="4"/>
  <c r="R171" i="2" l="1"/>
  <c r="X190" i="2"/>
  <c r="X207" i="2"/>
  <c r="X132" i="2"/>
  <c r="R180" i="2"/>
  <c r="R181" i="2" s="1"/>
  <c r="R182" i="2" s="1"/>
  <c r="R183" i="2" s="1"/>
  <c r="AS136" i="4"/>
  <c r="R199" i="2"/>
  <c r="R200" i="2" s="1"/>
  <c r="R201" i="2" s="1"/>
  <c r="R202" i="2" s="1"/>
  <c r="AS100" i="4"/>
  <c r="AS111" i="4" s="1"/>
  <c r="R142" i="2"/>
  <c r="R143" i="2" s="1"/>
  <c r="R124" i="2"/>
  <c r="R144" i="2" l="1"/>
  <c r="R151" i="2" s="1"/>
  <c r="R125" i="2"/>
  <c r="R126" i="2" s="1"/>
  <c r="R132" i="2" s="1"/>
  <c r="R207" i="2"/>
  <c r="R190" i="2"/>
  <c r="N171" i="2"/>
  <c r="AE74" i="4"/>
  <c r="N99" i="9" s="1"/>
  <c r="AB74" i="4"/>
  <c r="S74" i="4"/>
  <c r="I99" i="9" s="1"/>
  <c r="P74" i="4"/>
  <c r="G74" i="4"/>
  <c r="D99" i="9" s="1"/>
  <c r="AN68" i="4"/>
  <c r="AH68" i="4"/>
  <c r="AJ68" i="4" s="1"/>
  <c r="AL68" i="4" s="1"/>
  <c r="AG68" i="4"/>
  <c r="AD68" i="4"/>
  <c r="V68" i="4"/>
  <c r="X68" i="4" s="1"/>
  <c r="Z68" i="4" s="1"/>
  <c r="U68" i="4"/>
  <c r="R68" i="4"/>
  <c r="J68" i="4"/>
  <c r="L68" i="4" s="1"/>
  <c r="I68" i="4"/>
  <c r="F68" i="4"/>
  <c r="AH66" i="4"/>
  <c r="AK66" i="4" s="1"/>
  <c r="AG66" i="4"/>
  <c r="AD66" i="4"/>
  <c r="V66" i="4"/>
  <c r="Y66" i="4" s="1"/>
  <c r="U66" i="4"/>
  <c r="R66" i="4"/>
  <c r="J66" i="4"/>
  <c r="M66" i="4" s="1"/>
  <c r="I66" i="4"/>
  <c r="F66" i="4"/>
  <c r="AN64" i="4"/>
  <c r="AH64" i="4"/>
  <c r="AJ64" i="4" s="1"/>
  <c r="AL64" i="4" s="1"/>
  <c r="AG64" i="4"/>
  <c r="AD64" i="4"/>
  <c r="V64" i="4"/>
  <c r="X64" i="4" s="1"/>
  <c r="Z64" i="4" s="1"/>
  <c r="U64" i="4"/>
  <c r="R64" i="4"/>
  <c r="J64" i="4"/>
  <c r="L64" i="4" s="1"/>
  <c r="I64" i="4"/>
  <c r="F64" i="4"/>
  <c r="AN62" i="4"/>
  <c r="AH62" i="4"/>
  <c r="AJ62" i="4" s="1"/>
  <c r="AG62" i="4"/>
  <c r="AD62" i="4"/>
  <c r="V62" i="4"/>
  <c r="X62" i="4" s="1"/>
  <c r="U62" i="4"/>
  <c r="R62" i="4"/>
  <c r="J62" i="4"/>
  <c r="L62" i="4" s="1"/>
  <c r="I62" i="4"/>
  <c r="F62" i="4"/>
  <c r="D74" i="4"/>
  <c r="G17" i="14"/>
  <c r="G16" i="14"/>
  <c r="G15" i="14"/>
  <c r="G14" i="14"/>
  <c r="G13" i="14"/>
  <c r="G12" i="14"/>
  <c r="G11" i="14"/>
  <c r="G10" i="14"/>
  <c r="G9" i="14"/>
  <c r="G8" i="14"/>
  <c r="C17" i="14"/>
  <c r="C16" i="14"/>
  <c r="C15" i="14"/>
  <c r="C14" i="14"/>
  <c r="C13" i="14"/>
  <c r="C12" i="14"/>
  <c r="C11" i="14"/>
  <c r="C10" i="14"/>
  <c r="C9" i="14"/>
  <c r="C8" i="14"/>
  <c r="F207" i="2" l="1"/>
  <c r="N151" i="2"/>
  <c r="F132" i="2"/>
  <c r="AK74" i="4"/>
  <c r="F171" i="2"/>
  <c r="AG74" i="4"/>
  <c r="I74" i="4"/>
  <c r="AJ66" i="4"/>
  <c r="AL66" i="4" s="1"/>
  <c r="AD74" i="4"/>
  <c r="V74" i="4"/>
  <c r="F74" i="4"/>
  <c r="U74" i="4"/>
  <c r="R74" i="4"/>
  <c r="AL62" i="4"/>
  <c r="N64" i="4"/>
  <c r="AM64" i="4"/>
  <c r="AO64" i="4" s="1"/>
  <c r="AQ64" i="4" s="1"/>
  <c r="AR64" i="4" s="1"/>
  <c r="N68" i="4"/>
  <c r="AM68" i="4"/>
  <c r="AO68" i="4" s="1"/>
  <c r="AQ68" i="4" s="1"/>
  <c r="AR68" i="4" s="1"/>
  <c r="N62" i="4"/>
  <c r="AN66" i="4"/>
  <c r="M74" i="4"/>
  <c r="X66" i="4"/>
  <c r="Z66" i="4" s="1"/>
  <c r="J74" i="4"/>
  <c r="AH74" i="4"/>
  <c r="AM62" i="4"/>
  <c r="L66" i="4"/>
  <c r="Y74" i="4"/>
  <c r="G114" i="2"/>
  <c r="B7" i="14" s="1"/>
  <c r="M76" i="9"/>
  <c r="M75" i="9"/>
  <c r="M73" i="9"/>
  <c r="H76" i="9"/>
  <c r="H75" i="9"/>
  <c r="H74" i="9"/>
  <c r="H73" i="9"/>
  <c r="N70" i="9"/>
  <c r="G94" i="2"/>
  <c r="B6" i="14" s="1"/>
  <c r="AN53" i="4"/>
  <c r="AH53" i="4"/>
  <c r="AJ53" i="4" s="1"/>
  <c r="AL53" i="4" s="1"/>
  <c r="AG53" i="4"/>
  <c r="AD53" i="4"/>
  <c r="V53" i="4"/>
  <c r="X53" i="4" s="1"/>
  <c r="Z53" i="4" s="1"/>
  <c r="U53" i="4"/>
  <c r="R53" i="4"/>
  <c r="J53" i="4"/>
  <c r="L53" i="4" s="1"/>
  <c r="I53" i="4"/>
  <c r="F53" i="4"/>
  <c r="AE61" i="4"/>
  <c r="N81" i="9" s="1"/>
  <c r="AB61" i="4"/>
  <c r="S61" i="4"/>
  <c r="I81" i="9" s="1"/>
  <c r="P61" i="4"/>
  <c r="G61" i="4"/>
  <c r="D81" i="9" s="1"/>
  <c r="AN56" i="4"/>
  <c r="AH56" i="4"/>
  <c r="AJ56" i="4" s="1"/>
  <c r="AL56" i="4" s="1"/>
  <c r="AG56" i="4"/>
  <c r="AD56" i="4"/>
  <c r="V56" i="4"/>
  <c r="X56" i="4" s="1"/>
  <c r="Z56" i="4" s="1"/>
  <c r="U56" i="4"/>
  <c r="R56" i="4"/>
  <c r="J56" i="4"/>
  <c r="L56" i="4" s="1"/>
  <c r="I56" i="4"/>
  <c r="F56" i="4"/>
  <c r="AH55" i="4"/>
  <c r="AK55" i="4" s="1"/>
  <c r="AG55" i="4"/>
  <c r="AD55" i="4"/>
  <c r="V55" i="4"/>
  <c r="U55" i="4"/>
  <c r="R55" i="4"/>
  <c r="J55" i="4"/>
  <c r="L55" i="4" s="1"/>
  <c r="I55" i="4"/>
  <c r="F55" i="4"/>
  <c r="AN51" i="4"/>
  <c r="AH51" i="4"/>
  <c r="AG51" i="4"/>
  <c r="AD51" i="4"/>
  <c r="V51" i="4"/>
  <c r="X51" i="4" s="1"/>
  <c r="U51" i="4"/>
  <c r="R51" i="4"/>
  <c r="I51" i="4"/>
  <c r="M59" i="9"/>
  <c r="N63" i="9" s="1"/>
  <c r="H57" i="9"/>
  <c r="M26" i="9"/>
  <c r="M25" i="9"/>
  <c r="M23" i="9"/>
  <c r="H23" i="9"/>
  <c r="I29" i="9" s="1"/>
  <c r="C25" i="9"/>
  <c r="I53" i="9" l="1"/>
  <c r="F7" i="14"/>
  <c r="G7" i="14" s="1"/>
  <c r="I79" i="9"/>
  <c r="N79" i="9"/>
  <c r="I63" i="9"/>
  <c r="N207" i="2"/>
  <c r="D61" i="4"/>
  <c r="J51" i="4"/>
  <c r="L51" i="4" s="1"/>
  <c r="N51" i="4" s="1"/>
  <c r="F51" i="4"/>
  <c r="F61" i="4" s="1"/>
  <c r="C7" i="14"/>
  <c r="D86" i="9"/>
  <c r="N66" i="4"/>
  <c r="AM66" i="4"/>
  <c r="AO66" i="4" s="1"/>
  <c r="AQ66" i="4" s="1"/>
  <c r="AR66" i="4" s="1"/>
  <c r="AO62" i="4"/>
  <c r="X74" i="4"/>
  <c r="Z62" i="4"/>
  <c r="L74" i="4"/>
  <c r="AS68" i="4"/>
  <c r="AN74" i="4"/>
  <c r="AS64" i="4"/>
  <c r="AJ74" i="4"/>
  <c r="AL74" i="4"/>
  <c r="D70" i="9"/>
  <c r="J6" i="14"/>
  <c r="F6" i="14"/>
  <c r="G6" i="14" s="1"/>
  <c r="I70" i="9"/>
  <c r="R97" i="2"/>
  <c r="R98" i="2" s="1"/>
  <c r="R99" i="2" s="1"/>
  <c r="R100" i="2" s="1"/>
  <c r="N53" i="4"/>
  <c r="AM53" i="4"/>
  <c r="AO53" i="4" s="1"/>
  <c r="AQ53" i="4" s="1"/>
  <c r="AR53" i="4" s="1"/>
  <c r="M55" i="4"/>
  <c r="N55" i="4" s="1"/>
  <c r="AD61" i="4"/>
  <c r="AJ55" i="4"/>
  <c r="AL55" i="4" s="1"/>
  <c r="V61" i="4"/>
  <c r="AG61" i="4"/>
  <c r="AH61" i="4"/>
  <c r="U61" i="4"/>
  <c r="R61" i="4"/>
  <c r="I61" i="4"/>
  <c r="AK61" i="4"/>
  <c r="AM56" i="4"/>
  <c r="AO56" i="4" s="1"/>
  <c r="AQ56" i="4" s="1"/>
  <c r="AR56" i="4" s="1"/>
  <c r="N56" i="4"/>
  <c r="Z51" i="4"/>
  <c r="Y55" i="4"/>
  <c r="Y61" i="4" s="1"/>
  <c r="AJ51" i="4"/>
  <c r="X55" i="4"/>
  <c r="Y73" i="2"/>
  <c r="N53" i="9" s="1"/>
  <c r="D53" i="9"/>
  <c r="I36" i="9"/>
  <c r="D2" i="14"/>
  <c r="H2" i="14"/>
  <c r="L2" i="14"/>
  <c r="D14" i="4"/>
  <c r="D37" i="4"/>
  <c r="AN8" i="4"/>
  <c r="AH8" i="4"/>
  <c r="AJ8" i="4" s="1"/>
  <c r="AL8" i="4" s="1"/>
  <c r="AG8" i="4"/>
  <c r="AD8" i="4"/>
  <c r="V8" i="4"/>
  <c r="X8" i="4" s="1"/>
  <c r="Z8" i="4" s="1"/>
  <c r="U8" i="4"/>
  <c r="R8" i="4"/>
  <c r="J8" i="4"/>
  <c r="L8" i="4" s="1"/>
  <c r="I8" i="4"/>
  <c r="F8" i="4"/>
  <c r="AN7" i="4"/>
  <c r="AH7" i="4"/>
  <c r="AJ7" i="4" s="1"/>
  <c r="AL7" i="4" s="1"/>
  <c r="AG7" i="4"/>
  <c r="AD7" i="4"/>
  <c r="V7" i="4"/>
  <c r="X7" i="4" s="1"/>
  <c r="Z7" i="4" s="1"/>
  <c r="U7" i="4"/>
  <c r="R7" i="4"/>
  <c r="J7" i="4"/>
  <c r="L7" i="4" s="1"/>
  <c r="I7" i="4"/>
  <c r="F7" i="4"/>
  <c r="AH6" i="4"/>
  <c r="AK6" i="4" s="1"/>
  <c r="AG6" i="4"/>
  <c r="AD6" i="4"/>
  <c r="V6" i="4"/>
  <c r="Y6" i="4" s="1"/>
  <c r="U6" i="4"/>
  <c r="R6" i="4"/>
  <c r="J6" i="4"/>
  <c r="M6" i="4" s="1"/>
  <c r="I6" i="4"/>
  <c r="F6" i="4"/>
  <c r="AN5" i="4"/>
  <c r="AH5" i="4"/>
  <c r="AG5" i="4"/>
  <c r="AD5" i="4"/>
  <c r="V5" i="4"/>
  <c r="X5" i="4" s="1"/>
  <c r="Z5" i="4" s="1"/>
  <c r="U5" i="4"/>
  <c r="R5" i="4"/>
  <c r="J5" i="4"/>
  <c r="L5" i="4" s="1"/>
  <c r="I5" i="4"/>
  <c r="F5" i="4"/>
  <c r="AN3" i="4"/>
  <c r="AH3" i="4"/>
  <c r="AJ3" i="4" s="1"/>
  <c r="AG3" i="4"/>
  <c r="AD3" i="4"/>
  <c r="V3" i="4"/>
  <c r="X3" i="4" s="1"/>
  <c r="Z3" i="4" s="1"/>
  <c r="U3" i="4"/>
  <c r="R3" i="4"/>
  <c r="J3" i="4"/>
  <c r="L3" i="4" s="1"/>
  <c r="I3" i="4"/>
  <c r="F3" i="4"/>
  <c r="G14" i="4"/>
  <c r="D15" i="9" s="1"/>
  <c r="P14" i="4"/>
  <c r="S14" i="4"/>
  <c r="I15" i="9" s="1"/>
  <c r="I16" i="9" s="1"/>
  <c r="AB14" i="4"/>
  <c r="AE14" i="4"/>
  <c r="N15" i="9" s="1"/>
  <c r="I17" i="9" l="1"/>
  <c r="I18" i="9" s="1"/>
  <c r="I19" i="9" s="1"/>
  <c r="D36" i="9"/>
  <c r="B4" i="14"/>
  <c r="C4" i="14" s="1"/>
  <c r="F5" i="14"/>
  <c r="G5" i="14" s="1"/>
  <c r="N190" i="2"/>
  <c r="D20" i="9"/>
  <c r="C3" i="14"/>
  <c r="J61" i="4"/>
  <c r="AM51" i="4"/>
  <c r="AO51" i="4" s="1"/>
  <c r="L61" i="4"/>
  <c r="N74" i="4"/>
  <c r="M61" i="4"/>
  <c r="Z74" i="4"/>
  <c r="AM74" i="4"/>
  <c r="AQ62" i="4"/>
  <c r="AR62" i="4" s="1"/>
  <c r="AS66" i="4"/>
  <c r="AS53" i="4"/>
  <c r="X61" i="4"/>
  <c r="C5" i="14"/>
  <c r="F4" i="14"/>
  <c r="G4" i="14" s="1"/>
  <c r="J5" i="14"/>
  <c r="C6" i="14"/>
  <c r="X94" i="2"/>
  <c r="R76" i="2"/>
  <c r="R77" i="2" s="1"/>
  <c r="R78" i="2" s="1"/>
  <c r="R79" i="2" s="1"/>
  <c r="R59" i="2"/>
  <c r="R60" i="2" s="1"/>
  <c r="R61" i="2" s="1"/>
  <c r="R62" i="2" s="1"/>
  <c r="AN55" i="4"/>
  <c r="AN61" i="4" s="1"/>
  <c r="AS56" i="4"/>
  <c r="AM55" i="4"/>
  <c r="Z55" i="4"/>
  <c r="Z61" i="4" s="1"/>
  <c r="AL51" i="4"/>
  <c r="AL61" i="4" s="1"/>
  <c r="AJ61" i="4"/>
  <c r="D24" i="4"/>
  <c r="X73" i="2"/>
  <c r="AB59" i="2"/>
  <c r="AB60" i="2" s="1"/>
  <c r="AB61" i="2" s="1"/>
  <c r="AB62" i="2" s="1"/>
  <c r="AB41" i="2"/>
  <c r="AB42" i="2" s="1"/>
  <c r="AB43" i="2" s="1"/>
  <c r="AB44" i="2" s="1"/>
  <c r="R22" i="2"/>
  <c r="R23" i="2" s="1"/>
  <c r="R24" i="2" s="1"/>
  <c r="R25" i="2" s="1"/>
  <c r="AB22" i="2"/>
  <c r="AB23" i="2" s="1"/>
  <c r="AB24" i="2" s="1"/>
  <c r="AB25" i="2" s="1"/>
  <c r="X38" i="2"/>
  <c r="AN6" i="4"/>
  <c r="L6" i="4"/>
  <c r="N6" i="4" s="1"/>
  <c r="AG14" i="4"/>
  <c r="AH14" i="4"/>
  <c r="N5" i="4"/>
  <c r="AL3" i="4"/>
  <c r="N8" i="4"/>
  <c r="AM8" i="4"/>
  <c r="AO8" i="4" s="1"/>
  <c r="AQ8" i="4" s="1"/>
  <c r="AM3" i="4"/>
  <c r="AO3" i="4" s="1"/>
  <c r="AQ3" i="4" s="1"/>
  <c r="AK14" i="4"/>
  <c r="N7" i="4"/>
  <c r="AM7" i="4"/>
  <c r="AO7" i="4" s="1"/>
  <c r="AQ7" i="4" s="1"/>
  <c r="N3" i="4"/>
  <c r="U14" i="4"/>
  <c r="R14" i="4"/>
  <c r="X6" i="4"/>
  <c r="Z6" i="4" s="1"/>
  <c r="J14" i="4"/>
  <c r="F14" i="4"/>
  <c r="I14" i="4"/>
  <c r="V14" i="4"/>
  <c r="AJ5" i="4"/>
  <c r="AL5" i="4" s="1"/>
  <c r="Y14" i="4"/>
  <c r="AD14" i="4"/>
  <c r="AJ6" i="4"/>
  <c r="AL6" i="4" s="1"/>
  <c r="N29" i="9"/>
  <c r="D29" i="9"/>
  <c r="AR8" i="4" l="1"/>
  <c r="AS8" i="4" s="1"/>
  <c r="J3" i="14"/>
  <c r="J4" i="14"/>
  <c r="AR3" i="4"/>
  <c r="AS3" i="4" s="1"/>
  <c r="AR74" i="4"/>
  <c r="AO74" i="4"/>
  <c r="AQ74" i="4"/>
  <c r="AQ51" i="4"/>
  <c r="Z14" i="4"/>
  <c r="AM61" i="4"/>
  <c r="AO55" i="4"/>
  <c r="AQ55" i="4" s="1"/>
  <c r="AR55" i="4" s="1"/>
  <c r="N61" i="4"/>
  <c r="F38" i="2"/>
  <c r="AL14" i="4"/>
  <c r="L14" i="4"/>
  <c r="M14" i="4"/>
  <c r="AM6" i="4"/>
  <c r="AO6" i="4" s="1"/>
  <c r="AQ6" i="4" s="1"/>
  <c r="AR6" i="4" s="1"/>
  <c r="AM5" i="4"/>
  <c r="AO5" i="4" s="1"/>
  <c r="AQ5" i="4" s="1"/>
  <c r="AR5" i="4" s="1"/>
  <c r="N14" i="4"/>
  <c r="AJ14" i="4"/>
  <c r="AR7" i="4"/>
  <c r="AS7" i="4" s="1"/>
  <c r="X14" i="4"/>
  <c r="N20" i="9" l="1"/>
  <c r="AR51" i="4"/>
  <c r="AQ61" i="4"/>
  <c r="AS62" i="4"/>
  <c r="AS55" i="4"/>
  <c r="AO61" i="4"/>
  <c r="F56" i="2"/>
  <c r="AM14" i="4"/>
  <c r="AS6" i="4"/>
  <c r="AS5" i="4"/>
  <c r="AN14" i="4"/>
  <c r="AO14" i="4"/>
  <c r="X114" i="2" l="1"/>
  <c r="AS74" i="4"/>
  <c r="Y114" i="2"/>
  <c r="AB97" i="2"/>
  <c r="AB98" i="2" s="1"/>
  <c r="AB99" i="2" s="1"/>
  <c r="AB100" i="2" s="1"/>
  <c r="R104" i="2"/>
  <c r="R105" i="2" s="1"/>
  <c r="R106" i="2" s="1"/>
  <c r="AR61" i="4"/>
  <c r="AS51" i="4"/>
  <c r="AS61" i="4" s="1"/>
  <c r="AR14" i="4"/>
  <c r="AS14" i="4"/>
  <c r="AQ14" i="4"/>
  <c r="R114" i="2" l="1"/>
  <c r="R47" i="2"/>
  <c r="R48" i="2" s="1"/>
  <c r="R49" i="2" s="1"/>
  <c r="J7" i="14"/>
  <c r="N86" i="9"/>
  <c r="F94" i="2"/>
  <c r="R83" i="2"/>
  <c r="R84" i="2" s="1"/>
  <c r="R66" i="2"/>
  <c r="R67" i="2" s="1"/>
  <c r="R29" i="2"/>
  <c r="R30" i="2" s="1"/>
  <c r="R31" i="2" s="1"/>
  <c r="R50" i="2" l="1"/>
  <c r="R56" i="2" s="1"/>
  <c r="R85" i="2"/>
  <c r="R94" i="2" s="1"/>
  <c r="R38" i="2"/>
  <c r="R68" i="2"/>
  <c r="R73" i="2" s="1"/>
  <c r="F73" i="2"/>
  <c r="F114" i="2"/>
  <c r="F2" i="14"/>
  <c r="N94" i="2"/>
  <c r="G19" i="2"/>
  <c r="D4" i="9" s="1"/>
  <c r="D5" i="9" s="1"/>
  <c r="D14" i="9" s="1"/>
  <c r="D16" i="9" s="1"/>
  <c r="D18" i="9" s="1"/>
  <c r="D19" i="9" s="1"/>
  <c r="B2" i="14" l="1"/>
  <c r="B32" i="14" s="1"/>
  <c r="G2" i="14"/>
  <c r="R5" i="2"/>
  <c r="R6" i="2" s="1"/>
  <c r="R7" i="2" s="1"/>
  <c r="R8" i="2" s="1"/>
  <c r="X19" i="2"/>
  <c r="X549" i="2" s="1"/>
  <c r="B34" i="14" l="1"/>
  <c r="I2" i="14"/>
  <c r="R554" i="2"/>
  <c r="D10" i="11" s="1"/>
  <c r="R582" i="2"/>
  <c r="D36" i="11" s="1"/>
  <c r="C2" i="14"/>
  <c r="C32" i="14" s="1"/>
  <c r="N73" i="2"/>
  <c r="E2" i="14" l="1"/>
  <c r="R12" i="2" l="1"/>
  <c r="R13" i="2" s="1"/>
  <c r="F19" i="2"/>
  <c r="F549" i="2" s="1"/>
  <c r="Y19" i="2"/>
  <c r="N4" i="9" s="1"/>
  <c r="N5" i="9" s="1"/>
  <c r="N14" i="9" s="1"/>
  <c r="N16" i="9" s="1"/>
  <c r="N18" i="9" s="1"/>
  <c r="N19" i="9" s="1"/>
  <c r="AB5" i="2"/>
  <c r="AB6" i="2" s="1"/>
  <c r="AB7" i="2" s="1"/>
  <c r="AB8" i="2" s="1"/>
  <c r="R14" i="2" l="1"/>
  <c r="R19" i="2" s="1"/>
  <c r="R566" i="2"/>
  <c r="R552" i="2"/>
  <c r="J2" i="14"/>
  <c r="J32" i="14" s="1"/>
  <c r="N19" i="2"/>
  <c r="K2" i="14" l="1"/>
  <c r="D20" i="11"/>
  <c r="D8" i="11"/>
  <c r="M2" i="14" l="1"/>
  <c r="N2" i="14"/>
  <c r="O2" i="14" l="1"/>
  <c r="G37" i="4"/>
  <c r="D48" i="9" s="1"/>
  <c r="P37" i="4"/>
  <c r="S37" i="4"/>
  <c r="I48" i="9" s="1"/>
  <c r="AB37" i="4"/>
  <c r="AE37" i="4"/>
  <c r="N48" i="9" s="1"/>
  <c r="AE24" i="4"/>
  <c r="AB24" i="4"/>
  <c r="S24" i="4"/>
  <c r="P24" i="4"/>
  <c r="G24" i="4"/>
  <c r="AE50" i="4"/>
  <c r="N65" i="9" s="1"/>
  <c r="AB50" i="4"/>
  <c r="S50" i="4"/>
  <c r="I65" i="9" s="1"/>
  <c r="P50" i="4"/>
  <c r="G50" i="4"/>
  <c r="D65" i="9" s="1"/>
  <c r="D50" i="4"/>
  <c r="AN44" i="4"/>
  <c r="AH44" i="4"/>
  <c r="AJ44" i="4" s="1"/>
  <c r="AL44" i="4" s="1"/>
  <c r="AG44" i="4"/>
  <c r="AD44" i="4"/>
  <c r="V44" i="4"/>
  <c r="X44" i="4" s="1"/>
  <c r="Z44" i="4" s="1"/>
  <c r="U44" i="4"/>
  <c r="R44" i="4"/>
  <c r="J44" i="4"/>
  <c r="L44" i="4" s="1"/>
  <c r="I44" i="4"/>
  <c r="F44" i="4"/>
  <c r="AN43" i="4"/>
  <c r="AH43" i="4"/>
  <c r="AG43" i="4"/>
  <c r="AD43" i="4"/>
  <c r="V43" i="4"/>
  <c r="X43" i="4" s="1"/>
  <c r="Z43" i="4" s="1"/>
  <c r="U43" i="4"/>
  <c r="R43" i="4"/>
  <c r="J43" i="4"/>
  <c r="L43" i="4" s="1"/>
  <c r="I43" i="4"/>
  <c r="F43" i="4"/>
  <c r="AH42" i="4"/>
  <c r="AG42" i="4"/>
  <c r="AD42" i="4"/>
  <c r="V42" i="4"/>
  <c r="U42" i="4"/>
  <c r="R42" i="4"/>
  <c r="J42" i="4"/>
  <c r="I42" i="4"/>
  <c r="F42" i="4"/>
  <c r="AN40" i="4"/>
  <c r="AH40" i="4"/>
  <c r="AG40" i="4"/>
  <c r="AD40" i="4"/>
  <c r="V40" i="4"/>
  <c r="U40" i="4"/>
  <c r="R40" i="4"/>
  <c r="J40" i="4"/>
  <c r="I40" i="4"/>
  <c r="F40" i="4"/>
  <c r="AN38" i="4"/>
  <c r="AH38" i="4"/>
  <c r="AJ38" i="4" s="1"/>
  <c r="AG38" i="4"/>
  <c r="AD38" i="4"/>
  <c r="V38" i="4"/>
  <c r="X38" i="4" s="1"/>
  <c r="U38" i="4"/>
  <c r="R38" i="4"/>
  <c r="J38" i="4"/>
  <c r="L38" i="4" s="1"/>
  <c r="I38" i="4"/>
  <c r="F38" i="4"/>
  <c r="AN30" i="4"/>
  <c r="AH30" i="4"/>
  <c r="AJ30" i="4" s="1"/>
  <c r="AL30" i="4" s="1"/>
  <c r="AG30" i="4"/>
  <c r="AD30" i="4"/>
  <c r="V30" i="4"/>
  <c r="X30" i="4" s="1"/>
  <c r="U30" i="4"/>
  <c r="R30" i="4"/>
  <c r="J30" i="4"/>
  <c r="L30" i="4" s="1"/>
  <c r="N30" i="4" s="1"/>
  <c r="I30" i="4"/>
  <c r="F30" i="4"/>
  <c r="AH29" i="4"/>
  <c r="AG29" i="4"/>
  <c r="AD29" i="4"/>
  <c r="V29" i="4"/>
  <c r="Y29" i="4" s="1"/>
  <c r="U29" i="4"/>
  <c r="R29" i="4"/>
  <c r="J29" i="4"/>
  <c r="L29" i="4" s="1"/>
  <c r="I29" i="4"/>
  <c r="F29" i="4"/>
  <c r="AN27" i="4"/>
  <c r="AH27" i="4"/>
  <c r="AJ27" i="4" s="1"/>
  <c r="AL27" i="4" s="1"/>
  <c r="AG27" i="4"/>
  <c r="AD27" i="4"/>
  <c r="V27" i="4"/>
  <c r="X27" i="4" s="1"/>
  <c r="Z27" i="4" s="1"/>
  <c r="U27" i="4"/>
  <c r="R27" i="4"/>
  <c r="J27" i="4"/>
  <c r="L27" i="4" s="1"/>
  <c r="N27" i="4" s="1"/>
  <c r="I27" i="4"/>
  <c r="F27" i="4"/>
  <c r="AN25" i="4"/>
  <c r="AH25" i="4"/>
  <c r="AJ25" i="4" s="1"/>
  <c r="AG25" i="4"/>
  <c r="AD25" i="4"/>
  <c r="V25" i="4"/>
  <c r="U25" i="4"/>
  <c r="R25" i="4"/>
  <c r="I25" i="4"/>
  <c r="F25" i="4"/>
  <c r="AN20" i="4"/>
  <c r="AH20" i="4"/>
  <c r="AJ20" i="4" s="1"/>
  <c r="AL20" i="4" s="1"/>
  <c r="AG20" i="4"/>
  <c r="AD20" i="4"/>
  <c r="V20" i="4"/>
  <c r="X20" i="4" s="1"/>
  <c r="Z20" i="4" s="1"/>
  <c r="U20" i="4"/>
  <c r="R20" i="4"/>
  <c r="J20" i="4"/>
  <c r="L20" i="4" s="1"/>
  <c r="N20" i="4" s="1"/>
  <c r="I20" i="4"/>
  <c r="F20" i="4"/>
  <c r="AN19" i="4"/>
  <c r="AH19" i="4"/>
  <c r="AG19" i="4"/>
  <c r="AD19" i="4"/>
  <c r="V19" i="4"/>
  <c r="X19" i="4" s="1"/>
  <c r="Z19" i="4" s="1"/>
  <c r="U19" i="4"/>
  <c r="R19" i="4"/>
  <c r="J19" i="4"/>
  <c r="L19" i="4" s="1"/>
  <c r="N19" i="4" s="1"/>
  <c r="I19" i="4"/>
  <c r="F19" i="4"/>
  <c r="AH18" i="4"/>
  <c r="AK18" i="4" s="1"/>
  <c r="AG18" i="4"/>
  <c r="AD18" i="4"/>
  <c r="V18" i="4"/>
  <c r="U18" i="4"/>
  <c r="R18" i="4"/>
  <c r="J18" i="4"/>
  <c r="M18" i="4" s="1"/>
  <c r="I18" i="4"/>
  <c r="F18" i="4"/>
  <c r="AN17" i="4"/>
  <c r="AH17" i="4"/>
  <c r="AJ17" i="4" s="1"/>
  <c r="AL17" i="4" s="1"/>
  <c r="AG17" i="4"/>
  <c r="AD17" i="4"/>
  <c r="V17" i="4"/>
  <c r="U17" i="4"/>
  <c r="R17" i="4"/>
  <c r="J17" i="4"/>
  <c r="L17" i="4" s="1"/>
  <c r="I17" i="4"/>
  <c r="F17" i="4"/>
  <c r="AN15" i="4"/>
  <c r="AH15" i="4"/>
  <c r="AJ15" i="4" s="1"/>
  <c r="AG15" i="4"/>
  <c r="AD15" i="4"/>
  <c r="V15" i="4"/>
  <c r="U15" i="4"/>
  <c r="R15" i="4"/>
  <c r="J15" i="4"/>
  <c r="L15" i="4" s="1"/>
  <c r="I15" i="4"/>
  <c r="F15" i="4"/>
  <c r="K10" i="14"/>
  <c r="K9" i="14"/>
  <c r="K8" i="14"/>
  <c r="K7" i="14"/>
  <c r="K6" i="14"/>
  <c r="K5" i="14"/>
  <c r="K4" i="14"/>
  <c r="K3" i="14"/>
  <c r="L3" i="14"/>
  <c r="L4" i="14" s="1"/>
  <c r="L5" i="14" s="1"/>
  <c r="H3" i="14"/>
  <c r="H4" i="14" s="1"/>
  <c r="H5" i="14" s="1"/>
  <c r="D3" i="14"/>
  <c r="D4" i="14" s="1"/>
  <c r="D5" i="14" s="1"/>
  <c r="D7" i="14" s="1"/>
  <c r="D9" i="14" s="1"/>
  <c r="D11" i="14" s="1"/>
  <c r="D13" i="14" s="1"/>
  <c r="D15" i="14" s="1"/>
  <c r="D17" i="14" s="1"/>
  <c r="D19" i="14" s="1"/>
  <c r="F60" i="11"/>
  <c r="F59" i="11"/>
  <c r="F58" i="11"/>
  <c r="C21" i="16" s="1"/>
  <c r="F57" i="11"/>
  <c r="C19" i="16" s="1"/>
  <c r="F37" i="11"/>
  <c r="F29" i="11"/>
  <c r="AE375" i="4" l="1"/>
  <c r="K32" i="14"/>
  <c r="G375" i="4"/>
  <c r="S375" i="4"/>
  <c r="X18" i="4"/>
  <c r="Y18" i="4"/>
  <c r="I31" i="9"/>
  <c r="D21" i="14"/>
  <c r="E19" i="14"/>
  <c r="D31" i="9"/>
  <c r="N31" i="9"/>
  <c r="AJ40" i="4"/>
  <c r="L40" i="4"/>
  <c r="N40" i="4" s="1"/>
  <c r="F37" i="4"/>
  <c r="X40" i="4"/>
  <c r="AJ42" i="4"/>
  <c r="AK42" i="4"/>
  <c r="AJ29" i="4"/>
  <c r="AK29" i="4"/>
  <c r="AK37" i="4" s="1"/>
  <c r="AJ18" i="4"/>
  <c r="AK24" i="4"/>
  <c r="E35" i="16"/>
  <c r="M5" i="14"/>
  <c r="M4" i="14"/>
  <c r="Y37" i="4"/>
  <c r="M24" i="4"/>
  <c r="F56" i="11"/>
  <c r="C18" i="16" s="1"/>
  <c r="F51" i="11"/>
  <c r="C15" i="16" s="1"/>
  <c r="F50" i="11"/>
  <c r="C12" i="16" s="1"/>
  <c r="F52" i="11"/>
  <c r="C13" i="16" s="1"/>
  <c r="F53" i="11"/>
  <c r="C14" i="16" s="1"/>
  <c r="F54" i="11"/>
  <c r="C16" i="16" s="1"/>
  <c r="U37" i="4"/>
  <c r="I24" i="4"/>
  <c r="AD37" i="4"/>
  <c r="AH37" i="4"/>
  <c r="V37" i="4"/>
  <c r="M29" i="4"/>
  <c r="N29" i="4" s="1"/>
  <c r="AG24" i="4"/>
  <c r="X29" i="4"/>
  <c r="R50" i="4"/>
  <c r="AD24" i="4"/>
  <c r="AG37" i="4"/>
  <c r="AL25" i="4"/>
  <c r="F24" i="4"/>
  <c r="L18" i="4"/>
  <c r="AG50" i="4"/>
  <c r="J24" i="4"/>
  <c r="X17" i="4"/>
  <c r="Z17" i="4" s="1"/>
  <c r="V24" i="4"/>
  <c r="R24" i="4"/>
  <c r="U24" i="4"/>
  <c r="I50" i="4"/>
  <c r="I37" i="4"/>
  <c r="J37" i="4"/>
  <c r="L42" i="4"/>
  <c r="M42" i="4"/>
  <c r="R37" i="4"/>
  <c r="AH24" i="4"/>
  <c r="U50" i="4"/>
  <c r="L6" i="14"/>
  <c r="L7" i="14"/>
  <c r="L9" i="14" s="1"/>
  <c r="L11" i="14" s="1"/>
  <c r="L13" i="14" s="1"/>
  <c r="L15" i="14" s="1"/>
  <c r="V50" i="4"/>
  <c r="H7" i="14"/>
  <c r="H9" i="14" s="1"/>
  <c r="H11" i="14" s="1"/>
  <c r="H13" i="14" s="1"/>
  <c r="H15" i="14" s="1"/>
  <c r="H17" i="14" s="1"/>
  <c r="H19" i="14" s="1"/>
  <c r="H6" i="14"/>
  <c r="H8" i="14" s="1"/>
  <c r="H10" i="14" s="1"/>
  <c r="H12" i="14" s="1"/>
  <c r="H14" i="14" s="1"/>
  <c r="H16" i="14" s="1"/>
  <c r="H18" i="14" s="1"/>
  <c r="AL15" i="4"/>
  <c r="Z30" i="4"/>
  <c r="AM30" i="4"/>
  <c r="AO30" i="4" s="1"/>
  <c r="AQ30" i="4" s="1"/>
  <c r="AR30" i="4" s="1"/>
  <c r="AJ43" i="4"/>
  <c r="AL43" i="4" s="1"/>
  <c r="AH50" i="4"/>
  <c r="N38" i="4"/>
  <c r="AM38" i="4"/>
  <c r="M3" i="14"/>
  <c r="D6" i="14"/>
  <c r="D8" i="14" s="1"/>
  <c r="D10" i="14" s="1"/>
  <c r="D12" i="14" s="1"/>
  <c r="D14" i="14" s="1"/>
  <c r="D16" i="14" s="1"/>
  <c r="D18" i="14" s="1"/>
  <c r="X15" i="4"/>
  <c r="X25" i="4"/>
  <c r="AJ19" i="4"/>
  <c r="AL19" i="4" s="1"/>
  <c r="AD50" i="4"/>
  <c r="AM27" i="4"/>
  <c r="AO27" i="4" s="1"/>
  <c r="AQ27" i="4" s="1"/>
  <c r="AR27" i="4" s="1"/>
  <c r="AL38" i="4"/>
  <c r="Y42" i="4"/>
  <c r="X42" i="4"/>
  <c r="N44" i="4"/>
  <c r="AM44" i="4"/>
  <c r="AO44" i="4" s="1"/>
  <c r="AQ44" i="4" s="1"/>
  <c r="AR44" i="4" s="1"/>
  <c r="N15" i="4"/>
  <c r="F50" i="4"/>
  <c r="N17" i="4"/>
  <c r="J50" i="4"/>
  <c r="Z38" i="4"/>
  <c r="AM20" i="4"/>
  <c r="AO20" i="4" s="1"/>
  <c r="AQ20" i="4" s="1"/>
  <c r="AR20" i="4" s="1"/>
  <c r="N43" i="4"/>
  <c r="AG375" i="4" l="1"/>
  <c r="U375" i="4"/>
  <c r="I375" i="4"/>
  <c r="F63" i="11"/>
  <c r="Z18" i="4"/>
  <c r="H21" i="14"/>
  <c r="I19" i="14"/>
  <c r="H20" i="14"/>
  <c r="I18" i="14"/>
  <c r="D20" i="14"/>
  <c r="E18" i="14"/>
  <c r="D23" i="14"/>
  <c r="E21" i="14"/>
  <c r="X50" i="4"/>
  <c r="AM29" i="4"/>
  <c r="AM18" i="4"/>
  <c r="M50" i="4"/>
  <c r="AL40" i="4"/>
  <c r="Z40" i="4"/>
  <c r="AM40" i="4"/>
  <c r="AL42" i="4"/>
  <c r="E30" i="16"/>
  <c r="M7" i="14"/>
  <c r="M11" i="14"/>
  <c r="I17" i="14"/>
  <c r="Y50" i="4"/>
  <c r="L50" i="4"/>
  <c r="M15" i="14"/>
  <c r="L17" i="14"/>
  <c r="L19" i="14" s="1"/>
  <c r="M9" i="14"/>
  <c r="I13" i="14"/>
  <c r="I7" i="14"/>
  <c r="I15" i="14"/>
  <c r="AL18" i="4"/>
  <c r="AL24" i="4" s="1"/>
  <c r="AJ37" i="4"/>
  <c r="AK50" i="4"/>
  <c r="AK375" i="4" s="1"/>
  <c r="Z29" i="4"/>
  <c r="AN29" i="4"/>
  <c r="X37" i="4"/>
  <c r="M37" i="4"/>
  <c r="M375" i="4" s="1"/>
  <c r="AM19" i="4"/>
  <c r="AO19" i="4" s="1"/>
  <c r="AQ19" i="4" s="1"/>
  <c r="L37" i="4"/>
  <c r="AJ24" i="4"/>
  <c r="AL29" i="4"/>
  <c r="AL37" i="4" s="1"/>
  <c r="Y24" i="4"/>
  <c r="N18" i="4"/>
  <c r="X24" i="4"/>
  <c r="N42" i="4"/>
  <c r="N50" i="4" s="1"/>
  <c r="AM17" i="4"/>
  <c r="AO17" i="4" s="1"/>
  <c r="AQ17" i="4" s="1"/>
  <c r="AR17" i="4" s="1"/>
  <c r="AN18" i="4"/>
  <c r="AN24" i="4" s="1"/>
  <c r="L24" i="4"/>
  <c r="E8" i="14"/>
  <c r="L8" i="14"/>
  <c r="M6" i="14"/>
  <c r="I16" i="14"/>
  <c r="AS30" i="4"/>
  <c r="AS44" i="4"/>
  <c r="Z25" i="4"/>
  <c r="Z42" i="4"/>
  <c r="AM42" i="4"/>
  <c r="AS20" i="4"/>
  <c r="AN42" i="4"/>
  <c r="N15" i="14"/>
  <c r="E15" i="14"/>
  <c r="Z15" i="4"/>
  <c r="AM15" i="4"/>
  <c r="AO38" i="4"/>
  <c r="N25" i="4"/>
  <c r="AM25" i="4"/>
  <c r="I14" i="14"/>
  <c r="I11" i="14"/>
  <c r="I5" i="14"/>
  <c r="AS27" i="4"/>
  <c r="I12" i="14"/>
  <c r="AM43" i="4"/>
  <c r="AO43" i="4" s="1"/>
  <c r="AQ43" i="4" s="1"/>
  <c r="AR43" i="4" s="1"/>
  <c r="AJ50" i="4"/>
  <c r="I10" i="14"/>
  <c r="Y375" i="4" l="1"/>
  <c r="R576" i="2" s="1"/>
  <c r="R568" i="2"/>
  <c r="D23" i="11" s="1"/>
  <c r="H23" i="14"/>
  <c r="I21" i="14"/>
  <c r="D25" i="14"/>
  <c r="E23" i="14"/>
  <c r="D22" i="14"/>
  <c r="E20" i="14"/>
  <c r="H22" i="14"/>
  <c r="I20" i="14"/>
  <c r="L21" i="14"/>
  <c r="M19" i="14"/>
  <c r="O19" i="14" s="1"/>
  <c r="AR19" i="4"/>
  <c r="AS19" i="4" s="1"/>
  <c r="R584" i="2"/>
  <c r="AO29" i="4"/>
  <c r="AQ29" i="4" s="1"/>
  <c r="AR29" i="4" s="1"/>
  <c r="Z50" i="4"/>
  <c r="AL50" i="4"/>
  <c r="AO40" i="4"/>
  <c r="I9" i="14"/>
  <c r="I6" i="14"/>
  <c r="AS17" i="4"/>
  <c r="M17" i="14"/>
  <c r="Z24" i="4"/>
  <c r="E11" i="14"/>
  <c r="O11" i="14" s="1"/>
  <c r="N17" i="14"/>
  <c r="E17" i="14"/>
  <c r="O15" i="14"/>
  <c r="N37" i="4"/>
  <c r="Z37" i="4"/>
  <c r="N24" i="4"/>
  <c r="AM37" i="4"/>
  <c r="AN37" i="4"/>
  <c r="AM24" i="4"/>
  <c r="AN50" i="4"/>
  <c r="AO18" i="4"/>
  <c r="AQ18" i="4" s="1"/>
  <c r="AR18" i="4" s="1"/>
  <c r="N5" i="14"/>
  <c r="E5" i="14"/>
  <c r="O5" i="14" s="1"/>
  <c r="AS43" i="4"/>
  <c r="E6" i="14"/>
  <c r="E16" i="14"/>
  <c r="AM50" i="4"/>
  <c r="I4" i="14"/>
  <c r="E9" i="14"/>
  <c r="N10" i="14"/>
  <c r="E10" i="14"/>
  <c r="E12" i="14"/>
  <c r="N12" i="14"/>
  <c r="AO42" i="4"/>
  <c r="AQ42" i="4" s="1"/>
  <c r="AR42" i="4" s="1"/>
  <c r="E7" i="14"/>
  <c r="O7" i="14" s="1"/>
  <c r="N7" i="14"/>
  <c r="AO25" i="4"/>
  <c r="L10" i="14"/>
  <c r="M8" i="14"/>
  <c r="AQ38" i="4"/>
  <c r="AR38" i="4" s="1"/>
  <c r="AS38" i="4" s="1"/>
  <c r="AO15" i="4"/>
  <c r="AN375" i="4" l="1"/>
  <c r="R559" i="2"/>
  <c r="H24" i="14"/>
  <c r="I22" i="14"/>
  <c r="D24" i="14"/>
  <c r="E22" i="14"/>
  <c r="D27" i="14"/>
  <c r="E25" i="14"/>
  <c r="H25" i="14"/>
  <c r="I23" i="14"/>
  <c r="M21" i="14"/>
  <c r="O21" i="14" s="1"/>
  <c r="L23" i="14"/>
  <c r="AS29" i="4"/>
  <c r="AQ40" i="4"/>
  <c r="AR40" i="4" s="1"/>
  <c r="AS18" i="4"/>
  <c r="O9" i="14"/>
  <c r="N9" i="14"/>
  <c r="N6" i="14"/>
  <c r="O6" i="14"/>
  <c r="C37" i="16"/>
  <c r="C39" i="16"/>
  <c r="C38" i="16"/>
  <c r="O17" i="14"/>
  <c r="N11" i="14"/>
  <c r="AO37" i="4"/>
  <c r="AO24" i="4"/>
  <c r="D39" i="11"/>
  <c r="D31" i="11"/>
  <c r="L12" i="14"/>
  <c r="M10" i="14"/>
  <c r="AQ15" i="4"/>
  <c r="AR15" i="4" s="1"/>
  <c r="AS42" i="4"/>
  <c r="E14" i="14"/>
  <c r="AQ25" i="4"/>
  <c r="AR25" i="4" s="1"/>
  <c r="AO50" i="4"/>
  <c r="H26" i="14" l="1"/>
  <c r="I24" i="14"/>
  <c r="H27" i="14"/>
  <c r="I25" i="14"/>
  <c r="D29" i="14"/>
  <c r="E27" i="14"/>
  <c r="D26" i="14"/>
  <c r="E24" i="14"/>
  <c r="L25" i="14"/>
  <c r="M23" i="14"/>
  <c r="O23" i="14" s="1"/>
  <c r="AQ50" i="4"/>
  <c r="AQ24" i="4"/>
  <c r="D15" i="11"/>
  <c r="AS25" i="4"/>
  <c r="O10" i="14"/>
  <c r="AQ37" i="4"/>
  <c r="E40" i="16"/>
  <c r="L14" i="14"/>
  <c r="L16" i="14" s="1"/>
  <c r="L18" i="14" s="1"/>
  <c r="M12" i="14"/>
  <c r="AR24" i="4"/>
  <c r="E29" i="14" l="1"/>
  <c r="D31" i="14"/>
  <c r="E31" i="14" s="1"/>
  <c r="H28" i="14"/>
  <c r="I26" i="14"/>
  <c r="D28" i="14"/>
  <c r="E26" i="14"/>
  <c r="H29" i="14"/>
  <c r="H31" i="14" s="1"/>
  <c r="I31" i="14" s="1"/>
  <c r="I27" i="14"/>
  <c r="L27" i="14"/>
  <c r="M25" i="14"/>
  <c r="O25" i="14" s="1"/>
  <c r="L20" i="14"/>
  <c r="M18" i="14"/>
  <c r="O18" i="14" s="1"/>
  <c r="AR37" i="4"/>
  <c r="AS40" i="4"/>
  <c r="AS50" i="4" s="1"/>
  <c r="AR50" i="4"/>
  <c r="AS37" i="4"/>
  <c r="O12" i="14"/>
  <c r="M16" i="14"/>
  <c r="O16" i="14" s="1"/>
  <c r="AS15" i="4"/>
  <c r="AS24" i="4" s="1"/>
  <c r="I28" i="14" l="1"/>
  <c r="H30" i="14"/>
  <c r="I30" i="14" s="1"/>
  <c r="E28" i="14"/>
  <c r="D30" i="14"/>
  <c r="E30" i="14" s="1"/>
  <c r="M27" i="14"/>
  <c r="O27" i="14" s="1"/>
  <c r="L29" i="14"/>
  <c r="L31" i="14" s="1"/>
  <c r="M31" i="14" s="1"/>
  <c r="O31" i="14" s="1"/>
  <c r="M20" i="14"/>
  <c r="O20" i="14" s="1"/>
  <c r="L22" i="14"/>
  <c r="N16" i="14"/>
  <c r="J34" i="14"/>
  <c r="N13" i="14"/>
  <c r="E13" i="14"/>
  <c r="O13" i="14" s="1"/>
  <c r="M29" i="14" l="1"/>
  <c r="L24" i="14"/>
  <c r="M22" i="14"/>
  <c r="O22" i="14" s="1"/>
  <c r="N8" i="14"/>
  <c r="I8" i="14"/>
  <c r="L26" i="14" l="1"/>
  <c r="M24" i="14"/>
  <c r="O24" i="14" s="1"/>
  <c r="N4" i="14"/>
  <c r="E4" i="14"/>
  <c r="O4" i="14" s="1"/>
  <c r="O8" i="14"/>
  <c r="M14" i="14"/>
  <c r="N14" i="14"/>
  <c r="M26" i="14" l="1"/>
  <c r="O26" i="14" s="1"/>
  <c r="L28" i="14"/>
  <c r="L30" i="14" s="1"/>
  <c r="O14" i="14"/>
  <c r="M30" i="14" l="1"/>
  <c r="O30" i="14" s="1"/>
  <c r="M28" i="14"/>
  <c r="M32" i="14" s="1"/>
  <c r="N21" i="9"/>
  <c r="N30" i="9" s="1"/>
  <c r="N32" i="9" s="1"/>
  <c r="N35" i="9" s="1"/>
  <c r="E3" i="14"/>
  <c r="E32" i="14" s="1"/>
  <c r="R569" i="2" l="1"/>
  <c r="D22" i="11" s="1"/>
  <c r="O28" i="14"/>
  <c r="N37" i="9"/>
  <c r="N47" i="9" s="1"/>
  <c r="N49" i="9" s="1"/>
  <c r="N51" i="9" l="1"/>
  <c r="N52" i="9" s="1"/>
  <c r="N54" i="9" s="1"/>
  <c r="N64" i="9" s="1"/>
  <c r="N66" i="9" s="1"/>
  <c r="N69" i="9" s="1"/>
  <c r="N71" i="9" s="1"/>
  <c r="N80" i="9" s="1"/>
  <c r="N82" i="9" s="1"/>
  <c r="N84" i="9" s="1"/>
  <c r="N85" i="9" s="1"/>
  <c r="R585" i="2"/>
  <c r="N87" i="9" l="1"/>
  <c r="N98" i="9" s="1"/>
  <c r="N100" i="9" s="1"/>
  <c r="D38" i="11"/>
  <c r="I504" i="9" l="1"/>
  <c r="N103" i="9"/>
  <c r="N105" i="9" s="1"/>
  <c r="N115" i="9" s="1"/>
  <c r="N117" i="9" s="1"/>
  <c r="N119" i="9" l="1"/>
  <c r="N120" i="9" s="1"/>
  <c r="N122" i="9" l="1"/>
  <c r="N132" i="9" s="1"/>
  <c r="N134" i="9" s="1"/>
  <c r="N136" i="9"/>
  <c r="S136" i="9" s="1"/>
  <c r="D21" i="9"/>
  <c r="D30" i="9" s="1"/>
  <c r="D32" i="9" s="1"/>
  <c r="D34" i="9" s="1"/>
  <c r="D35" i="9" s="1"/>
  <c r="N138" i="9" l="1"/>
  <c r="N139" i="9"/>
  <c r="N141" i="9" s="1"/>
  <c r="N151" i="9" s="1"/>
  <c r="N153" i="9" s="1"/>
  <c r="D37" i="9"/>
  <c r="D47" i="9" s="1"/>
  <c r="D49" i="9" s="1"/>
  <c r="N156" i="9" l="1"/>
  <c r="N157" i="9" s="1"/>
  <c r="N159" i="9" s="1"/>
  <c r="N169" i="9" s="1"/>
  <c r="N171" i="9" s="1"/>
  <c r="N176" i="9" s="1"/>
  <c r="N178" i="9" s="1"/>
  <c r="N187" i="9" s="1"/>
  <c r="N189" i="9" s="1"/>
  <c r="D50" i="9"/>
  <c r="E513" i="9" s="1"/>
  <c r="N192" i="9" l="1"/>
  <c r="N193" i="9" s="1"/>
  <c r="N195" i="9" s="1"/>
  <c r="N204" i="9" s="1"/>
  <c r="N206" i="9" s="1"/>
  <c r="N209" i="9" s="1"/>
  <c r="N211" i="9" s="1"/>
  <c r="N220" i="9" s="1"/>
  <c r="N222" i="9" s="1"/>
  <c r="N224" i="9" s="1"/>
  <c r="N225" i="9" s="1"/>
  <c r="N227" i="9" s="1"/>
  <c r="N236" i="9" s="1"/>
  <c r="N238" i="9" s="1"/>
  <c r="N241" i="9" s="1"/>
  <c r="N243" i="9" s="1"/>
  <c r="N253" i="9" s="1"/>
  <c r="N255" i="9" s="1"/>
  <c r="D51" i="9"/>
  <c r="D52" i="9" s="1"/>
  <c r="D54" i="9" s="1"/>
  <c r="D64" i="9" s="1"/>
  <c r="D66" i="9" s="1"/>
  <c r="D69" i="9" s="1"/>
  <c r="D71" i="9" s="1"/>
  <c r="D80" i="9" s="1"/>
  <c r="D82" i="9" s="1"/>
  <c r="D85" i="9" s="1"/>
  <c r="D87" i="9" s="1"/>
  <c r="D98" i="9" s="1"/>
  <c r="D100" i="9" s="1"/>
  <c r="D103" i="9" s="1"/>
  <c r="D105" i="9" s="1"/>
  <c r="D115" i="9" s="1"/>
  <c r="D117" i="9" s="1"/>
  <c r="D120" i="9" s="1"/>
  <c r="D122" i="9" s="1"/>
  <c r="D132" i="9" s="1"/>
  <c r="D134" i="9" s="1"/>
  <c r="D138" i="9" s="1"/>
  <c r="N257" i="9" l="1"/>
  <c r="N258" i="9" s="1"/>
  <c r="N260" i="9" s="1"/>
  <c r="N269" i="9" s="1"/>
  <c r="N271" i="9" s="1"/>
  <c r="N275" i="9" s="1"/>
  <c r="N277" i="9" s="1"/>
  <c r="N287" i="9" s="1"/>
  <c r="N289" i="9" s="1"/>
  <c r="N292" i="9" s="1"/>
  <c r="N294" i="9" s="1"/>
  <c r="N304" i="9" s="1"/>
  <c r="N306" i="9" s="1"/>
  <c r="N310" i="9" s="1"/>
  <c r="N312" i="9" s="1"/>
  <c r="N321" i="9" s="1"/>
  <c r="N323" i="9" s="1"/>
  <c r="D139" i="9"/>
  <c r="D141" i="9" s="1"/>
  <c r="D151" i="9" s="1"/>
  <c r="D153" i="9" s="1"/>
  <c r="D156" i="9" s="1"/>
  <c r="D157" i="9" s="1"/>
  <c r="D159" i="9" s="1"/>
  <c r="D169" i="9" s="1"/>
  <c r="D171" i="9" s="1"/>
  <c r="N325" i="9" l="1"/>
  <c r="N326" i="9" s="1"/>
  <c r="N328" i="9" s="1"/>
  <c r="N338" i="9" s="1"/>
  <c r="N340" i="9" s="1"/>
  <c r="D175" i="9"/>
  <c r="D176" i="9" s="1"/>
  <c r="D178" i="9" s="1"/>
  <c r="D187" i="9" s="1"/>
  <c r="D189" i="9" s="1"/>
  <c r="N342" i="9" l="1"/>
  <c r="N343" i="9" s="1"/>
  <c r="N345" i="9" s="1"/>
  <c r="N354" i="9" s="1"/>
  <c r="N356" i="9" s="1"/>
  <c r="N358" i="9" s="1"/>
  <c r="D192" i="9"/>
  <c r="D193" i="9" s="1"/>
  <c r="D195" i="9" s="1"/>
  <c r="D204" i="9" s="1"/>
  <c r="D206" i="9" s="1"/>
  <c r="N359" i="9" l="1"/>
  <c r="N361" i="9" s="1"/>
  <c r="N370" i="9" s="1"/>
  <c r="N372" i="9" s="1"/>
  <c r="D208" i="9"/>
  <c r="D209" i="9" s="1"/>
  <c r="D211" i="9" s="1"/>
  <c r="D220" i="9" s="1"/>
  <c r="D222" i="9" s="1"/>
  <c r="N504" i="9"/>
  <c r="N375" i="9" l="1"/>
  <c r="N376" i="9" s="1"/>
  <c r="N378" i="9" s="1"/>
  <c r="N387" i="9" s="1"/>
  <c r="N389" i="9" s="1"/>
  <c r="N393" i="9" s="1"/>
  <c r="N395" i="9" s="1"/>
  <c r="N404" i="9" s="1"/>
  <c r="N406" i="9" s="1"/>
  <c r="D224" i="9"/>
  <c r="D225" i="9" s="1"/>
  <c r="D227" i="9" s="1"/>
  <c r="D236" i="9" s="1"/>
  <c r="D238" i="9" s="1"/>
  <c r="D240" i="9" s="1"/>
  <c r="D241" i="9" s="1"/>
  <c r="D243" i="9" s="1"/>
  <c r="D253" i="9" s="1"/>
  <c r="D255" i="9" s="1"/>
  <c r="N411" i="9" l="1"/>
  <c r="N420" i="9" s="1"/>
  <c r="N422" i="9" s="1"/>
  <c r="N425" i="9" s="1"/>
  <c r="N427" i="9" s="1"/>
  <c r="N436" i="9" s="1"/>
  <c r="N438" i="9" s="1"/>
  <c r="N441" i="9" s="1"/>
  <c r="N443" i="9" s="1"/>
  <c r="N452" i="9" s="1"/>
  <c r="N454" i="9" s="1"/>
  <c r="N457" i="9" s="1"/>
  <c r="N459" i="9" s="1"/>
  <c r="N469" i="9" s="1"/>
  <c r="N471" i="9" s="1"/>
  <c r="N474" i="9" s="1"/>
  <c r="N475" i="9" s="1"/>
  <c r="N477" i="9" s="1"/>
  <c r="N488" i="9" s="1"/>
  <c r="N490" i="9" s="1"/>
  <c r="N493" i="9" s="1"/>
  <c r="N494" i="9" s="1"/>
  <c r="N496" i="9" s="1"/>
  <c r="N505" i="9" s="1"/>
  <c r="N507" i="9" s="1"/>
  <c r="AB375" i="4" s="1"/>
  <c r="N407" i="9"/>
  <c r="N408" i="9" s="1"/>
  <c r="D257" i="9"/>
  <c r="D258" i="9" s="1"/>
  <c r="D260" i="9" l="1"/>
  <c r="D269" i="9" s="1"/>
  <c r="D271" i="9" s="1"/>
  <c r="D272" i="9"/>
  <c r="AH373" i="4"/>
  <c r="AH375" i="4" s="1"/>
  <c r="D274" i="9" l="1"/>
  <c r="D275" i="9" s="1"/>
  <c r="D277" i="9" s="1"/>
  <c r="D287" i="9" s="1"/>
  <c r="D289" i="9" s="1"/>
  <c r="AD373" i="4"/>
  <c r="AD375" i="4" s="1"/>
  <c r="D46" i="11"/>
  <c r="AJ373" i="4"/>
  <c r="AJ375" i="4" s="1"/>
  <c r="D290" i="9" l="1"/>
  <c r="D291" i="9" s="1"/>
  <c r="D292" i="9" s="1"/>
  <c r="D294" i="9" s="1"/>
  <c r="D304" i="9" s="1"/>
  <c r="D306" i="9" s="1"/>
  <c r="D309" i="9" s="1"/>
  <c r="D310" i="9" s="1"/>
  <c r="D312" i="9" s="1"/>
  <c r="D321" i="9" s="1"/>
  <c r="D323" i="9" s="1"/>
  <c r="D325" i="9" s="1"/>
  <c r="D326" i="9" s="1"/>
  <c r="D328" i="9" s="1"/>
  <c r="D338" i="9" s="1"/>
  <c r="D340" i="9" s="1"/>
  <c r="D342" i="9" s="1"/>
  <c r="D343" i="9" s="1"/>
  <c r="D345" i="9" s="1"/>
  <c r="D354" i="9" s="1"/>
  <c r="D356" i="9" s="1"/>
  <c r="D358" i="9" s="1"/>
  <c r="D359" i="9" s="1"/>
  <c r="D361" i="9" s="1"/>
  <c r="D370" i="9" s="1"/>
  <c r="D372" i="9" s="1"/>
  <c r="D376" i="9" s="1"/>
  <c r="AL373" i="4"/>
  <c r="AL375" i="4" s="1"/>
  <c r="C6" i="16"/>
  <c r="R581" i="2"/>
  <c r="D378" i="9" l="1"/>
  <c r="D387" i="9" s="1"/>
  <c r="D389" i="9" s="1"/>
  <c r="D390" i="9"/>
  <c r="R583" i="2"/>
  <c r="R586" i="2" s="1"/>
  <c r="D35" i="11"/>
  <c r="D37" i="11" s="1"/>
  <c r="D40" i="11" s="1"/>
  <c r="D6" i="11"/>
  <c r="D392" i="9" l="1"/>
  <c r="D393" i="9" s="1"/>
  <c r="D395" i="9" s="1"/>
  <c r="D404" i="9" s="1"/>
  <c r="D406" i="9" s="1"/>
  <c r="D408" i="9" s="1"/>
  <c r="D409" i="9" s="1"/>
  <c r="D411" i="9" s="1"/>
  <c r="D420" i="9" s="1"/>
  <c r="D422" i="9" s="1"/>
  <c r="D425" i="9" s="1"/>
  <c r="D427" i="9" s="1"/>
  <c r="D436" i="9" s="1"/>
  <c r="D438" i="9" s="1"/>
  <c r="D440" i="9" l="1"/>
  <c r="D441" i="9" s="1"/>
  <c r="D443" i="9" s="1"/>
  <c r="D452" i="9" s="1"/>
  <c r="D454" i="9" s="1"/>
  <c r="D457" i="9" s="1"/>
  <c r="D459" i="9" s="1"/>
  <c r="D469" i="9" s="1"/>
  <c r="D471" i="9" s="1"/>
  <c r="D474" i="9" s="1"/>
  <c r="D475" i="9" s="1"/>
  <c r="D477" i="9" s="1"/>
  <c r="D488" i="9" s="1"/>
  <c r="D490" i="9" s="1"/>
  <c r="D492" i="9" s="1"/>
  <c r="D494" i="9" s="1"/>
  <c r="D496" i="9" s="1"/>
  <c r="D505" i="9" s="1"/>
  <c r="D507" i="9" s="1"/>
  <c r="D509" i="9" s="1"/>
  <c r="D373" i="4" s="1"/>
  <c r="D375" i="4" l="1"/>
  <c r="D44" i="11"/>
  <c r="J373" i="4"/>
  <c r="J375" i="4" s="1"/>
  <c r="F373" i="4"/>
  <c r="F375" i="4" s="1"/>
  <c r="L373" i="4" l="1"/>
  <c r="L375" i="4" s="1"/>
  <c r="N373" i="4"/>
  <c r="N375" i="4" s="1"/>
  <c r="R565" i="2"/>
  <c r="I458" i="9"/>
  <c r="F29" i="14"/>
  <c r="D4" i="11" l="1"/>
  <c r="R567" i="2"/>
  <c r="R570" i="2" s="1"/>
  <c r="D19" i="11"/>
  <c r="D21" i="11" s="1"/>
  <c r="D24" i="11" s="1"/>
  <c r="G29" i="14"/>
  <c r="N29" i="14" l="1"/>
  <c r="I29" i="14"/>
  <c r="O29" i="14" l="1"/>
  <c r="I20" i="9"/>
  <c r="I21" i="9" s="1"/>
  <c r="I30" i="9" s="1"/>
  <c r="I32" i="9" s="1"/>
  <c r="F3" i="14"/>
  <c r="F32" i="14" s="1"/>
  <c r="I34" i="9" l="1"/>
  <c r="I35" i="9" s="1"/>
  <c r="I37" i="9" s="1"/>
  <c r="I47" i="9" s="1"/>
  <c r="I49" i="9" s="1"/>
  <c r="G3" i="14"/>
  <c r="G32" i="14" s="1"/>
  <c r="F34" i="14"/>
  <c r="O34" i="14" s="1"/>
  <c r="I50" i="9" l="1"/>
  <c r="I51" i="9" s="1"/>
  <c r="I52" i="9" s="1"/>
  <c r="I54" i="9" s="1"/>
  <c r="I64" i="9" s="1"/>
  <c r="I66" i="9" s="1"/>
  <c r="I68" i="9" s="1"/>
  <c r="I69" i="9" s="1"/>
  <c r="I71" i="9" s="1"/>
  <c r="I80" i="9" s="1"/>
  <c r="I82" i="9" s="1"/>
  <c r="N3" i="14"/>
  <c r="N32" i="14" s="1"/>
  <c r="I3" i="14"/>
  <c r="I32" i="14" s="1"/>
  <c r="I84" i="9" l="1"/>
  <c r="I85" i="9" s="1"/>
  <c r="I87" i="9" s="1"/>
  <c r="I98" i="9" s="1"/>
  <c r="I100" i="9" s="1"/>
  <c r="I102" i="9" s="1"/>
  <c r="I103" i="9" s="1"/>
  <c r="I105" i="9" s="1"/>
  <c r="I115" i="9" s="1"/>
  <c r="I117" i="9" s="1"/>
  <c r="I120" i="9" s="1"/>
  <c r="I122" i="9" s="1"/>
  <c r="I132" i="9" s="1"/>
  <c r="I134" i="9" s="1"/>
  <c r="I138" i="9" s="1"/>
  <c r="O3" i="14"/>
  <c r="O32" i="14" s="1"/>
  <c r="I139" i="9" l="1"/>
  <c r="I141" i="9" s="1"/>
  <c r="I151" i="9" s="1"/>
  <c r="I153" i="9" s="1"/>
  <c r="I156" i="9" s="1"/>
  <c r="D14" i="11"/>
  <c r="C20" i="16"/>
  <c r="C51" i="16" s="1"/>
  <c r="R560" i="2"/>
  <c r="R577" i="2"/>
  <c r="D30" i="11"/>
  <c r="I157" i="9" l="1"/>
  <c r="I159" i="9" s="1"/>
  <c r="I169" i="9" s="1"/>
  <c r="I171" i="9" s="1"/>
  <c r="F58" i="16"/>
  <c r="E22" i="16"/>
  <c r="F41" i="16" s="1"/>
  <c r="I175" i="9" l="1"/>
  <c r="I176" i="9" s="1"/>
  <c r="I178" i="9" s="1"/>
  <c r="I187" i="9" s="1"/>
  <c r="I189" i="9" s="1"/>
  <c r="I192" i="9" l="1"/>
  <c r="I193" i="9" s="1"/>
  <c r="I195" i="9" s="1"/>
  <c r="I204" i="9" s="1"/>
  <c r="I206" i="9" s="1"/>
  <c r="I208" i="9" l="1"/>
  <c r="I209" i="9" s="1"/>
  <c r="I211" i="9" s="1"/>
  <c r="I220" i="9" s="1"/>
  <c r="I222" i="9" s="1"/>
  <c r="N295" i="2"/>
  <c r="N549" i="2" s="1"/>
  <c r="R286" i="2"/>
  <c r="R287" i="2" s="1"/>
  <c r="R288" i="2" s="1"/>
  <c r="R289" i="2" s="1"/>
  <c r="I224" i="9" l="1"/>
  <c r="I225" i="9" s="1"/>
  <c r="I227" i="9" s="1"/>
  <c r="I236" i="9" s="1"/>
  <c r="I238" i="9" s="1"/>
  <c r="I241" i="9" s="1"/>
  <c r="I243" i="9" s="1"/>
  <c r="I253" i="9" s="1"/>
  <c r="I255" i="9" s="1"/>
  <c r="R295" i="2"/>
  <c r="R553" i="2"/>
  <c r="I257" i="9" l="1"/>
  <c r="I258" i="9" s="1"/>
  <c r="R574" i="2"/>
  <c r="D28" i="11" s="1"/>
  <c r="R555" i="2"/>
  <c r="D9" i="11"/>
  <c r="D11" i="11" s="1"/>
  <c r="I260" i="9" l="1"/>
  <c r="I269" i="9" s="1"/>
  <c r="I271" i="9" s="1"/>
  <c r="I273" i="9"/>
  <c r="I274" i="9" l="1"/>
  <c r="I275" i="9" s="1"/>
  <c r="I277" i="9" s="1"/>
  <c r="I287" i="9" s="1"/>
  <c r="I289" i="9" s="1"/>
  <c r="I291" i="9" l="1"/>
  <c r="I292" i="9" s="1"/>
  <c r="I294" i="9" s="1"/>
  <c r="I304" i="9" s="1"/>
  <c r="I306" i="9" s="1"/>
  <c r="I309" i="9" l="1"/>
  <c r="I310" i="9" s="1"/>
  <c r="I312" i="9" s="1"/>
  <c r="I321" i="9" s="1"/>
  <c r="I323" i="9" s="1"/>
  <c r="I325" i="9" s="1"/>
  <c r="I326" i="9" s="1"/>
  <c r="I328" i="9" s="1"/>
  <c r="I338" i="9" s="1"/>
  <c r="I340" i="9" s="1"/>
  <c r="I342" i="9" l="1"/>
  <c r="I343" i="9" s="1"/>
  <c r="I345" i="9" s="1"/>
  <c r="I354" i="9" s="1"/>
  <c r="I356" i="9" s="1"/>
  <c r="I358" i="9" s="1"/>
  <c r="I359" i="9" s="1"/>
  <c r="I361" i="9" s="1"/>
  <c r="I370" i="9" s="1"/>
  <c r="I372" i="9" s="1"/>
  <c r="I375" i="9" s="1"/>
  <c r="I376" i="9" s="1"/>
  <c r="I378" i="9" s="1"/>
  <c r="I387" i="9" s="1"/>
  <c r="I389" i="9" s="1"/>
  <c r="I392" i="9" l="1"/>
  <c r="I393" i="9" s="1"/>
  <c r="I395" i="9" s="1"/>
  <c r="I404" i="9" s="1"/>
  <c r="I406" i="9" s="1"/>
  <c r="I407" i="9" l="1"/>
  <c r="I513" i="9" s="1"/>
  <c r="P513" i="9" s="1"/>
  <c r="I408" i="9" l="1"/>
  <c r="I409" i="9" s="1"/>
  <c r="I411" i="9" s="1"/>
  <c r="I420" i="9" s="1"/>
  <c r="I422" i="9" s="1"/>
  <c r="I425" i="9" s="1"/>
  <c r="I427" i="9" s="1"/>
  <c r="I436" i="9" s="1"/>
  <c r="I438" i="9" s="1"/>
  <c r="I440" i="9" s="1"/>
  <c r="I441" i="9" s="1"/>
  <c r="I443" i="9" s="1"/>
  <c r="I452" i="9" s="1"/>
  <c r="I454" i="9" s="1"/>
  <c r="I457" i="9" s="1"/>
  <c r="I459" i="9" s="1"/>
  <c r="I469" i="9" s="1"/>
  <c r="I471" i="9" s="1"/>
  <c r="I474" i="9" s="1"/>
  <c r="I475" i="9" s="1"/>
  <c r="I477" i="9" s="1"/>
  <c r="I488" i="9" s="1"/>
  <c r="I490" i="9" s="1"/>
  <c r="I494" i="9" l="1"/>
  <c r="I496" i="9" s="1"/>
  <c r="I505" i="9" s="1"/>
  <c r="I507" i="9" s="1"/>
  <c r="I509" i="9" s="1"/>
  <c r="P373" i="4" s="1"/>
  <c r="V373" i="4" s="1"/>
  <c r="I493" i="9"/>
  <c r="P375" i="4"/>
  <c r="R373" i="4"/>
  <c r="R375" i="4" s="1"/>
  <c r="D45" i="11"/>
  <c r="D47" i="11" s="1"/>
  <c r="F75" i="11" s="1"/>
  <c r="F78" i="11" s="1"/>
  <c r="V375" i="4" l="1"/>
  <c r="X373" i="4"/>
  <c r="X375" i="4" l="1"/>
  <c r="Z373" i="4"/>
  <c r="Z375" i="4" s="1"/>
  <c r="AM373" i="4"/>
  <c r="AM375" i="4" l="1"/>
  <c r="R550" i="2" s="1"/>
  <c r="R558" i="2" s="1"/>
  <c r="R561" i="2" s="1"/>
  <c r="AO373" i="4"/>
  <c r="R573" i="2"/>
  <c r="C5" i="16"/>
  <c r="F42" i="16" s="1"/>
  <c r="F59" i="16" s="1"/>
  <c r="F61" i="16" s="1"/>
  <c r="F63" i="16" s="1"/>
  <c r="R575" i="2" l="1"/>
  <c r="R578" i="2" s="1"/>
  <c r="D5" i="11"/>
  <c r="D7" i="11" s="1"/>
  <c r="D13" i="11" s="1"/>
  <c r="D16" i="11" s="1"/>
  <c r="D27" i="11"/>
  <c r="D29" i="11" s="1"/>
  <c r="D32" i="11" s="1"/>
  <c r="AO375" i="4"/>
  <c r="F65" i="11" s="1"/>
  <c r="F81" i="11" s="1"/>
  <c r="AQ373" i="4"/>
  <c r="AR373" i="4" l="1"/>
  <c r="AR375" i="4" s="1"/>
  <c r="AQ375" i="4"/>
  <c r="AT375" i="4" l="1"/>
  <c r="AS373" i="4"/>
  <c r="AS375" i="4" s="1"/>
</calcChain>
</file>

<file path=xl/sharedStrings.xml><?xml version="1.0" encoding="utf-8"?>
<sst xmlns="http://schemas.openxmlformats.org/spreadsheetml/2006/main" count="6895" uniqueCount="644">
  <si>
    <t>Bread</t>
  </si>
  <si>
    <t>KDF</t>
  </si>
  <si>
    <t>Flour</t>
  </si>
  <si>
    <t>Cooking fat</t>
  </si>
  <si>
    <t>Sugar</t>
  </si>
  <si>
    <t>Yeast</t>
  </si>
  <si>
    <t>200g</t>
  </si>
  <si>
    <t>Cooking oil</t>
  </si>
  <si>
    <t>Diesel</t>
  </si>
  <si>
    <t>Total</t>
  </si>
  <si>
    <t>Date</t>
  </si>
  <si>
    <t>Dispatch</t>
  </si>
  <si>
    <t>Cost per unit</t>
  </si>
  <si>
    <t>Total Expected</t>
  </si>
  <si>
    <t>Returns</t>
  </si>
  <si>
    <t>Difference</t>
  </si>
  <si>
    <t>Staff</t>
  </si>
  <si>
    <t>Position</t>
  </si>
  <si>
    <t>Joshua</t>
  </si>
  <si>
    <t>Total Expected Banking</t>
  </si>
  <si>
    <t>Actual Banking</t>
  </si>
  <si>
    <t>Date of Banking</t>
  </si>
  <si>
    <t>Comment</t>
  </si>
  <si>
    <t>Description</t>
  </si>
  <si>
    <t>Unit cost</t>
  </si>
  <si>
    <t>Quantity</t>
  </si>
  <si>
    <t>Calcium</t>
  </si>
  <si>
    <t>Total Expenditure to date</t>
  </si>
  <si>
    <t>Production Mix</t>
  </si>
  <si>
    <t>Ingredients</t>
  </si>
  <si>
    <t>Total production</t>
  </si>
  <si>
    <t>Unit cost of production</t>
  </si>
  <si>
    <t>Cost</t>
  </si>
  <si>
    <t>Sales</t>
  </si>
  <si>
    <t>Total Returns</t>
  </si>
  <si>
    <t>Commission @Ksh 5 per unit sale</t>
  </si>
  <si>
    <t>Subtotal</t>
  </si>
  <si>
    <t>Grand Totals</t>
  </si>
  <si>
    <t>Total returns (Ksh)</t>
  </si>
  <si>
    <t>Opening stock</t>
  </si>
  <si>
    <t>Packets</t>
  </si>
  <si>
    <t>units</t>
  </si>
  <si>
    <t>Production</t>
  </si>
  <si>
    <t>Mix 1</t>
  </si>
  <si>
    <t>Mix 2</t>
  </si>
  <si>
    <t>Mix 3</t>
  </si>
  <si>
    <t>Less</t>
  </si>
  <si>
    <t>Closing stock</t>
  </si>
  <si>
    <t xml:space="preserve">Add </t>
  </si>
  <si>
    <t>50kg</t>
  </si>
  <si>
    <t>4.5kg</t>
  </si>
  <si>
    <t>Salt</t>
  </si>
  <si>
    <t>300g</t>
  </si>
  <si>
    <t>50g</t>
  </si>
  <si>
    <t>bread improver</t>
  </si>
  <si>
    <t>salt</t>
  </si>
  <si>
    <t>calcium</t>
  </si>
  <si>
    <t>yeast</t>
  </si>
  <si>
    <t>fat</t>
  </si>
  <si>
    <t>Ingredient Cost per unit of measurement</t>
  </si>
  <si>
    <t>Ingredient Cost per unit of measure</t>
  </si>
  <si>
    <t>Selling price Bread</t>
  </si>
  <si>
    <t>Profit per bread</t>
  </si>
  <si>
    <t>Additional stock</t>
  </si>
  <si>
    <t>Daily usage</t>
  </si>
  <si>
    <t>Total Closing stock</t>
  </si>
  <si>
    <t>Sugar (KGs)</t>
  </si>
  <si>
    <t>Mix 4</t>
  </si>
  <si>
    <t>Selling price</t>
  </si>
  <si>
    <t>Profit per pack</t>
  </si>
  <si>
    <t>"</t>
  </si>
  <si>
    <t>Expected total profit per day (Bread and KDF)</t>
  </si>
  <si>
    <t>Profit per mix/bag</t>
  </si>
  <si>
    <t>Calcium (Kgs)</t>
  </si>
  <si>
    <t>Flour (bags)</t>
  </si>
  <si>
    <t>Cooking Oil (20L jericans)</t>
  </si>
  <si>
    <t xml:space="preserve">Cooking Fat (17 KGs buckets) </t>
  </si>
  <si>
    <t>Yeast (450g packets)</t>
  </si>
  <si>
    <t>Bread Improver (1 Kgs packets)</t>
  </si>
  <si>
    <t>Salt (1 Kgs packets)</t>
  </si>
  <si>
    <t>Diesel (L)</t>
  </si>
  <si>
    <t>Profit for 3 mixes</t>
  </si>
  <si>
    <t>crates</t>
  </si>
  <si>
    <t>Dispatch Joel</t>
  </si>
  <si>
    <t>Dispatch Okiria</t>
  </si>
  <si>
    <t>Pieces</t>
  </si>
  <si>
    <t>36kg</t>
  </si>
  <si>
    <t>Total Sales</t>
  </si>
  <si>
    <t>Staff No</t>
  </si>
  <si>
    <t>Name</t>
  </si>
  <si>
    <t>ID No</t>
  </si>
  <si>
    <t>Mobile No</t>
  </si>
  <si>
    <t>Salary</t>
  </si>
  <si>
    <t>Date started</t>
  </si>
  <si>
    <t>Date of payment</t>
  </si>
  <si>
    <t>Pay per day</t>
  </si>
  <si>
    <t>Advance payment</t>
  </si>
  <si>
    <t>Total Net Salary</t>
  </si>
  <si>
    <t>CHE001</t>
  </si>
  <si>
    <t>Elizabeth Ichelai</t>
  </si>
  <si>
    <t>CHE002</t>
  </si>
  <si>
    <t>Martin Ikapel</t>
  </si>
  <si>
    <t>CHE003</t>
  </si>
  <si>
    <t>CHE004</t>
  </si>
  <si>
    <t>CHE005</t>
  </si>
  <si>
    <t>Gabriel Imoo</t>
  </si>
  <si>
    <t>Micael Ipaat</t>
  </si>
  <si>
    <t>CHE006</t>
  </si>
  <si>
    <t>CHE007</t>
  </si>
  <si>
    <t>Phylis Atyang</t>
  </si>
  <si>
    <t>Evans Omoit</t>
  </si>
  <si>
    <t>CHE008</t>
  </si>
  <si>
    <t>Dominic Epale</t>
  </si>
  <si>
    <t>CHE009</t>
  </si>
  <si>
    <t>CHE010</t>
  </si>
  <si>
    <t>Absent</t>
  </si>
  <si>
    <t>Net days worked</t>
  </si>
  <si>
    <t>0740816376</t>
  </si>
  <si>
    <t>0769190710</t>
  </si>
  <si>
    <t>0757081548</t>
  </si>
  <si>
    <t>0743272070</t>
  </si>
  <si>
    <t>0707133942</t>
  </si>
  <si>
    <t>0757161657</t>
  </si>
  <si>
    <t>0703483276</t>
  </si>
  <si>
    <t>0757558508</t>
  </si>
  <si>
    <t>0758895608</t>
  </si>
  <si>
    <t>Total production cost</t>
  </si>
  <si>
    <t>Production cost Bread</t>
  </si>
  <si>
    <t>Production cost KDF</t>
  </si>
  <si>
    <t>Total production Costs</t>
  </si>
  <si>
    <t>Total Net sales</t>
  </si>
  <si>
    <t>Days of the month</t>
  </si>
  <si>
    <t>Total production  cost</t>
  </si>
  <si>
    <t>Mix 5</t>
  </si>
  <si>
    <t>Mix 6</t>
  </si>
  <si>
    <t>Packaging paper</t>
  </si>
  <si>
    <t>Profit per 50kg bag/1 mix</t>
  </si>
  <si>
    <t>Stock transportation</t>
  </si>
  <si>
    <t>Selling price per unit</t>
  </si>
  <si>
    <t>Gross profit/loss Bread</t>
  </si>
  <si>
    <t>Gross profit/loss KDF</t>
  </si>
  <si>
    <t>Total Net KDF Sales after commission</t>
  </si>
  <si>
    <t>Net Sales Bread after commission</t>
  </si>
  <si>
    <t>KDF Commission @ Ksh 10 per unit sale</t>
  </si>
  <si>
    <t>Sales  Bread (Ksh)</t>
  </si>
  <si>
    <t>Sales KDF (Ksh)</t>
  </si>
  <si>
    <t>Less Commission</t>
  </si>
  <si>
    <t>Gross profit/Loss</t>
  </si>
  <si>
    <t>Less commission</t>
  </si>
  <si>
    <t>Sales KDF (units)</t>
  </si>
  <si>
    <t>Sales Bread (units)</t>
  </si>
  <si>
    <t>Bread improver</t>
  </si>
  <si>
    <t>KDF profit per production</t>
  </si>
  <si>
    <t>Total stock available for sale</t>
  </si>
  <si>
    <t>Total Dispatch</t>
  </si>
  <si>
    <t>Total stock balance</t>
  </si>
  <si>
    <t>Empties</t>
  </si>
  <si>
    <t>Total cost</t>
  </si>
  <si>
    <t>Total Cost</t>
  </si>
  <si>
    <t>Bread Produced</t>
  </si>
  <si>
    <t>No. of packaging bags used</t>
  </si>
  <si>
    <t>No of packaging bags used</t>
  </si>
  <si>
    <t>cost per unit packing material</t>
  </si>
  <si>
    <t>Cost per unit packaging material</t>
  </si>
  <si>
    <t>Less packaging material</t>
  </si>
  <si>
    <t>Less packaging materials</t>
  </si>
  <si>
    <t>Less packaging</t>
  </si>
  <si>
    <t>`</t>
  </si>
  <si>
    <t>KDF produced (packs of 12 kdf)</t>
  </si>
  <si>
    <t>Unga</t>
  </si>
  <si>
    <t>cooking fat</t>
  </si>
  <si>
    <t>packaging paper</t>
  </si>
  <si>
    <t>Unit</t>
  </si>
  <si>
    <t>Price per unit</t>
  </si>
  <si>
    <t>Gross profit</t>
  </si>
  <si>
    <t>Net profit</t>
  </si>
  <si>
    <t>Net profit Bread</t>
  </si>
  <si>
    <t>Net profit KDF</t>
  </si>
  <si>
    <t>Expected cash in the bank</t>
  </si>
  <si>
    <t>Overall Expenditure for the month (money ploughed back into the business)</t>
  </si>
  <si>
    <t>Sales Bread</t>
  </si>
  <si>
    <t>Sales KDF</t>
  </si>
  <si>
    <t>Distributor</t>
  </si>
  <si>
    <t>CHE015</t>
  </si>
  <si>
    <t>Sales Representative</t>
  </si>
  <si>
    <t>KDF Assistant Cook</t>
  </si>
  <si>
    <t>Oven Operator Bread</t>
  </si>
  <si>
    <t>KDF Production Supervisor</t>
  </si>
  <si>
    <t>Bread Production Supervisor</t>
  </si>
  <si>
    <t>KDF Senior Assistant</t>
  </si>
  <si>
    <t>Bakery Assistant</t>
  </si>
  <si>
    <t>Enous Barasa Mututu</t>
  </si>
  <si>
    <t>Mixes 6</t>
  </si>
  <si>
    <t>Dorine Mercy Amoit</t>
  </si>
  <si>
    <t>Profit for 6mixes</t>
  </si>
  <si>
    <t>Sales Scones(units)</t>
  </si>
  <si>
    <t>Scones</t>
  </si>
  <si>
    <t>Sales Scones)</t>
  </si>
  <si>
    <t>Total Net SconesSales after commission</t>
  </si>
  <si>
    <t>Total sales KDF+Bread+Scones</t>
  </si>
  <si>
    <t>Total Commission Bread +KDF+Scones</t>
  </si>
  <si>
    <t>Net Sales Bread + KDF+Scones</t>
  </si>
  <si>
    <t>Scones Commission @ Ksh 5 per unit sale</t>
  </si>
  <si>
    <t>SCONES</t>
  </si>
  <si>
    <t>Profit for 1 mix</t>
  </si>
  <si>
    <t>Profit per mix</t>
  </si>
  <si>
    <t>Electricity</t>
  </si>
  <si>
    <t>Scones Performance</t>
  </si>
  <si>
    <t>Total sales Scones</t>
  </si>
  <si>
    <t>Total  Production cost</t>
  </si>
  <si>
    <t>Sales Scones</t>
  </si>
  <si>
    <t>Production cost Scones</t>
  </si>
  <si>
    <t>Scones produced (packs of 12 kdf)</t>
  </si>
  <si>
    <t>Total units of packaging bags used KDF + Bread + Scones</t>
  </si>
  <si>
    <t>Total cost of packaging materials KDF +Bread + Scones</t>
  </si>
  <si>
    <t>Net Profit</t>
  </si>
  <si>
    <t>Revenue</t>
  </si>
  <si>
    <t>Total Revenue</t>
  </si>
  <si>
    <t>Cost of Sales</t>
  </si>
  <si>
    <t>Direct Expenses</t>
  </si>
  <si>
    <t>Cooking Oil</t>
  </si>
  <si>
    <t>Bread Improver</t>
  </si>
  <si>
    <t>Firewood</t>
  </si>
  <si>
    <t>Salaries for production staff</t>
  </si>
  <si>
    <t>Salaries for sales staff</t>
  </si>
  <si>
    <t>Casuals</t>
  </si>
  <si>
    <t>Fuel for  old truck</t>
  </si>
  <si>
    <t>Fuel for new truck</t>
  </si>
  <si>
    <t>Direct Salaries</t>
  </si>
  <si>
    <t>Indirect costs</t>
  </si>
  <si>
    <t>Total Direct expenses</t>
  </si>
  <si>
    <t>Total indirect costs</t>
  </si>
  <si>
    <t>Total Direct Salaries</t>
  </si>
  <si>
    <t>Commissions</t>
  </si>
  <si>
    <t>Bread commission</t>
  </si>
  <si>
    <t>KDF Commission</t>
  </si>
  <si>
    <t>Scones Commission</t>
  </si>
  <si>
    <t>Total commission</t>
  </si>
  <si>
    <t>Total Cost of sales</t>
  </si>
  <si>
    <t>Gross Profit/Loss</t>
  </si>
  <si>
    <t>Administration expenses</t>
  </si>
  <si>
    <t>Bank Charges</t>
  </si>
  <si>
    <t>Stationery</t>
  </si>
  <si>
    <t>Sundry expenses</t>
  </si>
  <si>
    <t>Total Administrative expenses</t>
  </si>
  <si>
    <t>Profit/loss Before tax</t>
  </si>
  <si>
    <t>Tax expense</t>
  </si>
  <si>
    <t>Salaries for Admin Staff</t>
  </si>
  <si>
    <t>Food Colour</t>
  </si>
  <si>
    <t>CHESANTTO BAKERS</t>
  </si>
  <si>
    <t>Packaging Materials</t>
  </si>
  <si>
    <t>0726802396</t>
  </si>
  <si>
    <t>Mix 7</t>
  </si>
  <si>
    <t>Mix 8</t>
  </si>
  <si>
    <t>Mixes 0</t>
  </si>
  <si>
    <t>Mixes  5</t>
  </si>
  <si>
    <t>Mixes  7</t>
  </si>
  <si>
    <t>Mixes 7</t>
  </si>
  <si>
    <t>Mixes  0</t>
  </si>
  <si>
    <t>13.3L</t>
  </si>
  <si>
    <t>Overal Performance</t>
  </si>
  <si>
    <t>Total sales to date</t>
  </si>
  <si>
    <t>Total production cost Bread</t>
  </si>
  <si>
    <t>Total production cost KDF</t>
  </si>
  <si>
    <t>Total production cost Scones</t>
  </si>
  <si>
    <t>Total production costs</t>
  </si>
  <si>
    <t>Gross profit Total</t>
  </si>
  <si>
    <t>Less Total Commissions</t>
  </si>
  <si>
    <t>Bread Performance</t>
  </si>
  <si>
    <t>Total Sales Bread</t>
  </si>
  <si>
    <t>Gross profit Bread</t>
  </si>
  <si>
    <t>KDF Performance</t>
  </si>
  <si>
    <t>Total sales KDF</t>
  </si>
  <si>
    <t>Total Production Costs</t>
  </si>
  <si>
    <t>Overall sales (minus commission) for the month</t>
  </si>
  <si>
    <t>Vehicle Repairs</t>
  </si>
  <si>
    <t>Joel/Enos</t>
  </si>
  <si>
    <t>Dispatch Joel/Enos</t>
  </si>
  <si>
    <t>Mixes 8</t>
  </si>
  <si>
    <t>Net Profit/Loss</t>
  </si>
  <si>
    <t>Machine repairs</t>
  </si>
  <si>
    <t>Vehicle Repairs/Insurance</t>
  </si>
  <si>
    <t>Mixes 5</t>
  </si>
  <si>
    <t>Edwardo</t>
  </si>
  <si>
    <t>Dispatch Tobias</t>
  </si>
  <si>
    <t>Dispatch Edwardo</t>
  </si>
  <si>
    <t>Kimwanga depot</t>
  </si>
  <si>
    <t>Mike/Kimwanga Depot</t>
  </si>
  <si>
    <t>CHE018</t>
  </si>
  <si>
    <t>Bakery Assistant Bread</t>
  </si>
  <si>
    <t>CHE019</t>
  </si>
  <si>
    <t>CHE020</t>
  </si>
  <si>
    <t>Cleaner</t>
  </si>
  <si>
    <t>Gladys Amalangan Okoit</t>
  </si>
  <si>
    <t>ID Number</t>
  </si>
  <si>
    <t>Joseph Echikoi</t>
  </si>
  <si>
    <t>Nancy Etyang</t>
  </si>
  <si>
    <t>Martina Achogo</t>
  </si>
  <si>
    <t>Collins Ijaa</t>
  </si>
  <si>
    <t>Pamela Onyaa</t>
  </si>
  <si>
    <t>Quinto Epuret Otwane</t>
  </si>
  <si>
    <t>Mike Okiya</t>
  </si>
  <si>
    <t>Deficit/Loan Recovery</t>
  </si>
  <si>
    <t>Polycarp Ikwara</t>
  </si>
  <si>
    <t>254797455527</t>
  </si>
  <si>
    <t>254798288785</t>
  </si>
  <si>
    <t>Dispatch Kimwanga</t>
  </si>
  <si>
    <t>Total Actual Expenditure</t>
  </si>
  <si>
    <t>Quinto/Matayos</t>
  </si>
  <si>
    <t>Dispatch Chrispin/Nambale</t>
  </si>
  <si>
    <t>Dispatch Tobias/Amairo</t>
  </si>
  <si>
    <t>Dispatch Matayos</t>
  </si>
  <si>
    <t>0743738116</t>
  </si>
  <si>
    <t>Irine Nyanweso</t>
  </si>
  <si>
    <t>Rose Nakhumicha Ndiema</t>
  </si>
  <si>
    <t>Bakery Accountant</t>
  </si>
  <si>
    <t>10L</t>
  </si>
  <si>
    <t>26kg</t>
  </si>
  <si>
    <t>280g</t>
  </si>
  <si>
    <t>2.8kg</t>
  </si>
  <si>
    <t>70g</t>
  </si>
  <si>
    <t>Dispatch Amairo</t>
  </si>
  <si>
    <t>Depot Rent</t>
  </si>
  <si>
    <t>Depot rent</t>
  </si>
  <si>
    <t>3.8kg</t>
  </si>
  <si>
    <t>2.3kg</t>
  </si>
  <si>
    <t>Okiya</t>
  </si>
  <si>
    <t>CHE022</t>
  </si>
  <si>
    <t>Chrispin Okochil</t>
  </si>
  <si>
    <t>Sales Rejects</t>
  </si>
  <si>
    <t>Yeast (2in1)</t>
  </si>
  <si>
    <t xml:space="preserve">Sales </t>
  </si>
  <si>
    <t xml:space="preserve">Dispatch </t>
  </si>
  <si>
    <t>Stock adjustment</t>
  </si>
  <si>
    <t>Staff loans</t>
  </si>
  <si>
    <t xml:space="preserve">Packaging papers </t>
  </si>
  <si>
    <t>Yeast 2in 1</t>
  </si>
  <si>
    <t>Downpayment for packaging paper</t>
  </si>
  <si>
    <t>Expired &amp; missing stock</t>
  </si>
  <si>
    <t>Deficits bad debts)</t>
  </si>
  <si>
    <t>Deficits (bad debts)</t>
  </si>
  <si>
    <t>Packaging papers purchases</t>
  </si>
  <si>
    <t>Packaging Materials utilised</t>
  </si>
  <si>
    <t>Production units</t>
  </si>
  <si>
    <t>Sconce</t>
  </si>
  <si>
    <t>0758748973</t>
  </si>
  <si>
    <t>CHE023</t>
  </si>
  <si>
    <t>Quinto Nalugala</t>
  </si>
  <si>
    <t>Matayos Depot Manager</t>
  </si>
  <si>
    <t>0707414659</t>
  </si>
  <si>
    <t>CHE025</t>
  </si>
  <si>
    <t>Sales rejects</t>
  </si>
  <si>
    <t>Dispatch Nambale</t>
  </si>
  <si>
    <t>2.5kg</t>
  </si>
  <si>
    <t>Total overtime</t>
  </si>
  <si>
    <t>Overtime worked (per mix)</t>
  </si>
  <si>
    <t>Rate  per mix</t>
  </si>
  <si>
    <t>Total expected Gross Salary</t>
  </si>
  <si>
    <t>Total Basic Salary</t>
  </si>
  <si>
    <t>Business permit</t>
  </si>
  <si>
    <t>Mixes 2</t>
  </si>
  <si>
    <t>Mixes  3</t>
  </si>
  <si>
    <t>cooking oil</t>
  </si>
  <si>
    <t xml:space="preserve">Edwardo </t>
  </si>
  <si>
    <t>CHE026</t>
  </si>
  <si>
    <t>Soita Amos</t>
  </si>
  <si>
    <t>Stephen Etyang</t>
  </si>
  <si>
    <t xml:space="preserve"> </t>
  </si>
  <si>
    <t>Petty cash</t>
  </si>
  <si>
    <t>Mixes  4</t>
  </si>
  <si>
    <t>Mixes 4</t>
  </si>
  <si>
    <t>Mixes  6</t>
  </si>
  <si>
    <t>Education policy</t>
  </si>
  <si>
    <t>Education policy (Reserves)</t>
  </si>
  <si>
    <t xml:space="preserve">Dispatch Amairo </t>
  </si>
  <si>
    <t>Truck</t>
  </si>
  <si>
    <t>Amount</t>
  </si>
  <si>
    <t>Deposit</t>
  </si>
  <si>
    <t>Old truck</t>
  </si>
  <si>
    <t>Bal</t>
  </si>
  <si>
    <t>New truck</t>
  </si>
  <si>
    <t xml:space="preserve">Less </t>
  </si>
  <si>
    <t>1.5kg</t>
  </si>
  <si>
    <t>Oven repairs</t>
  </si>
  <si>
    <t>Fuel deposit</t>
  </si>
  <si>
    <t>Chris</t>
  </si>
  <si>
    <t>Atwoli</t>
  </si>
  <si>
    <t>Rejects</t>
  </si>
  <si>
    <t>12.5L</t>
  </si>
  <si>
    <t>Profit for 6 mix</t>
  </si>
  <si>
    <t>Profit for 6 mixes</t>
  </si>
  <si>
    <t>11.4L</t>
  </si>
  <si>
    <t>Food colour</t>
  </si>
  <si>
    <t>Mixes  2</t>
  </si>
  <si>
    <t>CHE027</t>
  </si>
  <si>
    <t>Packing Supervisor</t>
  </si>
  <si>
    <t>Matayos Depot</t>
  </si>
  <si>
    <t>Enos</t>
  </si>
  <si>
    <t>Expiries</t>
  </si>
  <si>
    <t>unit price</t>
  </si>
  <si>
    <t>Total Expiries</t>
  </si>
  <si>
    <t>Reconciliation Summary</t>
  </si>
  <si>
    <t>Salesman/Depot</t>
  </si>
  <si>
    <t>Expected retired amount</t>
  </si>
  <si>
    <t>Total Deficit</t>
  </si>
  <si>
    <t>Lunch allowance</t>
  </si>
  <si>
    <t>03.08.2025</t>
  </si>
  <si>
    <t>Joel/Enos/Emma</t>
  </si>
  <si>
    <t>09.08.2025</t>
  </si>
  <si>
    <t>Commission earned</t>
  </si>
  <si>
    <t>Watchman/Gardener</t>
  </si>
  <si>
    <t>Casuals August 2025</t>
  </si>
  <si>
    <t>Judith</t>
  </si>
  <si>
    <t>Everlyne</t>
  </si>
  <si>
    <t>12.08.2025</t>
  </si>
  <si>
    <t>Mike</t>
  </si>
  <si>
    <t>24.08.2025</t>
  </si>
  <si>
    <t>25.08.2025</t>
  </si>
  <si>
    <t>Sales distributor</t>
  </si>
  <si>
    <t>60g</t>
  </si>
  <si>
    <t>190g</t>
  </si>
  <si>
    <t>160g</t>
  </si>
  <si>
    <t>Profit for 5mixes</t>
  </si>
  <si>
    <t>Profit for 7 mixes</t>
  </si>
  <si>
    <t>Profit for 4 mixes</t>
  </si>
  <si>
    <t>Profit for 8mixes</t>
  </si>
  <si>
    <t>Profit for 7 mix</t>
  </si>
  <si>
    <t>Profit for 4 mix</t>
  </si>
  <si>
    <t>Profit for 0 mixes</t>
  </si>
  <si>
    <t>Profit for 2 mix</t>
  </si>
  <si>
    <t>Profit for 0 mix</t>
  </si>
  <si>
    <t>Profit for 5 mixes</t>
  </si>
  <si>
    <t>Profit for 2 mixes</t>
  </si>
  <si>
    <t>Profit for 8 mixes</t>
  </si>
  <si>
    <t>Profit for 7  mix</t>
  </si>
  <si>
    <t>Profit for 5 mix</t>
  </si>
  <si>
    <t>Expiry</t>
  </si>
  <si>
    <t>error</t>
  </si>
  <si>
    <t>Error</t>
  </si>
  <si>
    <t>overstated scones</t>
  </si>
  <si>
    <t>Salesman</t>
  </si>
  <si>
    <t>Expected date of banking</t>
  </si>
  <si>
    <t>Total expected banking</t>
  </si>
  <si>
    <t>Sales target</t>
  </si>
  <si>
    <t>Sales above target</t>
  </si>
  <si>
    <t>Commission rate</t>
  </si>
  <si>
    <t>Packaging papers</t>
  </si>
  <si>
    <t>Matayos rent</t>
  </si>
  <si>
    <t xml:space="preserve">Petty cash </t>
  </si>
  <si>
    <t>PROFIT AND LOSS STATEMENT AS AT 31 August 2025</t>
  </si>
  <si>
    <t>01.09.2025</t>
  </si>
  <si>
    <t>Dispatch 01.09.2025</t>
  </si>
  <si>
    <t>02.09.2025</t>
  </si>
  <si>
    <t>Sales for 29.08.2025</t>
  </si>
  <si>
    <t>Atwoli/Jeremiah</t>
  </si>
  <si>
    <t>Mix 9</t>
  </si>
  <si>
    <t>Profit for 9 mixes</t>
  </si>
  <si>
    <t>7.5L</t>
  </si>
  <si>
    <t>03.09.2025</t>
  </si>
  <si>
    <t>Sales for 01.09.2025</t>
  </si>
  <si>
    <t>Dispatch 03.09.2025</t>
  </si>
  <si>
    <t>04.09.2025</t>
  </si>
  <si>
    <t>05.09.2025</t>
  </si>
  <si>
    <t>Jeremiah</t>
  </si>
  <si>
    <t>06.09.2025</t>
  </si>
  <si>
    <t>07.09.2025</t>
  </si>
  <si>
    <t>08.09.2025</t>
  </si>
  <si>
    <t>09.09.2025</t>
  </si>
  <si>
    <t>8.8L</t>
  </si>
  <si>
    <t>Profit for 9mixes</t>
  </si>
  <si>
    <t>Sales for 03.09.2025</t>
  </si>
  <si>
    <t>Dispatch for 06.09.2025</t>
  </si>
  <si>
    <t>Sales for 06.09.2025</t>
  </si>
  <si>
    <t>Dispatch 09.09.2025</t>
  </si>
  <si>
    <t>10.09.2025</t>
  </si>
  <si>
    <t>11.09.2025</t>
  </si>
  <si>
    <t>6.7L</t>
  </si>
  <si>
    <t>Sales for 09.09.2025</t>
  </si>
  <si>
    <t>Dispatch 11.09.2025</t>
  </si>
  <si>
    <t>12.09.2025</t>
  </si>
  <si>
    <t>13.09.2025</t>
  </si>
  <si>
    <t>14.09.2025</t>
  </si>
  <si>
    <t>15.09.2025</t>
  </si>
  <si>
    <t>8.5L</t>
  </si>
  <si>
    <t>16.09.2025</t>
  </si>
  <si>
    <t>4.8kg</t>
  </si>
  <si>
    <t>Sales for 11.09.2025</t>
  </si>
  <si>
    <t>Dispatch 13.09.2025</t>
  </si>
  <si>
    <t>Sales for 13.09.2025</t>
  </si>
  <si>
    <t>Dispatch 15.09.2025</t>
  </si>
  <si>
    <t>17.09.2025</t>
  </si>
  <si>
    <t>11L</t>
  </si>
  <si>
    <t>18.09.2025</t>
  </si>
  <si>
    <t>Sales for 15.09.2025</t>
  </si>
  <si>
    <t>Dispatch 18.09.2025</t>
  </si>
  <si>
    <t>19.09.2025</t>
  </si>
  <si>
    <t>15L</t>
  </si>
  <si>
    <t>Profit for 8 ixes</t>
  </si>
  <si>
    <t>20.09.2025</t>
  </si>
  <si>
    <t>21.09.2025</t>
  </si>
  <si>
    <t>22.09.2025</t>
  </si>
  <si>
    <t>Profit for 8 mix</t>
  </si>
  <si>
    <t>23.09.2025</t>
  </si>
  <si>
    <t>Dispatch 23.09.2025</t>
  </si>
  <si>
    <t>Sales for 18.09.2025</t>
  </si>
  <si>
    <t>Dispatch Atwoli</t>
  </si>
  <si>
    <t>Dispatch Mike</t>
  </si>
  <si>
    <t>24.09.2025</t>
  </si>
  <si>
    <t>Sales Distributor</t>
  </si>
  <si>
    <t>25.09.2025</t>
  </si>
  <si>
    <t>26.09.2025</t>
  </si>
  <si>
    <t>Sales for 23.09.2025</t>
  </si>
  <si>
    <t>Dispatch 26.09.2025</t>
  </si>
  <si>
    <t>27.09.2025</t>
  </si>
  <si>
    <t>28.09.2025</t>
  </si>
  <si>
    <t>29.09.2025</t>
  </si>
  <si>
    <t>Profit for 9 mix</t>
  </si>
  <si>
    <t>Sales for 25.09.2025</t>
  </si>
  <si>
    <t>Dispatch 29.09.2025</t>
  </si>
  <si>
    <t>Moses</t>
  </si>
  <si>
    <t>29.00.2025</t>
  </si>
  <si>
    <t>30.09.2025</t>
  </si>
  <si>
    <t>Cash in bank as at 30.09.2025</t>
  </si>
  <si>
    <t>Total cash held in stock, raw materials, downpayments and cash in bank as at 30 Sept 2025</t>
  </si>
  <si>
    <t>Unpaid Credit facility with Khetias as at 30.09.2025</t>
  </si>
  <si>
    <t>Unpaid credit facility with Capwell as at 30.09.2025</t>
  </si>
  <si>
    <t>Net cash held in stock and cash in bank as at 30.09.2025</t>
  </si>
  <si>
    <t>Closing stock inventory as at 01-30 Sep 2025</t>
  </si>
  <si>
    <t>Closing stock product value as at 01-30 Sep 2025</t>
  </si>
  <si>
    <t>Scones Performance 01-30 Sep 2025</t>
  </si>
  <si>
    <t>KDF Performance 01-30 Sep 2025</t>
  </si>
  <si>
    <t>Bread Performance 01-30 Sep 2025</t>
  </si>
  <si>
    <t>Overall Performance 01-30 Sep 2025</t>
  </si>
  <si>
    <t>Mixes  8</t>
  </si>
  <si>
    <t>Erroe</t>
  </si>
  <si>
    <t>Error 2</t>
  </si>
  <si>
    <t>Dispatch Jeremiah/Atwoli</t>
  </si>
  <si>
    <t>Mixes 9</t>
  </si>
  <si>
    <t>Dispatch Enos</t>
  </si>
  <si>
    <t>Sample paid by Oita not accounted for</t>
  </si>
  <si>
    <t>Dispatch Jeremiah</t>
  </si>
  <si>
    <t>Error (15 returns from mike left out</t>
  </si>
  <si>
    <t>returns from mike left out</t>
  </si>
  <si>
    <t>Openig stock under stated</t>
  </si>
  <si>
    <t>Error Matayos dispatch not added</t>
  </si>
  <si>
    <t>Error Edwardo dispatch not added</t>
  </si>
  <si>
    <t xml:space="preserve">Error Edwardo dispatch left out </t>
  </si>
  <si>
    <t>Error understated opening stock</t>
  </si>
  <si>
    <t>Okiya dispatch not recorded</t>
  </si>
  <si>
    <t xml:space="preserve">Oita's samples under edwardo </t>
  </si>
  <si>
    <t>Oita's samples under edardo</t>
  </si>
  <si>
    <t>Error dispatch to matayos left out</t>
  </si>
  <si>
    <t>Error returns from matayos left out</t>
  </si>
  <si>
    <t>Oitas sample left out</t>
  </si>
  <si>
    <t>Error Okiya return understated</t>
  </si>
  <si>
    <t>Matayos expiry</t>
  </si>
  <si>
    <t>Returns from Mike left out</t>
  </si>
  <si>
    <t>Error dispatch to edwardo left out</t>
  </si>
  <si>
    <t>Understated opening stock</t>
  </si>
  <si>
    <t>Error addition</t>
  </si>
  <si>
    <t>Erro Enos dispatch understated</t>
  </si>
  <si>
    <t>Error on production (overstated)</t>
  </si>
  <si>
    <t>Dispatch 22.09.2025</t>
  </si>
  <si>
    <t>Sales for 22.09.2025</t>
  </si>
  <si>
    <t>understated opening stock</t>
  </si>
  <si>
    <t>Addition error</t>
  </si>
  <si>
    <t xml:space="preserve">Error </t>
  </si>
  <si>
    <t>Opening stock understatement</t>
  </si>
  <si>
    <t>Oitas sample excluded</t>
  </si>
  <si>
    <t>Error in Edwardos dispatch</t>
  </si>
  <si>
    <t>Error on Edwardo's dispatch not recorded and erroneous returns</t>
  </si>
  <si>
    <t>Error returns from matayo excluded</t>
  </si>
  <si>
    <t>Dispatch Moses</t>
  </si>
  <si>
    <t>Oitas sample left oit</t>
  </si>
  <si>
    <t>11.1L</t>
  </si>
  <si>
    <t>Mix 10</t>
  </si>
  <si>
    <t>Profit for 10 mix</t>
  </si>
  <si>
    <t>Adjustment after physical count (overstatement)</t>
  </si>
  <si>
    <t>Adjustment after physical count (understatement)</t>
  </si>
  <si>
    <t>30.09,2025</t>
  </si>
  <si>
    <t>Transaction costs Jeremiah</t>
  </si>
  <si>
    <t>Tyres</t>
  </si>
  <si>
    <t>Insurance new truck</t>
  </si>
  <si>
    <t>Delivery books balance</t>
  </si>
  <si>
    <t>Trucks service</t>
  </si>
  <si>
    <t>Bolero branding</t>
  </si>
  <si>
    <t>Extra unga</t>
  </si>
  <si>
    <t>Cookingfat 910kg cartons)</t>
  </si>
  <si>
    <t>Cookingfat (10kg cartons)</t>
  </si>
  <si>
    <t>Transport</t>
  </si>
  <si>
    <t>0799909389</t>
  </si>
  <si>
    <t>Fuel new truck</t>
  </si>
  <si>
    <t>Jeremiah Odikor</t>
  </si>
  <si>
    <t>Driver</t>
  </si>
  <si>
    <t>30/09/2025</t>
  </si>
  <si>
    <t>CHE028</t>
  </si>
  <si>
    <t>Eddah Silungi</t>
  </si>
  <si>
    <t>Bakery Accountant/Supervisor</t>
  </si>
  <si>
    <t>CHE029</t>
  </si>
  <si>
    <t>Transaction fees refund</t>
  </si>
  <si>
    <t>Bal after sept deduction</t>
  </si>
  <si>
    <t>Salaries Admi staff</t>
  </si>
  <si>
    <t>Salaries production staff</t>
  </si>
  <si>
    <t>Casuals pay</t>
  </si>
  <si>
    <t>Salaries sales staff</t>
  </si>
  <si>
    <t xml:space="preserve">Milk </t>
  </si>
  <si>
    <t>Fueland diesel deposit</t>
  </si>
  <si>
    <t>CCTV repairs</t>
  </si>
  <si>
    <t>transaction costs</t>
  </si>
  <si>
    <t>delivery books</t>
  </si>
  <si>
    <t>hair nets</t>
  </si>
  <si>
    <t>unga transport</t>
  </si>
  <si>
    <t>petty cash</t>
  </si>
  <si>
    <t>Enos salary advance</t>
  </si>
  <si>
    <t>Truck purchase</t>
  </si>
  <si>
    <t>Truck repairs</t>
  </si>
  <si>
    <t>Packaging papers deposit</t>
  </si>
  <si>
    <t>Transactio costs Enos</t>
  </si>
  <si>
    <t>Transaction costs Mike</t>
  </si>
  <si>
    <t>Transaction costs Atwoli</t>
  </si>
  <si>
    <t>Ikapolok filling station Statement September 2025-Fuel</t>
  </si>
  <si>
    <t>Ikapolok filling station Statement September 2025-Diesel</t>
  </si>
  <si>
    <t>quantity</t>
  </si>
  <si>
    <t>2 jericans</t>
  </si>
  <si>
    <t>4 jericans</t>
  </si>
  <si>
    <t>1 jerican</t>
  </si>
  <si>
    <t>Bolero</t>
  </si>
  <si>
    <t>old truck</t>
  </si>
  <si>
    <t>New Truck</t>
  </si>
  <si>
    <t>Total fuel</t>
  </si>
  <si>
    <t>Total diesel</t>
  </si>
  <si>
    <t>01.10.2025</t>
  </si>
  <si>
    <t>c/f expenditure</t>
  </si>
  <si>
    <t>Bal as at 30.09.2025</t>
  </si>
  <si>
    <t>Ipaat</t>
  </si>
  <si>
    <t>Eddah</t>
  </si>
  <si>
    <t>(Bankings for Okiya and Edwardo)</t>
  </si>
  <si>
    <t>unga</t>
  </si>
  <si>
    <t>Fuel old truck</t>
  </si>
  <si>
    <t>Fuel Bolero</t>
  </si>
  <si>
    <t>Bolero purchase</t>
  </si>
  <si>
    <t>Loan</t>
  </si>
  <si>
    <t>,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</si>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</sst>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(* #,##0.0_);_(* \(#,##0.0\);_(* &quot;-&quot;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Aptos Narrow"/>
      <family val="2"/>
      <scheme val="minor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332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43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7" xfId="0" applyBorder="1"/>
    <xf numFmtId="0" fontId="0" fillId="0" borderId="18" xfId="0" applyBorder="1"/>
    <xf numFmtId="0" fontId="2" fillId="5" borderId="1" xfId="0" applyFont="1" applyFill="1" applyBorder="1"/>
    <xf numFmtId="165" fontId="2" fillId="5" borderId="1" xfId="1" applyNumberFormat="1" applyFont="1" applyFill="1" applyBorder="1"/>
    <xf numFmtId="0" fontId="2" fillId="2" borderId="1" xfId="0" applyFont="1" applyFill="1" applyBorder="1"/>
    <xf numFmtId="165" fontId="2" fillId="5" borderId="1" xfId="0" applyNumberFormat="1" applyFont="1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164" fontId="0" fillId="0" borderId="4" xfId="0" applyNumberFormat="1" applyBorder="1"/>
    <xf numFmtId="1" fontId="0" fillId="0" borderId="4" xfId="0" applyNumberFormat="1" applyBorder="1"/>
    <xf numFmtId="2" fontId="0" fillId="0" borderId="16" xfId="0" applyNumberFormat="1" applyBorder="1"/>
    <xf numFmtId="1" fontId="0" fillId="5" borderId="4" xfId="0" applyNumberFormat="1" applyFill="1" applyBorder="1"/>
    <xf numFmtId="0" fontId="0" fillId="5" borderId="4" xfId="0" applyFill="1" applyBorder="1"/>
    <xf numFmtId="2" fontId="0" fillId="5" borderId="16" xfId="0" applyNumberFormat="1" applyFill="1" applyBorder="1"/>
    <xf numFmtId="0" fontId="2" fillId="6" borderId="1" xfId="0" applyFont="1" applyFill="1" applyBorder="1"/>
    <xf numFmtId="0" fontId="0" fillId="0" borderId="22" xfId="0" applyBorder="1"/>
    <xf numFmtId="0" fontId="0" fillId="0" borderId="5" xfId="0" applyBorder="1"/>
    <xf numFmtId="0" fontId="0" fillId="0" borderId="23" xfId="0" applyBorder="1"/>
    <xf numFmtId="1" fontId="0" fillId="0" borderId="3" xfId="0" applyNumberForma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2" fontId="0" fillId="0" borderId="31" xfId="0" applyNumberFormat="1" applyBorder="1"/>
    <xf numFmtId="2" fontId="0" fillId="7" borderId="31" xfId="0" applyNumberFormat="1" applyFill="1" applyBorder="1"/>
    <xf numFmtId="0" fontId="0" fillId="0" borderId="34" xfId="0" applyBorder="1"/>
    <xf numFmtId="2" fontId="0" fillId="8" borderId="31" xfId="0" applyNumberFormat="1" applyFill="1" applyBorder="1"/>
    <xf numFmtId="2" fontId="0" fillId="5" borderId="4" xfId="0" applyNumberFormat="1" applyFill="1" applyBorder="1"/>
    <xf numFmtId="2" fontId="0" fillId="7" borderId="33" xfId="0" applyNumberFormat="1" applyFill="1" applyBorder="1"/>
    <xf numFmtId="0" fontId="0" fillId="9" borderId="4" xfId="0" applyFill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1" fontId="0" fillId="0" borderId="1" xfId="0" applyNumberFormat="1" applyBorder="1"/>
    <xf numFmtId="0" fontId="0" fillId="0" borderId="38" xfId="0" applyBorder="1"/>
    <xf numFmtId="2" fontId="0" fillId="0" borderId="3" xfId="0" applyNumberFormat="1" applyBorder="1"/>
    <xf numFmtId="0" fontId="0" fillId="8" borderId="35" xfId="0" applyFill="1" applyBorder="1"/>
    <xf numFmtId="0" fontId="0" fillId="8" borderId="36" xfId="0" applyFill="1" applyBorder="1"/>
    <xf numFmtId="43" fontId="0" fillId="8" borderId="31" xfId="0" applyNumberFormat="1" applyFill="1" applyBorder="1"/>
    <xf numFmtId="43" fontId="0" fillId="8" borderId="31" xfId="1" applyFont="1" applyFill="1" applyBorder="1"/>
    <xf numFmtId="0" fontId="0" fillId="8" borderId="37" xfId="0" applyFill="1" applyBorder="1"/>
    <xf numFmtId="165" fontId="0" fillId="0" borderId="0" xfId="0" applyNumberFormat="1"/>
    <xf numFmtId="0" fontId="0" fillId="8" borderId="30" xfId="0" applyFill="1" applyBorder="1"/>
    <xf numFmtId="0" fontId="2" fillId="8" borderId="35" xfId="0" applyFont="1" applyFill="1" applyBorder="1"/>
    <xf numFmtId="165" fontId="0" fillId="0" borderId="0" xfId="1" applyNumberFormat="1" applyFont="1"/>
    <xf numFmtId="165" fontId="0" fillId="8" borderId="30" xfId="1" applyNumberFormat="1" applyFont="1" applyFill="1" applyBorder="1"/>
    <xf numFmtId="165" fontId="0" fillId="8" borderId="31" xfId="1" applyNumberFormat="1" applyFont="1" applyFill="1" applyBorder="1"/>
    <xf numFmtId="165" fontId="0" fillId="8" borderId="40" xfId="1" applyNumberFormat="1" applyFont="1" applyFill="1" applyBorder="1"/>
    <xf numFmtId="165" fontId="2" fillId="7" borderId="40" xfId="1" applyNumberFormat="1" applyFont="1" applyFill="1" applyBorder="1"/>
    <xf numFmtId="0" fontId="2" fillId="0" borderId="29" xfId="0" applyFont="1" applyBorder="1"/>
    <xf numFmtId="0" fontId="0" fillId="5" borderId="0" xfId="0" applyFill="1"/>
    <xf numFmtId="0" fontId="0" fillId="0" borderId="41" xfId="0" applyBorder="1"/>
    <xf numFmtId="0" fontId="0" fillId="5" borderId="43" xfId="0" applyFill="1" applyBorder="1"/>
    <xf numFmtId="1" fontId="0" fillId="7" borderId="14" xfId="0" applyNumberFormat="1" applyFill="1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28" xfId="0" applyBorder="1"/>
    <xf numFmtId="0" fontId="0" fillId="6" borderId="4" xfId="0" applyFill="1" applyBorder="1"/>
    <xf numFmtId="0" fontId="2" fillId="0" borderId="35" xfId="0" applyFont="1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20" xfId="0" applyBorder="1"/>
    <xf numFmtId="0" fontId="0" fillId="0" borderId="52" xfId="0" applyBorder="1"/>
    <xf numFmtId="2" fontId="0" fillId="0" borderId="51" xfId="0" applyNumberFormat="1" applyBorder="1"/>
    <xf numFmtId="0" fontId="0" fillId="0" borderId="53" xfId="0" applyBorder="1"/>
    <xf numFmtId="0" fontId="0" fillId="0" borderId="21" xfId="0" applyBorder="1"/>
    <xf numFmtId="43" fontId="0" fillId="8" borderId="30" xfId="1" applyFont="1" applyFill="1" applyBorder="1"/>
    <xf numFmtId="1" fontId="0" fillId="8" borderId="1" xfId="0" applyNumberFormat="1" applyFill="1" applyBorder="1"/>
    <xf numFmtId="1" fontId="0" fillId="11" borderId="1" xfId="0" applyNumberFormat="1" applyFill="1" applyBorder="1"/>
    <xf numFmtId="0" fontId="2" fillId="0" borderId="1" xfId="0" applyFont="1" applyBorder="1" applyAlignment="1">
      <alignment wrapText="1"/>
    </xf>
    <xf numFmtId="164" fontId="0" fillId="0" borderId="1" xfId="0" applyNumberFormat="1" applyBorder="1" applyAlignment="1">
      <alignment horizontal="center"/>
    </xf>
    <xf numFmtId="0" fontId="0" fillId="8" borderId="0" xfId="0" applyFill="1"/>
    <xf numFmtId="165" fontId="2" fillId="7" borderId="40" xfId="0" applyNumberFormat="1" applyFont="1" applyFill="1" applyBorder="1"/>
    <xf numFmtId="43" fontId="2" fillId="8" borderId="40" xfId="0" applyNumberFormat="1" applyFont="1" applyFill="1" applyBorder="1"/>
    <xf numFmtId="0" fontId="2" fillId="6" borderId="8" xfId="0" applyFont="1" applyFill="1" applyBorder="1"/>
    <xf numFmtId="0" fontId="0" fillId="8" borderId="32" xfId="0" applyFill="1" applyBorder="1"/>
    <xf numFmtId="0" fontId="2" fillId="8" borderId="54" xfId="0" applyFont="1" applyFill="1" applyBorder="1"/>
    <xf numFmtId="0" fontId="2" fillId="8" borderId="42" xfId="0" applyFont="1" applyFill="1" applyBorder="1" applyAlignment="1">
      <alignment horizontal="center"/>
    </xf>
    <xf numFmtId="0" fontId="2" fillId="8" borderId="55" xfId="0" applyFont="1" applyFill="1" applyBorder="1" applyAlignment="1">
      <alignment horizontal="center"/>
    </xf>
    <xf numFmtId="0" fontId="2" fillId="8" borderId="37" xfId="0" applyFont="1" applyFill="1" applyBorder="1"/>
    <xf numFmtId="43" fontId="2" fillId="7" borderId="40" xfId="1" applyFont="1" applyFill="1" applyBorder="1"/>
    <xf numFmtId="43" fontId="2" fillId="7" borderId="40" xfId="0" applyNumberFormat="1" applyFont="1" applyFill="1" applyBorder="1"/>
    <xf numFmtId="0" fontId="0" fillId="8" borderId="29" xfId="0" applyFill="1" applyBorder="1"/>
    <xf numFmtId="43" fontId="2" fillId="0" borderId="0" xfId="1" applyFont="1" applyFill="1" applyBorder="1"/>
    <xf numFmtId="0" fontId="2" fillId="8" borderId="55" xfId="0" applyFont="1" applyFill="1" applyBorder="1" applyAlignment="1">
      <alignment horizontal="right"/>
    </xf>
    <xf numFmtId="2" fontId="0" fillId="0" borderId="28" xfId="0" applyNumberFormat="1" applyBorder="1"/>
    <xf numFmtId="165" fontId="0" fillId="7" borderId="14" xfId="1" applyNumberFormat="1" applyFont="1" applyFill="1" applyBorder="1"/>
    <xf numFmtId="1" fontId="0" fillId="7" borderId="56" xfId="0" applyNumberFormat="1" applyFill="1" applyBorder="1"/>
    <xf numFmtId="0" fontId="2" fillId="6" borderId="0" xfId="0" applyFont="1" applyFill="1" applyAlignment="1">
      <alignment horizontal="center"/>
    </xf>
    <xf numFmtId="165" fontId="0" fillId="6" borderId="0" xfId="0" applyNumberFormat="1" applyFill="1"/>
    <xf numFmtId="0" fontId="2" fillId="0" borderId="0" xfId="0" applyFont="1" applyAlignment="1">
      <alignment horizontal="center"/>
    </xf>
    <xf numFmtId="0" fontId="0" fillId="6" borderId="29" xfId="0" applyFill="1" applyBorder="1"/>
    <xf numFmtId="2" fontId="0" fillId="6" borderId="0" xfId="0" applyNumberFormat="1" applyFill="1"/>
    <xf numFmtId="2" fontId="0" fillId="6" borderId="32" xfId="0" applyNumberFormat="1" applyFill="1" applyBorder="1"/>
    <xf numFmtId="43" fontId="0" fillId="6" borderId="0" xfId="0" applyNumberFormat="1" applyFill="1"/>
    <xf numFmtId="43" fontId="0" fillId="6" borderId="0" xfId="1" applyFont="1" applyFill="1" applyBorder="1"/>
    <xf numFmtId="43" fontId="2" fillId="6" borderId="0" xfId="0" applyNumberFormat="1" applyFont="1" applyFill="1"/>
    <xf numFmtId="0" fontId="0" fillId="0" borderId="19" xfId="0" applyBorder="1"/>
    <xf numFmtId="2" fontId="0" fillId="0" borderId="12" xfId="0" applyNumberFormat="1" applyBorder="1"/>
    <xf numFmtId="2" fontId="0" fillId="0" borderId="23" xfId="0" applyNumberFormat="1" applyBorder="1"/>
    <xf numFmtId="0" fontId="2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8" borderId="34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164" fontId="0" fillId="0" borderId="26" xfId="0" applyNumberFormat="1" applyBorder="1"/>
    <xf numFmtId="0" fontId="2" fillId="9" borderId="8" xfId="0" applyFont="1" applyFill="1" applyBorder="1"/>
    <xf numFmtId="0" fontId="2" fillId="9" borderId="7" xfId="0" applyFont="1" applyFill="1" applyBorder="1"/>
    <xf numFmtId="0" fontId="2" fillId="5" borderId="2" xfId="0" applyFont="1" applyFill="1" applyBorder="1"/>
    <xf numFmtId="0" fontId="0" fillId="6" borderId="0" xfId="0" applyFill="1"/>
    <xf numFmtId="0" fontId="0" fillId="6" borderId="19" xfId="0" applyFill="1" applyBorder="1" applyAlignment="1">
      <alignment horizontal="center"/>
    </xf>
    <xf numFmtId="0" fontId="0" fillId="6" borderId="19" xfId="0" applyFill="1" applyBorder="1"/>
    <xf numFmtId="0" fontId="0" fillId="6" borderId="39" xfId="0" applyFill="1" applyBorder="1"/>
    <xf numFmtId="0" fontId="0" fillId="6" borderId="30" xfId="0" applyFill="1" applyBorder="1"/>
    <xf numFmtId="0" fontId="0" fillId="6" borderId="57" xfId="0" applyFill="1" applyBorder="1"/>
    <xf numFmtId="0" fontId="2" fillId="6" borderId="10" xfId="0" applyFont="1" applyFill="1" applyBorder="1"/>
    <xf numFmtId="43" fontId="0" fillId="0" borderId="58" xfId="1" applyFont="1" applyBorder="1"/>
    <xf numFmtId="43" fontId="0" fillId="0" borderId="10" xfId="1" applyFont="1" applyBorder="1"/>
    <xf numFmtId="165" fontId="0" fillId="5" borderId="1" xfId="1" applyNumberFormat="1" applyFont="1" applyFill="1" applyBorder="1"/>
    <xf numFmtId="43" fontId="0" fillId="0" borderId="0" xfId="1" applyFont="1" applyFill="1" applyBorder="1"/>
    <xf numFmtId="43" fontId="0" fillId="0" borderId="0" xfId="1" applyFont="1" applyBorder="1"/>
    <xf numFmtId="0" fontId="2" fillId="0" borderId="36" xfId="0" applyFont="1" applyBorder="1"/>
    <xf numFmtId="0" fontId="0" fillId="0" borderId="33" xfId="0" applyBorder="1"/>
    <xf numFmtId="43" fontId="2" fillId="8" borderId="30" xfId="1" applyFont="1" applyFill="1" applyBorder="1"/>
    <xf numFmtId="43" fontId="2" fillId="6" borderId="0" xfId="1" applyFont="1" applyFill="1" applyBorder="1"/>
    <xf numFmtId="43" fontId="2" fillId="8" borderId="60" xfId="0" applyNumberFormat="1" applyFont="1" applyFill="1" applyBorder="1"/>
    <xf numFmtId="0" fontId="0" fillId="8" borderId="31" xfId="0" applyFill="1" applyBorder="1"/>
    <xf numFmtId="2" fontId="0" fillId="0" borderId="0" xfId="0" applyNumberFormat="1"/>
    <xf numFmtId="43" fontId="0" fillId="8" borderId="30" xfId="0" applyNumberFormat="1" applyFill="1" applyBorder="1"/>
    <xf numFmtId="43" fontId="2" fillId="0" borderId="0" xfId="0" applyNumberFormat="1" applyFont="1"/>
    <xf numFmtId="43" fontId="2" fillId="0" borderId="0" xfId="1" applyFont="1"/>
    <xf numFmtId="165" fontId="2" fillId="7" borderId="1" xfId="1" applyNumberFormat="1" applyFont="1" applyFill="1" applyBorder="1"/>
    <xf numFmtId="165" fontId="2" fillId="7" borderId="4" xfId="1" applyNumberFormat="1" applyFont="1" applyFill="1" applyBorder="1"/>
    <xf numFmtId="165" fontId="2" fillId="7" borderId="3" xfId="1" applyNumberFormat="1" applyFont="1" applyFill="1" applyBorder="1"/>
    <xf numFmtId="165" fontId="2" fillId="0" borderId="0" xfId="1" applyNumberFormat="1" applyFont="1"/>
    <xf numFmtId="0" fontId="2" fillId="6" borderId="4" xfId="0" applyFont="1" applyFill="1" applyBorder="1"/>
    <xf numFmtId="165" fontId="2" fillId="6" borderId="4" xfId="1" applyNumberFormat="1" applyFont="1" applyFill="1" applyBorder="1"/>
    <xf numFmtId="165" fontId="2" fillId="6" borderId="1" xfId="1" applyNumberFormat="1" applyFont="1" applyFill="1" applyBorder="1"/>
    <xf numFmtId="0" fontId="2" fillId="7" borderId="1" xfId="0" applyFont="1" applyFill="1" applyBorder="1"/>
    <xf numFmtId="0" fontId="0" fillId="0" borderId="36" xfId="0" applyBorder="1" applyAlignment="1">
      <alignment horizontal="left" vertical="top"/>
    </xf>
    <xf numFmtId="43" fontId="0" fillId="0" borderId="1" xfId="1" applyFont="1" applyBorder="1"/>
    <xf numFmtId="43" fontId="0" fillId="10" borderId="1" xfId="1" applyFont="1" applyFill="1" applyBorder="1"/>
    <xf numFmtId="0" fontId="2" fillId="0" borderId="11" xfId="0" applyFont="1" applyBorder="1"/>
    <xf numFmtId="0" fontId="0" fillId="0" borderId="11" xfId="0" applyBorder="1" applyAlignment="1">
      <alignment horizontal="left" vertical="top"/>
    </xf>
    <xf numFmtId="0" fontId="2" fillId="0" borderId="13" xfId="0" applyFont="1" applyBorder="1"/>
    <xf numFmtId="17" fontId="2" fillId="0" borderId="26" xfId="0" applyNumberFormat="1" applyFont="1" applyBorder="1"/>
    <xf numFmtId="43" fontId="0" fillId="0" borderId="4" xfId="1" applyFont="1" applyBorder="1"/>
    <xf numFmtId="43" fontId="2" fillId="0" borderId="43" xfId="1" applyFont="1" applyBorder="1"/>
    <xf numFmtId="1" fontId="0" fillId="7" borderId="3" xfId="0" applyNumberFormat="1" applyFill="1" applyBorder="1"/>
    <xf numFmtId="1" fontId="0" fillId="7" borderId="51" xfId="0" applyNumberFormat="1" applyFill="1" applyBorder="1"/>
    <xf numFmtId="1" fontId="0" fillId="0" borderId="0" xfId="0" applyNumberFormat="1"/>
    <xf numFmtId="0" fontId="2" fillId="0" borderId="26" xfId="0" applyFont="1" applyBorder="1"/>
    <xf numFmtId="0" fontId="2" fillId="0" borderId="28" xfId="0" applyFont="1" applyBorder="1"/>
    <xf numFmtId="0" fontId="0" fillId="5" borderId="1" xfId="0" applyFill="1" applyBorder="1"/>
    <xf numFmtId="43" fontId="2" fillId="5" borderId="1" xfId="1" applyFont="1" applyFill="1" applyBorder="1"/>
    <xf numFmtId="165" fontId="1" fillId="8" borderId="31" xfId="1" applyNumberFormat="1" applyFont="1" applyFill="1" applyBorder="1"/>
    <xf numFmtId="43" fontId="2" fillId="0" borderId="14" xfId="1" applyFont="1" applyBorder="1"/>
    <xf numFmtId="166" fontId="0" fillId="0" borderId="0" xfId="0" applyNumberFormat="1"/>
    <xf numFmtId="0" fontId="3" fillId="0" borderId="47" xfId="0" applyFont="1" applyBorder="1"/>
    <xf numFmtId="0" fontId="3" fillId="0" borderId="11" xfId="0" applyFont="1" applyBorder="1"/>
    <xf numFmtId="0" fontId="3" fillId="0" borderId="61" xfId="0" applyFont="1" applyBorder="1"/>
    <xf numFmtId="0" fontId="3" fillId="12" borderId="11" xfId="0" applyFont="1" applyFill="1" applyBorder="1"/>
    <xf numFmtId="0" fontId="3" fillId="0" borderId="48" xfId="0" applyFont="1" applyBorder="1"/>
    <xf numFmtId="0" fontId="3" fillId="0" borderId="13" xfId="0" applyFont="1" applyBorder="1"/>
    <xf numFmtId="0" fontId="3" fillId="0" borderId="0" xfId="0" applyFont="1"/>
    <xf numFmtId="0" fontId="4" fillId="8" borderId="1" xfId="0" applyFont="1" applyFill="1" applyBorder="1"/>
    <xf numFmtId="165" fontId="4" fillId="10" borderId="0" xfId="0" applyNumberFormat="1" applyFont="1" applyFill="1"/>
    <xf numFmtId="165" fontId="3" fillId="0" borderId="0" xfId="0" applyNumberFormat="1" applyFont="1"/>
    <xf numFmtId="0" fontId="4" fillId="0" borderId="35" xfId="0" applyFont="1" applyBorder="1"/>
    <xf numFmtId="0" fontId="0" fillId="5" borderId="14" xfId="0" applyFill="1" applyBorder="1"/>
    <xf numFmtId="0" fontId="0" fillId="5" borderId="2" xfId="0" applyFill="1" applyBorder="1"/>
    <xf numFmtId="2" fontId="0" fillId="0" borderId="4" xfId="0" applyNumberFormat="1" applyBorder="1"/>
    <xf numFmtId="1" fontId="0" fillId="0" borderId="2" xfId="0" applyNumberFormat="1" applyBorder="1"/>
    <xf numFmtId="0" fontId="0" fillId="0" borderId="62" xfId="0" applyBorder="1"/>
    <xf numFmtId="3" fontId="0" fillId="0" borderId="0" xfId="0" applyNumberFormat="1"/>
    <xf numFmtId="17" fontId="2" fillId="0" borderId="53" xfId="0" applyNumberFormat="1" applyFont="1" applyBorder="1"/>
    <xf numFmtId="0" fontId="0" fillId="0" borderId="63" xfId="0" applyBorder="1"/>
    <xf numFmtId="17" fontId="2" fillId="6" borderId="26" xfId="0" applyNumberFormat="1" applyFont="1" applyFill="1" applyBorder="1"/>
    <xf numFmtId="0" fontId="0" fillId="6" borderId="1" xfId="0" applyFill="1" applyBorder="1"/>
    <xf numFmtId="43" fontId="0" fillId="6" borderId="1" xfId="1" applyFont="1" applyFill="1" applyBorder="1"/>
    <xf numFmtId="43" fontId="2" fillId="6" borderId="1" xfId="1" applyFont="1" applyFill="1" applyBorder="1"/>
    <xf numFmtId="43" fontId="2" fillId="6" borderId="14" xfId="1" applyFont="1" applyFill="1" applyBorder="1"/>
    <xf numFmtId="165" fontId="0" fillId="0" borderId="1" xfId="1" applyNumberFormat="1" applyFont="1" applyBorder="1"/>
    <xf numFmtId="0" fontId="0" fillId="0" borderId="64" xfId="0" applyBorder="1"/>
    <xf numFmtId="0" fontId="2" fillId="0" borderId="54" xfId="0" applyFont="1" applyBorder="1"/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" fontId="0" fillId="7" borderId="4" xfId="0" applyNumberFormat="1" applyFill="1" applyBorder="1"/>
    <xf numFmtId="0" fontId="0" fillId="0" borderId="65" xfId="0" applyBorder="1"/>
    <xf numFmtId="1" fontId="0" fillId="7" borderId="62" xfId="0" applyNumberFormat="1" applyFill="1" applyBorder="1"/>
    <xf numFmtId="0" fontId="0" fillId="0" borderId="56" xfId="0" applyBorder="1"/>
    <xf numFmtId="1" fontId="0" fillId="0" borderId="14" xfId="0" applyNumberFormat="1" applyBorder="1"/>
    <xf numFmtId="2" fontId="0" fillId="0" borderId="15" xfId="0" applyNumberFormat="1" applyBorder="1"/>
    <xf numFmtId="0" fontId="3" fillId="12" borderId="22" xfId="0" applyFont="1" applyFill="1" applyBorder="1"/>
    <xf numFmtId="0" fontId="0" fillId="6" borderId="10" xfId="0" applyFill="1" applyBorder="1"/>
    <xf numFmtId="0" fontId="0" fillId="6" borderId="66" xfId="0" applyFill="1" applyBorder="1"/>
    <xf numFmtId="43" fontId="0" fillId="7" borderId="59" xfId="1" applyFont="1" applyFill="1" applyBorder="1"/>
    <xf numFmtId="43" fontId="0" fillId="0" borderId="63" xfId="1" applyFont="1" applyBorder="1"/>
    <xf numFmtId="2" fontId="0" fillId="0" borderId="1" xfId="0" applyNumberFormat="1" applyBorder="1"/>
    <xf numFmtId="164" fontId="0" fillId="0" borderId="1" xfId="0" applyNumberFormat="1" applyBorder="1"/>
    <xf numFmtId="0" fontId="0" fillId="9" borderId="1" xfId="0" applyFill="1" applyBorder="1"/>
    <xf numFmtId="1" fontId="0" fillId="5" borderId="1" xfId="0" applyNumberFormat="1" applyFill="1" applyBorder="1"/>
    <xf numFmtId="2" fontId="0" fillId="5" borderId="12" xfId="0" applyNumberFormat="1" applyFill="1" applyBorder="1"/>
    <xf numFmtId="43" fontId="2" fillId="0" borderId="59" xfId="0" applyNumberFormat="1" applyFont="1" applyBorder="1"/>
    <xf numFmtId="43" fontId="0" fillId="0" borderId="0" xfId="1" applyFont="1"/>
    <xf numFmtId="43" fontId="0" fillId="7" borderId="59" xfId="0" applyNumberFormat="1" applyFill="1" applyBorder="1"/>
    <xf numFmtId="43" fontId="2" fillId="0" borderId="14" xfId="0" applyNumberFormat="1" applyFont="1" applyBorder="1"/>
    <xf numFmtId="43" fontId="3" fillId="7" borderId="1" xfId="1" applyFont="1" applyFill="1" applyBorder="1"/>
    <xf numFmtId="43" fontId="3" fillId="7" borderId="14" xfId="1" applyFont="1" applyFill="1" applyBorder="1"/>
    <xf numFmtId="165" fontId="0" fillId="7" borderId="3" xfId="1" applyNumberFormat="1" applyFont="1" applyFill="1" applyBorder="1"/>
    <xf numFmtId="0" fontId="4" fillId="0" borderId="1" xfId="0" applyFont="1" applyBorder="1"/>
    <xf numFmtId="165" fontId="4" fillId="0" borderId="0" xfId="0" applyNumberFormat="1" applyFont="1"/>
    <xf numFmtId="0" fontId="4" fillId="0" borderId="19" xfId="0" applyFont="1" applyBorder="1"/>
    <xf numFmtId="0" fontId="4" fillId="0" borderId="27" xfId="0" applyFont="1" applyBorder="1"/>
    <xf numFmtId="0" fontId="4" fillId="0" borderId="25" xfId="0" applyFont="1" applyBorder="1"/>
    <xf numFmtId="0" fontId="4" fillId="0" borderId="38" xfId="0" applyFont="1" applyBorder="1"/>
    <xf numFmtId="0" fontId="4" fillId="0" borderId="34" xfId="0" applyFont="1" applyBorder="1"/>
    <xf numFmtId="43" fontId="4" fillId="0" borderId="0" xfId="1" applyFont="1" applyFill="1"/>
    <xf numFmtId="43" fontId="0" fillId="0" borderId="1" xfId="1" applyFont="1" applyFill="1" applyBorder="1"/>
    <xf numFmtId="0" fontId="3" fillId="0" borderId="45" xfId="0" applyFont="1" applyBorder="1"/>
    <xf numFmtId="43" fontId="3" fillId="7" borderId="26" xfId="1" applyFont="1" applyFill="1" applyBorder="1"/>
    <xf numFmtId="0" fontId="0" fillId="5" borderId="67" xfId="0" applyFill="1" applyBorder="1"/>
    <xf numFmtId="0" fontId="2" fillId="0" borderId="45" xfId="0" applyFont="1" applyBorder="1"/>
    <xf numFmtId="43" fontId="0" fillId="12" borderId="0" xfId="0" applyNumberFormat="1" applyFill="1"/>
    <xf numFmtId="4" fontId="0" fillId="0" borderId="0" xfId="0" applyNumberFormat="1"/>
    <xf numFmtId="43" fontId="2" fillId="0" borderId="66" xfId="0" applyNumberFormat="1" applyFont="1" applyBorder="1"/>
    <xf numFmtId="0" fontId="3" fillId="7" borderId="1" xfId="0" applyFont="1" applyFill="1" applyBorder="1"/>
    <xf numFmtId="0" fontId="3" fillId="7" borderId="1" xfId="0" applyFont="1" applyFill="1" applyBorder="1" applyAlignment="1">
      <alignment horizontal="left"/>
    </xf>
    <xf numFmtId="0" fontId="3" fillId="7" borderId="1" xfId="0" quotePrefix="1" applyFont="1" applyFill="1" applyBorder="1"/>
    <xf numFmtId="165" fontId="3" fillId="7" borderId="1" xfId="1" applyNumberFormat="1" applyFont="1" applyFill="1" applyBorder="1"/>
    <xf numFmtId="14" fontId="3" fillId="7" borderId="1" xfId="0" applyNumberFormat="1" applyFont="1" applyFill="1" applyBorder="1"/>
    <xf numFmtId="0" fontId="4" fillId="7" borderId="1" xfId="0" applyFont="1" applyFill="1" applyBorder="1"/>
    <xf numFmtId="164" fontId="3" fillId="7" borderId="1" xfId="0" applyNumberFormat="1" applyFont="1" applyFill="1" applyBorder="1"/>
    <xf numFmtId="43" fontId="3" fillId="7" borderId="0" xfId="1" applyFont="1" applyFill="1"/>
    <xf numFmtId="0" fontId="3" fillId="7" borderId="0" xfId="0" applyFont="1" applyFill="1"/>
    <xf numFmtId="1" fontId="3" fillId="7" borderId="1" xfId="0" quotePrefix="1" applyNumberFormat="1" applyFont="1" applyFill="1" applyBorder="1" applyAlignment="1">
      <alignment horizontal="left"/>
    </xf>
    <xf numFmtId="1" fontId="3" fillId="0" borderId="53" xfId="0" applyNumberFormat="1" applyFont="1" applyBorder="1" applyAlignment="1">
      <alignment horizontal="right" vertical="center"/>
    </xf>
    <xf numFmtId="1" fontId="3" fillId="0" borderId="44" xfId="0" applyNumberFormat="1" applyFont="1" applyBorder="1" applyAlignment="1">
      <alignment horizontal="right" vertical="center"/>
    </xf>
    <xf numFmtId="1" fontId="3" fillId="0" borderId="5" xfId="0" applyNumberFormat="1" applyFont="1" applyBorder="1" applyAlignment="1">
      <alignment horizontal="right" vertical="center"/>
    </xf>
    <xf numFmtId="1" fontId="3" fillId="0" borderId="17" xfId="0" applyNumberFormat="1" applyFont="1" applyBorder="1" applyAlignment="1">
      <alignment horizontal="right" vertical="center"/>
    </xf>
    <xf numFmtId="0" fontId="3" fillId="0" borderId="68" xfId="0" applyFont="1" applyBorder="1"/>
    <xf numFmtId="0" fontId="3" fillId="0" borderId="60" xfId="0" applyFont="1" applyBorder="1"/>
    <xf numFmtId="0" fontId="3" fillId="0" borderId="39" xfId="0" applyFont="1" applyBorder="1"/>
    <xf numFmtId="0" fontId="3" fillId="0" borderId="57" xfId="0" applyFont="1" applyBorder="1"/>
    <xf numFmtId="0" fontId="3" fillId="0" borderId="35" xfId="0" applyFont="1" applyBorder="1"/>
    <xf numFmtId="43" fontId="4" fillId="0" borderId="68" xfId="1" applyFont="1" applyFill="1" applyBorder="1"/>
    <xf numFmtId="43" fontId="4" fillId="0" borderId="60" xfId="1" applyFont="1" applyFill="1" applyBorder="1"/>
    <xf numFmtId="43" fontId="4" fillId="0" borderId="57" xfId="1" applyFont="1" applyFill="1" applyBorder="1"/>
    <xf numFmtId="43" fontId="2" fillId="7" borderId="44" xfId="1" applyFont="1" applyFill="1" applyBorder="1"/>
    <xf numFmtId="4" fontId="2" fillId="0" borderId="1" xfId="0" applyNumberFormat="1" applyFont="1" applyBorder="1"/>
    <xf numFmtId="43" fontId="2" fillId="0" borderId="1" xfId="0" applyNumberFormat="1" applyFont="1" applyBorder="1"/>
    <xf numFmtId="43" fontId="0" fillId="12" borderId="1" xfId="0" applyNumberFormat="1" applyFill="1" applyBorder="1"/>
    <xf numFmtId="43" fontId="0" fillId="0" borderId="1" xfId="0" applyNumberFormat="1" applyBorder="1"/>
    <xf numFmtId="43" fontId="2" fillId="7" borderId="1" xfId="1" applyFont="1" applyFill="1" applyBorder="1"/>
    <xf numFmtId="43" fontId="2" fillId="0" borderId="32" xfId="0" applyNumberFormat="1" applyFont="1" applyBorder="1"/>
    <xf numFmtId="9" fontId="0" fillId="0" borderId="0" xfId="0" applyNumberFormat="1"/>
    <xf numFmtId="9" fontId="0" fillId="0" borderId="1" xfId="0" applyNumberFormat="1" applyBorder="1"/>
    <xf numFmtId="4" fontId="0" fillId="0" borderId="1" xfId="0" applyNumberFormat="1" applyBorder="1"/>
    <xf numFmtId="1" fontId="3" fillId="7" borderId="1" xfId="0" applyNumberFormat="1" applyFont="1" applyFill="1" applyBorder="1" applyAlignment="1">
      <alignment horizontal="left"/>
    </xf>
    <xf numFmtId="3" fontId="0" fillId="0" borderId="1" xfId="0" applyNumberFormat="1" applyBorder="1"/>
    <xf numFmtId="0" fontId="0" fillId="12" borderId="0" xfId="0" applyFill="1"/>
    <xf numFmtId="0" fontId="0" fillId="12" borderId="50" xfId="0" applyFill="1" applyBorder="1"/>
    <xf numFmtId="0" fontId="0" fillId="13" borderId="0" xfId="0" applyFill="1"/>
    <xf numFmtId="14" fontId="0" fillId="0" borderId="1" xfId="0" applyNumberFormat="1" applyBorder="1"/>
    <xf numFmtId="0" fontId="0" fillId="12" borderId="2" xfId="0" applyFill="1" applyBorder="1"/>
    <xf numFmtId="0" fontId="0" fillId="12" borderId="2" xfId="0" quotePrefix="1" applyFill="1" applyBorder="1"/>
    <xf numFmtId="0" fontId="0" fillId="5" borderId="3" xfId="0" applyFill="1" applyBorder="1"/>
    <xf numFmtId="0" fontId="0" fillId="12" borderId="1" xfId="0" applyFill="1" applyBorder="1"/>
    <xf numFmtId="0" fontId="0" fillId="12" borderId="14" xfId="0" applyFill="1" applyBorder="1"/>
    <xf numFmtId="1" fontId="0" fillId="5" borderId="14" xfId="0" applyNumberFormat="1" applyFill="1" applyBorder="1"/>
    <xf numFmtId="1" fontId="0" fillId="12" borderId="2" xfId="0" applyNumberFormat="1" applyFill="1" applyBorder="1"/>
    <xf numFmtId="0" fontId="0" fillId="5" borderId="62" xfId="0" applyFill="1" applyBorder="1"/>
    <xf numFmtId="0" fontId="2" fillId="7" borderId="0" xfId="0" applyFont="1" applyFill="1"/>
    <xf numFmtId="0" fontId="2" fillId="0" borderId="44" xfId="0" applyFont="1" applyBorder="1"/>
    <xf numFmtId="0" fontId="3" fillId="12" borderId="1" xfId="0" applyFont="1" applyFill="1" applyBorder="1"/>
    <xf numFmtId="0" fontId="3" fillId="12" borderId="1" xfId="0" applyFont="1" applyFill="1" applyBorder="1" applyAlignment="1">
      <alignment horizontal="left"/>
    </xf>
    <xf numFmtId="0" fontId="3" fillId="12" borderId="1" xfId="0" quotePrefix="1" applyFont="1" applyFill="1" applyBorder="1"/>
    <xf numFmtId="165" fontId="3" fillId="12" borderId="1" xfId="1" applyNumberFormat="1" applyFont="1" applyFill="1" applyBorder="1"/>
    <xf numFmtId="14" fontId="3" fillId="12" borderId="1" xfId="0" applyNumberFormat="1" applyFont="1" applyFill="1" applyBorder="1"/>
    <xf numFmtId="0" fontId="4" fillId="12" borderId="1" xfId="0" applyFont="1" applyFill="1" applyBorder="1"/>
    <xf numFmtId="164" fontId="3" fillId="12" borderId="1" xfId="0" applyNumberFormat="1" applyFont="1" applyFill="1" applyBorder="1"/>
    <xf numFmtId="43" fontId="3" fillId="12" borderId="1" xfId="1" applyFont="1" applyFill="1" applyBorder="1"/>
    <xf numFmtId="43" fontId="3" fillId="12" borderId="0" xfId="1" applyFont="1" applyFill="1"/>
    <xf numFmtId="0" fontId="3" fillId="12" borderId="0" xfId="0" applyFont="1" applyFill="1"/>
    <xf numFmtId="43" fontId="3" fillId="0" borderId="0" xfId="0" applyNumberFormat="1" applyFont="1"/>
    <xf numFmtId="43" fontId="3" fillId="0" borderId="0" xfId="1" applyFont="1"/>
    <xf numFmtId="43" fontId="0" fillId="0" borderId="66" xfId="0" applyNumberFormat="1" applyBorder="1"/>
    <xf numFmtId="165" fontId="0" fillId="10" borderId="0" xfId="1" applyNumberFormat="1" applyFont="1" applyFill="1" applyBorder="1"/>
    <xf numFmtId="43" fontId="2" fillId="0" borderId="43" xfId="0" applyNumberFormat="1" applyFont="1" applyBorder="1"/>
    <xf numFmtId="0" fontId="2" fillId="0" borderId="0" xfId="0" applyFont="1" applyAlignment="1">
      <alignment horizontal="center"/>
    </xf>
    <xf numFmtId="0" fontId="2" fillId="0" borderId="32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7" xfId="0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0" fillId="8" borderId="0" xfId="0" applyFill="1" applyBorder="1"/>
    <xf numFmtId="0" fontId="0" fillId="0" borderId="1" xfId="0" applyFill="1" applyBorder="1"/>
  </cellXfs>
  <cellStyles count="3">
    <cellStyle name="Comma" xfId="1" builtinId="3"/>
    <cellStyle name="Normal" xfId="0" builtinId="0"/>
    <cellStyle name="Normal 2" xfId="2" xr:uid="{3D9786BD-2CD2-4EAB-B8AD-88A82AB637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righttocare-my.sharepoint.com/personal/emma_oradu-oita_righttocare-zambia_org/Documents/Documents/EMMA/Chesantto/2025/Management%20Reports/Chesantto%20Books_May%202025_.xlsx" TargetMode="External"/><Relationship Id="rId1" Type="http://schemas.openxmlformats.org/officeDocument/2006/relationships/externalLinkPath" Target="Chesantto%20Books_May%202025_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righttocare-my.sharepoint.com/personal/emma_oradu-oita_righttocare-zambia_org/Documents/Documents/EMMA/Chesantto/2025/Reconciliations/September%202025.xlsx" TargetMode="External"/><Relationship Id="rId1" Type="http://schemas.openxmlformats.org/officeDocument/2006/relationships/externalLinkPath" Target="/personal/emma_oradu-oita_righttocare-zambia_org/Documents/Documents/EMMA/Chesantto/2025/Reconciliations/September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nth on Month Numbers"/>
      <sheetName val="Profit and Loss Ac"/>
      <sheetName val="MAY Summary"/>
      <sheetName val="Production"/>
      <sheetName val="Packaging materials accounting"/>
      <sheetName val="Dispatch and Sales per day"/>
      <sheetName val="Closing stock product"/>
      <sheetName val="Closing stock inventory"/>
      <sheetName val="Staff Salaries"/>
      <sheetName val="Expenditure"/>
    </sheetNames>
    <sheetDataSet>
      <sheetData sheetId="0"/>
      <sheetData sheetId="1"/>
      <sheetData sheetId="2"/>
      <sheetData sheetId="3"/>
      <sheetData sheetId="4">
        <row r="33">
          <cell r="B33">
            <v>16853</v>
          </cell>
          <cell r="F33">
            <v>19487</v>
          </cell>
          <cell r="J33">
            <v>15110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ptembe Reconciliation Summary"/>
      <sheetName val="Mike"/>
      <sheetName val="Ipaat"/>
      <sheetName val="Matayos Depot"/>
      <sheetName val="Enos"/>
      <sheetName val="Jeremiah"/>
      <sheetName val="Okiya &amp; Edwardo"/>
      <sheetName val="Moses"/>
    </sheetNames>
    <sheetDataSet>
      <sheetData sheetId="0"/>
      <sheetData sheetId="1">
        <row r="33">
          <cell r="E33">
            <v>796875</v>
          </cell>
        </row>
        <row r="69">
          <cell r="E69">
            <v>784160</v>
          </cell>
        </row>
      </sheetData>
      <sheetData sheetId="2">
        <row r="22">
          <cell r="E22">
            <v>256595</v>
          </cell>
        </row>
        <row r="67">
          <cell r="E67">
            <v>256595</v>
          </cell>
        </row>
        <row r="71">
          <cell r="D71">
            <v>0</v>
          </cell>
        </row>
      </sheetData>
      <sheetData sheetId="3">
        <row r="65">
          <cell r="D65">
            <v>314220</v>
          </cell>
        </row>
        <row r="66">
          <cell r="D66">
            <v>301870</v>
          </cell>
        </row>
      </sheetData>
      <sheetData sheetId="4">
        <row r="56">
          <cell r="E56">
            <v>862540</v>
          </cell>
        </row>
        <row r="95">
          <cell r="E95">
            <v>862540</v>
          </cell>
        </row>
        <row r="99">
          <cell r="D99">
            <v>0</v>
          </cell>
        </row>
      </sheetData>
      <sheetData sheetId="5">
        <row r="48">
          <cell r="E48">
            <v>570160</v>
          </cell>
        </row>
        <row r="90">
          <cell r="E90">
            <v>570160</v>
          </cell>
        </row>
        <row r="94">
          <cell r="D94">
            <v>0</v>
          </cell>
        </row>
      </sheetData>
      <sheetData sheetId="6">
        <row r="36">
          <cell r="E36">
            <v>343110</v>
          </cell>
          <cell r="F36">
            <v>437120</v>
          </cell>
        </row>
        <row r="143">
          <cell r="E143">
            <v>696875</v>
          </cell>
        </row>
        <row r="147">
          <cell r="D147">
            <v>80235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A0E7-0E4A-4334-A504-6F9EC92EEC7F}">
  <dimension ref="A1:V72"/>
  <sheetViews>
    <sheetView zoomScale="74" zoomScaleNormal="74" workbookViewId="0">
      <selection activeCell="X41" sqref="X41"/>
    </sheetView>
  </sheetViews>
  <sheetFormatPr defaultRowHeight="14.5" x14ac:dyDescent="0.35"/>
  <cols>
    <col min="1" max="1" width="26.1796875" bestFit="1" customWidth="1"/>
    <col min="2" max="2" width="8.7265625" customWidth="1"/>
    <col min="3" max="3" width="7" customWidth="1"/>
    <col min="4" max="7" width="13.90625" hidden="1" customWidth="1"/>
    <col min="8" max="8" width="2.90625" hidden="1" customWidth="1"/>
    <col min="9" max="9" width="19.36328125" hidden="1" customWidth="1"/>
    <col min="10" max="11" width="15.26953125" hidden="1" customWidth="1"/>
    <col min="12" max="12" width="13.90625" hidden="1" customWidth="1"/>
    <col min="13" max="13" width="12.7265625" hidden="1" customWidth="1"/>
    <col min="14" max="14" width="12.7265625" customWidth="1"/>
    <col min="15" max="15" width="8.7265625" customWidth="1"/>
    <col min="16" max="16" width="13.54296875" customWidth="1"/>
    <col min="17" max="17" width="14.90625" customWidth="1"/>
  </cols>
  <sheetData>
    <row r="1" spans="1:22" ht="15" thickBot="1" x14ac:dyDescent="0.4">
      <c r="D1">
        <v>1</v>
      </c>
      <c r="E1">
        <v>2</v>
      </c>
      <c r="F1">
        <v>3</v>
      </c>
      <c r="G1">
        <v>4</v>
      </c>
      <c r="I1">
        <v>5</v>
      </c>
      <c r="J1">
        <v>6</v>
      </c>
      <c r="K1">
        <v>7</v>
      </c>
    </row>
    <row r="2" spans="1:22" x14ac:dyDescent="0.35">
      <c r="A2" s="80"/>
      <c r="B2" s="41"/>
      <c r="C2" s="209">
        <v>45505</v>
      </c>
      <c r="D2" s="179">
        <v>45536</v>
      </c>
      <c r="E2" s="179">
        <v>45566</v>
      </c>
      <c r="F2" s="179">
        <v>45597</v>
      </c>
      <c r="G2" s="179">
        <v>45627</v>
      </c>
      <c r="H2" s="211"/>
      <c r="I2" s="179">
        <v>45658</v>
      </c>
      <c r="J2" s="179">
        <v>45689</v>
      </c>
      <c r="K2" s="179">
        <v>45717</v>
      </c>
      <c r="L2" s="179">
        <v>45748</v>
      </c>
      <c r="M2" s="179">
        <v>45778</v>
      </c>
      <c r="N2" s="179">
        <v>45809</v>
      </c>
      <c r="O2" s="179">
        <v>45839</v>
      </c>
      <c r="P2" s="179">
        <v>45870</v>
      </c>
      <c r="Q2" s="179">
        <v>45901</v>
      </c>
      <c r="R2" s="185"/>
      <c r="S2" s="185"/>
      <c r="T2" s="185"/>
      <c r="U2" s="185"/>
      <c r="V2" s="186"/>
    </row>
    <row r="3" spans="1:22" x14ac:dyDescent="0.35">
      <c r="A3" s="176" t="s">
        <v>216</v>
      </c>
      <c r="B3" s="1"/>
      <c r="C3" s="79"/>
      <c r="D3" s="1"/>
      <c r="E3" s="1"/>
      <c r="F3" s="1"/>
      <c r="G3" s="1"/>
      <c r="H3" s="212"/>
      <c r="I3" s="1"/>
      <c r="J3" s="1"/>
      <c r="K3" s="1"/>
      <c r="L3" s="210"/>
      <c r="M3" s="1"/>
      <c r="N3" s="1"/>
      <c r="O3" s="1"/>
      <c r="P3" s="1"/>
      <c r="Q3" s="1"/>
      <c r="R3" s="1"/>
      <c r="S3" s="1"/>
      <c r="T3" s="1"/>
      <c r="U3" s="1"/>
      <c r="V3" s="10"/>
    </row>
    <row r="4" spans="1:22" x14ac:dyDescent="0.35">
      <c r="A4" s="176" t="s">
        <v>641</v>
      </c>
      <c r="B4" s="1"/>
      <c r="C4" s="79"/>
      <c r="D4" s="1"/>
      <c r="E4" s="1"/>
      <c r="F4" s="1"/>
      <c r="G4" s="1"/>
      <c r="H4" s="212"/>
      <c r="I4" s="1"/>
      <c r="J4" s="1"/>
      <c r="K4" s="1"/>
      <c r="L4" s="210"/>
      <c r="M4" s="1"/>
      <c r="N4" s="1"/>
      <c r="O4" s="1"/>
      <c r="P4" s="1"/>
      <c r="Q4" s="174">
        <v>1050000</v>
      </c>
      <c r="R4" s="1"/>
      <c r="S4" s="1"/>
      <c r="T4" s="1"/>
      <c r="U4" s="1"/>
      <c r="V4" s="10"/>
    </row>
    <row r="5" spans="1:22" x14ac:dyDescent="0.35">
      <c r="A5" s="9" t="s">
        <v>0</v>
      </c>
      <c r="B5" s="1"/>
      <c r="C5" s="79"/>
      <c r="D5" s="174">
        <v>694030</v>
      </c>
      <c r="E5" s="174">
        <v>957890</v>
      </c>
      <c r="F5" s="174">
        <v>894150</v>
      </c>
      <c r="G5" s="174">
        <v>908130</v>
      </c>
      <c r="H5" s="213"/>
      <c r="I5" s="174">
        <v>1033480</v>
      </c>
      <c r="J5" s="174">
        <v>1154730</v>
      </c>
      <c r="K5" s="174">
        <v>1171530</v>
      </c>
      <c r="L5" s="231">
        <v>1061705</v>
      </c>
      <c r="M5" s="174">
        <v>1104060</v>
      </c>
      <c r="N5" s="174">
        <v>1050740</v>
      </c>
      <c r="O5" s="1"/>
      <c r="P5" s="174">
        <v>588030</v>
      </c>
      <c r="Q5" s="174">
        <v>794635</v>
      </c>
      <c r="R5" s="1"/>
      <c r="S5" s="1"/>
      <c r="T5" s="1"/>
      <c r="U5" s="1"/>
      <c r="V5" s="10"/>
    </row>
    <row r="6" spans="1:22" x14ac:dyDescent="0.35">
      <c r="A6" s="9" t="s">
        <v>1</v>
      </c>
      <c r="B6" s="1"/>
      <c r="C6" s="79"/>
      <c r="D6" s="174">
        <v>1382900</v>
      </c>
      <c r="E6" s="174">
        <v>1698200</v>
      </c>
      <c r="F6" s="174">
        <v>1596300</v>
      </c>
      <c r="G6" s="174">
        <v>1741120</v>
      </c>
      <c r="H6" s="213"/>
      <c r="I6" s="174">
        <v>2306560</v>
      </c>
      <c r="J6" s="174">
        <v>2081180</v>
      </c>
      <c r="K6" s="174">
        <v>2099900</v>
      </c>
      <c r="L6" s="231">
        <v>2164800</v>
      </c>
      <c r="M6" s="174">
        <v>2225900</v>
      </c>
      <c r="N6" s="174">
        <v>2041600</v>
      </c>
      <c r="O6" s="1"/>
      <c r="P6" s="174">
        <v>1261640</v>
      </c>
      <c r="Q6" s="174">
        <v>2117900</v>
      </c>
      <c r="R6" s="1"/>
      <c r="S6" s="1"/>
      <c r="T6" s="1"/>
      <c r="U6" s="1"/>
      <c r="V6" s="10"/>
    </row>
    <row r="7" spans="1:22" x14ac:dyDescent="0.35">
      <c r="A7" s="9" t="s">
        <v>196</v>
      </c>
      <c r="B7" s="1"/>
      <c r="C7" s="79"/>
      <c r="D7" s="174">
        <v>0</v>
      </c>
      <c r="E7" s="174">
        <v>123300</v>
      </c>
      <c r="F7" s="174">
        <v>229150</v>
      </c>
      <c r="G7" s="174">
        <v>277850</v>
      </c>
      <c r="H7" s="213"/>
      <c r="I7" s="174">
        <v>424600</v>
      </c>
      <c r="J7" s="174">
        <v>538400</v>
      </c>
      <c r="K7" s="174">
        <v>789090</v>
      </c>
      <c r="L7" s="231">
        <v>731950</v>
      </c>
      <c r="M7" s="174">
        <v>820550</v>
      </c>
      <c r="N7" s="174">
        <v>717110</v>
      </c>
      <c r="O7" s="1"/>
      <c r="P7" s="174">
        <v>489400</v>
      </c>
      <c r="Q7" s="174">
        <v>865180</v>
      </c>
      <c r="R7" s="1"/>
      <c r="S7" s="1"/>
      <c r="T7" s="1"/>
      <c r="U7" s="1"/>
      <c r="V7" s="10"/>
    </row>
    <row r="8" spans="1:22" ht="15" thickBot="1" x14ac:dyDescent="0.4">
      <c r="A8" s="9" t="s">
        <v>217</v>
      </c>
      <c r="B8" s="1"/>
      <c r="C8" s="79"/>
      <c r="D8" s="181">
        <f>SUM(D5:D7)</f>
        <v>2076930</v>
      </c>
      <c r="E8" s="181">
        <f>SUM(E5:E7)</f>
        <v>2779390</v>
      </c>
      <c r="F8" s="181">
        <f>SUM(F5:F7)</f>
        <v>2719600</v>
      </c>
      <c r="G8" s="181">
        <f>SUM(G5:G7)</f>
        <v>2927100</v>
      </c>
      <c r="H8" s="214"/>
      <c r="I8" s="181">
        <f t="shared" ref="I8:P8" si="0">SUM(I5:I7)</f>
        <v>3764640</v>
      </c>
      <c r="J8" s="181">
        <f t="shared" si="0"/>
        <v>3774310</v>
      </c>
      <c r="K8" s="181">
        <f t="shared" si="0"/>
        <v>4060520</v>
      </c>
      <c r="L8" s="181">
        <f t="shared" si="0"/>
        <v>3958455</v>
      </c>
      <c r="M8" s="181">
        <f t="shared" si="0"/>
        <v>4150510</v>
      </c>
      <c r="N8" s="181">
        <f t="shared" si="0"/>
        <v>3809450</v>
      </c>
      <c r="O8" s="1"/>
      <c r="P8" s="181">
        <f t="shared" si="0"/>
        <v>2339070</v>
      </c>
      <c r="Q8" s="181">
        <f>SUM(Q4:Q7)</f>
        <v>4827715</v>
      </c>
      <c r="R8" s="1"/>
      <c r="S8" s="1"/>
      <c r="T8" s="1"/>
      <c r="U8" s="1"/>
      <c r="V8" s="10"/>
    </row>
    <row r="9" spans="1:22" ht="15" thickTop="1" x14ac:dyDescent="0.35">
      <c r="A9" s="9"/>
      <c r="B9" s="1"/>
      <c r="C9" s="79"/>
      <c r="D9" s="180"/>
      <c r="E9" s="180"/>
      <c r="F9" s="180"/>
      <c r="G9" s="180"/>
      <c r="H9" s="213"/>
      <c r="I9" s="180"/>
      <c r="J9" s="6"/>
      <c r="K9" s="6"/>
      <c r="L9" s="210"/>
      <c r="M9" s="1"/>
      <c r="N9" s="1"/>
      <c r="O9" s="1"/>
      <c r="P9" s="1"/>
      <c r="Q9" s="1"/>
      <c r="R9" s="1"/>
      <c r="S9" s="1"/>
      <c r="T9" s="1"/>
      <c r="U9" s="1"/>
      <c r="V9" s="10"/>
    </row>
    <row r="10" spans="1:22" x14ac:dyDescent="0.35">
      <c r="A10" s="9" t="s">
        <v>218</v>
      </c>
      <c r="B10" s="1"/>
      <c r="C10" s="79"/>
      <c r="D10" s="174"/>
      <c r="E10" s="174"/>
      <c r="F10" s="174"/>
      <c r="G10" s="174"/>
      <c r="H10" s="213"/>
      <c r="I10" s="174"/>
      <c r="J10" s="1"/>
      <c r="K10" s="1"/>
      <c r="L10" s="210"/>
      <c r="M10" s="1"/>
      <c r="N10" s="1"/>
      <c r="O10" s="1"/>
      <c r="P10" s="1"/>
      <c r="Q10" s="1"/>
      <c r="R10" s="1"/>
      <c r="S10" s="1"/>
      <c r="T10" s="1"/>
      <c r="U10" s="1"/>
      <c r="V10" s="10"/>
    </row>
    <row r="11" spans="1:22" x14ac:dyDescent="0.35">
      <c r="A11" s="176" t="s">
        <v>219</v>
      </c>
      <c r="B11" s="1"/>
      <c r="C11" s="79"/>
      <c r="D11" s="174"/>
      <c r="E11" s="174"/>
      <c r="F11" s="174"/>
      <c r="G11" s="174"/>
      <c r="H11" s="213"/>
      <c r="I11" s="174"/>
      <c r="J11" s="1"/>
      <c r="K11" s="1"/>
      <c r="L11" s="210"/>
      <c r="M11" s="1"/>
      <c r="N11" s="1"/>
      <c r="O11" s="1"/>
      <c r="P11" s="1"/>
      <c r="Q11" s="1"/>
      <c r="R11" s="1"/>
      <c r="S11" s="1"/>
      <c r="T11" s="1"/>
      <c r="U11" s="1"/>
      <c r="V11" s="10"/>
    </row>
    <row r="12" spans="1:22" x14ac:dyDescent="0.35">
      <c r="A12" s="9" t="s">
        <v>2</v>
      </c>
      <c r="B12" s="1"/>
      <c r="C12" s="79"/>
      <c r="D12" s="174">
        <v>700034.6</v>
      </c>
      <c r="E12" s="174">
        <v>1001081</v>
      </c>
      <c r="F12" s="174">
        <v>1008919</v>
      </c>
      <c r="G12" s="174">
        <v>1030565</v>
      </c>
      <c r="H12" s="213"/>
      <c r="I12" s="174">
        <v>1428297</v>
      </c>
      <c r="J12" s="174">
        <v>1311743</v>
      </c>
      <c r="K12" s="174">
        <v>1398158</v>
      </c>
      <c r="L12" s="231">
        <v>1124809</v>
      </c>
      <c r="M12" s="174">
        <v>1468338</v>
      </c>
      <c r="N12" s="174">
        <v>1346608</v>
      </c>
      <c r="O12" s="1"/>
      <c r="P12" s="174">
        <v>802852</v>
      </c>
      <c r="Q12" s="174">
        <v>1398514</v>
      </c>
      <c r="R12" s="1"/>
      <c r="S12" s="1"/>
      <c r="T12" s="1"/>
      <c r="U12" s="1"/>
      <c r="V12" s="10"/>
    </row>
    <row r="13" spans="1:22" x14ac:dyDescent="0.35">
      <c r="A13" s="9" t="s">
        <v>3</v>
      </c>
      <c r="B13" s="1"/>
      <c r="C13" s="79"/>
      <c r="D13" s="174">
        <v>117370</v>
      </c>
      <c r="E13" s="174">
        <v>170671</v>
      </c>
      <c r="F13" s="174">
        <v>157687</v>
      </c>
      <c r="G13" s="174">
        <v>187268</v>
      </c>
      <c r="H13" s="213"/>
      <c r="I13" s="174">
        <v>328384</v>
      </c>
      <c r="J13" s="174">
        <v>320601.2</v>
      </c>
      <c r="K13" s="174">
        <v>376194.8</v>
      </c>
      <c r="L13" s="231">
        <v>381321.6</v>
      </c>
      <c r="M13" s="174">
        <v>374672</v>
      </c>
      <c r="N13" s="174">
        <v>284962</v>
      </c>
      <c r="O13" s="1"/>
      <c r="P13" s="174">
        <v>160612</v>
      </c>
      <c r="Q13" s="174">
        <v>267150</v>
      </c>
      <c r="R13" s="1"/>
      <c r="S13" s="1" t="s">
        <v>642</v>
      </c>
      <c r="T13" s="1"/>
      <c r="U13" s="1"/>
      <c r="V13" s="10"/>
    </row>
    <row r="14" spans="1:22" x14ac:dyDescent="0.35">
      <c r="A14" s="9" t="s">
        <v>220</v>
      </c>
      <c r="B14" s="1"/>
      <c r="C14" s="79"/>
      <c r="D14" s="174">
        <v>89390</v>
      </c>
      <c r="E14" s="174">
        <v>540310</v>
      </c>
      <c r="F14" s="174">
        <v>566950</v>
      </c>
      <c r="G14" s="174">
        <v>534330</v>
      </c>
      <c r="H14" s="213"/>
      <c r="I14" s="174">
        <v>744050</v>
      </c>
      <c r="J14" s="174">
        <v>533550</v>
      </c>
      <c r="K14" s="174">
        <v>499550</v>
      </c>
      <c r="L14" s="231">
        <v>605650</v>
      </c>
      <c r="M14" s="174">
        <v>498930</v>
      </c>
      <c r="N14" s="174">
        <v>460070</v>
      </c>
      <c r="O14" s="1"/>
      <c r="P14" s="174">
        <v>304250</v>
      </c>
      <c r="Q14" s="174">
        <v>543350</v>
      </c>
      <c r="R14" s="1"/>
      <c r="S14" s="1"/>
      <c r="T14" s="1"/>
      <c r="U14" s="1"/>
      <c r="V14" s="10"/>
    </row>
    <row r="15" spans="1:22" x14ac:dyDescent="0.35">
      <c r="A15" s="9" t="s">
        <v>4</v>
      </c>
      <c r="B15" s="1"/>
      <c r="C15" s="79"/>
      <c r="D15" s="174">
        <v>84220</v>
      </c>
      <c r="E15" s="174">
        <v>155872.5</v>
      </c>
      <c r="F15" s="174">
        <v>166571.20000000001</v>
      </c>
      <c r="G15" s="174">
        <v>171145</v>
      </c>
      <c r="H15" s="213"/>
      <c r="I15" s="174">
        <v>262303</v>
      </c>
      <c r="J15" s="174">
        <v>261058</v>
      </c>
      <c r="K15" s="174">
        <v>295464</v>
      </c>
      <c r="L15" s="231">
        <v>369750</v>
      </c>
      <c r="M15" s="174">
        <v>184080</v>
      </c>
      <c r="N15" s="174">
        <v>197060</v>
      </c>
      <c r="O15" s="1"/>
      <c r="P15" s="174">
        <v>133357.6</v>
      </c>
      <c r="Q15" s="174">
        <v>312690.5</v>
      </c>
      <c r="R15" s="1"/>
      <c r="S15" s="1"/>
      <c r="T15" s="1"/>
      <c r="U15" s="1"/>
      <c r="V15" s="10"/>
    </row>
    <row r="16" spans="1:22" x14ac:dyDescent="0.35">
      <c r="A16" s="9" t="s">
        <v>5</v>
      </c>
      <c r="B16" s="1"/>
      <c r="C16" s="79"/>
      <c r="D16" s="174">
        <v>21195</v>
      </c>
      <c r="E16" s="174">
        <v>35801.25</v>
      </c>
      <c r="F16" s="174">
        <v>35318.75</v>
      </c>
      <c r="G16" s="174">
        <v>38880</v>
      </c>
      <c r="H16" s="213"/>
      <c r="I16" s="174">
        <v>46650</v>
      </c>
      <c r="J16" s="174">
        <v>56185</v>
      </c>
      <c r="K16" s="174">
        <v>72317.5</v>
      </c>
      <c r="L16" s="231">
        <v>70397</v>
      </c>
      <c r="M16" s="174">
        <v>60297.5</v>
      </c>
      <c r="N16" s="174">
        <v>31427.5</v>
      </c>
      <c r="O16" s="1"/>
      <c r="P16" s="174">
        <v>33779.5</v>
      </c>
      <c r="Q16" s="174">
        <v>54068</v>
      </c>
      <c r="R16" s="1"/>
      <c r="S16" s="1"/>
      <c r="T16" s="1"/>
      <c r="U16" s="1"/>
      <c r="V16" s="10"/>
    </row>
    <row r="17" spans="1:22" x14ac:dyDescent="0.35">
      <c r="A17" s="9" t="s">
        <v>248</v>
      </c>
      <c r="B17" s="1"/>
      <c r="C17" s="79"/>
      <c r="D17" s="174">
        <v>16000</v>
      </c>
      <c r="E17" s="174">
        <v>500</v>
      </c>
      <c r="F17" s="174">
        <v>500</v>
      </c>
      <c r="G17" s="174">
        <v>1250</v>
      </c>
      <c r="H17" s="213"/>
      <c r="I17" s="174">
        <v>1500</v>
      </c>
      <c r="J17" s="174">
        <v>2750</v>
      </c>
      <c r="K17" s="174">
        <v>3250</v>
      </c>
      <c r="L17" s="231">
        <v>4000</v>
      </c>
      <c r="M17" s="174">
        <v>5560</v>
      </c>
      <c r="N17" s="174">
        <v>1500</v>
      </c>
      <c r="O17" s="1"/>
      <c r="P17" s="174">
        <v>1250</v>
      </c>
      <c r="Q17" s="174">
        <v>10575</v>
      </c>
      <c r="R17" s="1"/>
      <c r="S17" s="1"/>
      <c r="T17" s="1"/>
      <c r="U17" s="1"/>
      <c r="V17" s="10"/>
    </row>
    <row r="18" spans="1:22" x14ac:dyDescent="0.35">
      <c r="A18" s="9" t="s">
        <v>221</v>
      </c>
      <c r="B18" s="1"/>
      <c r="C18" s="79"/>
      <c r="D18" s="174">
        <v>1205.75</v>
      </c>
      <c r="E18" s="174">
        <v>5219.25</v>
      </c>
      <c r="F18" s="174">
        <v>3716.2</v>
      </c>
      <c r="G18" s="174">
        <v>2872</v>
      </c>
      <c r="H18" s="213"/>
      <c r="I18" s="174">
        <v>3733</v>
      </c>
      <c r="J18" s="174">
        <v>5957.7999999999993</v>
      </c>
      <c r="K18" s="174">
        <v>12963.2</v>
      </c>
      <c r="L18" s="231">
        <v>19031.2</v>
      </c>
      <c r="M18" s="174">
        <v>11792</v>
      </c>
      <c r="N18" s="174">
        <v>8901.2000000000007</v>
      </c>
      <c r="O18" s="1"/>
      <c r="P18" s="174">
        <v>4530</v>
      </c>
      <c r="Q18" s="174">
        <v>12670</v>
      </c>
      <c r="R18" s="1"/>
      <c r="S18" s="1"/>
      <c r="T18" s="1"/>
      <c r="U18" s="1"/>
      <c r="V18" s="10"/>
    </row>
    <row r="19" spans="1:22" x14ac:dyDescent="0.35">
      <c r="A19" s="9" t="s">
        <v>26</v>
      </c>
      <c r="B19" s="1"/>
      <c r="C19" s="79"/>
      <c r="D19" s="174">
        <v>0</v>
      </c>
      <c r="E19" s="174">
        <v>14491</v>
      </c>
      <c r="F19" s="174">
        <v>0</v>
      </c>
      <c r="G19" s="174">
        <v>12368</v>
      </c>
      <c r="H19" s="213"/>
      <c r="I19" s="174">
        <v>20925</v>
      </c>
      <c r="J19" s="174">
        <v>5477.4</v>
      </c>
      <c r="K19" s="174">
        <v>10486</v>
      </c>
      <c r="L19" s="231">
        <v>7312.8</v>
      </c>
      <c r="M19" s="174">
        <v>9329.2000000000007</v>
      </c>
      <c r="N19" s="174">
        <v>8183.5999999999985</v>
      </c>
      <c r="O19" s="1"/>
      <c r="P19" s="174">
        <v>16902.600000000002</v>
      </c>
      <c r="Q19" s="174">
        <v>9405</v>
      </c>
      <c r="R19" s="1"/>
      <c r="S19" s="1"/>
      <c r="T19" s="1"/>
      <c r="U19" s="1"/>
      <c r="V19" s="10"/>
    </row>
    <row r="20" spans="1:22" x14ac:dyDescent="0.35">
      <c r="A20" s="9" t="s">
        <v>342</v>
      </c>
      <c r="B20" s="1"/>
      <c r="C20" s="79"/>
      <c r="D20" s="174">
        <v>74961.375</v>
      </c>
      <c r="E20" s="174">
        <v>115769.856</v>
      </c>
      <c r="F20" s="175">
        <v>113265.345</v>
      </c>
      <c r="G20" s="174">
        <v>116672.871</v>
      </c>
      <c r="H20" s="213"/>
      <c r="I20" s="174">
        <v>160589.38499999998</v>
      </c>
      <c r="J20" s="174">
        <v>191124.64600000004</v>
      </c>
      <c r="K20" s="174">
        <v>166501.01700000002</v>
      </c>
      <c r="L20" s="231">
        <v>177979.86900000001</v>
      </c>
      <c r="M20" s="174">
        <v>162636.28800000006</v>
      </c>
      <c r="N20" s="174">
        <v>150987.77499999999</v>
      </c>
      <c r="O20" s="1"/>
      <c r="P20" s="174">
        <v>95878.466000000015</v>
      </c>
      <c r="Q20" s="174">
        <v>166965.62800000003</v>
      </c>
      <c r="R20" s="1"/>
      <c r="S20" s="1"/>
      <c r="T20" s="1"/>
      <c r="U20" s="1"/>
      <c r="V20" s="10"/>
    </row>
    <row r="21" spans="1:22" x14ac:dyDescent="0.35">
      <c r="A21" s="9" t="s">
        <v>137</v>
      </c>
      <c r="B21" s="1"/>
      <c r="C21" s="79"/>
      <c r="D21" s="174">
        <v>16000</v>
      </c>
      <c r="E21" s="174">
        <v>6000</v>
      </c>
      <c r="F21" s="174">
        <v>5000</v>
      </c>
      <c r="G21" s="174">
        <v>0</v>
      </c>
      <c r="H21" s="213"/>
      <c r="I21" s="174">
        <v>0</v>
      </c>
      <c r="J21" s="174">
        <v>0</v>
      </c>
      <c r="K21" s="174">
        <v>0</v>
      </c>
      <c r="L21" s="210">
        <v>0</v>
      </c>
      <c r="M21" s="231">
        <v>0</v>
      </c>
      <c r="N21" s="1">
        <v>0</v>
      </c>
      <c r="O21" s="1"/>
      <c r="P21" s="174"/>
      <c r="Q21" s="1">
        <v>0</v>
      </c>
      <c r="R21" s="1"/>
      <c r="S21" s="1"/>
      <c r="T21" s="1"/>
      <c r="U21" s="1"/>
      <c r="V21" s="10"/>
    </row>
    <row r="22" spans="1:22" x14ac:dyDescent="0.35">
      <c r="A22" s="9" t="s">
        <v>51</v>
      </c>
      <c r="B22" s="1"/>
      <c r="C22" s="79"/>
      <c r="D22" s="174">
        <v>846.42499999999995</v>
      </c>
      <c r="E22" s="174">
        <v>3075.0149999999999</v>
      </c>
      <c r="F22" s="174">
        <v>2991.2349999999997</v>
      </c>
      <c r="G22" s="174">
        <v>3399.5</v>
      </c>
      <c r="H22" s="213"/>
      <c r="I22" s="174">
        <v>4815</v>
      </c>
      <c r="J22" s="174">
        <v>7902.8450000000003</v>
      </c>
      <c r="K22" s="174">
        <v>1097.7199999999998</v>
      </c>
      <c r="L22" s="231">
        <v>4857.4849999999997</v>
      </c>
      <c r="M22" s="174">
        <v>3781.9949999999999</v>
      </c>
      <c r="N22" s="174">
        <v>3822.1949999999997</v>
      </c>
      <c r="O22" s="1"/>
      <c r="P22" s="174">
        <v>3268.6450000000004</v>
      </c>
      <c r="Q22" s="174">
        <v>5893</v>
      </c>
      <c r="R22" s="1"/>
      <c r="S22" s="1"/>
      <c r="T22" s="1"/>
      <c r="U22" s="1"/>
      <c r="V22" s="10"/>
    </row>
    <row r="23" spans="1:22" ht="15" thickBot="1" x14ac:dyDescent="0.4">
      <c r="A23" s="176" t="s">
        <v>230</v>
      </c>
      <c r="B23" s="1"/>
      <c r="C23" s="79"/>
      <c r="D23" s="181">
        <f>SUM(D12:D22)</f>
        <v>1121223.1500000001</v>
      </c>
      <c r="E23" s="181">
        <f>SUM(E12:E22)</f>
        <v>2048790.8709999998</v>
      </c>
      <c r="F23" s="181">
        <f>SUM(F12:F22)</f>
        <v>2060918.73</v>
      </c>
      <c r="G23" s="181">
        <f>SUM(G12:G22)</f>
        <v>2098750.3710000003</v>
      </c>
      <c r="H23" s="214"/>
      <c r="I23" s="181">
        <f t="shared" ref="I23:Q23" si="1">SUM(I12:I22)</f>
        <v>3001246.3849999998</v>
      </c>
      <c r="J23" s="181">
        <f t="shared" si="1"/>
        <v>2696349.8910000003</v>
      </c>
      <c r="K23" s="181">
        <f t="shared" si="1"/>
        <v>2835982.2370000002</v>
      </c>
      <c r="L23" s="181">
        <f t="shared" si="1"/>
        <v>2765108.9539999999</v>
      </c>
      <c r="M23" s="181">
        <f t="shared" si="1"/>
        <v>2779416.9830000005</v>
      </c>
      <c r="N23" s="181">
        <f t="shared" si="1"/>
        <v>2493522.27</v>
      </c>
      <c r="O23" s="1"/>
      <c r="P23" s="181">
        <f t="shared" si="1"/>
        <v>1556680.8110000002</v>
      </c>
      <c r="Q23" s="181">
        <f t="shared" si="1"/>
        <v>2781281.128</v>
      </c>
      <c r="R23" s="1"/>
      <c r="S23" s="1"/>
      <c r="T23" s="1"/>
      <c r="U23" s="1"/>
      <c r="V23" s="10"/>
    </row>
    <row r="24" spans="1:22" ht="15" thickTop="1" x14ac:dyDescent="0.35">
      <c r="A24" s="176" t="s">
        <v>229</v>
      </c>
      <c r="B24" s="1"/>
      <c r="C24" s="79"/>
      <c r="D24" s="180"/>
      <c r="E24" s="180"/>
      <c r="F24" s="180"/>
      <c r="G24" s="180"/>
      <c r="H24" s="213"/>
      <c r="I24" s="180"/>
      <c r="J24" s="6"/>
      <c r="K24" s="6"/>
      <c r="L24" s="210"/>
      <c r="M24" s="1"/>
      <c r="N24" s="1"/>
      <c r="O24" s="1"/>
      <c r="P24" s="1"/>
      <c r="Q24" s="1"/>
      <c r="R24" s="1"/>
      <c r="S24" s="1"/>
      <c r="T24" s="1"/>
      <c r="U24" s="1"/>
      <c r="V24" s="10"/>
    </row>
    <row r="25" spans="1:22" x14ac:dyDescent="0.35">
      <c r="A25" s="9" t="s">
        <v>8</v>
      </c>
      <c r="B25" s="1"/>
      <c r="C25" s="79"/>
      <c r="D25" s="174">
        <v>55268</v>
      </c>
      <c r="E25" s="174">
        <v>96000</v>
      </c>
      <c r="F25" s="174">
        <v>96000</v>
      </c>
      <c r="G25" s="174">
        <v>112000</v>
      </c>
      <c r="H25" s="213"/>
      <c r="I25" s="174">
        <v>100000</v>
      </c>
      <c r="J25" s="174">
        <v>112500</v>
      </c>
      <c r="K25" s="174">
        <v>111000</v>
      </c>
      <c r="L25" s="231">
        <v>93000</v>
      </c>
      <c r="M25" s="174">
        <v>108800</v>
      </c>
      <c r="N25" s="174">
        <v>111000</v>
      </c>
      <c r="O25" s="1"/>
      <c r="P25" s="174">
        <v>28000</v>
      </c>
      <c r="Q25" s="174">
        <v>111500</v>
      </c>
      <c r="R25" s="1"/>
      <c r="S25" s="1"/>
      <c r="T25" s="1"/>
      <c r="U25" s="1"/>
      <c r="V25" s="10"/>
    </row>
    <row r="26" spans="1:22" x14ac:dyDescent="0.35">
      <c r="A26" s="9" t="s">
        <v>222</v>
      </c>
      <c r="B26" s="1"/>
      <c r="C26" s="79"/>
      <c r="D26" s="174">
        <v>0</v>
      </c>
      <c r="E26" s="174">
        <v>31000</v>
      </c>
      <c r="F26" s="174">
        <v>0</v>
      </c>
      <c r="G26" s="174">
        <v>26200</v>
      </c>
      <c r="H26" s="213"/>
      <c r="I26" s="174">
        <v>14700</v>
      </c>
      <c r="J26" s="174">
        <v>5000</v>
      </c>
      <c r="K26" s="174">
        <v>13500</v>
      </c>
      <c r="L26" s="231">
        <v>25500</v>
      </c>
      <c r="M26" s="174">
        <v>52000</v>
      </c>
      <c r="N26" s="174">
        <v>4750</v>
      </c>
      <c r="O26" s="1"/>
      <c r="P26" s="174">
        <v>0</v>
      </c>
      <c r="Q26" s="174">
        <v>0</v>
      </c>
      <c r="R26" s="1"/>
      <c r="S26" s="1"/>
      <c r="T26" s="1"/>
      <c r="U26" s="1"/>
      <c r="V26" s="10"/>
    </row>
    <row r="27" spans="1:22" x14ac:dyDescent="0.35">
      <c r="A27" s="9" t="s">
        <v>226</v>
      </c>
      <c r="B27" s="1"/>
      <c r="C27" s="79"/>
      <c r="D27" s="174">
        <v>91448</v>
      </c>
      <c r="E27" s="174">
        <v>103806</v>
      </c>
      <c r="F27" s="174">
        <v>96272</v>
      </c>
      <c r="G27" s="174">
        <v>87005</v>
      </c>
      <c r="H27" s="213"/>
      <c r="I27" s="174">
        <v>82156</v>
      </c>
      <c r="J27" s="174">
        <v>73791</v>
      </c>
      <c r="K27" s="174">
        <v>87070</v>
      </c>
      <c r="L27" s="231">
        <v>128350</v>
      </c>
      <c r="M27" s="174">
        <v>135926</v>
      </c>
      <c r="N27" s="174">
        <v>127657.18000000001</v>
      </c>
      <c r="O27" s="1"/>
      <c r="P27" s="174">
        <v>71893</v>
      </c>
      <c r="Q27" s="174">
        <v>99895.019999999975</v>
      </c>
      <c r="R27" s="1"/>
      <c r="S27" s="1"/>
      <c r="T27" s="1"/>
      <c r="U27" s="1"/>
      <c r="V27" s="10"/>
    </row>
    <row r="28" spans="1:22" x14ac:dyDescent="0.35">
      <c r="A28" s="9" t="s">
        <v>227</v>
      </c>
      <c r="B28" s="1"/>
      <c r="C28" s="79"/>
      <c r="D28" s="174">
        <v>6103</v>
      </c>
      <c r="E28" s="174">
        <v>48947</v>
      </c>
      <c r="F28" s="174">
        <v>55864</v>
      </c>
      <c r="G28" s="174">
        <v>62687</v>
      </c>
      <c r="H28" s="213"/>
      <c r="I28" s="174">
        <v>49552</v>
      </c>
      <c r="J28" s="174">
        <v>62600</v>
      </c>
      <c r="K28" s="174">
        <v>72050</v>
      </c>
      <c r="L28" s="231">
        <v>81478</v>
      </c>
      <c r="M28" s="174">
        <v>68874</v>
      </c>
      <c r="N28" s="174">
        <v>74612.209999999992</v>
      </c>
      <c r="O28" s="1"/>
      <c r="P28" s="174">
        <v>0</v>
      </c>
      <c r="Q28" s="174">
        <v>66295.55</v>
      </c>
      <c r="R28" s="1"/>
      <c r="S28" s="1"/>
      <c r="T28" s="1"/>
      <c r="U28" s="1"/>
      <c r="V28" s="10"/>
    </row>
    <row r="29" spans="1:22" x14ac:dyDescent="0.35">
      <c r="A29" s="9" t="s">
        <v>639</v>
      </c>
      <c r="B29" s="1"/>
      <c r="C29" s="79"/>
      <c r="D29" s="174"/>
      <c r="E29" s="174"/>
      <c r="F29" s="174"/>
      <c r="G29" s="174"/>
      <c r="H29" s="213"/>
      <c r="I29" s="174"/>
      <c r="J29" s="174">
        <v>13750</v>
      </c>
      <c r="K29" s="174">
        <v>6300</v>
      </c>
      <c r="L29" s="231">
        <v>0</v>
      </c>
      <c r="M29" s="174">
        <v>5940</v>
      </c>
      <c r="N29" s="174">
        <v>500</v>
      </c>
      <c r="O29" s="1"/>
      <c r="P29" s="174">
        <v>0</v>
      </c>
      <c r="Q29" s="174">
        <v>9570</v>
      </c>
      <c r="R29" s="1"/>
      <c r="S29" s="1"/>
      <c r="T29" s="1"/>
      <c r="U29" s="1"/>
      <c r="V29" s="10"/>
    </row>
    <row r="30" spans="1:22" x14ac:dyDescent="0.35">
      <c r="A30" s="9" t="s">
        <v>206</v>
      </c>
      <c r="B30" s="1"/>
      <c r="C30" s="79"/>
      <c r="D30" s="174">
        <v>12180</v>
      </c>
      <c r="E30" s="174">
        <v>35400</v>
      </c>
      <c r="F30" s="174">
        <v>37500</v>
      </c>
      <c r="G30" s="174">
        <v>46508</v>
      </c>
      <c r="H30" s="213"/>
      <c r="I30" s="174">
        <v>52712</v>
      </c>
      <c r="J30" s="174">
        <v>55690</v>
      </c>
      <c r="K30" s="174">
        <v>71831.820000000007</v>
      </c>
      <c r="L30" s="231">
        <v>59364</v>
      </c>
      <c r="M30" s="174">
        <v>68264</v>
      </c>
      <c r="N30" s="174">
        <v>67343</v>
      </c>
      <c r="O30" s="1"/>
      <c r="P30" s="174">
        <v>63000</v>
      </c>
      <c r="Q30" s="174">
        <v>51244</v>
      </c>
      <c r="R30" s="1"/>
      <c r="S30" s="1"/>
      <c r="T30" s="1"/>
      <c r="U30" s="1"/>
      <c r="V30" s="10"/>
    </row>
    <row r="31" spans="1:22" ht="15" thickBot="1" x14ac:dyDescent="0.4">
      <c r="A31" s="176" t="s">
        <v>231</v>
      </c>
      <c r="B31" s="1"/>
      <c r="C31" s="79"/>
      <c r="D31" s="181">
        <f>SUM(D25:D30)</f>
        <v>164999</v>
      </c>
      <c r="E31" s="181">
        <f>SUM(E25:E30)</f>
        <v>315153</v>
      </c>
      <c r="F31" s="181">
        <f>SUM(F25:F30)</f>
        <v>285636</v>
      </c>
      <c r="G31" s="181">
        <f>SUM(G25:G30)</f>
        <v>334400</v>
      </c>
      <c r="H31" s="214"/>
      <c r="I31" s="181">
        <f t="shared" ref="I31:P31" si="2">SUM(I25:I30)</f>
        <v>299120</v>
      </c>
      <c r="J31" s="181">
        <f t="shared" si="2"/>
        <v>323331</v>
      </c>
      <c r="K31" s="181">
        <f t="shared" si="2"/>
        <v>361751.82</v>
      </c>
      <c r="L31" s="181">
        <f t="shared" si="2"/>
        <v>387692</v>
      </c>
      <c r="M31" s="181">
        <f t="shared" si="2"/>
        <v>439804</v>
      </c>
      <c r="N31" s="181">
        <f t="shared" si="2"/>
        <v>385862.39</v>
      </c>
      <c r="O31" s="1"/>
      <c r="P31" s="181">
        <f t="shared" si="2"/>
        <v>162893</v>
      </c>
      <c r="Q31" s="322">
        <f>SUM(Q25:Q30)</f>
        <v>338504.56999999995</v>
      </c>
      <c r="R31" s="1"/>
      <c r="S31" s="1"/>
      <c r="T31" s="1"/>
      <c r="U31" s="1"/>
      <c r="V31" s="10"/>
    </row>
    <row r="32" spans="1:22" ht="15" thickTop="1" x14ac:dyDescent="0.35">
      <c r="A32" s="176" t="s">
        <v>228</v>
      </c>
      <c r="B32" s="1"/>
      <c r="C32" s="79"/>
      <c r="D32" s="180"/>
      <c r="E32" s="180"/>
      <c r="F32" s="180"/>
      <c r="G32" s="180"/>
      <c r="H32" s="213"/>
      <c r="I32" s="180"/>
      <c r="J32" s="6"/>
      <c r="K32" s="6"/>
      <c r="L32" s="210"/>
      <c r="M32" s="1"/>
      <c r="N32" s="1"/>
      <c r="O32" s="1"/>
      <c r="P32" s="1"/>
      <c r="Q32" s="6"/>
      <c r="R32" s="1"/>
      <c r="S32" s="1"/>
      <c r="T32" s="1"/>
      <c r="U32" s="1"/>
      <c r="V32" s="10"/>
    </row>
    <row r="33" spans="1:22" x14ac:dyDescent="0.35">
      <c r="A33" s="9" t="s">
        <v>223</v>
      </c>
      <c r="B33" s="1"/>
      <c r="C33" s="79"/>
      <c r="D33" s="174">
        <v>74134</v>
      </c>
      <c r="E33" s="174">
        <v>69160</v>
      </c>
      <c r="F33" s="174">
        <v>73600</v>
      </c>
      <c r="G33" s="174">
        <v>74000</v>
      </c>
      <c r="H33" s="213"/>
      <c r="I33" s="174">
        <v>109000</v>
      </c>
      <c r="J33" s="174">
        <v>83286</v>
      </c>
      <c r="K33" s="174">
        <v>83000</v>
      </c>
      <c r="L33" s="231">
        <v>88500</v>
      </c>
      <c r="M33" s="174">
        <v>94135</v>
      </c>
      <c r="N33" s="174">
        <v>105700</v>
      </c>
      <c r="O33" s="1"/>
      <c r="P33" s="174">
        <v>108413</v>
      </c>
      <c r="Q33" s="216">
        <v>114434</v>
      </c>
      <c r="R33" s="1"/>
      <c r="S33" s="1"/>
      <c r="T33" s="1"/>
      <c r="U33" s="1"/>
      <c r="V33" s="10"/>
    </row>
    <row r="34" spans="1:22" x14ac:dyDescent="0.35">
      <c r="A34" s="9" t="s">
        <v>224</v>
      </c>
      <c r="B34" s="1"/>
      <c r="C34" s="79"/>
      <c r="D34" s="174">
        <v>10000</v>
      </c>
      <c r="E34" s="174">
        <v>25690</v>
      </c>
      <c r="F34" s="174">
        <v>30040</v>
      </c>
      <c r="G34" s="174">
        <v>39500</v>
      </c>
      <c r="H34" s="213"/>
      <c r="I34" s="174">
        <v>39000</v>
      </c>
      <c r="J34" s="174">
        <v>43679</v>
      </c>
      <c r="K34" s="174">
        <v>54700</v>
      </c>
      <c r="L34" s="231">
        <v>33000</v>
      </c>
      <c r="M34" s="174">
        <v>44258</v>
      </c>
      <c r="N34" s="174">
        <v>26930</v>
      </c>
      <c r="O34" s="1"/>
      <c r="P34" s="174">
        <v>32027</v>
      </c>
      <c r="Q34" s="216">
        <v>16418.833333333332</v>
      </c>
      <c r="R34" s="1"/>
      <c r="S34" s="1"/>
      <c r="T34" s="1"/>
      <c r="U34" s="1"/>
      <c r="V34" s="10"/>
    </row>
    <row r="35" spans="1:22" x14ac:dyDescent="0.35">
      <c r="A35" s="9" t="s">
        <v>225</v>
      </c>
      <c r="B35" s="1"/>
      <c r="C35" s="79"/>
      <c r="D35" s="174">
        <v>7400</v>
      </c>
      <c r="E35" s="174">
        <v>18600</v>
      </c>
      <c r="F35" s="174">
        <v>23600</v>
      </c>
      <c r="G35" s="174">
        <v>19400</v>
      </c>
      <c r="H35" s="213"/>
      <c r="I35" s="174">
        <v>44000</v>
      </c>
      <c r="J35" s="174">
        <v>41200</v>
      </c>
      <c r="K35" s="174">
        <v>23200</v>
      </c>
      <c r="L35" s="231">
        <v>42000</v>
      </c>
      <c r="M35" s="174">
        <v>52000</v>
      </c>
      <c r="N35" s="174">
        <v>42800</v>
      </c>
      <c r="O35" s="1"/>
      <c r="P35" s="174">
        <v>36200</v>
      </c>
      <c r="Q35" s="216">
        <v>42000</v>
      </c>
      <c r="R35" s="1"/>
      <c r="S35" s="1"/>
      <c r="T35" s="1"/>
      <c r="U35" s="1"/>
      <c r="V35" s="10"/>
    </row>
    <row r="36" spans="1:22" ht="15" thickBot="1" x14ac:dyDescent="0.4">
      <c r="A36" s="176" t="s">
        <v>232</v>
      </c>
      <c r="B36" s="1"/>
      <c r="C36" s="79"/>
      <c r="D36" s="181">
        <f>SUM(D33:D35)</f>
        <v>91534</v>
      </c>
      <c r="E36" s="181">
        <f>SUM(E33:E35)</f>
        <v>113450</v>
      </c>
      <c r="F36" s="181">
        <f>SUM(F33:F35)</f>
        <v>127240</v>
      </c>
      <c r="G36" s="181">
        <f>SUM(G33:G35)</f>
        <v>132900</v>
      </c>
      <c r="H36" s="214"/>
      <c r="I36" s="181">
        <f t="shared" ref="I36:P36" si="3">SUM(I33:I35)</f>
        <v>192000</v>
      </c>
      <c r="J36" s="181">
        <f t="shared" si="3"/>
        <v>168165</v>
      </c>
      <c r="K36" s="181">
        <f t="shared" si="3"/>
        <v>160900</v>
      </c>
      <c r="L36" s="181">
        <f t="shared" si="3"/>
        <v>163500</v>
      </c>
      <c r="M36" s="181">
        <f t="shared" si="3"/>
        <v>190393</v>
      </c>
      <c r="N36" s="181">
        <f t="shared" si="3"/>
        <v>175430</v>
      </c>
      <c r="O36" s="1"/>
      <c r="P36" s="181">
        <f t="shared" si="3"/>
        <v>176640</v>
      </c>
      <c r="Q36" s="322">
        <f>SUM(Q33:Q35)</f>
        <v>172852.83333333331</v>
      </c>
      <c r="R36" s="1"/>
      <c r="S36" s="1"/>
      <c r="T36" s="1"/>
      <c r="U36" s="1"/>
      <c r="V36" s="10"/>
    </row>
    <row r="37" spans="1:22" ht="15" thickTop="1" x14ac:dyDescent="0.35">
      <c r="A37" s="176" t="s">
        <v>233</v>
      </c>
      <c r="B37" s="1"/>
      <c r="C37" s="79"/>
      <c r="D37" s="180"/>
      <c r="E37" s="180"/>
      <c r="F37" s="180"/>
      <c r="G37" s="180"/>
      <c r="H37" s="213"/>
      <c r="I37" s="180"/>
      <c r="J37" s="6"/>
      <c r="K37" s="6"/>
      <c r="L37" s="210"/>
      <c r="M37" s="1"/>
      <c r="N37" s="1"/>
      <c r="O37" s="1"/>
      <c r="P37" s="1"/>
      <c r="Q37" s="6"/>
      <c r="R37" s="1"/>
      <c r="S37" s="1"/>
      <c r="T37" s="1"/>
      <c r="U37" s="1"/>
      <c r="V37" s="10"/>
    </row>
    <row r="38" spans="1:22" x14ac:dyDescent="0.35">
      <c r="A38" s="9" t="s">
        <v>234</v>
      </c>
      <c r="B38" s="1"/>
      <c r="C38" s="79"/>
      <c r="D38" s="174">
        <v>21765</v>
      </c>
      <c r="E38" s="174">
        <v>20655</v>
      </c>
      <c r="F38" s="174">
        <v>18655</v>
      </c>
      <c r="G38" s="174">
        <v>26850</v>
      </c>
      <c r="H38" s="213"/>
      <c r="I38" s="174">
        <v>40665</v>
      </c>
      <c r="J38" s="174">
        <v>54260</v>
      </c>
      <c r="K38" s="174">
        <v>56670</v>
      </c>
      <c r="L38" s="231">
        <v>47485</v>
      </c>
      <c r="M38" s="174">
        <v>50880</v>
      </c>
      <c r="N38" s="174">
        <v>42885</v>
      </c>
      <c r="O38" s="1"/>
      <c r="P38" s="174">
        <v>11510</v>
      </c>
      <c r="Q38" s="174">
        <v>24900</v>
      </c>
      <c r="R38" s="1"/>
      <c r="S38" s="1"/>
      <c r="T38" s="1"/>
      <c r="U38" s="1"/>
      <c r="V38" s="10"/>
    </row>
    <row r="39" spans="1:22" x14ac:dyDescent="0.35">
      <c r="A39" s="9" t="s">
        <v>235</v>
      </c>
      <c r="B39" s="1"/>
      <c r="C39" s="79"/>
      <c r="D39" s="174">
        <v>60940</v>
      </c>
      <c r="E39" s="174">
        <v>64595</v>
      </c>
      <c r="F39" s="174">
        <v>58990</v>
      </c>
      <c r="G39" s="174">
        <v>72880</v>
      </c>
      <c r="H39" s="213"/>
      <c r="I39" s="174">
        <v>99950</v>
      </c>
      <c r="J39" s="174">
        <v>85790</v>
      </c>
      <c r="K39" s="174">
        <v>97000</v>
      </c>
      <c r="L39" s="231">
        <v>102870</v>
      </c>
      <c r="M39" s="174">
        <v>89605</v>
      </c>
      <c r="N39" s="174">
        <v>80740</v>
      </c>
      <c r="O39" s="1"/>
      <c r="P39" s="174">
        <v>20660</v>
      </c>
      <c r="Q39" s="174">
        <v>56675</v>
      </c>
      <c r="R39" s="1"/>
      <c r="S39" s="1"/>
      <c r="T39" s="1"/>
      <c r="U39" s="1"/>
      <c r="V39" s="10"/>
    </row>
    <row r="40" spans="1:22" x14ac:dyDescent="0.35">
      <c r="A40" s="9" t="s">
        <v>236</v>
      </c>
      <c r="B40" s="1"/>
      <c r="C40" s="79"/>
      <c r="D40" s="174">
        <v>0</v>
      </c>
      <c r="E40" s="174">
        <v>4750</v>
      </c>
      <c r="F40" s="174">
        <v>9585</v>
      </c>
      <c r="G40" s="174">
        <v>11940</v>
      </c>
      <c r="H40" s="213"/>
      <c r="I40" s="174">
        <v>23085</v>
      </c>
      <c r="J40" s="174">
        <v>33590</v>
      </c>
      <c r="K40" s="174">
        <v>54330</v>
      </c>
      <c r="L40" s="231">
        <v>45355</v>
      </c>
      <c r="M40" s="174">
        <v>43475</v>
      </c>
      <c r="N40" s="174">
        <v>39925</v>
      </c>
      <c r="O40" s="1"/>
      <c r="P40" s="174">
        <v>9995</v>
      </c>
      <c r="Q40" s="174">
        <v>26455</v>
      </c>
      <c r="R40" s="1"/>
      <c r="S40" s="1"/>
      <c r="T40" s="1"/>
      <c r="U40" s="1"/>
      <c r="V40" s="10"/>
    </row>
    <row r="41" spans="1:22" ht="15" thickBot="1" x14ac:dyDescent="0.4">
      <c r="A41" s="176" t="s">
        <v>237</v>
      </c>
      <c r="B41" s="1"/>
      <c r="C41" s="79"/>
      <c r="D41" s="181">
        <f>SUM(D38:D40)</f>
        <v>82705</v>
      </c>
      <c r="E41" s="181">
        <f>SUM(E38:E40)</f>
        <v>90000</v>
      </c>
      <c r="F41" s="181">
        <f>SUM(F38:F40)</f>
        <v>87230</v>
      </c>
      <c r="G41" s="181">
        <f>SUM(G38:G40)</f>
        <v>111670</v>
      </c>
      <c r="H41" s="214"/>
      <c r="I41" s="181">
        <f t="shared" ref="I41:P41" si="4">SUM(I38:I40)</f>
        <v>163700</v>
      </c>
      <c r="J41" s="181">
        <f t="shared" si="4"/>
        <v>173640</v>
      </c>
      <c r="K41" s="181">
        <f t="shared" si="4"/>
        <v>208000</v>
      </c>
      <c r="L41" s="181">
        <f t="shared" si="4"/>
        <v>195710</v>
      </c>
      <c r="M41" s="181">
        <f t="shared" si="4"/>
        <v>183960</v>
      </c>
      <c r="N41" s="181">
        <f t="shared" si="4"/>
        <v>163550</v>
      </c>
      <c r="O41" s="1"/>
      <c r="P41" s="181">
        <f t="shared" si="4"/>
        <v>42165</v>
      </c>
      <c r="Q41" s="322">
        <f>SUM(Q38:Q40)</f>
        <v>108030</v>
      </c>
      <c r="R41" s="1"/>
      <c r="S41" s="1"/>
      <c r="T41" s="1"/>
      <c r="U41" s="1"/>
      <c r="V41" s="10"/>
    </row>
    <row r="42" spans="1:22" ht="15" thickTop="1" x14ac:dyDescent="0.35">
      <c r="A42" s="176" t="s">
        <v>238</v>
      </c>
      <c r="B42" s="1"/>
      <c r="C42" s="79"/>
      <c r="D42" s="180"/>
      <c r="E42" s="180"/>
      <c r="F42" s="180"/>
      <c r="G42" s="180"/>
      <c r="H42" s="213"/>
      <c r="I42" s="180"/>
      <c r="J42" s="6"/>
      <c r="K42" s="6"/>
      <c r="L42" s="210"/>
      <c r="M42" s="1"/>
      <c r="N42" s="1"/>
      <c r="O42" s="1"/>
      <c r="P42" s="1"/>
      <c r="Q42" s="6"/>
      <c r="R42" s="1"/>
      <c r="S42" s="1"/>
      <c r="T42" s="1"/>
      <c r="U42" s="1"/>
      <c r="V42" s="10"/>
    </row>
    <row r="43" spans="1:22" ht="15" thickBot="1" x14ac:dyDescent="0.4">
      <c r="A43" s="9" t="s">
        <v>239</v>
      </c>
      <c r="B43" s="1"/>
      <c r="C43" s="79"/>
      <c r="D43" s="181">
        <f>D8-D23-D31-D36-D41</f>
        <v>616468.84999999986</v>
      </c>
      <c r="E43" s="181">
        <f>E8-E23-E31-E36-E41</f>
        <v>211996.12900000019</v>
      </c>
      <c r="F43" s="181">
        <f>F8-F23-F31-F36-F41</f>
        <v>158575.27000000002</v>
      </c>
      <c r="G43" s="181">
        <f>G8-G23-G31-G36-G41</f>
        <v>249379.62899999972</v>
      </c>
      <c r="H43" s="214"/>
      <c r="I43" s="181">
        <f t="shared" ref="I43:Q43" si="5">I8-I23-I31-I36-I41</f>
        <v>108573.61500000022</v>
      </c>
      <c r="J43" s="181">
        <f t="shared" si="5"/>
        <v>412824.10899999971</v>
      </c>
      <c r="K43" s="181">
        <f t="shared" si="5"/>
        <v>493885.94299999974</v>
      </c>
      <c r="L43" s="181">
        <f t="shared" si="5"/>
        <v>446444.04600000009</v>
      </c>
      <c r="M43" s="181">
        <f t="shared" si="5"/>
        <v>556936.01699999953</v>
      </c>
      <c r="N43" s="181">
        <f t="shared" si="5"/>
        <v>591085.34</v>
      </c>
      <c r="O43" s="1"/>
      <c r="P43" s="181">
        <f t="shared" si="5"/>
        <v>400691.18899999978</v>
      </c>
      <c r="Q43" s="181">
        <f t="shared" si="5"/>
        <v>1427046.4686666669</v>
      </c>
      <c r="R43" s="1"/>
      <c r="S43" s="1"/>
      <c r="T43" s="1"/>
      <c r="U43" s="1"/>
      <c r="V43" s="10"/>
    </row>
    <row r="44" spans="1:22" ht="15" thickTop="1" x14ac:dyDescent="0.35">
      <c r="A44" s="9"/>
      <c r="B44" s="1"/>
      <c r="C44" s="79"/>
      <c r="D44" s="180"/>
      <c r="E44" s="180"/>
      <c r="F44" s="180"/>
      <c r="G44" s="180"/>
      <c r="H44" s="213"/>
      <c r="I44" s="180"/>
      <c r="J44" s="6"/>
      <c r="K44" s="6"/>
      <c r="L44" s="210"/>
      <c r="M44" s="1"/>
      <c r="N44" s="1"/>
      <c r="O44" s="1"/>
      <c r="P44" s="1"/>
      <c r="Q44" s="1"/>
      <c r="R44" s="1"/>
      <c r="S44" s="1"/>
      <c r="T44" s="1"/>
      <c r="U44" s="1"/>
      <c r="V44" s="10"/>
    </row>
    <row r="45" spans="1:22" x14ac:dyDescent="0.35">
      <c r="A45" s="176" t="s">
        <v>240</v>
      </c>
      <c r="B45" s="1"/>
      <c r="C45" s="79"/>
      <c r="D45" s="174"/>
      <c r="E45" s="174"/>
      <c r="F45" s="174"/>
      <c r="G45" s="174"/>
      <c r="H45" s="213"/>
      <c r="I45" s="174"/>
      <c r="J45" s="1"/>
      <c r="K45" s="1"/>
      <c r="L45" s="210"/>
      <c r="M45" s="1"/>
      <c r="N45" s="1"/>
      <c r="O45" s="1"/>
      <c r="P45" s="1"/>
      <c r="Q45" s="1"/>
      <c r="R45" s="1"/>
      <c r="S45" s="1"/>
      <c r="T45" s="1"/>
      <c r="U45" s="1"/>
      <c r="V45" s="10"/>
    </row>
    <row r="46" spans="1:22" x14ac:dyDescent="0.35">
      <c r="A46" s="9" t="s">
        <v>247</v>
      </c>
      <c r="B46" s="1"/>
      <c r="C46" s="79"/>
      <c r="D46" s="174">
        <v>17000</v>
      </c>
      <c r="E46" s="174">
        <v>16425</v>
      </c>
      <c r="F46" s="174">
        <v>12515</v>
      </c>
      <c r="G46" s="174">
        <v>15100</v>
      </c>
      <c r="H46" s="213"/>
      <c r="I46" s="174">
        <v>29000</v>
      </c>
      <c r="J46" s="174">
        <v>42000</v>
      </c>
      <c r="K46" s="174">
        <v>28000</v>
      </c>
      <c r="L46" s="231">
        <v>35850</v>
      </c>
      <c r="M46" s="174">
        <v>43139</v>
      </c>
      <c r="N46" s="174">
        <v>41329</v>
      </c>
      <c r="O46" s="1"/>
      <c r="P46" s="174">
        <v>39047</v>
      </c>
      <c r="Q46" s="174">
        <v>64270</v>
      </c>
      <c r="R46" s="1"/>
      <c r="S46" s="1"/>
      <c r="T46" s="1"/>
      <c r="U46" s="1"/>
      <c r="V46" s="10"/>
    </row>
    <row r="47" spans="1:22" x14ac:dyDescent="0.35">
      <c r="A47" s="9" t="s">
        <v>334</v>
      </c>
      <c r="B47" s="1"/>
      <c r="C47" s="79"/>
      <c r="D47" s="174"/>
      <c r="E47" s="174"/>
      <c r="F47" s="174"/>
      <c r="G47" s="174"/>
      <c r="H47" s="213"/>
      <c r="I47" s="174">
        <v>0</v>
      </c>
      <c r="J47" s="174">
        <v>0</v>
      </c>
      <c r="K47" s="174">
        <v>30000</v>
      </c>
      <c r="L47" s="231">
        <v>32000</v>
      </c>
      <c r="M47" s="174">
        <v>0</v>
      </c>
      <c r="N47" s="174">
        <v>15000</v>
      </c>
      <c r="O47" s="1"/>
      <c r="P47" s="174">
        <v>6000</v>
      </c>
      <c r="Q47" s="174">
        <v>0</v>
      </c>
      <c r="R47" s="1"/>
      <c r="S47" s="1"/>
      <c r="T47" s="1"/>
      <c r="U47" s="1"/>
      <c r="V47" s="10"/>
    </row>
    <row r="48" spans="1:22" x14ac:dyDescent="0.35">
      <c r="A48" s="9" t="s">
        <v>241</v>
      </c>
      <c r="B48" s="1"/>
      <c r="C48" s="79"/>
      <c r="D48" s="174">
        <v>1980</v>
      </c>
      <c r="E48" s="174">
        <v>2562</v>
      </c>
      <c r="F48" s="174">
        <v>2122</v>
      </c>
      <c r="G48" s="174">
        <v>8115</v>
      </c>
      <c r="H48" s="213"/>
      <c r="I48" s="174">
        <v>6052</v>
      </c>
      <c r="J48" s="174">
        <v>3242</v>
      </c>
      <c r="K48" s="174">
        <v>11493</v>
      </c>
      <c r="L48" s="231">
        <v>10417</v>
      </c>
      <c r="M48" s="174">
        <v>17721</v>
      </c>
      <c r="N48" s="174">
        <v>17620.650000000001</v>
      </c>
      <c r="O48" s="1"/>
      <c r="P48" s="174">
        <v>5894</v>
      </c>
      <c r="Q48" s="174">
        <v>10437</v>
      </c>
      <c r="R48" s="1"/>
      <c r="S48" s="1"/>
      <c r="T48" s="1"/>
      <c r="U48" s="1"/>
      <c r="V48" s="10"/>
    </row>
    <row r="49" spans="1:22" x14ac:dyDescent="0.35">
      <c r="A49" s="9" t="s">
        <v>242</v>
      </c>
      <c r="B49" s="1"/>
      <c r="C49" s="79"/>
      <c r="D49" s="174">
        <v>7400</v>
      </c>
      <c r="E49" s="174">
        <v>0</v>
      </c>
      <c r="F49" s="174">
        <v>0</v>
      </c>
      <c r="G49" s="174">
        <v>12000</v>
      </c>
      <c r="H49" s="213"/>
      <c r="I49" s="174">
        <v>0</v>
      </c>
      <c r="J49" s="174">
        <v>19420</v>
      </c>
      <c r="K49" s="174">
        <v>12376</v>
      </c>
      <c r="L49" s="231">
        <v>2000</v>
      </c>
      <c r="M49" s="174">
        <v>1000</v>
      </c>
      <c r="N49" s="174">
        <v>0</v>
      </c>
      <c r="O49" s="1"/>
      <c r="P49" s="174">
        <v>0</v>
      </c>
      <c r="Q49" s="174">
        <v>0</v>
      </c>
      <c r="R49" s="1"/>
      <c r="S49" s="1"/>
      <c r="T49" s="1"/>
      <c r="U49" s="1"/>
      <c r="V49" s="10"/>
    </row>
    <row r="50" spans="1:22" x14ac:dyDescent="0.35">
      <c r="A50" s="9" t="s">
        <v>281</v>
      </c>
      <c r="B50" s="1"/>
      <c r="C50" s="79"/>
      <c r="D50" s="174">
        <v>7600</v>
      </c>
      <c r="E50" s="174">
        <v>0</v>
      </c>
      <c r="F50" s="174">
        <v>49350</v>
      </c>
      <c r="G50" s="174">
        <v>200</v>
      </c>
      <c r="H50" s="213"/>
      <c r="I50" s="174">
        <v>700</v>
      </c>
      <c r="J50" s="174">
        <v>93500</v>
      </c>
      <c r="K50" s="174">
        <v>62850</v>
      </c>
      <c r="L50" s="231">
        <v>14500</v>
      </c>
      <c r="M50" s="174">
        <v>17400</v>
      </c>
      <c r="N50" s="174">
        <v>69850</v>
      </c>
      <c r="O50" s="1"/>
      <c r="P50" s="174">
        <v>5000</v>
      </c>
      <c r="Q50" s="174">
        <v>157900</v>
      </c>
      <c r="R50" s="1"/>
      <c r="S50" s="1"/>
      <c r="T50" s="1"/>
      <c r="U50" s="1"/>
      <c r="V50" s="10"/>
    </row>
    <row r="51" spans="1:22" x14ac:dyDescent="0.35">
      <c r="A51" s="177" t="s">
        <v>280</v>
      </c>
      <c r="B51" s="1"/>
      <c r="C51" s="79"/>
      <c r="D51" s="174">
        <v>0</v>
      </c>
      <c r="E51" s="174">
        <v>0</v>
      </c>
      <c r="F51" s="174">
        <v>0</v>
      </c>
      <c r="G51" s="174">
        <v>43500</v>
      </c>
      <c r="H51" s="213"/>
      <c r="I51" s="174">
        <v>17500</v>
      </c>
      <c r="J51" s="174">
        <v>66200</v>
      </c>
      <c r="K51" s="174">
        <v>0</v>
      </c>
      <c r="L51" s="231">
        <v>27050</v>
      </c>
      <c r="M51" s="174">
        <v>76100</v>
      </c>
      <c r="N51" s="174">
        <v>24000</v>
      </c>
      <c r="O51" s="1"/>
      <c r="P51" s="174">
        <v>40000</v>
      </c>
      <c r="Q51" s="174">
        <v>80000</v>
      </c>
      <c r="R51" s="1"/>
      <c r="S51" s="1"/>
      <c r="T51" s="1"/>
      <c r="U51" s="1"/>
      <c r="V51" s="10"/>
    </row>
    <row r="52" spans="1:22" x14ac:dyDescent="0.35">
      <c r="A52" s="177" t="s">
        <v>341</v>
      </c>
      <c r="B52" s="1"/>
      <c r="C52" s="79"/>
      <c r="D52" s="174">
        <v>0</v>
      </c>
      <c r="E52" s="174">
        <v>0</v>
      </c>
      <c r="F52" s="174">
        <v>0</v>
      </c>
      <c r="G52" s="174">
        <v>0</v>
      </c>
      <c r="H52" s="213"/>
      <c r="I52" s="174">
        <v>0</v>
      </c>
      <c r="J52" s="174">
        <v>8200</v>
      </c>
      <c r="K52" s="174">
        <f>264000-K20</f>
        <v>97498.982999999978</v>
      </c>
      <c r="L52" s="231">
        <v>0</v>
      </c>
      <c r="M52" s="174">
        <v>68763.711999999941</v>
      </c>
      <c r="N52" s="174">
        <v>101669.22500000001</v>
      </c>
      <c r="O52" s="1"/>
      <c r="P52" s="174">
        <f>308390-P20</f>
        <v>212511.53399999999</v>
      </c>
      <c r="Q52" s="174">
        <v>46884.371999999974</v>
      </c>
      <c r="R52" s="1"/>
      <c r="S52" s="1"/>
      <c r="T52" s="1"/>
      <c r="U52" s="1"/>
      <c r="V52" s="10"/>
    </row>
    <row r="53" spans="1:22" x14ac:dyDescent="0.35">
      <c r="A53" s="177" t="s">
        <v>323</v>
      </c>
      <c r="B53" s="1"/>
      <c r="C53" s="79"/>
      <c r="D53" s="174">
        <v>0</v>
      </c>
      <c r="E53" s="174">
        <v>0</v>
      </c>
      <c r="F53" s="174">
        <v>0</v>
      </c>
      <c r="G53" s="174">
        <v>0</v>
      </c>
      <c r="H53" s="213"/>
      <c r="I53" s="174">
        <v>0</v>
      </c>
      <c r="J53" s="174">
        <v>15500</v>
      </c>
      <c r="K53" s="174">
        <v>15500</v>
      </c>
      <c r="L53" s="231">
        <v>15500</v>
      </c>
      <c r="M53" s="174">
        <v>15500</v>
      </c>
      <c r="N53" s="174">
        <v>11500</v>
      </c>
      <c r="O53" s="1"/>
      <c r="P53" s="174">
        <v>5000</v>
      </c>
      <c r="Q53" s="174">
        <v>5000</v>
      </c>
      <c r="R53" s="1"/>
      <c r="S53" s="1"/>
      <c r="T53" s="1"/>
      <c r="U53" s="1"/>
      <c r="V53" s="10"/>
    </row>
    <row r="54" spans="1:22" x14ac:dyDescent="0.35">
      <c r="A54" s="177" t="s">
        <v>640</v>
      </c>
      <c r="B54" s="1"/>
      <c r="C54" s="79"/>
      <c r="D54" s="174">
        <v>0</v>
      </c>
      <c r="E54" s="174">
        <v>0</v>
      </c>
      <c r="F54" s="174">
        <v>0</v>
      </c>
      <c r="G54" s="174">
        <v>0</v>
      </c>
      <c r="H54" s="213"/>
      <c r="I54" s="174">
        <v>0</v>
      </c>
      <c r="J54" s="174">
        <v>0</v>
      </c>
      <c r="K54" s="174">
        <v>0</v>
      </c>
      <c r="L54" s="231">
        <v>9000</v>
      </c>
      <c r="M54" s="174">
        <v>0</v>
      </c>
      <c r="N54" s="174">
        <v>0</v>
      </c>
      <c r="O54" s="1"/>
      <c r="P54" s="174">
        <v>0</v>
      </c>
      <c r="Q54" s="174">
        <v>350000</v>
      </c>
      <c r="R54" s="1"/>
      <c r="S54" s="1"/>
      <c r="T54" s="1"/>
      <c r="U54" s="1"/>
      <c r="V54" s="10"/>
    </row>
    <row r="55" spans="1:22" x14ac:dyDescent="0.35">
      <c r="A55" s="177" t="s">
        <v>359</v>
      </c>
      <c r="B55" s="1"/>
      <c r="C55" s="79"/>
      <c r="D55" s="174">
        <v>0</v>
      </c>
      <c r="E55" s="174">
        <v>0</v>
      </c>
      <c r="F55" s="174">
        <v>0</v>
      </c>
      <c r="G55" s="174">
        <v>0</v>
      </c>
      <c r="H55" s="213"/>
      <c r="I55" s="174">
        <v>0</v>
      </c>
      <c r="J55" s="174">
        <v>0</v>
      </c>
      <c r="K55" s="174">
        <v>0</v>
      </c>
      <c r="L55" s="231">
        <v>50000</v>
      </c>
      <c r="M55" s="174">
        <v>0</v>
      </c>
      <c r="N55" s="174">
        <v>0</v>
      </c>
      <c r="O55" s="1"/>
      <c r="P55" s="174">
        <v>0</v>
      </c>
      <c r="Q55" s="174">
        <v>0</v>
      </c>
      <c r="R55" s="1"/>
      <c r="S55" s="1"/>
      <c r="T55" s="1"/>
      <c r="U55" s="1"/>
      <c r="V55" s="10"/>
    </row>
    <row r="56" spans="1:22" x14ac:dyDescent="0.35">
      <c r="A56" s="9" t="s">
        <v>243</v>
      </c>
      <c r="B56" s="1"/>
      <c r="C56" s="79"/>
      <c r="D56" s="174">
        <v>15520</v>
      </c>
      <c r="E56" s="174">
        <v>0</v>
      </c>
      <c r="F56" s="174">
        <v>8290</v>
      </c>
      <c r="G56" s="174">
        <v>134900</v>
      </c>
      <c r="H56" s="213"/>
      <c r="I56" s="174">
        <f>138770-57985</f>
        <v>80785</v>
      </c>
      <c r="J56" s="174">
        <f>102532-57985</f>
        <v>44547</v>
      </c>
      <c r="K56" s="174">
        <f>129887-57985</f>
        <v>71902</v>
      </c>
      <c r="L56" s="231">
        <v>76130</v>
      </c>
      <c r="M56" s="174">
        <v>107500</v>
      </c>
      <c r="N56" s="174">
        <v>48460</v>
      </c>
      <c r="O56" s="1"/>
      <c r="P56" s="174">
        <v>55480</v>
      </c>
      <c r="Q56" s="174">
        <v>118848</v>
      </c>
      <c r="R56" s="1"/>
      <c r="S56" s="1"/>
      <c r="T56" s="1"/>
      <c r="U56" s="1"/>
      <c r="V56" s="10"/>
    </row>
    <row r="57" spans="1:22" x14ac:dyDescent="0.35">
      <c r="A57" s="9" t="s">
        <v>338</v>
      </c>
      <c r="B57" s="1"/>
      <c r="C57" s="79"/>
      <c r="D57" s="174">
        <v>0</v>
      </c>
      <c r="E57" s="174">
        <v>0</v>
      </c>
      <c r="F57" s="174">
        <v>0</v>
      </c>
      <c r="G57" s="174">
        <v>0</v>
      </c>
      <c r="H57" s="213"/>
      <c r="I57" s="174">
        <v>0</v>
      </c>
      <c r="J57" s="174">
        <v>0</v>
      </c>
      <c r="K57" s="174">
        <v>89600</v>
      </c>
      <c r="L57" s="174">
        <v>0</v>
      </c>
      <c r="M57" s="174">
        <v>25490</v>
      </c>
      <c r="N57" s="174">
        <v>0</v>
      </c>
      <c r="O57" s="1"/>
      <c r="P57" s="174">
        <v>0</v>
      </c>
      <c r="Q57" s="1"/>
      <c r="R57" s="1"/>
      <c r="S57" s="1"/>
      <c r="T57" s="1"/>
      <c r="U57" s="1"/>
      <c r="V57" s="10"/>
    </row>
    <row r="58" spans="1:22" x14ac:dyDescent="0.35">
      <c r="A58" s="9" t="s">
        <v>340</v>
      </c>
      <c r="B58" s="1"/>
      <c r="C58" s="79"/>
      <c r="D58" s="174">
        <v>0</v>
      </c>
      <c r="E58" s="174">
        <v>0</v>
      </c>
      <c r="F58" s="174">
        <v>0</v>
      </c>
      <c r="G58" s="174">
        <v>0</v>
      </c>
      <c r="H58" s="213"/>
      <c r="I58" s="174">
        <v>0</v>
      </c>
      <c r="J58" s="174">
        <v>0</v>
      </c>
      <c r="K58" s="174">
        <v>47366</v>
      </c>
      <c r="L58" s="174">
        <v>0</v>
      </c>
      <c r="M58" s="174">
        <v>0</v>
      </c>
      <c r="N58" s="174">
        <v>0</v>
      </c>
      <c r="O58" s="1"/>
      <c r="P58" s="174">
        <v>0</v>
      </c>
      <c r="Q58" s="1"/>
      <c r="R58" s="1"/>
      <c r="S58" s="1"/>
      <c r="T58" s="1"/>
      <c r="U58" s="1"/>
      <c r="V58" s="10"/>
    </row>
    <row r="59" spans="1:22" ht="15" thickBot="1" x14ac:dyDescent="0.4">
      <c r="A59" s="176" t="s">
        <v>244</v>
      </c>
      <c r="B59" s="1"/>
      <c r="C59" s="79"/>
      <c r="D59" s="181">
        <f>SUM(D46:D58)</f>
        <v>49500</v>
      </c>
      <c r="E59" s="181">
        <f>SUM(E46:E58)</f>
        <v>18987</v>
      </c>
      <c r="F59" s="181">
        <f>SUM(F46:F58)</f>
        <v>72277</v>
      </c>
      <c r="G59" s="181">
        <f>SUM(G46:G58)</f>
        <v>213815</v>
      </c>
      <c r="H59" s="214"/>
      <c r="I59" s="181">
        <f t="shared" ref="I59:Q59" si="6">SUM(I46:I58)</f>
        <v>134037</v>
      </c>
      <c r="J59" s="181">
        <f t="shared" si="6"/>
        <v>292609</v>
      </c>
      <c r="K59" s="181">
        <f t="shared" si="6"/>
        <v>466585.98300000001</v>
      </c>
      <c r="L59" s="181">
        <f t="shared" si="6"/>
        <v>272447</v>
      </c>
      <c r="M59" s="181">
        <f t="shared" si="6"/>
        <v>372613.71199999994</v>
      </c>
      <c r="N59" s="181">
        <f t="shared" si="6"/>
        <v>329428.875</v>
      </c>
      <c r="O59" s="1"/>
      <c r="P59" s="181">
        <f t="shared" si="6"/>
        <v>368932.53399999999</v>
      </c>
      <c r="Q59" s="181">
        <f t="shared" si="6"/>
        <v>833339.37199999997</v>
      </c>
      <c r="R59" s="1"/>
      <c r="S59" s="1"/>
      <c r="T59" s="1"/>
      <c r="U59" s="1"/>
      <c r="V59" s="10"/>
    </row>
    <row r="60" spans="1:22" ht="15" thickTop="1" x14ac:dyDescent="0.35">
      <c r="A60" s="9" t="s">
        <v>245</v>
      </c>
      <c r="B60" s="1"/>
      <c r="C60" s="79"/>
      <c r="D60" s="180">
        <f>D43-D59</f>
        <v>566968.84999999986</v>
      </c>
      <c r="E60" s="180">
        <f>E43-E59</f>
        <v>193009.12900000019</v>
      </c>
      <c r="F60" s="180">
        <f>F43-F59</f>
        <v>86298.270000000019</v>
      </c>
      <c r="G60" s="180">
        <f>G43-G59</f>
        <v>35564.628999999724</v>
      </c>
      <c r="H60" s="213"/>
      <c r="I60" s="180">
        <f t="shared" ref="I60:N60" si="7">I43-I59</f>
        <v>-25463.384999999776</v>
      </c>
      <c r="J60" s="180">
        <f t="shared" si="7"/>
        <v>120215.10899999971</v>
      </c>
      <c r="K60" s="180">
        <f t="shared" si="7"/>
        <v>27299.95999999973</v>
      </c>
      <c r="L60" s="180">
        <f t="shared" si="7"/>
        <v>173997.04600000009</v>
      </c>
      <c r="M60" s="180">
        <f t="shared" si="7"/>
        <v>184322.30499999959</v>
      </c>
      <c r="N60" s="174">
        <f t="shared" si="7"/>
        <v>261656.46499999997</v>
      </c>
      <c r="O60" s="1"/>
      <c r="P60" s="174">
        <f>P43-P59</f>
        <v>31758.654999999795</v>
      </c>
      <c r="Q60" s="174">
        <f>Q43-Q59</f>
        <v>593707.09666666691</v>
      </c>
      <c r="R60" s="1"/>
      <c r="S60" s="1"/>
      <c r="T60" s="1"/>
      <c r="U60" s="1"/>
      <c r="V60" s="10"/>
    </row>
    <row r="61" spans="1:22" x14ac:dyDescent="0.35">
      <c r="A61" s="9" t="s">
        <v>373</v>
      </c>
      <c r="B61" s="1"/>
      <c r="C61" s="79"/>
      <c r="D61" s="174"/>
      <c r="E61" s="174"/>
      <c r="F61" s="174"/>
      <c r="G61" s="174"/>
      <c r="H61" s="213"/>
      <c r="I61" s="174">
        <v>57985</v>
      </c>
      <c r="J61" s="174">
        <v>57985</v>
      </c>
      <c r="K61" s="174">
        <v>57985</v>
      </c>
      <c r="L61" s="210">
        <v>0</v>
      </c>
      <c r="M61" s="174">
        <v>57000</v>
      </c>
      <c r="N61" s="174">
        <v>60000</v>
      </c>
      <c r="O61" s="1"/>
      <c r="P61" s="293">
        <v>60000</v>
      </c>
      <c r="Q61" s="174">
        <v>60000</v>
      </c>
      <c r="R61" s="1"/>
      <c r="S61" s="1"/>
      <c r="T61" s="1"/>
      <c r="U61" s="1"/>
      <c r="V61" s="10"/>
    </row>
    <row r="62" spans="1:22" ht="15" thickBot="1" x14ac:dyDescent="0.4">
      <c r="A62" s="178" t="s">
        <v>279</v>
      </c>
      <c r="B62" s="12"/>
      <c r="C62" s="17"/>
      <c r="D62" s="190">
        <f>D60-D61</f>
        <v>566968.84999999986</v>
      </c>
      <c r="E62" s="190">
        <f>E60-E61</f>
        <v>193009.12900000019</v>
      </c>
      <c r="F62" s="190">
        <f>F60-F61</f>
        <v>86298.270000000019</v>
      </c>
      <c r="G62" s="190">
        <f>G60-G61</f>
        <v>35564.628999999724</v>
      </c>
      <c r="H62" s="215"/>
      <c r="I62" s="190">
        <f t="shared" ref="I62:Q62" si="8">I60-I61</f>
        <v>-83448.384999999776</v>
      </c>
      <c r="J62" s="190">
        <f t="shared" si="8"/>
        <v>62230.108999999706</v>
      </c>
      <c r="K62" s="190">
        <f t="shared" si="8"/>
        <v>-30685.04000000027</v>
      </c>
      <c r="L62" s="190">
        <f t="shared" si="8"/>
        <v>173997.04600000009</v>
      </c>
      <c r="M62" s="240">
        <f t="shared" si="8"/>
        <v>127322.30499999959</v>
      </c>
      <c r="N62" s="240">
        <f t="shared" si="8"/>
        <v>201656.46499999997</v>
      </c>
      <c r="O62" s="12"/>
      <c r="P62" s="240">
        <f t="shared" si="8"/>
        <v>-28241.345000000205</v>
      </c>
      <c r="Q62" s="240">
        <f t="shared" si="8"/>
        <v>533707.09666666691</v>
      </c>
      <c r="R62" s="12"/>
      <c r="S62" s="12"/>
      <c r="T62" s="12"/>
      <c r="U62" s="12"/>
      <c r="V62" s="13"/>
    </row>
    <row r="63" spans="1:22" x14ac:dyDescent="0.35">
      <c r="H63" s="143"/>
    </row>
    <row r="64" spans="1:22" x14ac:dyDescent="0.35">
      <c r="H64" s="143"/>
    </row>
    <row r="65" spans="1:22" x14ac:dyDescent="0.35">
      <c r="H65" s="143"/>
    </row>
    <row r="66" spans="1:22" x14ac:dyDescent="0.35">
      <c r="A66" s="4" t="s">
        <v>343</v>
      </c>
      <c r="H66" s="143"/>
    </row>
    <row r="67" spans="1:22" x14ac:dyDescent="0.35">
      <c r="A67" s="1" t="s">
        <v>0</v>
      </c>
      <c r="B67" s="1"/>
      <c r="C67" s="1"/>
      <c r="D67" s="1"/>
      <c r="E67" s="1"/>
      <c r="F67" s="1"/>
      <c r="G67" s="1"/>
      <c r="H67" s="212"/>
      <c r="I67" s="216">
        <v>18033</v>
      </c>
      <c r="J67" s="216">
        <v>17820</v>
      </c>
      <c r="K67" s="216">
        <v>18373</v>
      </c>
      <c r="L67" s="216">
        <v>18065</v>
      </c>
      <c r="M67" s="216">
        <f>'[1]Packaging materials accounting'!B33</f>
        <v>16853</v>
      </c>
      <c r="N67" s="216">
        <v>16236</v>
      </c>
      <c r="O67" s="1"/>
      <c r="P67" s="1"/>
      <c r="Q67" s="216">
        <f>'Packaging materials accounting'!C32</f>
        <v>14061</v>
      </c>
      <c r="R67" s="1"/>
      <c r="S67" s="1"/>
      <c r="T67" s="1"/>
      <c r="U67" s="1"/>
      <c r="V67" s="1"/>
    </row>
    <row r="68" spans="1:22" x14ac:dyDescent="0.35">
      <c r="A68" s="1" t="s">
        <v>1</v>
      </c>
      <c r="B68" s="1"/>
      <c r="C68" s="1"/>
      <c r="D68" s="1"/>
      <c r="E68" s="1"/>
      <c r="F68" s="1"/>
      <c r="G68" s="1"/>
      <c r="H68" s="212"/>
      <c r="I68" s="216">
        <v>22612</v>
      </c>
      <c r="J68" s="216">
        <v>18528</v>
      </c>
      <c r="K68" s="216">
        <v>18960</v>
      </c>
      <c r="L68" s="216">
        <v>21786</v>
      </c>
      <c r="M68" s="216">
        <f>'[1]Packaging materials accounting'!F33</f>
        <v>19487</v>
      </c>
      <c r="N68" s="216">
        <v>17599</v>
      </c>
      <c r="O68" s="1"/>
      <c r="P68" s="1"/>
      <c r="Q68" s="216">
        <f>'Packaging materials accounting'!F32</f>
        <v>20689</v>
      </c>
      <c r="R68" s="1"/>
      <c r="S68" s="1"/>
      <c r="T68" s="1"/>
      <c r="U68" s="1"/>
      <c r="V68" s="1"/>
    </row>
    <row r="69" spans="1:22" x14ac:dyDescent="0.35">
      <c r="A69" s="1" t="s">
        <v>344</v>
      </c>
      <c r="B69" s="1"/>
      <c r="C69" s="1"/>
      <c r="D69" s="1"/>
      <c r="E69" s="1"/>
      <c r="F69" s="1"/>
      <c r="G69" s="1"/>
      <c r="H69" s="212"/>
      <c r="I69" s="216">
        <v>8800</v>
      </c>
      <c r="J69" s="216">
        <v>10004</v>
      </c>
      <c r="K69" s="216">
        <v>14432</v>
      </c>
      <c r="L69" s="216">
        <v>15654</v>
      </c>
      <c r="M69" s="216">
        <f>'[1]Packaging materials accounting'!J33</f>
        <v>15110</v>
      </c>
      <c r="N69" s="216">
        <v>13056</v>
      </c>
      <c r="O69" s="1"/>
      <c r="P69" s="1"/>
      <c r="Q69" s="216">
        <f>'Packaging materials accounting'!J32</f>
        <v>17340</v>
      </c>
      <c r="R69" s="1"/>
      <c r="S69" s="1"/>
      <c r="T69" s="1"/>
      <c r="U69" s="1"/>
      <c r="V69" s="1"/>
    </row>
    <row r="70" spans="1:22" x14ac:dyDescent="0.35">
      <c r="A70" s="1"/>
      <c r="B70" s="1"/>
      <c r="C70" s="1"/>
      <c r="D70" s="1"/>
      <c r="E70" s="1"/>
      <c r="F70" s="1"/>
      <c r="G70" s="1"/>
      <c r="H70" s="21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35">
      <c r="H71" s="143"/>
    </row>
    <row r="72" spans="1:22" x14ac:dyDescent="0.35">
      <c r="H72" s="1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5E64-0EC1-48B1-A887-79EAD8E41BDD}">
  <dimension ref="B1:P63"/>
  <sheetViews>
    <sheetView topLeftCell="A40" zoomScale="78" zoomScaleNormal="78" workbookViewId="0">
      <selection activeCell="C53" sqref="C53:C55"/>
    </sheetView>
  </sheetViews>
  <sheetFormatPr defaultRowHeight="14.5" x14ac:dyDescent="0.35"/>
  <cols>
    <col min="1" max="1" width="1.90625" customWidth="1"/>
    <col min="2" max="2" width="28.08984375" customWidth="1"/>
    <col min="3" max="3" width="13" bestFit="1" customWidth="1"/>
    <col min="4" max="4" width="2.453125" customWidth="1"/>
    <col min="5" max="6" width="13" bestFit="1" customWidth="1"/>
    <col min="9" max="9" width="13.26953125" customWidth="1"/>
  </cols>
  <sheetData>
    <row r="1" spans="2:7" x14ac:dyDescent="0.35">
      <c r="B1" s="323" t="s">
        <v>249</v>
      </c>
      <c r="C1" s="323"/>
      <c r="D1" s="323"/>
      <c r="E1" s="323"/>
      <c r="F1" s="323"/>
      <c r="G1" s="323"/>
    </row>
    <row r="2" spans="2:7" ht="15" thickBot="1" x14ac:dyDescent="0.4">
      <c r="B2" s="324" t="s">
        <v>449</v>
      </c>
      <c r="C2" s="324"/>
      <c r="D2" s="324"/>
      <c r="E2" s="324"/>
      <c r="F2" s="324"/>
      <c r="G2" s="324"/>
    </row>
    <row r="3" spans="2:7" x14ac:dyDescent="0.35">
      <c r="B3" s="83" t="s">
        <v>216</v>
      </c>
      <c r="C3" s="43"/>
      <c r="D3" s="43"/>
      <c r="E3" s="43"/>
      <c r="F3" s="43"/>
      <c r="G3" s="44"/>
    </row>
    <row r="4" spans="2:7" x14ac:dyDescent="0.35">
      <c r="B4" s="55" t="s">
        <v>0</v>
      </c>
      <c r="C4" s="154">
        <f>'Dispatch and Sales per day'!L375</f>
        <v>794635</v>
      </c>
      <c r="D4" s="154"/>
      <c r="E4" s="154"/>
      <c r="F4" s="154"/>
      <c r="G4" s="45"/>
    </row>
    <row r="5" spans="2:7" x14ac:dyDescent="0.35">
      <c r="B5" s="55" t="s">
        <v>1</v>
      </c>
      <c r="C5" s="154">
        <f>'Dispatch and Sales per day'!X375</f>
        <v>2117900</v>
      </c>
      <c r="D5" s="154"/>
      <c r="E5" s="154"/>
      <c r="F5" s="154"/>
      <c r="G5" s="45"/>
    </row>
    <row r="6" spans="2:7" x14ac:dyDescent="0.35">
      <c r="B6" s="55" t="s">
        <v>196</v>
      </c>
      <c r="C6" s="154">
        <f>'Dispatch and Sales per day'!AJ375</f>
        <v>865180</v>
      </c>
      <c r="D6" s="154"/>
      <c r="E6" s="154"/>
      <c r="F6" s="154"/>
      <c r="G6" s="45"/>
    </row>
    <row r="7" spans="2:7" x14ac:dyDescent="0.35">
      <c r="B7" s="55" t="s">
        <v>641</v>
      </c>
      <c r="C7" s="150">
        <v>1050000</v>
      </c>
      <c r="D7" s="154"/>
      <c r="E7" s="154"/>
      <c r="F7" s="154"/>
      <c r="G7" s="45"/>
    </row>
    <row r="8" spans="2:7" x14ac:dyDescent="0.35">
      <c r="B8" s="55" t="s">
        <v>217</v>
      </c>
      <c r="C8" s="154"/>
      <c r="D8" s="154"/>
      <c r="E8" s="154"/>
      <c r="F8" s="151">
        <f>SUM(C4:C7)</f>
        <v>4827715</v>
      </c>
      <c r="G8" s="45"/>
    </row>
    <row r="9" spans="2:7" x14ac:dyDescent="0.35">
      <c r="B9" s="55"/>
      <c r="C9" s="154"/>
      <c r="D9" s="154"/>
      <c r="E9" s="154"/>
      <c r="F9" s="154"/>
      <c r="G9" s="45"/>
    </row>
    <row r="10" spans="2:7" x14ac:dyDescent="0.35">
      <c r="B10" s="55" t="s">
        <v>218</v>
      </c>
      <c r="C10" s="154"/>
      <c r="D10" s="154"/>
      <c r="E10" s="154"/>
      <c r="F10" s="154"/>
      <c r="G10" s="45"/>
    </row>
    <row r="11" spans="2:7" x14ac:dyDescent="0.35">
      <c r="B11" s="155" t="s">
        <v>219</v>
      </c>
      <c r="C11" s="154"/>
      <c r="D11" s="154"/>
      <c r="E11" s="154"/>
      <c r="F11" s="154"/>
      <c r="G11" s="45"/>
    </row>
    <row r="12" spans="2:7" x14ac:dyDescent="0.35">
      <c r="B12" s="55" t="s">
        <v>2</v>
      </c>
      <c r="C12" s="154">
        <f>2304+Expenditure!E3+Expenditure!E8+Expenditure!E49+Expenditure!E85-'September Summary'!F50</f>
        <v>1398514</v>
      </c>
      <c r="D12" s="154"/>
      <c r="E12" s="154"/>
      <c r="F12" s="154"/>
      <c r="G12" s="45"/>
    </row>
    <row r="13" spans="2:7" x14ac:dyDescent="0.35">
      <c r="B13" s="55" t="s">
        <v>3</v>
      </c>
      <c r="C13" s="154">
        <f>18408+Expenditure!E2+Expenditure!E13+Expenditure!E28+Expenditure!E35+Expenditure!E62+Expenditure!E69-'September Summary'!F52</f>
        <v>267150</v>
      </c>
      <c r="D13" s="154"/>
      <c r="E13" s="154"/>
      <c r="F13" s="154"/>
      <c r="G13" s="45"/>
    </row>
    <row r="14" spans="2:7" x14ac:dyDescent="0.35">
      <c r="B14" s="55" t="s">
        <v>220</v>
      </c>
      <c r="C14" s="154">
        <f>4450+Expenditure!E4+Expenditure!E9+Expenditure!E11+Expenditure!E21+Expenditure!E26+Expenditure!E29+Expenditure!E38+Expenditure!E60+Expenditure!E67-'September Summary'!F53</f>
        <v>543350</v>
      </c>
      <c r="D14" s="154"/>
      <c r="E14" s="154"/>
      <c r="F14" s="154"/>
      <c r="G14" s="45"/>
    </row>
    <row r="15" spans="2:7" x14ac:dyDescent="0.35">
      <c r="B15" s="55" t="s">
        <v>4</v>
      </c>
      <c r="C15" s="154">
        <f>42617+Expenditure!E20+Expenditure!E34+Expenditure!E50+Expenditure!E61+Expenditure!E68-'September Summary'!F51</f>
        <v>312690.5</v>
      </c>
      <c r="D15" s="154"/>
      <c r="E15" s="154"/>
      <c r="F15" s="154"/>
      <c r="G15" s="45"/>
    </row>
    <row r="16" spans="2:7" x14ac:dyDescent="0.35">
      <c r="B16" s="55" t="s">
        <v>5</v>
      </c>
      <c r="C16" s="154">
        <f>5062+Expenditure!E12+Expenditure!E27+Expenditure!E37+Expenditure!E63+Expenditure!E71-'September Summary'!F54</f>
        <v>54068</v>
      </c>
      <c r="D16" s="154"/>
      <c r="E16" s="154"/>
      <c r="F16" s="154"/>
      <c r="G16" s="45"/>
    </row>
    <row r="17" spans="2:7" x14ac:dyDescent="0.35">
      <c r="B17" s="55" t="s">
        <v>248</v>
      </c>
      <c r="C17" s="154">
        <f>Expenditure!E14+Expenditure!E59+Expenditure!E64+Expenditure!E74</f>
        <v>10575</v>
      </c>
      <c r="D17" s="154"/>
      <c r="E17" s="154"/>
      <c r="F17" s="154"/>
      <c r="G17" s="45"/>
    </row>
    <row r="18" spans="2:7" x14ac:dyDescent="0.35">
      <c r="B18" s="55" t="s">
        <v>221</v>
      </c>
      <c r="C18" s="154">
        <f>10542+Expenditure!E36+Expenditure!E70-'September Summary'!F56</f>
        <v>12670</v>
      </c>
      <c r="D18" s="154"/>
      <c r="E18" s="154"/>
      <c r="F18" s="154"/>
      <c r="G18" s="45"/>
    </row>
    <row r="19" spans="2:7" x14ac:dyDescent="0.35">
      <c r="B19" s="55" t="s">
        <v>26</v>
      </c>
      <c r="C19" s="154">
        <f>3627+Expenditure!E51-'September Summary'!F57</f>
        <v>9405</v>
      </c>
      <c r="D19" s="154"/>
      <c r="E19" s="154"/>
      <c r="F19" s="154"/>
      <c r="G19" s="45"/>
    </row>
    <row r="20" spans="2:7" x14ac:dyDescent="0.35">
      <c r="B20" s="55" t="s">
        <v>250</v>
      </c>
      <c r="C20" s="321">
        <f>'Packaging materials accounting'!O32</f>
        <v>166965.62800000003</v>
      </c>
      <c r="D20" s="154"/>
      <c r="E20" s="154"/>
      <c r="F20" s="154"/>
      <c r="G20" s="45"/>
    </row>
    <row r="21" spans="2:7" x14ac:dyDescent="0.35">
      <c r="B21" s="55" t="s">
        <v>51</v>
      </c>
      <c r="C21" s="150">
        <f>13703-'September Summary'!F58</f>
        <v>5893</v>
      </c>
      <c r="D21" s="154"/>
      <c r="E21" s="154"/>
      <c r="F21" s="154"/>
      <c r="G21" s="45"/>
    </row>
    <row r="22" spans="2:7" x14ac:dyDescent="0.35">
      <c r="B22" s="155" t="s">
        <v>230</v>
      </c>
      <c r="C22" s="154"/>
      <c r="D22" s="154"/>
      <c r="E22" s="154">
        <f>SUM(C12:C21)</f>
        <v>2781281.128</v>
      </c>
      <c r="F22" s="154"/>
      <c r="G22" s="45"/>
    </row>
    <row r="23" spans="2:7" x14ac:dyDescent="0.35">
      <c r="B23" s="155" t="s">
        <v>229</v>
      </c>
      <c r="C23" s="154"/>
      <c r="D23" s="154"/>
      <c r="E23" s="154"/>
      <c r="F23" s="154"/>
      <c r="G23" s="45"/>
    </row>
    <row r="24" spans="2:7" x14ac:dyDescent="0.35">
      <c r="B24" s="55" t="s">
        <v>8</v>
      </c>
      <c r="C24" s="154">
        <f>10500+Expenditure!E16+Expenditure!E32+Expenditure!E42+Expenditure!E89+Expenditure!E99+'Fuel reconciliation'!I16-9570</f>
        <v>111500</v>
      </c>
      <c r="D24" s="154"/>
      <c r="E24" s="154"/>
      <c r="F24" s="154"/>
      <c r="G24" s="45"/>
    </row>
    <row r="25" spans="2:7" x14ac:dyDescent="0.35">
      <c r="B25" s="55" t="s">
        <v>222</v>
      </c>
      <c r="C25" s="154">
        <v>0</v>
      </c>
      <c r="D25" s="154"/>
      <c r="E25" s="154"/>
      <c r="F25" s="154"/>
      <c r="G25" s="45"/>
    </row>
    <row r="26" spans="2:7" x14ac:dyDescent="0.35">
      <c r="B26" s="55" t="s">
        <v>638</v>
      </c>
      <c r="C26" s="154">
        <f>'Fuel reconciliation'!C4+'Fuel reconciliation'!C5+'Fuel reconciliation'!C8+'Fuel reconciliation'!C10+'Fuel reconciliation'!C12+'Fuel reconciliation'!C15+'Fuel reconciliation'!C17+'Fuel reconciliation'!C19+'Fuel reconciliation'!C21+'Fuel reconciliation'!C23+'Fuel reconciliation'!C25</f>
        <v>99895.019999999975</v>
      </c>
      <c r="D26" s="154"/>
      <c r="E26" s="154"/>
      <c r="F26" s="154"/>
      <c r="G26" s="45"/>
    </row>
    <row r="27" spans="2:7" x14ac:dyDescent="0.35">
      <c r="B27" s="55" t="s">
        <v>227</v>
      </c>
      <c r="C27" s="154">
        <f>'Fuel reconciliation'!C6+'Fuel reconciliation'!C7+'Fuel reconciliation'!C9+'Fuel reconciliation'!C11+'Fuel reconciliation'!C13+'Fuel reconciliation'!C14+'Fuel reconciliation'!C16+'Fuel reconciliation'!C18+'Fuel reconciliation'!C20+'Fuel reconciliation'!C22+'Fuel reconciliation'!C24+'Fuel reconciliation'!C26</f>
        <v>66295.55</v>
      </c>
      <c r="D27" s="154"/>
      <c r="E27" s="154"/>
      <c r="F27" s="154"/>
      <c r="G27" s="45"/>
    </row>
    <row r="28" spans="2:7" x14ac:dyDescent="0.35">
      <c r="B28" s="55" t="s">
        <v>639</v>
      </c>
      <c r="C28" s="154">
        <f>'Fuel reconciliation'!I14</f>
        <v>9570</v>
      </c>
      <c r="D28" s="154"/>
      <c r="E28" s="154"/>
      <c r="F28" s="154"/>
      <c r="G28" s="45"/>
    </row>
    <row r="29" spans="2:7" x14ac:dyDescent="0.35">
      <c r="B29" s="55" t="s">
        <v>206</v>
      </c>
      <c r="C29" s="150">
        <f>Expenditure!E47</f>
        <v>51244</v>
      </c>
      <c r="D29" s="154"/>
      <c r="E29" s="154"/>
      <c r="F29" s="154"/>
      <c r="G29" s="45"/>
    </row>
    <row r="30" spans="2:7" x14ac:dyDescent="0.35">
      <c r="B30" s="155" t="s">
        <v>231</v>
      </c>
      <c r="C30" s="154"/>
      <c r="D30" s="154"/>
      <c r="E30" s="154">
        <f>SUM(C24:C29)</f>
        <v>338504.56999999995</v>
      </c>
      <c r="F30" s="154"/>
      <c r="G30" s="45"/>
    </row>
    <row r="31" spans="2:7" x14ac:dyDescent="0.35">
      <c r="B31" s="155" t="s">
        <v>228</v>
      </c>
      <c r="C31" s="154"/>
      <c r="D31" s="154"/>
      <c r="E31" s="154"/>
      <c r="F31" s="154"/>
      <c r="G31" s="45"/>
    </row>
    <row r="32" spans="2:7" x14ac:dyDescent="0.35">
      <c r="B32" s="55" t="s">
        <v>223</v>
      </c>
      <c r="C32" s="154">
        <f>Expenditure!E104</f>
        <v>114434</v>
      </c>
      <c r="D32" s="154"/>
      <c r="E32" s="154"/>
      <c r="F32" s="154"/>
      <c r="G32" s="45"/>
    </row>
    <row r="33" spans="2:16" x14ac:dyDescent="0.35">
      <c r="B33" s="55" t="s">
        <v>224</v>
      </c>
      <c r="C33" s="154">
        <f>Expenditure!E103+Expenditure!E73</f>
        <v>16418.833333333332</v>
      </c>
      <c r="D33" s="154"/>
      <c r="E33" s="154"/>
      <c r="F33" s="154"/>
      <c r="G33" s="45"/>
    </row>
    <row r="34" spans="2:16" x14ac:dyDescent="0.35">
      <c r="B34" s="55" t="s">
        <v>225</v>
      </c>
      <c r="C34" s="150">
        <f>Expenditure!E105</f>
        <v>42000</v>
      </c>
      <c r="D34" s="154"/>
      <c r="E34" s="154"/>
      <c r="F34" s="154"/>
      <c r="G34" s="45"/>
    </row>
    <row r="35" spans="2:16" x14ac:dyDescent="0.35">
      <c r="B35" s="155" t="s">
        <v>232</v>
      </c>
      <c r="C35" s="154"/>
      <c r="D35" s="154"/>
      <c r="E35" s="154">
        <f>SUM(C32:C34)</f>
        <v>172852.83333333331</v>
      </c>
      <c r="F35" s="154"/>
      <c r="G35" s="45"/>
    </row>
    <row r="36" spans="2:16" x14ac:dyDescent="0.35">
      <c r="B36" s="155" t="s">
        <v>233</v>
      </c>
      <c r="C36" s="154"/>
      <c r="D36" s="154"/>
      <c r="E36" s="154"/>
      <c r="F36" s="154"/>
      <c r="G36" s="45"/>
    </row>
    <row r="37" spans="2:16" x14ac:dyDescent="0.35">
      <c r="B37" s="55" t="s">
        <v>234</v>
      </c>
      <c r="C37" s="154">
        <f>'Dispatch and Sales per day'!M375</f>
        <v>24900</v>
      </c>
      <c r="D37" s="154"/>
      <c r="E37" s="154"/>
      <c r="F37" s="154"/>
      <c r="G37" s="45"/>
    </row>
    <row r="38" spans="2:16" x14ac:dyDescent="0.35">
      <c r="B38" s="55" t="s">
        <v>235</v>
      </c>
      <c r="C38" s="154">
        <f>'Dispatch and Sales per day'!Y375</f>
        <v>56675</v>
      </c>
      <c r="D38" s="154"/>
      <c r="E38" s="154"/>
      <c r="F38" s="154"/>
      <c r="G38" s="45"/>
    </row>
    <row r="39" spans="2:16" x14ac:dyDescent="0.35">
      <c r="B39" s="55" t="s">
        <v>236</v>
      </c>
      <c r="C39" s="150">
        <f>'Dispatch and Sales per day'!AK375</f>
        <v>26455</v>
      </c>
      <c r="D39" s="154"/>
      <c r="E39" s="154"/>
      <c r="F39" s="154"/>
      <c r="G39" s="45"/>
    </row>
    <row r="40" spans="2:16" x14ac:dyDescent="0.35">
      <c r="B40" s="155" t="s">
        <v>237</v>
      </c>
      <c r="C40" s="154"/>
      <c r="D40" s="154"/>
      <c r="E40" s="150">
        <f>SUM(C37:C39)</f>
        <v>108030</v>
      </c>
      <c r="F40" s="154"/>
      <c r="G40" s="45"/>
    </row>
    <row r="41" spans="2:16" x14ac:dyDescent="0.35">
      <c r="B41" s="155" t="s">
        <v>238</v>
      </c>
      <c r="C41" s="154"/>
      <c r="D41" s="154"/>
      <c r="E41" s="154"/>
      <c r="F41" s="150">
        <f>SUM(E22,E30,E35,E40)</f>
        <v>3400668.5313333333</v>
      </c>
      <c r="G41" s="45"/>
    </row>
    <row r="42" spans="2:16" x14ac:dyDescent="0.35">
      <c r="B42" s="55" t="s">
        <v>239</v>
      </c>
      <c r="C42" s="154"/>
      <c r="D42" s="154"/>
      <c r="E42" s="154"/>
      <c r="F42" s="154">
        <f>F8-F41</f>
        <v>1427046.4686666667</v>
      </c>
      <c r="G42" s="45"/>
    </row>
    <row r="43" spans="2:16" x14ac:dyDescent="0.35">
      <c r="B43" s="55"/>
      <c r="C43" s="154"/>
      <c r="D43" s="154"/>
      <c r="E43" s="154"/>
      <c r="F43" s="154"/>
      <c r="G43" s="45"/>
    </row>
    <row r="44" spans="2:16" x14ac:dyDescent="0.35">
      <c r="B44" s="155" t="s">
        <v>240</v>
      </c>
      <c r="C44" s="154"/>
      <c r="D44" s="154"/>
      <c r="E44" s="154"/>
      <c r="F44" s="154"/>
      <c r="G44" s="45"/>
    </row>
    <row r="45" spans="2:16" x14ac:dyDescent="0.35">
      <c r="B45" s="55" t="s">
        <v>247</v>
      </c>
      <c r="C45" s="154">
        <f>Expenditure!E102</f>
        <v>64270</v>
      </c>
      <c r="D45" s="154"/>
      <c r="E45" s="154"/>
      <c r="F45" s="154"/>
      <c r="G45" s="45"/>
    </row>
    <row r="46" spans="2:16" x14ac:dyDescent="0.35">
      <c r="B46" s="55" t="s">
        <v>334</v>
      </c>
      <c r="C46" s="154">
        <v>0</v>
      </c>
      <c r="D46" s="154"/>
      <c r="E46" s="154"/>
      <c r="F46" s="154"/>
      <c r="G46" s="45"/>
      <c r="L46" t="s">
        <v>57</v>
      </c>
      <c r="N46">
        <v>100</v>
      </c>
      <c r="O46">
        <v>255</v>
      </c>
      <c r="P46">
        <f>N46*O46</f>
        <v>25500</v>
      </c>
    </row>
    <row r="47" spans="2:16" x14ac:dyDescent="0.35">
      <c r="B47" s="55" t="s">
        <v>241</v>
      </c>
      <c r="C47" s="154">
        <f>Expenditure!E24+Expenditure!E46+Expenditure!E94+Expenditure!E95+Expenditure!E96+Expenditure!E97</f>
        <v>10437</v>
      </c>
      <c r="D47" s="154"/>
      <c r="E47" s="154"/>
      <c r="F47" s="154"/>
      <c r="G47" s="45"/>
      <c r="L47" t="s">
        <v>170</v>
      </c>
      <c r="N47">
        <f>40*17</f>
        <v>680</v>
      </c>
      <c r="O47">
        <v>265</v>
      </c>
      <c r="P47">
        <f>N47*O47</f>
        <v>180200</v>
      </c>
    </row>
    <row r="48" spans="2:16" x14ac:dyDescent="0.35">
      <c r="B48" s="55" t="s">
        <v>242</v>
      </c>
      <c r="C48" s="154">
        <v>0</v>
      </c>
      <c r="D48" s="154"/>
      <c r="E48" s="154"/>
      <c r="F48" s="154"/>
      <c r="G48" s="45"/>
      <c r="L48" t="s">
        <v>362</v>
      </c>
      <c r="N48">
        <v>60</v>
      </c>
      <c r="O48">
        <v>4500</v>
      </c>
      <c r="P48">
        <f>N48*O48</f>
        <v>270000</v>
      </c>
    </row>
    <row r="49" spans="2:16" x14ac:dyDescent="0.35">
      <c r="B49" s="55" t="s">
        <v>275</v>
      </c>
      <c r="C49" s="154">
        <f>Expenditure!E78+Expenditure!E83</f>
        <v>157900</v>
      </c>
      <c r="D49" s="154"/>
      <c r="E49" s="154"/>
      <c r="F49" s="154"/>
      <c r="G49" s="45"/>
      <c r="L49" t="s">
        <v>55</v>
      </c>
      <c r="N49">
        <v>10</v>
      </c>
      <c r="O49">
        <v>550</v>
      </c>
      <c r="P49">
        <f>N49*O49</f>
        <v>5500</v>
      </c>
    </row>
    <row r="50" spans="2:16" x14ac:dyDescent="0.35">
      <c r="B50" s="173" t="s">
        <v>280</v>
      </c>
      <c r="C50" s="154">
        <f>Expenditure!E87+Expenditure!E98+Expenditure!E23</f>
        <v>80000</v>
      </c>
      <c r="D50" s="154"/>
      <c r="E50" s="154"/>
      <c r="F50" s="154"/>
      <c r="G50" s="45"/>
      <c r="L50" t="s">
        <v>54</v>
      </c>
      <c r="N50">
        <v>30</v>
      </c>
      <c r="O50">
        <v>280</v>
      </c>
      <c r="P50">
        <f>N50*O50</f>
        <v>8400</v>
      </c>
    </row>
    <row r="51" spans="2:16" x14ac:dyDescent="0.35">
      <c r="B51" s="173" t="s">
        <v>335</v>
      </c>
      <c r="C51" s="154">
        <f>Expenditure!E43+Expenditure!E81-C20</f>
        <v>46884.371999999974</v>
      </c>
      <c r="D51" s="154"/>
      <c r="E51" s="154"/>
      <c r="F51" s="154"/>
      <c r="G51" s="45"/>
    </row>
    <row r="52" spans="2:16" x14ac:dyDescent="0.35">
      <c r="B52" s="173" t="s">
        <v>322</v>
      </c>
      <c r="C52" s="154">
        <f>Expenditure!E44</f>
        <v>5000</v>
      </c>
      <c r="D52" s="154"/>
      <c r="E52" s="154"/>
      <c r="F52" s="154"/>
      <c r="G52" s="45"/>
    </row>
    <row r="53" spans="2:16" x14ac:dyDescent="0.35">
      <c r="B53" s="173" t="s">
        <v>640</v>
      </c>
      <c r="C53" s="154">
        <v>350000</v>
      </c>
      <c r="D53" s="154"/>
      <c r="E53" s="154"/>
      <c r="F53" s="154"/>
      <c r="G53" s="45"/>
    </row>
    <row r="54" spans="2:16" x14ac:dyDescent="0.35">
      <c r="B54" s="173" t="s">
        <v>359</v>
      </c>
      <c r="C54" s="154">
        <v>0</v>
      </c>
      <c r="D54" s="154"/>
      <c r="E54" s="154"/>
      <c r="F54" s="154"/>
      <c r="G54" s="45"/>
    </row>
    <row r="55" spans="2:16" x14ac:dyDescent="0.35">
      <c r="B55" s="55" t="s">
        <v>243</v>
      </c>
      <c r="C55" s="154">
        <f>Expenditure!E7+Expenditure!E19+Expenditure!E33+Expenditure!E45+Expenditure!E52+Expenditure!E54+Expenditure!E56+Expenditure!E57+Expenditure!E65+Expenditure!E72+Expenditure!E77+Expenditure!E80+Expenditure!E84+Expenditure!E90+Expenditure!E91+Expenditure!E92+Expenditure!E100+Expenditure!E101</f>
        <v>118848</v>
      </c>
      <c r="D55" s="154"/>
      <c r="E55" s="154"/>
      <c r="F55" s="154"/>
      <c r="G55" s="45"/>
    </row>
    <row r="56" spans="2:16" x14ac:dyDescent="0.35">
      <c r="B56" s="55" t="s">
        <v>338</v>
      </c>
      <c r="C56" s="154">
        <v>0</v>
      </c>
      <c r="D56" s="154"/>
      <c r="E56" s="154"/>
      <c r="F56" s="154"/>
      <c r="G56" s="45"/>
    </row>
    <row r="57" spans="2:16" x14ac:dyDescent="0.35">
      <c r="B57" s="55" t="s">
        <v>339</v>
      </c>
      <c r="C57" s="154">
        <v>0</v>
      </c>
      <c r="D57" s="154"/>
      <c r="E57" s="154"/>
      <c r="F57" s="154"/>
      <c r="G57" s="45"/>
    </row>
    <row r="58" spans="2:16" x14ac:dyDescent="0.35">
      <c r="B58" s="155" t="s">
        <v>244</v>
      </c>
      <c r="C58" s="154"/>
      <c r="D58" s="154"/>
      <c r="E58" s="154"/>
      <c r="F58" s="150">
        <f>SUM(C45:C57)</f>
        <v>833339.37199999997</v>
      </c>
      <c r="G58" s="45"/>
    </row>
    <row r="59" spans="2:16" x14ac:dyDescent="0.35">
      <c r="B59" s="55" t="s">
        <v>245</v>
      </c>
      <c r="C59" s="154"/>
      <c r="D59" s="154"/>
      <c r="E59" s="154"/>
      <c r="F59" s="154">
        <f>F42-F58</f>
        <v>593707.09666666668</v>
      </c>
      <c r="G59" s="45"/>
    </row>
    <row r="60" spans="2:16" x14ac:dyDescent="0.35">
      <c r="B60" s="55" t="s">
        <v>246</v>
      </c>
      <c r="C60" s="154"/>
      <c r="D60" s="154"/>
      <c r="E60" s="154"/>
      <c r="F60" s="150">
        <v>0</v>
      </c>
      <c r="G60" s="45"/>
    </row>
    <row r="61" spans="2:16" ht="15" thickBot="1" x14ac:dyDescent="0.4">
      <c r="B61" s="155" t="s">
        <v>279</v>
      </c>
      <c r="C61" s="154"/>
      <c r="D61" s="154"/>
      <c r="E61" s="154"/>
      <c r="F61" s="230">
        <f>F59-F60</f>
        <v>593707.09666666668</v>
      </c>
      <c r="G61" s="45"/>
    </row>
    <row r="62" spans="2:16" ht="15" thickTop="1" x14ac:dyDescent="0.35">
      <c r="B62" s="55" t="s">
        <v>372</v>
      </c>
      <c r="F62" s="238">
        <v>60000</v>
      </c>
      <c r="G62" s="45"/>
    </row>
    <row r="63" spans="2:16" ht="15" thickBot="1" x14ac:dyDescent="0.4">
      <c r="B63" s="56"/>
      <c r="C63" s="46"/>
      <c r="D63" s="46"/>
      <c r="E63" s="46"/>
      <c r="F63" s="239">
        <f>F61-F62</f>
        <v>533707.09666666668</v>
      </c>
      <c r="G63" s="156"/>
    </row>
  </sheetData>
  <mergeCells count="2">
    <mergeCell ref="B1:G1"/>
    <mergeCell ref="B2:G2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1"/>
  <sheetViews>
    <sheetView topLeftCell="A16" zoomScale="58" zoomScaleNormal="58" workbookViewId="0">
      <selection activeCell="D44" sqref="D44"/>
    </sheetView>
  </sheetViews>
  <sheetFormatPr defaultRowHeight="14.5" x14ac:dyDescent="0.35"/>
  <cols>
    <col min="3" max="3" width="63.90625" bestFit="1" customWidth="1"/>
    <col min="4" max="4" width="20.36328125" customWidth="1"/>
    <col min="5" max="5" width="14.90625" customWidth="1"/>
    <col min="6" max="6" width="19.08984375" customWidth="1"/>
    <col min="7" max="7" width="18.7265625" customWidth="1"/>
  </cols>
  <sheetData>
    <row r="3" spans="3:6" x14ac:dyDescent="0.35">
      <c r="C3" s="4" t="s">
        <v>532</v>
      </c>
    </row>
    <row r="4" spans="3:6" x14ac:dyDescent="0.35">
      <c r="C4" s="60" t="s">
        <v>180</v>
      </c>
      <c r="D4" s="69">
        <f>Production!R565</f>
        <v>794635</v>
      </c>
      <c r="F4" s="65"/>
    </row>
    <row r="5" spans="3:6" x14ac:dyDescent="0.35">
      <c r="C5" s="61" t="s">
        <v>181</v>
      </c>
      <c r="D5" s="70">
        <f>Production!R573</f>
        <v>2117900</v>
      </c>
      <c r="F5" s="65"/>
    </row>
    <row r="6" spans="3:6" x14ac:dyDescent="0.35">
      <c r="C6" s="61" t="s">
        <v>210</v>
      </c>
      <c r="D6" s="70">
        <f>Production!R581</f>
        <v>865180</v>
      </c>
      <c r="F6" s="65"/>
    </row>
    <row r="7" spans="3:6" x14ac:dyDescent="0.35">
      <c r="C7" s="61" t="s">
        <v>87</v>
      </c>
      <c r="D7" s="71">
        <f>SUM(D4:D6)</f>
        <v>3777715</v>
      </c>
      <c r="F7" s="65"/>
    </row>
    <row r="8" spans="3:6" x14ac:dyDescent="0.35">
      <c r="C8" s="61" t="s">
        <v>127</v>
      </c>
      <c r="D8" s="70">
        <f>Production!R552</f>
        <v>453832.11594771245</v>
      </c>
    </row>
    <row r="9" spans="3:6" x14ac:dyDescent="0.35">
      <c r="C9" s="61" t="s">
        <v>128</v>
      </c>
      <c r="D9" s="70">
        <f>Production!R553</f>
        <v>1506367.479411765</v>
      </c>
    </row>
    <row r="10" spans="3:6" x14ac:dyDescent="0.35">
      <c r="C10" s="61" t="s">
        <v>211</v>
      </c>
      <c r="D10" s="70">
        <f>Production!R554</f>
        <v>468539.38666666683</v>
      </c>
    </row>
    <row r="11" spans="3:6" x14ac:dyDescent="0.35">
      <c r="C11" s="61" t="s">
        <v>129</v>
      </c>
      <c r="D11" s="71">
        <f>D8+D9+D10</f>
        <v>2428738.9820261444</v>
      </c>
      <c r="F11" s="65"/>
    </row>
    <row r="12" spans="3:6" x14ac:dyDescent="0.35">
      <c r="C12" s="61"/>
      <c r="D12" s="70"/>
    </row>
    <row r="13" spans="3:6" x14ac:dyDescent="0.35">
      <c r="C13" s="61" t="s">
        <v>174</v>
      </c>
      <c r="D13" s="72">
        <f>D7-D11</f>
        <v>1348976.0179738556</v>
      </c>
      <c r="F13" s="65"/>
    </row>
    <row r="14" spans="3:6" x14ac:dyDescent="0.35">
      <c r="C14" s="61" t="s">
        <v>164</v>
      </c>
      <c r="D14" s="70">
        <f>'Packaging materials accounting'!O32</f>
        <v>166965.62800000003</v>
      </c>
    </row>
    <row r="15" spans="3:6" x14ac:dyDescent="0.35">
      <c r="C15" s="61" t="s">
        <v>146</v>
      </c>
      <c r="D15" s="70">
        <f>'Dispatch and Sales per day'!AN375</f>
        <v>108030</v>
      </c>
    </row>
    <row r="16" spans="3:6" x14ac:dyDescent="0.35">
      <c r="C16" s="64" t="s">
        <v>175</v>
      </c>
      <c r="D16" s="72">
        <f>D13-D14-D15</f>
        <v>1073980.3899738556</v>
      </c>
    </row>
    <row r="17" spans="3:6" x14ac:dyDescent="0.35">
      <c r="D17" s="68"/>
    </row>
    <row r="18" spans="3:6" x14ac:dyDescent="0.35">
      <c r="C18" s="4" t="s">
        <v>531</v>
      </c>
      <c r="D18" s="68"/>
    </row>
    <row r="19" spans="3:6" x14ac:dyDescent="0.35">
      <c r="C19" s="60" t="s">
        <v>130</v>
      </c>
      <c r="D19" s="69">
        <f>Production!R565</f>
        <v>794635</v>
      </c>
      <c r="F19" s="65"/>
    </row>
    <row r="20" spans="3:6" x14ac:dyDescent="0.35">
      <c r="C20" s="61" t="s">
        <v>126</v>
      </c>
      <c r="D20" s="70">
        <f>Production!R552</f>
        <v>453832.11594771245</v>
      </c>
      <c r="F20" s="65"/>
    </row>
    <row r="21" spans="3:6" x14ac:dyDescent="0.35">
      <c r="C21" s="61" t="s">
        <v>139</v>
      </c>
      <c r="D21" s="72">
        <f>D19-D20</f>
        <v>340802.88405228755</v>
      </c>
      <c r="F21" s="65"/>
    </row>
    <row r="22" spans="3:6" x14ac:dyDescent="0.35">
      <c r="C22" s="61" t="s">
        <v>164</v>
      </c>
      <c r="D22" s="189">
        <f>Production!R569</f>
        <v>46077.89699999999</v>
      </c>
      <c r="F22" s="65"/>
    </row>
    <row r="23" spans="3:6" x14ac:dyDescent="0.35">
      <c r="C23" s="61" t="s">
        <v>148</v>
      </c>
      <c r="D23" s="189">
        <f>Production!R568</f>
        <v>24900</v>
      </c>
      <c r="F23" s="65"/>
    </row>
    <row r="24" spans="3:6" x14ac:dyDescent="0.35">
      <c r="C24" s="64" t="s">
        <v>176</v>
      </c>
      <c r="D24" s="72">
        <f>D21-D22-D23</f>
        <v>269824.98705228756</v>
      </c>
    </row>
    <row r="25" spans="3:6" x14ac:dyDescent="0.35">
      <c r="D25" s="68"/>
    </row>
    <row r="26" spans="3:6" x14ac:dyDescent="0.35">
      <c r="C26" s="4" t="s">
        <v>530</v>
      </c>
      <c r="D26" s="68"/>
    </row>
    <row r="27" spans="3:6" x14ac:dyDescent="0.35">
      <c r="C27" s="60" t="s">
        <v>130</v>
      </c>
      <c r="D27" s="69">
        <f>Production!R573</f>
        <v>2117900</v>
      </c>
      <c r="F27" s="65"/>
    </row>
    <row r="28" spans="3:6" x14ac:dyDescent="0.35">
      <c r="C28" s="61" t="s">
        <v>126</v>
      </c>
      <c r="D28" s="70">
        <f>Production!R574</f>
        <v>1506367.479411765</v>
      </c>
      <c r="F28" s="65"/>
    </row>
    <row r="29" spans="3:6" x14ac:dyDescent="0.35">
      <c r="C29" s="61" t="s">
        <v>140</v>
      </c>
      <c r="D29" s="72">
        <f>D27-D28</f>
        <v>611532.520588235</v>
      </c>
      <c r="F29" s="65">
        <f>F27-F28</f>
        <v>0</v>
      </c>
    </row>
    <row r="30" spans="3:6" x14ac:dyDescent="0.35">
      <c r="C30" s="61" t="s">
        <v>165</v>
      </c>
      <c r="D30" s="70">
        <f>'Packaging materials accounting'!I32</f>
        <v>67797.853000000003</v>
      </c>
    </row>
    <row r="31" spans="3:6" x14ac:dyDescent="0.35">
      <c r="C31" s="61" t="s">
        <v>148</v>
      </c>
      <c r="D31" s="70">
        <f>'Dispatch and Sales per day'!Y375</f>
        <v>56675</v>
      </c>
    </row>
    <row r="32" spans="3:6" x14ac:dyDescent="0.35">
      <c r="C32" s="64" t="s">
        <v>177</v>
      </c>
      <c r="D32" s="100">
        <f>D29-D30-D31</f>
        <v>487059.667588235</v>
      </c>
    </row>
    <row r="34" spans="3:6" x14ac:dyDescent="0.35">
      <c r="C34" s="4" t="s">
        <v>529</v>
      </c>
      <c r="D34" s="68"/>
    </row>
    <row r="35" spans="3:6" x14ac:dyDescent="0.35">
      <c r="C35" s="60" t="s">
        <v>130</v>
      </c>
      <c r="D35" s="69">
        <f>Production!R581</f>
        <v>865180</v>
      </c>
      <c r="F35" s="65"/>
    </row>
    <row r="36" spans="3:6" x14ac:dyDescent="0.35">
      <c r="C36" s="61" t="s">
        <v>126</v>
      </c>
      <c r="D36" s="70">
        <f>Production!R582</f>
        <v>468539.38666666683</v>
      </c>
      <c r="F36" s="65"/>
    </row>
    <row r="37" spans="3:6" x14ac:dyDescent="0.35">
      <c r="C37" s="61" t="s">
        <v>140</v>
      </c>
      <c r="D37" s="72">
        <f>D35-D36</f>
        <v>396640.61333333317</v>
      </c>
      <c r="F37" s="65">
        <f>F35-F36</f>
        <v>0</v>
      </c>
    </row>
    <row r="38" spans="3:6" x14ac:dyDescent="0.35">
      <c r="C38" s="61" t="s">
        <v>165</v>
      </c>
      <c r="D38" s="70">
        <f>'Packaging materials accounting'!M32</f>
        <v>53089.877999999997</v>
      </c>
    </row>
    <row r="39" spans="3:6" x14ac:dyDescent="0.35">
      <c r="C39" s="61" t="s">
        <v>148</v>
      </c>
      <c r="D39" s="70">
        <f>'Dispatch and Sales per day'!AK375</f>
        <v>26455</v>
      </c>
    </row>
    <row r="40" spans="3:6" x14ac:dyDescent="0.35">
      <c r="C40" s="64" t="s">
        <v>177</v>
      </c>
      <c r="D40" s="100">
        <f>D37-D38-D39</f>
        <v>317095.73533333314</v>
      </c>
    </row>
    <row r="43" spans="3:6" x14ac:dyDescent="0.35">
      <c r="C43" s="104" t="s">
        <v>528</v>
      </c>
      <c r="D43" s="112" t="s">
        <v>32</v>
      </c>
    </row>
    <row r="44" spans="3:6" x14ac:dyDescent="0.35">
      <c r="C44" s="61" t="s">
        <v>0</v>
      </c>
      <c r="D44" s="62">
        <f>'Dispatch and Sales per day'!D373*60</f>
        <v>92280</v>
      </c>
    </row>
    <row r="45" spans="3:6" x14ac:dyDescent="0.35">
      <c r="C45" s="61" t="s">
        <v>1</v>
      </c>
      <c r="D45" s="62">
        <f>'Dispatch and Sales per day'!P373*100</f>
        <v>126000</v>
      </c>
    </row>
    <row r="46" spans="3:6" x14ac:dyDescent="0.35">
      <c r="C46" s="61" t="s">
        <v>196</v>
      </c>
      <c r="D46" s="62">
        <f>'Dispatch and Sales per day'!AB373*50</f>
        <v>56900</v>
      </c>
    </row>
    <row r="47" spans="3:6" x14ac:dyDescent="0.35">
      <c r="C47" s="107" t="s">
        <v>9</v>
      </c>
      <c r="D47" s="109">
        <f>D44+D45+D46</f>
        <v>275180</v>
      </c>
    </row>
    <row r="49" spans="3:8" x14ac:dyDescent="0.35">
      <c r="C49" s="104" t="s">
        <v>527</v>
      </c>
      <c r="D49" s="105" t="s">
        <v>172</v>
      </c>
      <c r="E49" s="105" t="s">
        <v>173</v>
      </c>
      <c r="F49" s="106" t="s">
        <v>9</v>
      </c>
    </row>
    <row r="50" spans="3:8" x14ac:dyDescent="0.35">
      <c r="C50" s="61" t="s">
        <v>169</v>
      </c>
      <c r="D50" s="99">
        <f>'Closing stock inventory'!C180</f>
        <v>44.4</v>
      </c>
      <c r="E50" s="99">
        <v>3600</v>
      </c>
      <c r="F50" s="63">
        <f>D50*E50</f>
        <v>159840</v>
      </c>
    </row>
    <row r="51" spans="3:8" x14ac:dyDescent="0.35">
      <c r="C51" s="61" t="s">
        <v>4</v>
      </c>
      <c r="D51" s="99">
        <f>'Closing stock inventory'!D180</f>
        <v>16.71</v>
      </c>
      <c r="E51" s="99">
        <v>7150</v>
      </c>
      <c r="F51" s="63">
        <f t="shared" ref="F51:F58" si="0">D51*E51</f>
        <v>119476.5</v>
      </c>
    </row>
    <row r="52" spans="3:8" x14ac:dyDescent="0.35">
      <c r="C52" s="61" t="s">
        <v>170</v>
      </c>
      <c r="D52" s="99">
        <f>'Closing stock inventory'!F180</f>
        <v>936.8</v>
      </c>
      <c r="E52" s="99">
        <v>235</v>
      </c>
      <c r="F52" s="63">
        <f t="shared" si="0"/>
        <v>220148</v>
      </c>
    </row>
    <row r="53" spans="3:8" x14ac:dyDescent="0.35">
      <c r="C53" s="61" t="s">
        <v>7</v>
      </c>
      <c r="D53" s="99">
        <f>'Closing stock inventory'!E180</f>
        <v>59</v>
      </c>
      <c r="E53" s="99">
        <v>4500</v>
      </c>
      <c r="F53" s="63">
        <f t="shared" si="0"/>
        <v>265500</v>
      </c>
    </row>
    <row r="54" spans="3:8" x14ac:dyDescent="0.35">
      <c r="C54" s="61" t="s">
        <v>5</v>
      </c>
      <c r="D54" s="99">
        <f>'Closing stock inventory'!G180</f>
        <v>120.4</v>
      </c>
      <c r="E54" s="99">
        <v>235</v>
      </c>
      <c r="F54" s="63">
        <f t="shared" si="0"/>
        <v>28294</v>
      </c>
    </row>
    <row r="55" spans="3:8" x14ac:dyDescent="0.35">
      <c r="C55" s="61" t="s">
        <v>336</v>
      </c>
      <c r="D55" s="99">
        <f>0</f>
        <v>0</v>
      </c>
      <c r="E55" s="99">
        <v>450</v>
      </c>
      <c r="F55" s="63">
        <f t="shared" si="0"/>
        <v>0</v>
      </c>
    </row>
    <row r="56" spans="3:8" x14ac:dyDescent="0.35">
      <c r="C56" s="61" t="s">
        <v>151</v>
      </c>
      <c r="D56" s="99">
        <f>'Closing stock inventory'!I180</f>
        <v>33.4</v>
      </c>
      <c r="E56" s="99">
        <v>280</v>
      </c>
      <c r="F56" s="63">
        <f t="shared" si="0"/>
        <v>9352</v>
      </c>
    </row>
    <row r="57" spans="3:8" x14ac:dyDescent="0.35">
      <c r="C57" s="61" t="s">
        <v>26</v>
      </c>
      <c r="D57" s="99">
        <f>'Closing stock inventory'!J180</f>
        <v>8.3000000000000007</v>
      </c>
      <c r="E57" s="99">
        <v>340</v>
      </c>
      <c r="F57" s="63">
        <f t="shared" si="0"/>
        <v>2822.0000000000005</v>
      </c>
    </row>
    <row r="58" spans="3:8" x14ac:dyDescent="0.35">
      <c r="C58" s="61" t="s">
        <v>51</v>
      </c>
      <c r="D58" s="99">
        <f>'Closing stock inventory'!K180</f>
        <v>220</v>
      </c>
      <c r="E58" s="99">
        <v>35.5</v>
      </c>
      <c r="F58" s="63">
        <f t="shared" si="0"/>
        <v>7810</v>
      </c>
    </row>
    <row r="59" spans="3:8" x14ac:dyDescent="0.35">
      <c r="C59" s="61" t="s">
        <v>8</v>
      </c>
      <c r="D59" s="99">
        <f>'Closing stock inventory'!M180</f>
        <v>40</v>
      </c>
      <c r="E59" s="99">
        <v>175</v>
      </c>
      <c r="F59" s="63">
        <f>D59*E59</f>
        <v>7000</v>
      </c>
    </row>
    <row r="60" spans="3:8" x14ac:dyDescent="0.35">
      <c r="C60" s="61" t="s">
        <v>171</v>
      </c>
      <c r="D60" s="99">
        <f>'Closing stock inventory'!N180</f>
        <v>22800</v>
      </c>
      <c r="E60" s="99">
        <v>3.33</v>
      </c>
      <c r="F60" s="63">
        <f>D60*E60</f>
        <v>75924</v>
      </c>
    </row>
    <row r="61" spans="3:8" x14ac:dyDescent="0.35">
      <c r="C61" s="61" t="s">
        <v>337</v>
      </c>
      <c r="D61" s="99">
        <v>100000</v>
      </c>
      <c r="E61" s="99"/>
      <c r="F61" s="63">
        <f>D61</f>
        <v>100000</v>
      </c>
    </row>
    <row r="62" spans="3:8" x14ac:dyDescent="0.35">
      <c r="C62" s="61"/>
      <c r="D62" s="99"/>
      <c r="E62" s="99"/>
      <c r="F62" s="63"/>
    </row>
    <row r="63" spans="3:8" x14ac:dyDescent="0.35">
      <c r="C63" s="64"/>
      <c r="D63" s="103"/>
      <c r="E63" s="103"/>
      <c r="F63" s="108">
        <f>SUM(F50:F62)</f>
        <v>996166.5</v>
      </c>
      <c r="G63" s="8"/>
      <c r="H63" s="8"/>
    </row>
    <row r="64" spans="3:8" x14ac:dyDescent="0.35">
      <c r="F64" s="111"/>
      <c r="H64" s="8"/>
    </row>
    <row r="65" spans="3:8" x14ac:dyDescent="0.35">
      <c r="C65" s="60" t="s">
        <v>274</v>
      </c>
      <c r="D65" s="110"/>
      <c r="E65" s="110"/>
      <c r="F65" s="94">
        <f>'Dispatch and Sales per day'!AO375</f>
        <v>3669685</v>
      </c>
    </row>
    <row r="66" spans="3:8" x14ac:dyDescent="0.35">
      <c r="C66" s="61" t="s">
        <v>643</v>
      </c>
      <c r="D66" s="330"/>
      <c r="E66" s="330"/>
      <c r="F66" s="63">
        <f>1050000-350000-135500</f>
        <v>564500</v>
      </c>
    </row>
    <row r="67" spans="3:8" x14ac:dyDescent="0.35">
      <c r="C67" s="61" t="s">
        <v>179</v>
      </c>
      <c r="D67" s="99"/>
      <c r="E67" s="99"/>
      <c r="F67" s="63">
        <f>Expenditure!E114</f>
        <v>4188772.8333333335</v>
      </c>
    </row>
    <row r="68" spans="3:8" x14ac:dyDescent="0.35">
      <c r="C68" s="64" t="s">
        <v>178</v>
      </c>
      <c r="D68" s="103"/>
      <c r="E68" s="103"/>
      <c r="F68" s="108">
        <f>F65+F66-F67</f>
        <v>45412.166666666511</v>
      </c>
    </row>
    <row r="70" spans="3:8" x14ac:dyDescent="0.35">
      <c r="C70" s="60" t="s">
        <v>522</v>
      </c>
      <c r="D70" s="110"/>
      <c r="E70" s="110"/>
      <c r="F70" s="94">
        <v>3886</v>
      </c>
    </row>
    <row r="71" spans="3:8" x14ac:dyDescent="0.35">
      <c r="C71" s="61"/>
      <c r="D71" s="99"/>
      <c r="E71" s="99"/>
      <c r="F71" s="63"/>
    </row>
    <row r="72" spans="3:8" x14ac:dyDescent="0.35">
      <c r="C72" s="64"/>
      <c r="D72" s="103"/>
      <c r="E72" s="103"/>
      <c r="F72" s="108">
        <f>F70+F71</f>
        <v>3886</v>
      </c>
      <c r="G72" s="8"/>
      <c r="H72" s="8"/>
    </row>
    <row r="75" spans="3:8" x14ac:dyDescent="0.35">
      <c r="C75" s="4" t="s">
        <v>523</v>
      </c>
      <c r="F75" s="163">
        <f>D47+F63+F70</f>
        <v>1275232.5</v>
      </c>
    </row>
    <row r="76" spans="3:8" x14ac:dyDescent="0.35">
      <c r="C76" t="s">
        <v>524</v>
      </c>
      <c r="F76" s="238">
        <v>0</v>
      </c>
    </row>
    <row r="77" spans="3:8" x14ac:dyDescent="0.35">
      <c r="C77" t="s">
        <v>525</v>
      </c>
      <c r="F77" s="238">
        <v>620000</v>
      </c>
    </row>
    <row r="78" spans="3:8" ht="15" thickBot="1" x14ac:dyDescent="0.4">
      <c r="C78" t="s">
        <v>526</v>
      </c>
      <c r="F78" s="237">
        <f>F75-F76-F77</f>
        <v>655232.5</v>
      </c>
    </row>
    <row r="79" spans="3:8" ht="15" thickTop="1" x14ac:dyDescent="0.35"/>
    <row r="81" spans="6:6" x14ac:dyDescent="0.35">
      <c r="F81" s="8">
        <f>F68-F78</f>
        <v>-609820.33333333349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586"/>
  <sheetViews>
    <sheetView topLeftCell="G15" zoomScale="62" zoomScaleNormal="62" workbookViewId="0">
      <selection activeCell="U37" sqref="U37"/>
    </sheetView>
  </sheetViews>
  <sheetFormatPr defaultRowHeight="14.5" x14ac:dyDescent="0.35"/>
  <cols>
    <col min="1" max="1" width="12.7265625" customWidth="1"/>
    <col min="2" max="2" width="12.7265625" bestFit="1" customWidth="1"/>
    <col min="3" max="3" width="15.90625" customWidth="1"/>
    <col min="4" max="4" width="7.6328125" bestFit="1" customWidth="1"/>
    <col min="5" max="5" width="9.90625" customWidth="1"/>
    <col min="6" max="6" width="18.36328125" bestFit="1" customWidth="1"/>
    <col min="7" max="7" width="14" bestFit="1" customWidth="1"/>
    <col min="8" max="8" width="19.36328125" bestFit="1" customWidth="1"/>
    <col min="9" max="9" width="1.90625" style="143" customWidth="1"/>
    <col min="10" max="10" width="12.7265625" bestFit="1" customWidth="1"/>
    <col min="11" max="11" width="12.90625" customWidth="1"/>
    <col min="13" max="13" width="16.08984375" customWidth="1"/>
    <col min="14" max="14" width="17.90625" bestFit="1" customWidth="1"/>
    <col min="15" max="15" width="14" bestFit="1" customWidth="1"/>
    <col min="16" max="16" width="19.36328125" bestFit="1" customWidth="1"/>
    <col min="17" max="17" width="37.453125" bestFit="1" customWidth="1"/>
    <col min="18" max="18" width="22.26953125" customWidth="1"/>
    <col min="19" max="19" width="1.6328125" style="143" customWidth="1"/>
    <col min="20" max="20" width="12.7265625" bestFit="1" customWidth="1"/>
    <col min="21" max="21" width="14.453125" bestFit="1" customWidth="1"/>
    <col min="23" max="23" width="15.26953125" customWidth="1"/>
    <col min="24" max="24" width="17.90625" bestFit="1" customWidth="1"/>
    <col min="25" max="25" width="14" bestFit="1" customWidth="1"/>
    <col min="26" max="26" width="19.36328125" bestFit="1" customWidth="1"/>
    <col min="27" max="27" width="23.26953125" bestFit="1" customWidth="1"/>
    <col min="33" max="33" width="13.36328125" customWidth="1"/>
    <col min="37" max="37" width="12.1796875" bestFit="1" customWidth="1"/>
  </cols>
  <sheetData>
    <row r="1" spans="1:31" x14ac:dyDescent="0.35">
      <c r="B1" s="128" t="s">
        <v>0</v>
      </c>
      <c r="C1" s="128"/>
      <c r="D1" s="128"/>
      <c r="E1" s="128"/>
      <c r="F1" s="128"/>
      <c r="G1" s="128"/>
      <c r="H1" s="128"/>
      <c r="I1" s="144"/>
      <c r="J1" s="129" t="s">
        <v>1</v>
      </c>
      <c r="K1" s="129"/>
      <c r="L1" s="129"/>
      <c r="M1" s="129"/>
      <c r="N1" s="129"/>
      <c r="O1" s="129"/>
      <c r="P1" s="129"/>
      <c r="Q1" s="129"/>
      <c r="T1" s="129" t="s">
        <v>203</v>
      </c>
      <c r="U1" s="129"/>
      <c r="V1" s="129"/>
      <c r="W1" s="129"/>
      <c r="X1" s="129"/>
      <c r="Y1" s="129"/>
      <c r="Z1" s="129"/>
      <c r="AA1" s="129"/>
    </row>
    <row r="2" spans="1:31" ht="15" thickBot="1" x14ac:dyDescent="0.4">
      <c r="A2" s="39" t="s">
        <v>10</v>
      </c>
      <c r="B2" s="40" t="s">
        <v>28</v>
      </c>
      <c r="C2" s="40" t="s">
        <v>29</v>
      </c>
      <c r="D2" s="40" t="s">
        <v>25</v>
      </c>
      <c r="E2" s="40" t="s">
        <v>59</v>
      </c>
      <c r="F2" s="40" t="s">
        <v>132</v>
      </c>
      <c r="G2" s="40" t="s">
        <v>30</v>
      </c>
      <c r="H2" s="58" t="s">
        <v>31</v>
      </c>
      <c r="I2" s="145"/>
      <c r="J2" s="42" t="s">
        <v>28</v>
      </c>
      <c r="K2" s="40" t="s">
        <v>29</v>
      </c>
      <c r="L2" s="40" t="s">
        <v>25</v>
      </c>
      <c r="M2" s="40" t="s">
        <v>60</v>
      </c>
      <c r="N2" s="58" t="s">
        <v>126</v>
      </c>
      <c r="O2" s="75" t="s">
        <v>30</v>
      </c>
      <c r="P2" s="44" t="s">
        <v>31</v>
      </c>
      <c r="Q2" s="54" t="s">
        <v>61</v>
      </c>
      <c r="R2" s="44">
        <v>60</v>
      </c>
      <c r="S2" s="119"/>
      <c r="T2" s="42" t="s">
        <v>28</v>
      </c>
      <c r="U2" s="40" t="s">
        <v>29</v>
      </c>
      <c r="V2" s="40" t="s">
        <v>25</v>
      </c>
      <c r="W2" s="40" t="s">
        <v>60</v>
      </c>
      <c r="X2" s="58" t="s">
        <v>126</v>
      </c>
      <c r="Y2" s="125" t="s">
        <v>30</v>
      </c>
      <c r="Z2" s="44" t="s">
        <v>31</v>
      </c>
      <c r="AA2" s="54" t="s">
        <v>61</v>
      </c>
      <c r="AB2" s="44">
        <v>60</v>
      </c>
      <c r="AD2" t="s">
        <v>152</v>
      </c>
    </row>
    <row r="3" spans="1:31" x14ac:dyDescent="0.35">
      <c r="A3" s="39" t="s">
        <v>450</v>
      </c>
      <c r="B3" s="40" t="s">
        <v>43</v>
      </c>
      <c r="C3" s="41" t="s">
        <v>2</v>
      </c>
      <c r="D3" s="41" t="s">
        <v>86</v>
      </c>
      <c r="E3" s="41">
        <f>3650/50</f>
        <v>73</v>
      </c>
      <c r="F3" s="41">
        <f>E3*36</f>
        <v>2628</v>
      </c>
      <c r="G3" s="41">
        <v>132</v>
      </c>
      <c r="H3" s="113">
        <f>F3/G3</f>
        <v>19.90909090909091</v>
      </c>
      <c r="I3" s="147"/>
      <c r="J3" s="80" t="s">
        <v>43</v>
      </c>
      <c r="K3" s="41" t="s">
        <v>2</v>
      </c>
      <c r="L3" s="41" t="s">
        <v>49</v>
      </c>
      <c r="M3" s="41">
        <f>3650/50</f>
        <v>73</v>
      </c>
      <c r="N3" s="41">
        <f>M3*50</f>
        <v>3650</v>
      </c>
      <c r="O3" s="41">
        <v>107</v>
      </c>
      <c r="P3" s="113">
        <f>N3/O3</f>
        <v>34.112149532710283</v>
      </c>
      <c r="Q3" s="43" t="s">
        <v>0</v>
      </c>
      <c r="R3" s="44"/>
      <c r="S3" s="119"/>
      <c r="T3" s="39" t="s">
        <v>43</v>
      </c>
      <c r="U3" s="41" t="s">
        <v>2</v>
      </c>
      <c r="V3" s="41" t="s">
        <v>317</v>
      </c>
      <c r="W3" s="139">
        <f>3600/50</f>
        <v>72</v>
      </c>
      <c r="X3" s="41">
        <f>W3*26</f>
        <v>1872</v>
      </c>
      <c r="Y3" s="41">
        <v>102</v>
      </c>
      <c r="Z3" s="113">
        <f t="shared" ref="Z3:Z11" si="0">X3/Y3</f>
        <v>18.352941176470587</v>
      </c>
      <c r="AA3" s="43" t="s">
        <v>196</v>
      </c>
      <c r="AB3" s="44"/>
    </row>
    <row r="4" spans="1:31" x14ac:dyDescent="0.35">
      <c r="A4" s="35"/>
      <c r="B4" s="5"/>
      <c r="C4" s="6" t="s">
        <v>4</v>
      </c>
      <c r="D4" s="6" t="s">
        <v>50</v>
      </c>
      <c r="E4" s="28">
        <f>7200/50</f>
        <v>144</v>
      </c>
      <c r="F4" s="6">
        <f>E4*4.5</f>
        <v>648</v>
      </c>
      <c r="G4" s="1">
        <f>G3</f>
        <v>132</v>
      </c>
      <c r="H4" s="126">
        <f t="shared" ref="H4:H9" si="1">F4/G4</f>
        <v>4.9090909090909092</v>
      </c>
      <c r="I4" s="146"/>
      <c r="J4" s="9"/>
      <c r="K4" s="1" t="s">
        <v>4</v>
      </c>
      <c r="L4" s="1" t="s">
        <v>353</v>
      </c>
      <c r="M4" s="28">
        <f>7200/50</f>
        <v>144</v>
      </c>
      <c r="N4" s="57">
        <f>M4*2.5</f>
        <v>360</v>
      </c>
      <c r="O4" s="1">
        <f t="shared" ref="O4:O10" si="2">O3</f>
        <v>107</v>
      </c>
      <c r="P4" s="126">
        <f t="shared" ref="P4:P16" si="3">N4/O4</f>
        <v>3.3644859813084111</v>
      </c>
      <c r="Q4" t="s">
        <v>68</v>
      </c>
      <c r="R4" s="45">
        <v>60</v>
      </c>
      <c r="T4" s="35"/>
      <c r="U4" s="6" t="s">
        <v>4</v>
      </c>
      <c r="V4" s="6" t="s">
        <v>324</v>
      </c>
      <c r="W4" s="28">
        <f>7200/50</f>
        <v>144</v>
      </c>
      <c r="X4" s="29">
        <f>W4*3.8</f>
        <v>547.19999999999993</v>
      </c>
      <c r="Y4" s="1">
        <f t="shared" ref="Y4:Y10" si="4">Y3</f>
        <v>102</v>
      </c>
      <c r="Z4" s="126">
        <f t="shared" si="0"/>
        <v>5.3647058823529408</v>
      </c>
      <c r="AA4" t="s">
        <v>68</v>
      </c>
      <c r="AB4" s="45">
        <v>50</v>
      </c>
    </row>
    <row r="5" spans="1:31" x14ac:dyDescent="0.35">
      <c r="A5" s="35"/>
      <c r="B5" s="5"/>
      <c r="C5" s="6" t="s">
        <v>54</v>
      </c>
      <c r="D5" s="6" t="s">
        <v>419</v>
      </c>
      <c r="E5" s="28">
        <f>600/1000</f>
        <v>0.6</v>
      </c>
      <c r="F5" s="6">
        <f>E5*60</f>
        <v>36</v>
      </c>
      <c r="G5" s="1">
        <f t="shared" ref="G5:G10" si="5">G4</f>
        <v>132</v>
      </c>
      <c r="H5" s="126">
        <f t="shared" si="1"/>
        <v>0.27272727272727271</v>
      </c>
      <c r="I5" s="146"/>
      <c r="J5" s="9"/>
      <c r="K5" s="1" t="s">
        <v>5</v>
      </c>
      <c r="L5" s="1" t="s">
        <v>421</v>
      </c>
      <c r="M5" s="233">
        <f>400/450</f>
        <v>0.88888888888888884</v>
      </c>
      <c r="N5" s="57">
        <f>M5*160</f>
        <v>142.22222222222223</v>
      </c>
      <c r="O5" s="1">
        <f t="shared" si="2"/>
        <v>107</v>
      </c>
      <c r="P5" s="126">
        <f t="shared" si="3"/>
        <v>1.3291796469366564</v>
      </c>
      <c r="Q5" t="s">
        <v>32</v>
      </c>
      <c r="R5" s="47">
        <f>H10</f>
        <v>32.002882749059218</v>
      </c>
      <c r="S5" s="120"/>
      <c r="T5" s="35"/>
      <c r="U5" s="6" t="s">
        <v>5</v>
      </c>
      <c r="V5" s="6" t="s">
        <v>420</v>
      </c>
      <c r="W5" s="28">
        <f>255/450</f>
        <v>0.56666666666666665</v>
      </c>
      <c r="X5" s="29">
        <f>W5*190</f>
        <v>107.66666666666666</v>
      </c>
      <c r="Y5" s="1">
        <f t="shared" si="4"/>
        <v>102</v>
      </c>
      <c r="Z5" s="126">
        <f t="shared" si="0"/>
        <v>1.0555555555555554</v>
      </c>
      <c r="AA5" t="s">
        <v>32</v>
      </c>
      <c r="AB5" s="47">
        <f>Z10</f>
        <v>31.037320261437905</v>
      </c>
    </row>
    <row r="6" spans="1:31" x14ac:dyDescent="0.35">
      <c r="A6" s="35"/>
      <c r="B6" s="5"/>
      <c r="C6" s="6" t="s">
        <v>55</v>
      </c>
      <c r="D6" s="6" t="s">
        <v>318</v>
      </c>
      <c r="E6" s="28">
        <f>35.5/1000</f>
        <v>3.5499999999999997E-2</v>
      </c>
      <c r="F6" s="6">
        <f>E6*280</f>
        <v>9.94</v>
      </c>
      <c r="G6" s="1">
        <f t="shared" si="5"/>
        <v>132</v>
      </c>
      <c r="H6" s="126">
        <f t="shared" si="1"/>
        <v>7.5303030303030302E-2</v>
      </c>
      <c r="I6" s="146"/>
      <c r="J6" s="9"/>
      <c r="K6" s="1" t="s">
        <v>51</v>
      </c>
      <c r="L6" s="1" t="s">
        <v>52</v>
      </c>
      <c r="M6" s="232">
        <f>35.5/1000</f>
        <v>3.5499999999999997E-2</v>
      </c>
      <c r="N6" s="1">
        <f>M6*300</f>
        <v>10.649999999999999</v>
      </c>
      <c r="O6" s="1">
        <f t="shared" si="2"/>
        <v>107</v>
      </c>
      <c r="P6" s="126">
        <f t="shared" si="3"/>
        <v>9.9532710280373818E-2</v>
      </c>
      <c r="Q6" t="s">
        <v>62</v>
      </c>
      <c r="R6" s="47">
        <f>R4-R5</f>
        <v>27.997117250940782</v>
      </c>
      <c r="S6" s="120"/>
      <c r="T6" s="35"/>
      <c r="U6" s="6" t="s">
        <v>51</v>
      </c>
      <c r="V6" s="6" t="s">
        <v>318</v>
      </c>
      <c r="W6" s="205">
        <f>35.5/1000</f>
        <v>3.5499999999999997E-2</v>
      </c>
      <c r="X6" s="6">
        <f>W6*280</f>
        <v>9.94</v>
      </c>
      <c r="Y6" s="1">
        <f t="shared" si="4"/>
        <v>102</v>
      </c>
      <c r="Z6" s="126">
        <f t="shared" si="0"/>
        <v>9.7450980392156855E-2</v>
      </c>
      <c r="AA6" t="s">
        <v>69</v>
      </c>
      <c r="AB6" s="47">
        <f>AB4-AB5</f>
        <v>18.962679738562095</v>
      </c>
    </row>
    <row r="7" spans="1:31" x14ac:dyDescent="0.35">
      <c r="A7" s="35"/>
      <c r="B7" s="5"/>
      <c r="C7" s="6" t="s">
        <v>56</v>
      </c>
      <c r="D7" s="6" t="s">
        <v>320</v>
      </c>
      <c r="E7" s="6">
        <f>340/1000</f>
        <v>0.34</v>
      </c>
      <c r="F7" s="6">
        <f>E7*70</f>
        <v>23.8</v>
      </c>
      <c r="G7" s="1">
        <f t="shared" si="5"/>
        <v>132</v>
      </c>
      <c r="H7" s="126">
        <f t="shared" si="1"/>
        <v>0.1803030303030303</v>
      </c>
      <c r="I7" s="146"/>
      <c r="J7" s="9"/>
      <c r="K7" s="1" t="s">
        <v>26</v>
      </c>
      <c r="L7" s="1" t="s">
        <v>419</v>
      </c>
      <c r="M7" s="1">
        <f>340/1000</f>
        <v>0.34</v>
      </c>
      <c r="N7" s="1">
        <f>M7*60</f>
        <v>20.400000000000002</v>
      </c>
      <c r="O7" s="1">
        <f t="shared" si="2"/>
        <v>107</v>
      </c>
      <c r="P7" s="126">
        <f t="shared" si="3"/>
        <v>0.19065420560747665</v>
      </c>
      <c r="Q7" t="s">
        <v>72</v>
      </c>
      <c r="R7" s="50">
        <f>G10*R6</f>
        <v>3695.619477124183</v>
      </c>
      <c r="S7" s="120"/>
      <c r="T7" s="35"/>
      <c r="U7" s="6" t="s">
        <v>26</v>
      </c>
      <c r="V7" s="6" t="s">
        <v>53</v>
      </c>
      <c r="W7" s="6">
        <f>340/1000</f>
        <v>0.34</v>
      </c>
      <c r="X7" s="6">
        <f>W7*50</f>
        <v>17</v>
      </c>
      <c r="Y7" s="1">
        <f t="shared" si="4"/>
        <v>102</v>
      </c>
      <c r="Z7" s="126">
        <f t="shared" si="0"/>
        <v>0.16666666666666666</v>
      </c>
      <c r="AA7" t="s">
        <v>205</v>
      </c>
      <c r="AB7" s="50">
        <f>AB6*102</f>
        <v>1934.1933333333336</v>
      </c>
    </row>
    <row r="8" spans="1:31" x14ac:dyDescent="0.35">
      <c r="A8" s="35"/>
      <c r="B8" s="5"/>
      <c r="C8" s="6" t="s">
        <v>57</v>
      </c>
      <c r="D8" s="6" t="s">
        <v>6</v>
      </c>
      <c r="E8" s="28">
        <f>250/450</f>
        <v>0.55555555555555558</v>
      </c>
      <c r="F8" s="28">
        <f>E8*200</f>
        <v>111.11111111111111</v>
      </c>
      <c r="G8" s="1">
        <f t="shared" si="5"/>
        <v>132</v>
      </c>
      <c r="H8" s="126">
        <f t="shared" si="1"/>
        <v>0.84175084175084181</v>
      </c>
      <c r="I8" s="146"/>
      <c r="J8" s="9"/>
      <c r="K8" s="1" t="s">
        <v>3</v>
      </c>
      <c r="L8" s="1" t="s">
        <v>382</v>
      </c>
      <c r="M8" s="57">
        <f>4660/17</f>
        <v>274.11764705882354</v>
      </c>
      <c r="N8" s="57">
        <f>M8*1.5</f>
        <v>411.1764705882353</v>
      </c>
      <c r="O8" s="1">
        <f t="shared" si="2"/>
        <v>107</v>
      </c>
      <c r="P8" s="126">
        <f t="shared" si="3"/>
        <v>3.8427707531610777</v>
      </c>
      <c r="Q8" t="s">
        <v>81</v>
      </c>
      <c r="R8" s="48">
        <f>R7*3</f>
        <v>11086.85843137255</v>
      </c>
      <c r="S8" s="120"/>
      <c r="T8" s="35"/>
      <c r="U8" s="6" t="s">
        <v>3</v>
      </c>
      <c r="V8" s="6" t="s">
        <v>325</v>
      </c>
      <c r="W8" s="29">
        <f>260</f>
        <v>260</v>
      </c>
      <c r="X8" s="29">
        <f>W8*2.3</f>
        <v>598</v>
      </c>
      <c r="Y8" s="1">
        <f t="shared" si="4"/>
        <v>102</v>
      </c>
      <c r="Z8" s="126">
        <f t="shared" si="0"/>
        <v>5.8627450980392153</v>
      </c>
      <c r="AA8" t="s">
        <v>81</v>
      </c>
      <c r="AB8" s="48">
        <f>AB7*3</f>
        <v>5802.5800000000008</v>
      </c>
    </row>
    <row r="9" spans="1:31" x14ac:dyDescent="0.35">
      <c r="A9" s="35"/>
      <c r="B9" s="5"/>
      <c r="C9" s="6" t="s">
        <v>58</v>
      </c>
      <c r="D9" s="6" t="s">
        <v>319</v>
      </c>
      <c r="E9" s="29">
        <f>4660/17</f>
        <v>274.11764705882354</v>
      </c>
      <c r="F9" s="29">
        <f>E9*2.8</f>
        <v>767.52941176470586</v>
      </c>
      <c r="G9" s="6">
        <f t="shared" si="5"/>
        <v>132</v>
      </c>
      <c r="H9" s="126">
        <f t="shared" si="1"/>
        <v>5.8146167557932262</v>
      </c>
      <c r="I9" s="146"/>
      <c r="J9" s="9"/>
      <c r="K9" s="1" t="s">
        <v>7</v>
      </c>
      <c r="L9" s="234" t="s">
        <v>457</v>
      </c>
      <c r="M9" s="57">
        <f>4730/20</f>
        <v>236.5</v>
      </c>
      <c r="N9" s="57">
        <f>M9*7.5</f>
        <v>1773.75</v>
      </c>
      <c r="O9" s="1">
        <f t="shared" si="2"/>
        <v>107</v>
      </c>
      <c r="P9" s="126">
        <f t="shared" si="3"/>
        <v>16.577102803738317</v>
      </c>
      <c r="Q9" t="s">
        <v>1</v>
      </c>
      <c r="R9" s="45"/>
      <c r="T9" s="35"/>
      <c r="U9" s="6" t="s">
        <v>151</v>
      </c>
      <c r="V9" s="53" t="s">
        <v>53</v>
      </c>
      <c r="W9" s="28">
        <f>280/1000</f>
        <v>0.28000000000000003</v>
      </c>
      <c r="X9" s="6">
        <f>W9*50</f>
        <v>14.000000000000002</v>
      </c>
      <c r="Y9" s="1">
        <f t="shared" si="4"/>
        <v>102</v>
      </c>
      <c r="Z9" s="126">
        <f t="shared" si="0"/>
        <v>0.13725490196078433</v>
      </c>
      <c r="AB9" s="45"/>
    </row>
    <row r="10" spans="1:31" x14ac:dyDescent="0.35">
      <c r="A10" s="35"/>
      <c r="B10" s="5"/>
      <c r="C10" s="6"/>
      <c r="D10" s="6"/>
      <c r="E10" s="29"/>
      <c r="F10" s="51">
        <f>SUM(F3:F9)</f>
        <v>4224.3805228758174</v>
      </c>
      <c r="G10" s="32">
        <f t="shared" si="5"/>
        <v>132</v>
      </c>
      <c r="H10" s="33">
        <f>SUM(H3:H9)</f>
        <v>32.002882749059218</v>
      </c>
      <c r="I10" s="146"/>
      <c r="J10" s="9"/>
      <c r="K10" s="1"/>
      <c r="L10" s="1"/>
      <c r="M10" s="1"/>
      <c r="N10" s="235">
        <f>SUM(N3:N9)</f>
        <v>6368.198692810457</v>
      </c>
      <c r="O10" s="187">
        <f t="shared" si="2"/>
        <v>107</v>
      </c>
      <c r="P10" s="236">
        <f t="shared" si="3"/>
        <v>59.515875633742588</v>
      </c>
      <c r="Q10" t="s">
        <v>68</v>
      </c>
      <c r="R10" s="45">
        <v>100</v>
      </c>
      <c r="T10" s="35"/>
      <c r="U10" s="6"/>
      <c r="V10" s="6"/>
      <c r="W10" s="6"/>
      <c r="X10" s="31">
        <f>SUM(X3:X9)</f>
        <v>3165.8066666666664</v>
      </c>
      <c r="Y10" s="32">
        <f t="shared" si="4"/>
        <v>102</v>
      </c>
      <c r="Z10" s="33">
        <f t="shared" si="0"/>
        <v>31.037320261437905</v>
      </c>
      <c r="AB10" s="45"/>
    </row>
    <row r="11" spans="1:31" x14ac:dyDescent="0.35">
      <c r="A11" s="35"/>
      <c r="B11" s="5" t="s">
        <v>44</v>
      </c>
      <c r="C11" s="5" t="s">
        <v>70</v>
      </c>
      <c r="D11" s="5" t="s">
        <v>70</v>
      </c>
      <c r="E11" s="5"/>
      <c r="F11" s="59">
        <f t="shared" ref="F11:F17" si="6">F10</f>
        <v>4224.3805228758174</v>
      </c>
      <c r="G11" s="5">
        <v>132</v>
      </c>
      <c r="H11" s="127">
        <f t="shared" ref="H11:H12" si="7">F11/G11</f>
        <v>32.002882749059225</v>
      </c>
      <c r="I11" s="146"/>
      <c r="J11" s="9" t="s">
        <v>44</v>
      </c>
      <c r="K11" s="1" t="s">
        <v>70</v>
      </c>
      <c r="L11" s="1" t="s">
        <v>70</v>
      </c>
      <c r="M11" s="1" t="s">
        <v>70</v>
      </c>
      <c r="N11" s="57">
        <f t="shared" ref="N11:N17" si="8">N10</f>
        <v>6368.198692810457</v>
      </c>
      <c r="O11" s="1">
        <v>106</v>
      </c>
      <c r="P11" s="126">
        <f t="shared" si="3"/>
        <v>60.077346158589215</v>
      </c>
      <c r="Q11" t="s">
        <v>32</v>
      </c>
      <c r="R11" s="47">
        <f>AVERAGE(P10,P11,P12,P13,P14)</f>
        <v>60.424984850218607</v>
      </c>
      <c r="S11" s="120"/>
      <c r="T11" s="35" t="s">
        <v>44</v>
      </c>
      <c r="U11" s="5"/>
      <c r="V11" s="5"/>
      <c r="W11" s="5"/>
      <c r="X11" s="29">
        <f t="shared" ref="X11:X15" si="9">X10</f>
        <v>3165.8066666666664</v>
      </c>
      <c r="Y11" s="6">
        <v>102</v>
      </c>
      <c r="Z11" s="30">
        <f t="shared" si="0"/>
        <v>31.037320261437905</v>
      </c>
      <c r="AB11" s="47"/>
    </row>
    <row r="12" spans="1:31" x14ac:dyDescent="0.35">
      <c r="A12" s="35"/>
      <c r="B12" s="5" t="s">
        <v>45</v>
      </c>
      <c r="C12" s="5" t="s">
        <v>70</v>
      </c>
      <c r="D12" s="5" t="s">
        <v>70</v>
      </c>
      <c r="E12" s="5"/>
      <c r="F12" s="59">
        <f t="shared" si="6"/>
        <v>4224.3805228758174</v>
      </c>
      <c r="G12" s="5">
        <v>132</v>
      </c>
      <c r="H12" s="127">
        <f t="shared" si="7"/>
        <v>32.002882749059225</v>
      </c>
      <c r="I12" s="146"/>
      <c r="J12" s="9" t="s">
        <v>45</v>
      </c>
      <c r="K12" s="1" t="s">
        <v>70</v>
      </c>
      <c r="L12" s="1" t="s">
        <v>70</v>
      </c>
      <c r="M12" s="1" t="s">
        <v>70</v>
      </c>
      <c r="N12" s="57">
        <f t="shared" si="8"/>
        <v>6368.198692810457</v>
      </c>
      <c r="O12" s="1">
        <v>105</v>
      </c>
      <c r="P12" s="126">
        <f t="shared" si="3"/>
        <v>60.649511360099588</v>
      </c>
      <c r="Q12" t="s">
        <v>69</v>
      </c>
      <c r="R12" s="47">
        <f>R10-R11</f>
        <v>39.575015149781393</v>
      </c>
      <c r="S12" s="120"/>
      <c r="T12" s="35" t="s">
        <v>45</v>
      </c>
      <c r="U12" s="5"/>
      <c r="V12" s="5"/>
      <c r="W12" s="5"/>
      <c r="X12" s="29">
        <f t="shared" si="9"/>
        <v>3165.8066666666664</v>
      </c>
      <c r="Y12" s="6">
        <v>102</v>
      </c>
      <c r="Z12" s="30">
        <f t="shared" ref="Z12:Z15" si="10">X12/Y12</f>
        <v>31.037320261437905</v>
      </c>
      <c r="AB12" s="47"/>
    </row>
    <row r="13" spans="1:31" x14ac:dyDescent="0.35">
      <c r="A13" s="35"/>
      <c r="B13" s="5" t="s">
        <v>67</v>
      </c>
      <c r="C13" s="5" t="s">
        <v>70</v>
      </c>
      <c r="D13" s="5" t="s">
        <v>70</v>
      </c>
      <c r="E13" s="5"/>
      <c r="F13" s="59">
        <f t="shared" si="6"/>
        <v>4224.3805228758174</v>
      </c>
      <c r="G13" s="5">
        <v>132</v>
      </c>
      <c r="H13" s="127">
        <f>F13/G13</f>
        <v>32.002882749059225</v>
      </c>
      <c r="I13" s="146"/>
      <c r="J13" s="9" t="s">
        <v>67</v>
      </c>
      <c r="K13" s="1" t="s">
        <v>70</v>
      </c>
      <c r="L13" s="1" t="s">
        <v>70</v>
      </c>
      <c r="M13" s="1" t="s">
        <v>70</v>
      </c>
      <c r="N13" s="57">
        <f t="shared" si="8"/>
        <v>6368.198692810457</v>
      </c>
      <c r="O13" s="1">
        <v>105</v>
      </c>
      <c r="P13" s="126">
        <f t="shared" si="3"/>
        <v>60.649511360099588</v>
      </c>
      <c r="Q13" t="s">
        <v>136</v>
      </c>
      <c r="R13" s="50">
        <f>R12*106</f>
        <v>4194.9516058768277</v>
      </c>
      <c r="S13" s="120"/>
      <c r="T13" s="35" t="s">
        <v>67</v>
      </c>
      <c r="U13" s="5"/>
      <c r="V13" s="5"/>
      <c r="W13" s="5"/>
      <c r="X13" s="29">
        <f t="shared" si="9"/>
        <v>3165.8066666666664</v>
      </c>
      <c r="Y13" s="6">
        <v>102</v>
      </c>
      <c r="Z13" s="30">
        <f t="shared" si="10"/>
        <v>31.037320261437905</v>
      </c>
      <c r="AB13" s="50"/>
      <c r="AE13">
        <f>710/20</f>
        <v>35.5</v>
      </c>
    </row>
    <row r="14" spans="1:31" x14ac:dyDescent="0.35">
      <c r="A14" s="35"/>
      <c r="B14" s="5" t="s">
        <v>133</v>
      </c>
      <c r="C14" s="5" t="s">
        <v>70</v>
      </c>
      <c r="D14" s="5" t="s">
        <v>70</v>
      </c>
      <c r="E14" s="5"/>
      <c r="F14" s="59">
        <f t="shared" si="6"/>
        <v>4224.3805228758174</v>
      </c>
      <c r="G14" s="5">
        <v>132</v>
      </c>
      <c r="H14" s="127">
        <f t="shared" ref="H14:H16" si="11">F14/G14</f>
        <v>32.002882749059225</v>
      </c>
      <c r="I14" s="146"/>
      <c r="J14" s="9" t="s">
        <v>133</v>
      </c>
      <c r="K14" s="1"/>
      <c r="L14" s="1"/>
      <c r="M14" s="1"/>
      <c r="N14" s="57">
        <f t="shared" si="8"/>
        <v>6368.198692810457</v>
      </c>
      <c r="O14" s="1">
        <v>104</v>
      </c>
      <c r="P14" s="126">
        <f t="shared" si="3"/>
        <v>61.232679738562084</v>
      </c>
      <c r="Q14" t="s">
        <v>422</v>
      </c>
      <c r="R14" s="48">
        <f>R13*5</f>
        <v>20974.758029384138</v>
      </c>
      <c r="S14" s="120"/>
      <c r="T14" s="35" t="s">
        <v>133</v>
      </c>
      <c r="U14" s="5"/>
      <c r="V14" s="5"/>
      <c r="W14" s="5"/>
      <c r="X14" s="29">
        <f t="shared" si="9"/>
        <v>3165.8066666666664</v>
      </c>
      <c r="Y14" s="6">
        <v>102</v>
      </c>
      <c r="Z14" s="30">
        <f t="shared" si="10"/>
        <v>31.037320261437905</v>
      </c>
      <c r="AB14" s="48"/>
    </row>
    <row r="15" spans="1:31" x14ac:dyDescent="0.35">
      <c r="A15" s="35"/>
      <c r="B15" s="5" t="s">
        <v>134</v>
      </c>
      <c r="C15" s="5" t="s">
        <v>70</v>
      </c>
      <c r="D15" s="5" t="s">
        <v>70</v>
      </c>
      <c r="E15" s="5"/>
      <c r="F15" s="59">
        <f t="shared" si="6"/>
        <v>4224.3805228758174</v>
      </c>
      <c r="G15" s="5">
        <v>132</v>
      </c>
      <c r="H15" s="127">
        <f t="shared" si="11"/>
        <v>32.002882749059225</v>
      </c>
      <c r="I15" s="146"/>
      <c r="J15" s="9" t="s">
        <v>134</v>
      </c>
      <c r="K15" s="1"/>
      <c r="L15" s="1"/>
      <c r="M15" s="1"/>
      <c r="N15" s="57">
        <f t="shared" si="8"/>
        <v>6368.198692810457</v>
      </c>
      <c r="O15" s="1">
        <v>103</v>
      </c>
      <c r="P15" s="126">
        <f t="shared" si="3"/>
        <v>61.827171774858805</v>
      </c>
      <c r="R15" s="48"/>
      <c r="S15" s="120"/>
      <c r="T15" s="35" t="s">
        <v>134</v>
      </c>
      <c r="U15" s="5"/>
      <c r="V15" s="5"/>
      <c r="W15" s="5"/>
      <c r="X15" s="29">
        <f t="shared" si="9"/>
        <v>3165.8066666666664</v>
      </c>
      <c r="Y15" s="6">
        <v>102</v>
      </c>
      <c r="Z15" s="30">
        <f t="shared" si="10"/>
        <v>31.037320261437905</v>
      </c>
      <c r="AB15" s="48"/>
    </row>
    <row r="16" spans="1:31" x14ac:dyDescent="0.35">
      <c r="A16" s="35"/>
      <c r="B16" s="5" t="s">
        <v>252</v>
      </c>
      <c r="C16" s="5" t="s">
        <v>70</v>
      </c>
      <c r="D16" s="5" t="s">
        <v>70</v>
      </c>
      <c r="E16" s="5"/>
      <c r="F16" s="59">
        <f t="shared" si="6"/>
        <v>4224.3805228758174</v>
      </c>
      <c r="G16" s="5">
        <v>132</v>
      </c>
      <c r="H16" s="127">
        <f t="shared" si="11"/>
        <v>32.002882749059225</v>
      </c>
      <c r="I16" s="146"/>
      <c r="J16" s="9" t="s">
        <v>252</v>
      </c>
      <c r="K16" s="1" t="s">
        <v>70</v>
      </c>
      <c r="L16" s="1" t="s">
        <v>70</v>
      </c>
      <c r="M16" s="1" t="s">
        <v>70</v>
      </c>
      <c r="N16" s="57">
        <f t="shared" si="8"/>
        <v>6368.198692810457</v>
      </c>
      <c r="O16" s="1">
        <v>102</v>
      </c>
      <c r="P16" s="126">
        <f t="shared" si="3"/>
        <v>62.433320517749578</v>
      </c>
      <c r="Q16">
        <f>60/8</f>
        <v>7.5</v>
      </c>
      <c r="R16" s="48"/>
      <c r="S16" s="120"/>
      <c r="T16" s="35"/>
      <c r="U16" s="5"/>
      <c r="V16" s="5"/>
      <c r="W16" s="5"/>
      <c r="X16" s="29"/>
      <c r="Y16" s="6"/>
      <c r="Z16" s="30"/>
      <c r="AB16" s="48"/>
    </row>
    <row r="17" spans="1:28" x14ac:dyDescent="0.35">
      <c r="A17" s="35"/>
      <c r="B17" s="5" t="s">
        <v>253</v>
      </c>
      <c r="C17" s="5" t="s">
        <v>70</v>
      </c>
      <c r="D17" s="5" t="s">
        <v>70</v>
      </c>
      <c r="E17" s="5"/>
      <c r="F17" s="59">
        <f t="shared" si="6"/>
        <v>4224.3805228758174</v>
      </c>
      <c r="G17" s="5">
        <v>132</v>
      </c>
      <c r="H17" s="127">
        <f t="shared" ref="H17" si="12">F17/G17</f>
        <v>32.002882749059225</v>
      </c>
      <c r="I17" s="146"/>
      <c r="J17" s="9" t="s">
        <v>253</v>
      </c>
      <c r="K17" s="1" t="s">
        <v>70</v>
      </c>
      <c r="L17" s="1" t="s">
        <v>70</v>
      </c>
      <c r="M17" s="1" t="s">
        <v>70</v>
      </c>
      <c r="N17" s="57">
        <f t="shared" si="8"/>
        <v>6368.198692810457</v>
      </c>
      <c r="O17" s="1">
        <v>100</v>
      </c>
      <c r="P17" s="126">
        <f t="shared" ref="P17" si="13">N17/O17</f>
        <v>63.681986928104571</v>
      </c>
      <c r="R17" s="48"/>
      <c r="S17" s="120"/>
      <c r="T17" s="35"/>
      <c r="U17" s="5"/>
      <c r="V17" s="5"/>
      <c r="W17" s="5"/>
      <c r="X17" s="29"/>
      <c r="Y17" s="6"/>
      <c r="Z17" s="30"/>
      <c r="AB17" s="48"/>
    </row>
    <row r="18" spans="1:28" x14ac:dyDescent="0.35">
      <c r="A18" s="35"/>
      <c r="B18" s="5"/>
      <c r="C18" s="5"/>
      <c r="D18" s="5"/>
      <c r="E18" s="5"/>
      <c r="F18" s="59"/>
      <c r="G18" s="5">
        <v>0</v>
      </c>
      <c r="H18" s="37"/>
      <c r="I18" s="146"/>
      <c r="J18" s="35"/>
      <c r="K18" s="5"/>
      <c r="L18" s="5"/>
      <c r="M18" s="5"/>
      <c r="N18" s="38"/>
      <c r="O18" s="5"/>
      <c r="P18" s="30"/>
      <c r="R18" s="48"/>
      <c r="S18" s="120"/>
      <c r="T18" s="35"/>
      <c r="U18" s="5"/>
      <c r="V18" s="5"/>
      <c r="W18" s="5"/>
      <c r="X18" s="38"/>
      <c r="Y18" s="90"/>
      <c r="Z18" s="91"/>
      <c r="AB18" s="48"/>
    </row>
    <row r="19" spans="1:28" ht="15" thickBot="1" x14ac:dyDescent="0.4">
      <c r="A19" s="11"/>
      <c r="B19" s="12"/>
      <c r="C19" s="12"/>
      <c r="D19" s="12"/>
      <c r="E19" s="12"/>
      <c r="F19" s="114">
        <f>SUM(F10:F18)</f>
        <v>33795.044183006539</v>
      </c>
      <c r="G19" s="114">
        <f>SUM(G10:G18)</f>
        <v>1056</v>
      </c>
      <c r="H19" s="13"/>
      <c r="I19" s="148"/>
      <c r="J19" s="35"/>
      <c r="K19" s="5"/>
      <c r="L19" s="5"/>
      <c r="M19" s="5"/>
      <c r="N19" s="182">
        <f>SUM(N10:N15)</f>
        <v>38209.192156862744</v>
      </c>
      <c r="O19" s="183">
        <f>SUM(O10:O18)</f>
        <v>832</v>
      </c>
      <c r="P19" s="37"/>
      <c r="Q19" s="46" t="s">
        <v>71</v>
      </c>
      <c r="R19" s="52">
        <f>R8+R14</f>
        <v>32061.61646075669</v>
      </c>
      <c r="S19" s="121"/>
      <c r="T19" s="11"/>
      <c r="U19" s="12"/>
      <c r="V19" s="12"/>
      <c r="W19" s="12"/>
      <c r="X19" s="77">
        <f>SUM(X10:X15)</f>
        <v>18994.84</v>
      </c>
      <c r="Y19" s="115">
        <f>SUM(Y10:Y18)</f>
        <v>612</v>
      </c>
      <c r="Z19" s="13"/>
      <c r="AA19" s="46"/>
      <c r="AB19" s="52"/>
    </row>
    <row r="20" spans="1:28" x14ac:dyDescent="0.35">
      <c r="A20" s="39" t="s">
        <v>452</v>
      </c>
      <c r="B20" s="40" t="s">
        <v>43</v>
      </c>
      <c r="C20" s="41" t="s">
        <v>2</v>
      </c>
      <c r="D20" s="41" t="s">
        <v>86</v>
      </c>
      <c r="E20" s="41">
        <f>3650/50</f>
        <v>73</v>
      </c>
      <c r="F20" s="41">
        <f>E20*36</f>
        <v>2628</v>
      </c>
      <c r="G20" s="41">
        <v>132</v>
      </c>
      <c r="H20" s="113">
        <f>F20/G20</f>
        <v>19.90909090909091</v>
      </c>
      <c r="I20" s="119"/>
      <c r="J20" s="80" t="s">
        <v>43</v>
      </c>
      <c r="K20" s="41" t="s">
        <v>2</v>
      </c>
      <c r="L20" s="41" t="s">
        <v>49</v>
      </c>
      <c r="M20" s="41">
        <f>3650/50</f>
        <v>73</v>
      </c>
      <c r="N20" s="41">
        <f>M20*50</f>
        <v>3650</v>
      </c>
      <c r="O20" s="41">
        <v>102</v>
      </c>
      <c r="P20" s="113">
        <f>N20/O20</f>
        <v>35.784313725490193</v>
      </c>
      <c r="Q20" s="43" t="s">
        <v>0</v>
      </c>
      <c r="R20" s="44"/>
      <c r="S20" s="119"/>
      <c r="T20" s="39" t="s">
        <v>43</v>
      </c>
      <c r="U20" s="41" t="s">
        <v>2</v>
      </c>
      <c r="V20" s="41" t="s">
        <v>317</v>
      </c>
      <c r="W20" s="139">
        <f>3600/50</f>
        <v>72</v>
      </c>
      <c r="X20" s="41">
        <f>W20*26</f>
        <v>1872</v>
      </c>
      <c r="Y20" s="41">
        <v>102</v>
      </c>
      <c r="Z20" s="113">
        <f t="shared" ref="Z20:Z26" si="14">X20/Y20</f>
        <v>18.352941176470587</v>
      </c>
      <c r="AA20" s="43" t="s">
        <v>196</v>
      </c>
      <c r="AB20" s="44"/>
    </row>
    <row r="21" spans="1:28" x14ac:dyDescent="0.35">
      <c r="A21" s="35"/>
      <c r="B21" s="5"/>
      <c r="C21" s="6" t="s">
        <v>4</v>
      </c>
      <c r="D21" s="6" t="s">
        <v>50</v>
      </c>
      <c r="E21" s="28">
        <f>7200/50</f>
        <v>144</v>
      </c>
      <c r="F21" s="6">
        <f>E21*4.5</f>
        <v>648</v>
      </c>
      <c r="G21" s="1">
        <f>G20</f>
        <v>132</v>
      </c>
      <c r="H21" s="126">
        <f t="shared" ref="H21:H26" si="15">F21/G21</f>
        <v>4.9090909090909092</v>
      </c>
      <c r="I21" s="228"/>
      <c r="J21" s="9"/>
      <c r="K21" s="1" t="s">
        <v>4</v>
      </c>
      <c r="L21" s="1" t="s">
        <v>353</v>
      </c>
      <c r="M21" s="28">
        <f>7200/50</f>
        <v>144</v>
      </c>
      <c r="N21" s="57">
        <f>M21*2.5</f>
        <v>360</v>
      </c>
      <c r="O21" s="1">
        <f t="shared" ref="O21:O26" si="16">O20</f>
        <v>102</v>
      </c>
      <c r="P21" s="126">
        <f t="shared" ref="P21:P26" si="17">N21/O21</f>
        <v>3.5294117647058822</v>
      </c>
      <c r="Q21" t="s">
        <v>68</v>
      </c>
      <c r="R21" s="45">
        <v>60</v>
      </c>
      <c r="T21" s="35"/>
      <c r="U21" s="6" t="s">
        <v>4</v>
      </c>
      <c r="V21" s="6" t="s">
        <v>324</v>
      </c>
      <c r="W21" s="28">
        <f>7200/50</f>
        <v>144</v>
      </c>
      <c r="X21" s="29">
        <f>W21*3.8</f>
        <v>547.19999999999993</v>
      </c>
      <c r="Y21" s="1">
        <f t="shared" ref="Y21:Y26" si="18">Y20</f>
        <v>102</v>
      </c>
      <c r="Z21" s="126">
        <f t="shared" si="14"/>
        <v>5.3647058823529408</v>
      </c>
      <c r="AA21" t="s">
        <v>68</v>
      </c>
      <c r="AB21" s="45">
        <v>50</v>
      </c>
    </row>
    <row r="22" spans="1:28" x14ac:dyDescent="0.35">
      <c r="A22" s="35"/>
      <c r="B22" s="5"/>
      <c r="C22" s="6" t="s">
        <v>54</v>
      </c>
      <c r="D22" s="6" t="s">
        <v>419</v>
      </c>
      <c r="E22" s="28">
        <f>600/1000</f>
        <v>0.6</v>
      </c>
      <c r="F22" s="6">
        <f>E22*60</f>
        <v>36</v>
      </c>
      <c r="G22" s="1">
        <f t="shared" ref="G22:G26" si="19">G21</f>
        <v>132</v>
      </c>
      <c r="H22" s="126">
        <f t="shared" si="15"/>
        <v>0.27272727272727271</v>
      </c>
      <c r="I22" s="228"/>
      <c r="J22" s="9"/>
      <c r="K22" s="1" t="s">
        <v>5</v>
      </c>
      <c r="L22" s="1" t="s">
        <v>421</v>
      </c>
      <c r="M22" s="233">
        <f>400/450</f>
        <v>0.88888888888888884</v>
      </c>
      <c r="N22" s="57">
        <f>M22*160</f>
        <v>142.22222222222223</v>
      </c>
      <c r="O22" s="1">
        <f t="shared" si="16"/>
        <v>102</v>
      </c>
      <c r="P22" s="126">
        <f t="shared" si="17"/>
        <v>1.3943355119825709</v>
      </c>
      <c r="Q22" t="s">
        <v>32</v>
      </c>
      <c r="R22" s="47">
        <f>H27</f>
        <v>31.977125173301644</v>
      </c>
      <c r="S22" s="120"/>
      <c r="T22" s="35"/>
      <c r="U22" s="6" t="s">
        <v>5</v>
      </c>
      <c r="V22" s="6" t="s">
        <v>420</v>
      </c>
      <c r="W22" s="28">
        <f>255/450</f>
        <v>0.56666666666666665</v>
      </c>
      <c r="X22" s="29">
        <f>W22*190</f>
        <v>107.66666666666666</v>
      </c>
      <c r="Y22" s="1">
        <f t="shared" si="18"/>
        <v>102</v>
      </c>
      <c r="Z22" s="126">
        <f t="shared" si="14"/>
        <v>1.0555555555555554</v>
      </c>
      <c r="AA22" t="s">
        <v>32</v>
      </c>
      <c r="AB22" s="47">
        <f>Z27</f>
        <v>31.037320261437905</v>
      </c>
    </row>
    <row r="23" spans="1:28" x14ac:dyDescent="0.35">
      <c r="A23" s="35"/>
      <c r="B23" s="5"/>
      <c r="C23" s="6" t="s">
        <v>55</v>
      </c>
      <c r="D23" s="6" t="s">
        <v>318</v>
      </c>
      <c r="E23" s="28">
        <f>35.5/1000</f>
        <v>3.5499999999999997E-2</v>
      </c>
      <c r="F23" s="6">
        <f>E23*280</f>
        <v>9.94</v>
      </c>
      <c r="G23" s="1">
        <f t="shared" si="19"/>
        <v>132</v>
      </c>
      <c r="H23" s="126">
        <f t="shared" si="15"/>
        <v>7.5303030303030302E-2</v>
      </c>
      <c r="I23" s="228"/>
      <c r="J23" s="9"/>
      <c r="K23" s="1" t="s">
        <v>51</v>
      </c>
      <c r="L23" s="1" t="s">
        <v>52</v>
      </c>
      <c r="M23" s="232">
        <f>35.5/1000</f>
        <v>3.5499999999999997E-2</v>
      </c>
      <c r="N23" s="1">
        <f>M23*300</f>
        <v>10.649999999999999</v>
      </c>
      <c r="O23" s="1">
        <f t="shared" si="16"/>
        <v>102</v>
      </c>
      <c r="P23" s="126">
        <f t="shared" si="17"/>
        <v>0.10441176470588234</v>
      </c>
      <c r="Q23" t="s">
        <v>62</v>
      </c>
      <c r="R23" s="47">
        <f>R21-R22</f>
        <v>28.022874826698356</v>
      </c>
      <c r="S23" s="120"/>
      <c r="T23" s="35"/>
      <c r="U23" s="6" t="s">
        <v>51</v>
      </c>
      <c r="V23" s="6" t="s">
        <v>318</v>
      </c>
      <c r="W23" s="205">
        <f>35.5/1000</f>
        <v>3.5499999999999997E-2</v>
      </c>
      <c r="X23" s="6">
        <f>W23*280</f>
        <v>9.94</v>
      </c>
      <c r="Y23" s="1">
        <f t="shared" si="18"/>
        <v>102</v>
      </c>
      <c r="Z23" s="126">
        <f t="shared" si="14"/>
        <v>9.7450980392156855E-2</v>
      </c>
      <c r="AA23" t="s">
        <v>69</v>
      </c>
      <c r="AB23" s="47">
        <f>AB21-AB22</f>
        <v>18.962679738562095</v>
      </c>
    </row>
    <row r="24" spans="1:28" x14ac:dyDescent="0.35">
      <c r="A24" s="35"/>
      <c r="B24" s="5"/>
      <c r="C24" s="6" t="s">
        <v>56</v>
      </c>
      <c r="D24" s="6" t="s">
        <v>419</v>
      </c>
      <c r="E24" s="6">
        <f>340/1000</f>
        <v>0.34</v>
      </c>
      <c r="F24" s="6">
        <f>E24*60</f>
        <v>20.400000000000002</v>
      </c>
      <c r="G24" s="1">
        <f t="shared" si="19"/>
        <v>132</v>
      </c>
      <c r="H24" s="126">
        <f t="shared" si="15"/>
        <v>0.15454545454545457</v>
      </c>
      <c r="I24" s="228"/>
      <c r="J24" s="9"/>
      <c r="K24" s="1" t="s">
        <v>26</v>
      </c>
      <c r="L24" s="1" t="s">
        <v>419</v>
      </c>
      <c r="M24" s="1">
        <f>340/1000</f>
        <v>0.34</v>
      </c>
      <c r="N24" s="1">
        <f>M24*60</f>
        <v>20.400000000000002</v>
      </c>
      <c r="O24" s="1">
        <f t="shared" si="16"/>
        <v>102</v>
      </c>
      <c r="P24" s="126">
        <f t="shared" si="17"/>
        <v>0.2</v>
      </c>
      <c r="Q24" t="s">
        <v>72</v>
      </c>
      <c r="R24" s="50">
        <f>G27*R23</f>
        <v>3699.0194771241831</v>
      </c>
      <c r="S24" s="120"/>
      <c r="T24" s="35"/>
      <c r="U24" s="6" t="s">
        <v>26</v>
      </c>
      <c r="V24" s="6" t="s">
        <v>53</v>
      </c>
      <c r="W24" s="6">
        <f>340/1000</f>
        <v>0.34</v>
      </c>
      <c r="X24" s="6">
        <f>W24*50</f>
        <v>17</v>
      </c>
      <c r="Y24" s="1">
        <f t="shared" si="18"/>
        <v>102</v>
      </c>
      <c r="Z24" s="126">
        <f t="shared" si="14"/>
        <v>0.16666666666666666</v>
      </c>
      <c r="AA24" t="s">
        <v>205</v>
      </c>
      <c r="AB24" s="50">
        <f>AB23*102</f>
        <v>1934.1933333333336</v>
      </c>
    </row>
    <row r="25" spans="1:28" x14ac:dyDescent="0.35">
      <c r="A25" s="35"/>
      <c r="B25" s="5"/>
      <c r="C25" s="6" t="s">
        <v>57</v>
      </c>
      <c r="D25" s="6" t="s">
        <v>6</v>
      </c>
      <c r="E25" s="28">
        <f>250/450</f>
        <v>0.55555555555555558</v>
      </c>
      <c r="F25" s="28">
        <f>E25*200</f>
        <v>111.11111111111111</v>
      </c>
      <c r="G25" s="1">
        <f t="shared" si="19"/>
        <v>132</v>
      </c>
      <c r="H25" s="126">
        <f t="shared" si="15"/>
        <v>0.84175084175084181</v>
      </c>
      <c r="I25" s="228"/>
      <c r="J25" s="9"/>
      <c r="K25" s="1" t="s">
        <v>3</v>
      </c>
      <c r="L25" s="1" t="s">
        <v>382</v>
      </c>
      <c r="M25" s="57">
        <f>4660/17</f>
        <v>274.11764705882354</v>
      </c>
      <c r="N25" s="57">
        <f>M25*1.5</f>
        <v>411.1764705882353</v>
      </c>
      <c r="O25" s="1">
        <f t="shared" si="16"/>
        <v>102</v>
      </c>
      <c r="P25" s="126">
        <f t="shared" si="17"/>
        <v>4.031141868512111</v>
      </c>
      <c r="Q25" t="s">
        <v>424</v>
      </c>
      <c r="R25" s="48">
        <f>R24*4</f>
        <v>14796.077908496733</v>
      </c>
      <c r="S25" s="120"/>
      <c r="T25" s="35"/>
      <c r="U25" s="6" t="s">
        <v>3</v>
      </c>
      <c r="V25" s="6" t="s">
        <v>325</v>
      </c>
      <c r="W25" s="29">
        <f>260</f>
        <v>260</v>
      </c>
      <c r="X25" s="29">
        <f>W25*2.3</f>
        <v>598</v>
      </c>
      <c r="Y25" s="1">
        <f t="shared" si="18"/>
        <v>102</v>
      </c>
      <c r="Z25" s="126">
        <f t="shared" si="14"/>
        <v>5.8627450980392153</v>
      </c>
      <c r="AA25" t="s">
        <v>456</v>
      </c>
      <c r="AB25" s="48">
        <f>AB24*9</f>
        <v>17407.740000000002</v>
      </c>
    </row>
    <row r="26" spans="1:28" x14ac:dyDescent="0.35">
      <c r="A26" s="35"/>
      <c r="B26" s="5"/>
      <c r="C26" s="6" t="s">
        <v>58</v>
      </c>
      <c r="D26" s="6" t="s">
        <v>319</v>
      </c>
      <c r="E26" s="29">
        <f>4660/17</f>
        <v>274.11764705882354</v>
      </c>
      <c r="F26" s="29">
        <f>E26*2.8</f>
        <v>767.52941176470586</v>
      </c>
      <c r="G26" s="6">
        <f t="shared" si="19"/>
        <v>132</v>
      </c>
      <c r="H26" s="126">
        <f t="shared" si="15"/>
        <v>5.8146167557932262</v>
      </c>
      <c r="I26" s="228"/>
      <c r="J26" s="9"/>
      <c r="K26" s="1" t="s">
        <v>7</v>
      </c>
      <c r="L26" s="234" t="s">
        <v>316</v>
      </c>
      <c r="M26" s="57">
        <f>4730/20</f>
        <v>236.5</v>
      </c>
      <c r="N26" s="57">
        <f>M26*10</f>
        <v>2365</v>
      </c>
      <c r="O26" s="1">
        <f t="shared" si="16"/>
        <v>102</v>
      </c>
      <c r="P26" s="126">
        <f t="shared" si="17"/>
        <v>23.186274509803923</v>
      </c>
      <c r="Q26" t="s">
        <v>1</v>
      </c>
      <c r="R26" s="45"/>
      <c r="T26" s="35"/>
      <c r="U26" s="6" t="s">
        <v>151</v>
      </c>
      <c r="V26" s="53" t="s">
        <v>53</v>
      </c>
      <c r="W26" s="28">
        <f>280/1000</f>
        <v>0.28000000000000003</v>
      </c>
      <c r="X26" s="6">
        <f>W26*50</f>
        <v>14.000000000000002</v>
      </c>
      <c r="Y26" s="1">
        <f t="shared" si="18"/>
        <v>102</v>
      </c>
      <c r="Z26" s="126">
        <f t="shared" si="14"/>
        <v>0.13725490196078433</v>
      </c>
      <c r="AB26" s="45"/>
    </row>
    <row r="27" spans="1:28" x14ac:dyDescent="0.35">
      <c r="A27" s="35"/>
      <c r="B27" s="5"/>
      <c r="C27" s="6"/>
      <c r="D27" s="6"/>
      <c r="E27" s="29"/>
      <c r="F27" s="51">
        <f>SUM(F20:F26)</f>
        <v>4220.9805228758178</v>
      </c>
      <c r="G27" s="32">
        <f t="shared" ref="G27" si="20">G26</f>
        <v>132</v>
      </c>
      <c r="H27" s="33">
        <f>SUM(H20:H26)</f>
        <v>31.977125173301644</v>
      </c>
      <c r="I27" s="228"/>
      <c r="J27" s="9"/>
      <c r="K27" s="1"/>
      <c r="L27" s="1"/>
      <c r="M27" s="1"/>
      <c r="N27" s="235">
        <f>SUM(N20:N26)</f>
        <v>6959.448692810457</v>
      </c>
      <c r="O27" s="187">
        <f t="shared" ref="O27" si="21">O26</f>
        <v>102</v>
      </c>
      <c r="P27" s="236">
        <f t="shared" ref="P27:P33" si="22">N27/O27</f>
        <v>68.229889145200559</v>
      </c>
      <c r="Q27" t="s">
        <v>68</v>
      </c>
      <c r="R27" s="45">
        <v>100</v>
      </c>
      <c r="T27" s="35"/>
      <c r="U27" s="6"/>
      <c r="V27" s="6"/>
      <c r="W27" s="6"/>
      <c r="X27" s="31">
        <f>SUM(X20:X26)</f>
        <v>3165.8066666666664</v>
      </c>
      <c r="Y27" s="32">
        <f t="shared" ref="Y27" si="23">Y26</f>
        <v>102</v>
      </c>
      <c r="Z27" s="33">
        <f t="shared" ref="Z27:Z29" si="24">X27/Y27</f>
        <v>31.037320261437905</v>
      </c>
      <c r="AB27" s="45"/>
    </row>
    <row r="28" spans="1:28" x14ac:dyDescent="0.35">
      <c r="A28" s="35"/>
      <c r="B28" s="5" t="s">
        <v>44</v>
      </c>
      <c r="C28" s="5" t="s">
        <v>70</v>
      </c>
      <c r="D28" s="5" t="s">
        <v>70</v>
      </c>
      <c r="E28" s="5"/>
      <c r="F28" s="59">
        <f t="shared" ref="F28:F30" si="25">F27</f>
        <v>4220.9805228758178</v>
      </c>
      <c r="G28" s="5">
        <v>132</v>
      </c>
      <c r="H28" s="127">
        <f>F28/G28</f>
        <v>31.977125173301651</v>
      </c>
      <c r="I28" s="228"/>
      <c r="J28" s="9" t="s">
        <v>44</v>
      </c>
      <c r="K28" s="1" t="s">
        <v>70</v>
      </c>
      <c r="L28" s="1" t="s">
        <v>70</v>
      </c>
      <c r="M28" s="1" t="s">
        <v>70</v>
      </c>
      <c r="N28" s="57">
        <f t="shared" ref="N28:N34" si="26">N27</f>
        <v>6959.448692810457</v>
      </c>
      <c r="O28" s="1">
        <v>102</v>
      </c>
      <c r="P28" s="126">
        <f t="shared" si="22"/>
        <v>68.229889145200559</v>
      </c>
      <c r="Q28" t="s">
        <v>32</v>
      </c>
      <c r="R28" s="47">
        <f>AVERAGE(P27,P28,P29,P30,P31,P32,P33)</f>
        <v>69.204601847274859</v>
      </c>
      <c r="S28" s="120"/>
      <c r="T28" s="35" t="s">
        <v>44</v>
      </c>
      <c r="U28" s="5"/>
      <c r="V28" s="5"/>
      <c r="W28" s="5"/>
      <c r="X28" s="29">
        <f t="shared" ref="X28:X35" si="27">X27</f>
        <v>3165.8066666666664</v>
      </c>
      <c r="Y28" s="6">
        <v>102</v>
      </c>
      <c r="Z28" s="30">
        <f t="shared" si="24"/>
        <v>31.037320261437905</v>
      </c>
      <c r="AB28" s="47"/>
    </row>
    <row r="29" spans="1:28" x14ac:dyDescent="0.35">
      <c r="A29" s="35"/>
      <c r="B29" s="5" t="s">
        <v>45</v>
      </c>
      <c r="C29" s="5" t="s">
        <v>70</v>
      </c>
      <c r="D29" s="5" t="s">
        <v>70</v>
      </c>
      <c r="E29" s="5"/>
      <c r="F29" s="59">
        <f t="shared" si="25"/>
        <v>4220.9805228758178</v>
      </c>
      <c r="G29" s="5">
        <v>132</v>
      </c>
      <c r="H29" s="127">
        <f t="shared" ref="H29" si="28">F29/G29</f>
        <v>31.977125173301651</v>
      </c>
      <c r="I29" s="228"/>
      <c r="J29" s="9" t="s">
        <v>45</v>
      </c>
      <c r="K29" s="1" t="s">
        <v>70</v>
      </c>
      <c r="L29" s="1" t="s">
        <v>70</v>
      </c>
      <c r="M29" s="1" t="s">
        <v>70</v>
      </c>
      <c r="N29" s="57">
        <f t="shared" si="26"/>
        <v>6959.448692810457</v>
      </c>
      <c r="O29" s="1">
        <v>100</v>
      </c>
      <c r="P29" s="126">
        <f t="shared" si="22"/>
        <v>69.594486928104573</v>
      </c>
      <c r="Q29" t="s">
        <v>69</v>
      </c>
      <c r="R29" s="47">
        <f>R27-R28</f>
        <v>30.795398152725141</v>
      </c>
      <c r="S29" s="120"/>
      <c r="T29" s="35" t="s">
        <v>45</v>
      </c>
      <c r="U29" s="5"/>
      <c r="V29" s="5"/>
      <c r="W29" s="5"/>
      <c r="X29" s="29">
        <f t="shared" si="27"/>
        <v>3165.8066666666664</v>
      </c>
      <c r="Y29" s="6">
        <v>102</v>
      </c>
      <c r="Z29" s="30">
        <f t="shared" si="24"/>
        <v>31.037320261437905</v>
      </c>
      <c r="AB29" s="47"/>
    </row>
    <row r="30" spans="1:28" x14ac:dyDescent="0.35">
      <c r="A30" s="35"/>
      <c r="B30" s="5" t="s">
        <v>67</v>
      </c>
      <c r="C30" s="5" t="s">
        <v>70</v>
      </c>
      <c r="D30" s="5" t="s">
        <v>70</v>
      </c>
      <c r="E30" s="5"/>
      <c r="F30" s="59">
        <f t="shared" si="25"/>
        <v>4220.9805228758178</v>
      </c>
      <c r="G30" s="5">
        <v>132</v>
      </c>
      <c r="H30" s="127">
        <f>F30/G30</f>
        <v>31.977125173301651</v>
      </c>
      <c r="I30" s="228"/>
      <c r="J30" s="9" t="s">
        <v>67</v>
      </c>
      <c r="K30" s="1" t="s">
        <v>70</v>
      </c>
      <c r="L30" s="1" t="s">
        <v>70</v>
      </c>
      <c r="M30" s="1" t="s">
        <v>70</v>
      </c>
      <c r="N30" s="57">
        <f t="shared" si="26"/>
        <v>6959.448692810457</v>
      </c>
      <c r="O30" s="1">
        <v>100</v>
      </c>
      <c r="P30" s="126">
        <f t="shared" si="22"/>
        <v>69.594486928104573</v>
      </c>
      <c r="Q30" t="s">
        <v>136</v>
      </c>
      <c r="R30" s="50">
        <f>R29*106</f>
        <v>3264.3122041888651</v>
      </c>
      <c r="S30" s="120"/>
      <c r="T30" s="35" t="s">
        <v>67</v>
      </c>
      <c r="U30" s="5"/>
      <c r="V30" s="5"/>
      <c r="W30" s="5"/>
      <c r="X30" s="29">
        <f t="shared" si="27"/>
        <v>3165.8066666666664</v>
      </c>
      <c r="Y30" s="6">
        <v>102</v>
      </c>
      <c r="Z30" s="30">
        <f t="shared" ref="Z30:Z31" si="29">X30/Y30</f>
        <v>31.037320261437905</v>
      </c>
      <c r="AB30" s="50"/>
    </row>
    <row r="31" spans="1:28" x14ac:dyDescent="0.35">
      <c r="A31" s="35"/>
      <c r="B31" s="5"/>
      <c r="C31" s="5"/>
      <c r="D31" s="5"/>
      <c r="E31" s="5"/>
      <c r="F31" s="59"/>
      <c r="G31" s="5"/>
      <c r="H31" s="127"/>
      <c r="I31" s="228"/>
      <c r="J31" s="9" t="s">
        <v>133</v>
      </c>
      <c r="K31" s="1"/>
      <c r="L31" s="1"/>
      <c r="M31" s="1"/>
      <c r="N31" s="57">
        <f t="shared" si="26"/>
        <v>6959.448692810457</v>
      </c>
      <c r="O31" s="1">
        <v>100</v>
      </c>
      <c r="P31" s="126">
        <f t="shared" si="22"/>
        <v>69.594486928104573</v>
      </c>
      <c r="Q31" t="s">
        <v>425</v>
      </c>
      <c r="R31" s="48">
        <f>R30*8</f>
        <v>26114.49763351092</v>
      </c>
      <c r="S31" s="120"/>
      <c r="T31" s="35" t="s">
        <v>133</v>
      </c>
      <c r="U31" s="5"/>
      <c r="V31" s="5"/>
      <c r="W31" s="5"/>
      <c r="X31" s="29">
        <f t="shared" si="27"/>
        <v>3165.8066666666664</v>
      </c>
      <c r="Y31" s="6">
        <v>102</v>
      </c>
      <c r="Z31" s="30">
        <f t="shared" si="29"/>
        <v>31.037320261437905</v>
      </c>
      <c r="AB31" s="48"/>
    </row>
    <row r="32" spans="1:28" x14ac:dyDescent="0.35">
      <c r="A32" s="35"/>
      <c r="B32" s="5"/>
      <c r="C32" s="5"/>
      <c r="D32" s="5"/>
      <c r="E32" s="5"/>
      <c r="F32" s="59"/>
      <c r="G32" s="5"/>
      <c r="H32" s="127"/>
      <c r="I32" s="228"/>
      <c r="J32" s="9" t="s">
        <v>134</v>
      </c>
      <c r="K32" s="1"/>
      <c r="L32" s="1"/>
      <c r="M32" s="1"/>
      <c r="N32" s="57">
        <f t="shared" si="26"/>
        <v>6959.448692810457</v>
      </c>
      <c r="O32" s="1">
        <v>100</v>
      </c>
      <c r="P32" s="126">
        <f t="shared" si="22"/>
        <v>69.594486928104573</v>
      </c>
      <c r="R32" s="48"/>
      <c r="S32" s="120"/>
      <c r="T32" s="35" t="s">
        <v>134</v>
      </c>
      <c r="U32" s="5"/>
      <c r="V32" s="5"/>
      <c r="W32" s="5"/>
      <c r="X32" s="29">
        <f t="shared" si="27"/>
        <v>3165.8066666666664</v>
      </c>
      <c r="Y32" s="6">
        <v>102</v>
      </c>
      <c r="Z32" s="30">
        <f t="shared" ref="Z32:Z33" si="30">X32/Y32</f>
        <v>31.037320261437905</v>
      </c>
      <c r="AB32" s="48"/>
    </row>
    <row r="33" spans="1:28" x14ac:dyDescent="0.35">
      <c r="A33" s="35"/>
      <c r="B33" s="5"/>
      <c r="C33" s="5"/>
      <c r="D33" s="5"/>
      <c r="E33" s="5"/>
      <c r="F33" s="59"/>
      <c r="G33" s="5"/>
      <c r="H33" s="127"/>
      <c r="I33" s="228"/>
      <c r="J33" s="9" t="s">
        <v>252</v>
      </c>
      <c r="K33" s="1" t="s">
        <v>70</v>
      </c>
      <c r="L33" s="1" t="s">
        <v>70</v>
      </c>
      <c r="M33" s="1" t="s">
        <v>70</v>
      </c>
      <c r="N33" s="57">
        <f t="shared" si="26"/>
        <v>6959.448692810457</v>
      </c>
      <c r="O33" s="1">
        <v>100</v>
      </c>
      <c r="P33" s="126">
        <f t="shared" si="22"/>
        <v>69.594486928104573</v>
      </c>
      <c r="Q33">
        <f>80/8</f>
        <v>10</v>
      </c>
      <c r="R33" s="48"/>
      <c r="S33" s="120"/>
      <c r="T33" s="35" t="s">
        <v>252</v>
      </c>
      <c r="U33" s="5"/>
      <c r="V33" s="5"/>
      <c r="W33" s="5"/>
      <c r="X33" s="29">
        <f t="shared" si="27"/>
        <v>3165.8066666666664</v>
      </c>
      <c r="Y33" s="6">
        <v>102</v>
      </c>
      <c r="Z33" s="30">
        <f t="shared" si="30"/>
        <v>31.037320261437905</v>
      </c>
      <c r="AB33" s="48"/>
    </row>
    <row r="34" spans="1:28" x14ac:dyDescent="0.35">
      <c r="A34" s="35"/>
      <c r="B34" s="5"/>
      <c r="C34" s="5"/>
      <c r="D34" s="5"/>
      <c r="E34" s="5"/>
      <c r="F34" s="59"/>
      <c r="G34" s="5"/>
      <c r="H34" s="37"/>
      <c r="I34" s="228"/>
      <c r="J34" s="9" t="s">
        <v>253</v>
      </c>
      <c r="K34" s="1" t="s">
        <v>70</v>
      </c>
      <c r="L34" s="1" t="s">
        <v>70</v>
      </c>
      <c r="M34" s="1" t="s">
        <v>70</v>
      </c>
      <c r="N34" s="57">
        <f t="shared" si="26"/>
        <v>6959.448692810457</v>
      </c>
      <c r="O34" s="1">
        <v>100</v>
      </c>
      <c r="P34" s="126">
        <f t="shared" ref="P34" si="31">N34/O34</f>
        <v>69.594486928104573</v>
      </c>
      <c r="R34" s="48"/>
      <c r="S34" s="120"/>
      <c r="T34" s="35" t="s">
        <v>253</v>
      </c>
      <c r="U34" s="5"/>
      <c r="V34" s="5"/>
      <c r="W34" s="5"/>
      <c r="X34" s="29">
        <f t="shared" si="27"/>
        <v>3165.8066666666664</v>
      </c>
      <c r="Y34" s="6">
        <v>102</v>
      </c>
      <c r="Z34" s="30">
        <f t="shared" ref="Z34:Z35" si="32">X34/Y34</f>
        <v>31.037320261437905</v>
      </c>
      <c r="AB34" s="48"/>
    </row>
    <row r="35" spans="1:28" x14ac:dyDescent="0.35">
      <c r="A35" s="35"/>
      <c r="B35" s="5"/>
      <c r="C35" s="5"/>
      <c r="D35" s="5"/>
      <c r="E35" s="5"/>
      <c r="F35" s="59"/>
      <c r="G35" s="5"/>
      <c r="H35" s="37"/>
      <c r="I35" s="228"/>
      <c r="J35" s="9"/>
      <c r="K35" s="1"/>
      <c r="L35" s="1"/>
      <c r="M35" s="1"/>
      <c r="N35" s="57"/>
      <c r="O35" s="1"/>
      <c r="P35" s="126"/>
      <c r="R35" s="48"/>
      <c r="S35" s="120"/>
      <c r="T35" s="35" t="s">
        <v>455</v>
      </c>
      <c r="U35" s="5"/>
      <c r="V35" s="5"/>
      <c r="W35" s="5"/>
      <c r="X35" s="29">
        <f t="shared" si="27"/>
        <v>3165.8066666666664</v>
      </c>
      <c r="Y35" s="6">
        <v>102</v>
      </c>
      <c r="Z35" s="30">
        <f t="shared" si="32"/>
        <v>31.037320261437905</v>
      </c>
      <c r="AB35" s="48"/>
    </row>
    <row r="36" spans="1:28" x14ac:dyDescent="0.35">
      <c r="A36" s="35"/>
      <c r="B36" s="5"/>
      <c r="C36" s="5"/>
      <c r="D36" s="5"/>
      <c r="E36" s="5"/>
      <c r="F36" s="59"/>
      <c r="G36" s="5"/>
      <c r="H36" s="37"/>
      <c r="I36" s="228"/>
      <c r="J36" s="9"/>
      <c r="K36" s="1"/>
      <c r="L36" s="1"/>
      <c r="M36" s="1"/>
      <c r="N36" s="57"/>
      <c r="O36" s="1"/>
      <c r="P36" s="126"/>
      <c r="R36" s="48"/>
      <c r="S36" s="120"/>
      <c r="T36" s="35"/>
      <c r="U36" s="5"/>
      <c r="V36" s="5"/>
      <c r="W36" s="5"/>
      <c r="X36" s="29"/>
      <c r="Y36" s="6"/>
      <c r="Z36" s="30"/>
      <c r="AB36" s="48"/>
    </row>
    <row r="37" spans="1:28" x14ac:dyDescent="0.35">
      <c r="A37" s="35"/>
      <c r="B37" s="5"/>
      <c r="C37" s="5"/>
      <c r="D37" s="5"/>
      <c r="E37" s="5"/>
      <c r="F37" s="59"/>
      <c r="G37" s="5"/>
      <c r="H37" s="37"/>
      <c r="I37" s="228"/>
      <c r="J37" s="9"/>
      <c r="K37" s="1"/>
      <c r="L37" s="1"/>
      <c r="M37" s="1"/>
      <c r="N37" s="57"/>
      <c r="O37" s="1"/>
      <c r="P37" s="126"/>
      <c r="R37" s="48"/>
      <c r="S37" s="120"/>
      <c r="T37" s="35"/>
      <c r="U37" s="5"/>
      <c r="V37" s="5"/>
      <c r="W37" s="5"/>
      <c r="X37" s="206"/>
      <c r="Y37" s="90"/>
      <c r="Z37" s="91"/>
      <c r="AB37" s="48"/>
    </row>
    <row r="38" spans="1:28" ht="15" thickBot="1" x14ac:dyDescent="0.4">
      <c r="A38" s="11"/>
      <c r="B38" s="12"/>
      <c r="C38" s="12"/>
      <c r="D38" s="12"/>
      <c r="E38" s="12"/>
      <c r="F38" s="114">
        <f>SUM(F27:F34)</f>
        <v>16883.922091503271</v>
      </c>
      <c r="G38" s="114">
        <f>SUM(G27:G35)</f>
        <v>528</v>
      </c>
      <c r="H38" s="13"/>
      <c r="I38" s="229"/>
      <c r="J38" s="35"/>
      <c r="K38" s="5"/>
      <c r="L38" s="5"/>
      <c r="M38" s="5"/>
      <c r="N38" s="182">
        <f>SUM(N27:N34)</f>
        <v>55675.589542483664</v>
      </c>
      <c r="O38" s="182">
        <f>SUM(O27:O37)</f>
        <v>804</v>
      </c>
      <c r="P38" s="37"/>
      <c r="Q38" s="46" t="s">
        <v>71</v>
      </c>
      <c r="R38" s="52">
        <f>R25+R31</f>
        <v>40910.575542007653</v>
      </c>
      <c r="S38" s="121"/>
      <c r="T38" s="11"/>
      <c r="U38" s="12"/>
      <c r="V38" s="12"/>
      <c r="W38" s="12"/>
      <c r="X38" s="77">
        <f>SUM(X27:X32)</f>
        <v>18994.84</v>
      </c>
      <c r="Y38" s="115">
        <f>SUM(Y27:Y35)</f>
        <v>918</v>
      </c>
      <c r="Z38" s="13"/>
      <c r="AA38" s="46"/>
      <c r="AB38" s="52"/>
    </row>
    <row r="39" spans="1:28" x14ac:dyDescent="0.35">
      <c r="A39" s="39" t="s">
        <v>458</v>
      </c>
      <c r="B39" s="40" t="s">
        <v>43</v>
      </c>
      <c r="C39" s="41" t="s">
        <v>2</v>
      </c>
      <c r="D39" s="41" t="s">
        <v>86</v>
      </c>
      <c r="E39" s="41">
        <f>3650/50</f>
        <v>73</v>
      </c>
      <c r="F39" s="41">
        <f>E39*36</f>
        <v>2628</v>
      </c>
      <c r="G39" s="41">
        <v>132</v>
      </c>
      <c r="H39" s="113">
        <f>F39/G39</f>
        <v>19.90909090909091</v>
      </c>
      <c r="I39" s="119"/>
      <c r="J39" s="80" t="s">
        <v>43</v>
      </c>
      <c r="K39" s="41" t="s">
        <v>2</v>
      </c>
      <c r="L39" s="41" t="s">
        <v>49</v>
      </c>
      <c r="M39" s="41">
        <f>3650/50</f>
        <v>73</v>
      </c>
      <c r="N39" s="41">
        <f>M39*50</f>
        <v>3650</v>
      </c>
      <c r="O39" s="41">
        <v>105</v>
      </c>
      <c r="P39" s="113">
        <f>N39/O39</f>
        <v>34.761904761904759</v>
      </c>
      <c r="Q39" s="43" t="s">
        <v>0</v>
      </c>
      <c r="R39" s="44"/>
      <c r="S39" s="119"/>
      <c r="T39" s="39" t="s">
        <v>43</v>
      </c>
      <c r="U39" s="41" t="s">
        <v>2</v>
      </c>
      <c r="V39" s="41" t="s">
        <v>317</v>
      </c>
      <c r="W39" s="139">
        <f>3600/50</f>
        <v>72</v>
      </c>
      <c r="X39" s="41">
        <f>W39*26</f>
        <v>1872</v>
      </c>
      <c r="Y39" s="41">
        <v>102</v>
      </c>
      <c r="Z39" s="113">
        <f t="shared" ref="Z39:Z52" si="33">X39/Y39</f>
        <v>18.352941176470587</v>
      </c>
      <c r="AA39" s="43" t="s">
        <v>196</v>
      </c>
      <c r="AB39" s="44"/>
    </row>
    <row r="40" spans="1:28" x14ac:dyDescent="0.35">
      <c r="A40" s="35"/>
      <c r="B40" s="5"/>
      <c r="C40" s="6" t="s">
        <v>4</v>
      </c>
      <c r="D40" s="6" t="s">
        <v>50</v>
      </c>
      <c r="E40" s="28">
        <f>7200/50</f>
        <v>144</v>
      </c>
      <c r="F40" s="6">
        <f>E40*4.5</f>
        <v>648</v>
      </c>
      <c r="G40" s="1">
        <f>G39</f>
        <v>132</v>
      </c>
      <c r="H40" s="126">
        <f t="shared" ref="H40:H45" si="34">F40/G40</f>
        <v>4.9090909090909092</v>
      </c>
      <c r="I40" s="228"/>
      <c r="J40" s="9"/>
      <c r="K40" s="1" t="s">
        <v>4</v>
      </c>
      <c r="L40" s="1" t="s">
        <v>353</v>
      </c>
      <c r="M40" s="28">
        <f>7200/50</f>
        <v>144</v>
      </c>
      <c r="N40" s="57">
        <f>M40*2.5</f>
        <v>360</v>
      </c>
      <c r="O40" s="1">
        <f t="shared" ref="O40:O46" si="35">O39</f>
        <v>105</v>
      </c>
      <c r="P40" s="126">
        <f t="shared" ref="P40:P53" si="36">N40/O40</f>
        <v>3.4285714285714284</v>
      </c>
      <c r="Q40" t="s">
        <v>68</v>
      </c>
      <c r="R40" s="45">
        <v>60</v>
      </c>
      <c r="T40" s="35"/>
      <c r="U40" s="6" t="s">
        <v>4</v>
      </c>
      <c r="V40" s="6" t="s">
        <v>324</v>
      </c>
      <c r="W40" s="28">
        <f>7200/50</f>
        <v>144</v>
      </c>
      <c r="X40" s="29">
        <f>W40*3.8</f>
        <v>547.19999999999993</v>
      </c>
      <c r="Y40" s="1">
        <f t="shared" ref="Y40:Y46" si="37">Y39</f>
        <v>102</v>
      </c>
      <c r="Z40" s="126">
        <f t="shared" si="33"/>
        <v>5.3647058823529408</v>
      </c>
      <c r="AA40" t="s">
        <v>68</v>
      </c>
      <c r="AB40" s="45">
        <v>50</v>
      </c>
    </row>
    <row r="41" spans="1:28" x14ac:dyDescent="0.35">
      <c r="A41" s="35"/>
      <c r="B41" s="5"/>
      <c r="C41" s="6" t="s">
        <v>54</v>
      </c>
      <c r="D41" s="6" t="s">
        <v>419</v>
      </c>
      <c r="E41" s="28">
        <f>600/1000</f>
        <v>0.6</v>
      </c>
      <c r="F41" s="6">
        <f>E41*60</f>
        <v>36</v>
      </c>
      <c r="G41" s="1">
        <f t="shared" ref="G41:G46" si="38">G40</f>
        <v>132</v>
      </c>
      <c r="H41" s="126">
        <f t="shared" si="34"/>
        <v>0.27272727272727271</v>
      </c>
      <c r="I41" s="228"/>
      <c r="J41" s="9"/>
      <c r="K41" s="1" t="s">
        <v>5</v>
      </c>
      <c r="L41" s="1" t="s">
        <v>421</v>
      </c>
      <c r="M41" s="233">
        <f>400/450</f>
        <v>0.88888888888888884</v>
      </c>
      <c r="N41" s="57">
        <f>M41*160</f>
        <v>142.22222222222223</v>
      </c>
      <c r="O41" s="1">
        <f t="shared" si="35"/>
        <v>105</v>
      </c>
      <c r="P41" s="126">
        <f t="shared" si="36"/>
        <v>1.3544973544973546</v>
      </c>
      <c r="Q41" t="s">
        <v>32</v>
      </c>
      <c r="R41" s="47">
        <f>H46</f>
        <v>31.977125173301644</v>
      </c>
      <c r="S41" s="120"/>
      <c r="T41" s="35"/>
      <c r="U41" s="6" t="s">
        <v>5</v>
      </c>
      <c r="V41" s="6" t="s">
        <v>420</v>
      </c>
      <c r="W41" s="28">
        <f>255/450</f>
        <v>0.56666666666666665</v>
      </c>
      <c r="X41" s="29">
        <f>W41*190</f>
        <v>107.66666666666666</v>
      </c>
      <c r="Y41" s="1">
        <f t="shared" si="37"/>
        <v>102</v>
      </c>
      <c r="Z41" s="126">
        <f t="shared" si="33"/>
        <v>1.0555555555555554</v>
      </c>
      <c r="AA41" t="s">
        <v>32</v>
      </c>
      <c r="AB41" s="47">
        <f>Z46</f>
        <v>31.037320261437905</v>
      </c>
    </row>
    <row r="42" spans="1:28" x14ac:dyDescent="0.35">
      <c r="A42" s="35"/>
      <c r="B42" s="5"/>
      <c r="C42" s="6" t="s">
        <v>55</v>
      </c>
      <c r="D42" s="6" t="s">
        <v>318</v>
      </c>
      <c r="E42" s="28">
        <f>35.5/1000</f>
        <v>3.5499999999999997E-2</v>
      </c>
      <c r="F42" s="6">
        <f>E42*280</f>
        <v>9.94</v>
      </c>
      <c r="G42" s="1">
        <f t="shared" si="38"/>
        <v>132</v>
      </c>
      <c r="H42" s="126">
        <f t="shared" si="34"/>
        <v>7.5303030303030302E-2</v>
      </c>
      <c r="I42" s="228"/>
      <c r="J42" s="9"/>
      <c r="K42" s="1" t="s">
        <v>51</v>
      </c>
      <c r="L42" s="1" t="s">
        <v>52</v>
      </c>
      <c r="M42" s="232">
        <f>35.5/1000</f>
        <v>3.5499999999999997E-2</v>
      </c>
      <c r="N42" s="1">
        <f>M42*300</f>
        <v>10.649999999999999</v>
      </c>
      <c r="O42" s="1">
        <f t="shared" si="35"/>
        <v>105</v>
      </c>
      <c r="P42" s="126">
        <f t="shared" si="36"/>
        <v>0.10142857142857141</v>
      </c>
      <c r="Q42" t="s">
        <v>62</v>
      </c>
      <c r="R42" s="47">
        <f>R40-R41</f>
        <v>28.022874826698356</v>
      </c>
      <c r="S42" s="120"/>
      <c r="T42" s="35"/>
      <c r="U42" s="6" t="s">
        <v>51</v>
      </c>
      <c r="V42" s="6" t="s">
        <v>318</v>
      </c>
      <c r="W42" s="205">
        <f>35.5/1000</f>
        <v>3.5499999999999997E-2</v>
      </c>
      <c r="X42" s="6">
        <f>W42*280</f>
        <v>9.94</v>
      </c>
      <c r="Y42" s="1">
        <f t="shared" si="37"/>
        <v>102</v>
      </c>
      <c r="Z42" s="126">
        <f t="shared" si="33"/>
        <v>9.7450980392156855E-2</v>
      </c>
      <c r="AA42" t="s">
        <v>69</v>
      </c>
      <c r="AB42" s="47">
        <f>AB40-AB41</f>
        <v>18.962679738562095</v>
      </c>
    </row>
    <row r="43" spans="1:28" x14ac:dyDescent="0.35">
      <c r="A43" s="35"/>
      <c r="B43" s="5"/>
      <c r="C43" s="6" t="s">
        <v>56</v>
      </c>
      <c r="D43" s="6" t="s">
        <v>419</v>
      </c>
      <c r="E43" s="6">
        <f>340/1000</f>
        <v>0.34</v>
      </c>
      <c r="F43" s="6">
        <f>E43*60</f>
        <v>20.400000000000002</v>
      </c>
      <c r="G43" s="1">
        <f t="shared" si="38"/>
        <v>132</v>
      </c>
      <c r="H43" s="126">
        <f t="shared" si="34"/>
        <v>0.15454545454545457</v>
      </c>
      <c r="I43" s="228"/>
      <c r="J43" s="9"/>
      <c r="K43" s="1" t="s">
        <v>26</v>
      </c>
      <c r="L43" s="1" t="s">
        <v>419</v>
      </c>
      <c r="M43" s="1">
        <f>340/1000</f>
        <v>0.34</v>
      </c>
      <c r="N43" s="1">
        <f>M43*60</f>
        <v>20.400000000000002</v>
      </c>
      <c r="O43" s="1">
        <f t="shared" si="35"/>
        <v>105</v>
      </c>
      <c r="P43" s="126">
        <f t="shared" si="36"/>
        <v>0.19428571428571431</v>
      </c>
      <c r="Q43" t="s">
        <v>72</v>
      </c>
      <c r="R43" s="50">
        <f>G46*R42</f>
        <v>3699.0194771241831</v>
      </c>
      <c r="S43" s="120"/>
      <c r="T43" s="35"/>
      <c r="U43" s="6" t="s">
        <v>26</v>
      </c>
      <c r="V43" s="6" t="s">
        <v>53</v>
      </c>
      <c r="W43" s="6">
        <f>340/1000</f>
        <v>0.34</v>
      </c>
      <c r="X43" s="6">
        <f>W43*50</f>
        <v>17</v>
      </c>
      <c r="Y43" s="1">
        <f t="shared" si="37"/>
        <v>102</v>
      </c>
      <c r="Z43" s="126">
        <f t="shared" si="33"/>
        <v>0.16666666666666666</v>
      </c>
      <c r="AA43" t="s">
        <v>205</v>
      </c>
      <c r="AB43" s="50">
        <f>AB42*7</f>
        <v>132.73875816993467</v>
      </c>
    </row>
    <row r="44" spans="1:28" x14ac:dyDescent="0.35">
      <c r="A44" s="35"/>
      <c r="B44" s="5"/>
      <c r="C44" s="6" t="s">
        <v>57</v>
      </c>
      <c r="D44" s="6" t="s">
        <v>6</v>
      </c>
      <c r="E44" s="28">
        <f>250/450</f>
        <v>0.55555555555555558</v>
      </c>
      <c r="F44" s="28">
        <f>E44*200</f>
        <v>111.11111111111111</v>
      </c>
      <c r="G44" s="1">
        <f t="shared" si="38"/>
        <v>132</v>
      </c>
      <c r="H44" s="126">
        <f t="shared" si="34"/>
        <v>0.84175084175084181</v>
      </c>
      <c r="I44" s="228"/>
      <c r="J44" s="9"/>
      <c r="K44" s="1" t="s">
        <v>3</v>
      </c>
      <c r="L44" s="1" t="s">
        <v>382</v>
      </c>
      <c r="M44" s="57">
        <f>4660/17</f>
        <v>274.11764705882354</v>
      </c>
      <c r="N44" s="57">
        <f>M44*1.5</f>
        <v>411.1764705882353</v>
      </c>
      <c r="O44" s="1">
        <f t="shared" si="35"/>
        <v>105</v>
      </c>
      <c r="P44" s="126">
        <f t="shared" si="36"/>
        <v>3.9159663865546221</v>
      </c>
      <c r="Q44" t="s">
        <v>424</v>
      </c>
      <c r="R44" s="48">
        <f>R43*4</f>
        <v>14796.077908496733</v>
      </c>
      <c r="S44" s="120"/>
      <c r="T44" s="35"/>
      <c r="U44" s="6" t="s">
        <v>3</v>
      </c>
      <c r="V44" s="6" t="s">
        <v>325</v>
      </c>
      <c r="W44" s="29">
        <f>260</f>
        <v>260</v>
      </c>
      <c r="X44" s="29">
        <f>W44*2.3</f>
        <v>598</v>
      </c>
      <c r="Y44" s="1">
        <f t="shared" si="37"/>
        <v>102</v>
      </c>
      <c r="Z44" s="126">
        <f t="shared" si="33"/>
        <v>5.8627450980392153</v>
      </c>
      <c r="AA44" t="s">
        <v>426</v>
      </c>
      <c r="AB44" s="48">
        <f>AB43*7</f>
        <v>929.17130718954263</v>
      </c>
    </row>
    <row r="45" spans="1:28" x14ac:dyDescent="0.35">
      <c r="A45" s="35"/>
      <c r="B45" s="5"/>
      <c r="C45" s="6" t="s">
        <v>58</v>
      </c>
      <c r="D45" s="6" t="s">
        <v>319</v>
      </c>
      <c r="E45" s="29">
        <f>4660/17</f>
        <v>274.11764705882354</v>
      </c>
      <c r="F45" s="29">
        <f>E45*2.8</f>
        <v>767.52941176470586</v>
      </c>
      <c r="G45" s="6">
        <f t="shared" si="38"/>
        <v>132</v>
      </c>
      <c r="H45" s="126">
        <f t="shared" si="34"/>
        <v>5.8146167557932262</v>
      </c>
      <c r="I45" s="228"/>
      <c r="J45" s="9"/>
      <c r="K45" s="1" t="s">
        <v>7</v>
      </c>
      <c r="L45" s="234" t="s">
        <v>388</v>
      </c>
      <c r="M45" s="57">
        <f>4730/20</f>
        <v>236.5</v>
      </c>
      <c r="N45" s="57">
        <f>M45*12.5</f>
        <v>2956.25</v>
      </c>
      <c r="O45" s="1">
        <f t="shared" si="35"/>
        <v>105</v>
      </c>
      <c r="P45" s="126">
        <f t="shared" si="36"/>
        <v>28.154761904761905</v>
      </c>
      <c r="Q45" t="s">
        <v>1</v>
      </c>
      <c r="R45" s="45"/>
      <c r="T45" s="35"/>
      <c r="U45" s="6" t="s">
        <v>151</v>
      </c>
      <c r="V45" s="53" t="s">
        <v>53</v>
      </c>
      <c r="W45" s="28">
        <f>280/1000</f>
        <v>0.28000000000000003</v>
      </c>
      <c r="X45" s="6">
        <f>W45*50</f>
        <v>14.000000000000002</v>
      </c>
      <c r="Y45" s="1">
        <f t="shared" si="37"/>
        <v>102</v>
      </c>
      <c r="Z45" s="126">
        <f t="shared" si="33"/>
        <v>0.13725490196078433</v>
      </c>
      <c r="AB45" s="45"/>
    </row>
    <row r="46" spans="1:28" x14ac:dyDescent="0.35">
      <c r="A46" s="35"/>
      <c r="B46" s="5"/>
      <c r="C46" s="6"/>
      <c r="D46" s="6"/>
      <c r="E46" s="29"/>
      <c r="F46" s="51">
        <f>SUM(F39:F45)</f>
        <v>4220.9805228758178</v>
      </c>
      <c r="G46" s="32">
        <f t="shared" si="38"/>
        <v>132</v>
      </c>
      <c r="H46" s="33">
        <f>SUM(H39:H45)</f>
        <v>31.977125173301644</v>
      </c>
      <c r="I46" s="228"/>
      <c r="J46" s="9"/>
      <c r="K46" s="1"/>
      <c r="L46" s="1"/>
      <c r="M46" s="1"/>
      <c r="N46" s="235">
        <f>SUM(N39:N45)</f>
        <v>7550.698692810457</v>
      </c>
      <c r="O46" s="187">
        <f t="shared" si="35"/>
        <v>105</v>
      </c>
      <c r="P46" s="236">
        <f t="shared" si="36"/>
        <v>71.911416122004354</v>
      </c>
      <c r="Q46" t="s">
        <v>68</v>
      </c>
      <c r="R46" s="45">
        <v>100</v>
      </c>
      <c r="T46" s="35"/>
      <c r="U46" s="6"/>
      <c r="V46" s="6"/>
      <c r="W46" s="6"/>
      <c r="X46" s="31">
        <f>SUM(X39:X45)</f>
        <v>3165.8066666666664</v>
      </c>
      <c r="Y46" s="32">
        <f t="shared" si="37"/>
        <v>102</v>
      </c>
      <c r="Z46" s="33">
        <f t="shared" si="33"/>
        <v>31.037320261437905</v>
      </c>
      <c r="AB46" s="45"/>
    </row>
    <row r="47" spans="1:28" x14ac:dyDescent="0.35">
      <c r="A47" s="35"/>
      <c r="B47" s="5" t="s">
        <v>44</v>
      </c>
      <c r="C47" s="5" t="s">
        <v>70</v>
      </c>
      <c r="D47" s="5" t="s">
        <v>70</v>
      </c>
      <c r="E47" s="5"/>
      <c r="F47" s="59">
        <f t="shared" ref="F47:F49" si="39">F46</f>
        <v>4220.9805228758178</v>
      </c>
      <c r="G47" s="5">
        <v>132</v>
      </c>
      <c r="H47" s="127">
        <f>F47/G47</f>
        <v>31.977125173301651</v>
      </c>
      <c r="I47" s="228"/>
      <c r="J47" s="9" t="s">
        <v>44</v>
      </c>
      <c r="K47" s="1" t="s">
        <v>70</v>
      </c>
      <c r="L47" s="1" t="s">
        <v>70</v>
      </c>
      <c r="M47" s="1" t="s">
        <v>70</v>
      </c>
      <c r="N47" s="57">
        <f t="shared" ref="N47:N53" si="40">N46</f>
        <v>7550.698692810457</v>
      </c>
      <c r="O47" s="1">
        <v>105</v>
      </c>
      <c r="P47" s="126">
        <f t="shared" si="36"/>
        <v>71.911416122004354</v>
      </c>
      <c r="Q47" t="s">
        <v>32</v>
      </c>
      <c r="R47" s="47">
        <f>AVERAGE(P46,P47,P48,P49,P50)</f>
        <v>72.608242577704885</v>
      </c>
      <c r="S47" s="120"/>
      <c r="T47" s="35" t="s">
        <v>44</v>
      </c>
      <c r="U47" s="5"/>
      <c r="V47" s="5"/>
      <c r="W47" s="5"/>
      <c r="X47" s="29">
        <f t="shared" ref="X47:X52" si="41">X46</f>
        <v>3165.8066666666664</v>
      </c>
      <c r="Y47" s="6">
        <v>102</v>
      </c>
      <c r="Z47" s="30">
        <f t="shared" si="33"/>
        <v>31.037320261437905</v>
      </c>
      <c r="AB47" s="47"/>
    </row>
    <row r="48" spans="1:28" x14ac:dyDescent="0.35">
      <c r="A48" s="35"/>
      <c r="B48" s="5" t="s">
        <v>45</v>
      </c>
      <c r="C48" s="5" t="s">
        <v>70</v>
      </c>
      <c r="D48" s="5" t="s">
        <v>70</v>
      </c>
      <c r="E48" s="5"/>
      <c r="F48" s="59">
        <f t="shared" si="39"/>
        <v>4220.9805228758178</v>
      </c>
      <c r="G48" s="5">
        <v>132</v>
      </c>
      <c r="H48" s="127">
        <f t="shared" ref="H48" si="42">F48/G48</f>
        <v>31.977125173301651</v>
      </c>
      <c r="I48" s="228"/>
      <c r="J48" s="9" t="s">
        <v>45</v>
      </c>
      <c r="K48" s="1" t="s">
        <v>70</v>
      </c>
      <c r="L48" s="1" t="s">
        <v>70</v>
      </c>
      <c r="M48" s="1" t="s">
        <v>70</v>
      </c>
      <c r="N48" s="57">
        <f t="shared" si="40"/>
        <v>7550.698692810457</v>
      </c>
      <c r="O48" s="1">
        <v>104</v>
      </c>
      <c r="P48" s="126">
        <f t="shared" si="36"/>
        <v>72.60287204625439</v>
      </c>
      <c r="Q48" t="s">
        <v>69</v>
      </c>
      <c r="R48" s="47">
        <f>R46-R47</f>
        <v>27.391757422295115</v>
      </c>
      <c r="S48" s="120"/>
      <c r="T48" s="35" t="s">
        <v>45</v>
      </c>
      <c r="U48" s="5"/>
      <c r="V48" s="5"/>
      <c r="W48" s="5"/>
      <c r="X48" s="29">
        <f t="shared" si="41"/>
        <v>3165.8066666666664</v>
      </c>
      <c r="Y48" s="6">
        <v>102</v>
      </c>
      <c r="Z48" s="30">
        <f t="shared" si="33"/>
        <v>31.037320261437905</v>
      </c>
      <c r="AB48" s="47"/>
    </row>
    <row r="49" spans="1:28" x14ac:dyDescent="0.35">
      <c r="A49" s="35"/>
      <c r="B49" s="5" t="s">
        <v>67</v>
      </c>
      <c r="C49" s="5" t="s">
        <v>70</v>
      </c>
      <c r="D49" s="5" t="s">
        <v>70</v>
      </c>
      <c r="E49" s="5"/>
      <c r="F49" s="59">
        <f t="shared" si="39"/>
        <v>4220.9805228758178</v>
      </c>
      <c r="G49" s="5">
        <v>132</v>
      </c>
      <c r="H49" s="127">
        <f>F49/G49</f>
        <v>31.977125173301651</v>
      </c>
      <c r="I49" s="228"/>
      <c r="J49" s="9" t="s">
        <v>67</v>
      </c>
      <c r="K49" s="1" t="s">
        <v>70</v>
      </c>
      <c r="L49" s="1" t="s">
        <v>70</v>
      </c>
      <c r="M49" s="1" t="s">
        <v>70</v>
      </c>
      <c r="N49" s="57">
        <f t="shared" si="40"/>
        <v>7550.698692810457</v>
      </c>
      <c r="O49" s="1">
        <v>103</v>
      </c>
      <c r="P49" s="126">
        <f t="shared" si="36"/>
        <v>73.30775429913065</v>
      </c>
      <c r="Q49" t="s">
        <v>136</v>
      </c>
      <c r="R49" s="50">
        <f>R48*106</f>
        <v>2903.5262867632823</v>
      </c>
      <c r="S49" s="120"/>
      <c r="T49" s="35" t="s">
        <v>67</v>
      </c>
      <c r="U49" s="5"/>
      <c r="V49" s="5"/>
      <c r="W49" s="5"/>
      <c r="X49" s="29">
        <f t="shared" si="41"/>
        <v>3165.8066666666664</v>
      </c>
      <c r="Y49" s="6">
        <v>102</v>
      </c>
      <c r="Z49" s="30">
        <f t="shared" si="33"/>
        <v>31.037320261437905</v>
      </c>
      <c r="AB49" s="50"/>
    </row>
    <row r="50" spans="1:28" x14ac:dyDescent="0.35">
      <c r="A50" s="35"/>
      <c r="B50" s="5"/>
      <c r="C50" s="5"/>
      <c r="D50" s="5"/>
      <c r="E50" s="5"/>
      <c r="F50" s="59"/>
      <c r="G50" s="5"/>
      <c r="H50" s="127"/>
      <c r="I50" s="228"/>
      <c r="J50" s="9" t="s">
        <v>133</v>
      </c>
      <c r="K50" s="1"/>
      <c r="L50" s="1"/>
      <c r="M50" s="1"/>
      <c r="N50" s="57">
        <f t="shared" si="40"/>
        <v>7550.698692810457</v>
      </c>
      <c r="O50" s="1">
        <v>103</v>
      </c>
      <c r="P50" s="126">
        <f t="shared" si="36"/>
        <v>73.30775429913065</v>
      </c>
      <c r="Q50" t="s">
        <v>433</v>
      </c>
      <c r="R50" s="48">
        <f>R49*8</f>
        <v>23228.210294106259</v>
      </c>
      <c r="S50" s="120"/>
      <c r="T50" s="35" t="s">
        <v>133</v>
      </c>
      <c r="U50" s="5"/>
      <c r="V50" s="5"/>
      <c r="W50" s="5"/>
      <c r="X50" s="29">
        <f t="shared" si="41"/>
        <v>3165.8066666666664</v>
      </c>
      <c r="Y50" s="6">
        <v>102</v>
      </c>
      <c r="Z50" s="30">
        <f t="shared" si="33"/>
        <v>31.037320261437905</v>
      </c>
      <c r="AB50" s="48"/>
    </row>
    <row r="51" spans="1:28" x14ac:dyDescent="0.35">
      <c r="A51" s="35"/>
      <c r="B51" s="5"/>
      <c r="C51" s="5"/>
      <c r="D51" s="5"/>
      <c r="E51" s="5"/>
      <c r="F51" s="59"/>
      <c r="G51" s="5"/>
      <c r="H51" s="127"/>
      <c r="I51" s="228"/>
      <c r="J51" s="9" t="s">
        <v>134</v>
      </c>
      <c r="K51" s="1"/>
      <c r="L51" s="1"/>
      <c r="M51" s="1"/>
      <c r="N51" s="57">
        <f t="shared" si="40"/>
        <v>7550.698692810457</v>
      </c>
      <c r="O51" s="1">
        <v>103</v>
      </c>
      <c r="P51" s="126">
        <f t="shared" si="36"/>
        <v>73.30775429913065</v>
      </c>
      <c r="Q51">
        <f>100/8</f>
        <v>12.5</v>
      </c>
      <c r="R51" s="48"/>
      <c r="S51" s="120"/>
      <c r="T51" s="35" t="s">
        <v>134</v>
      </c>
      <c r="U51" s="5"/>
      <c r="V51" s="5"/>
      <c r="W51" s="5"/>
      <c r="X51" s="29">
        <f t="shared" si="41"/>
        <v>3165.8066666666664</v>
      </c>
      <c r="Y51" s="6">
        <v>102</v>
      </c>
      <c r="Z51" s="30">
        <f t="shared" si="33"/>
        <v>31.037320261437905</v>
      </c>
      <c r="AB51" s="48"/>
    </row>
    <row r="52" spans="1:28" x14ac:dyDescent="0.35">
      <c r="A52" s="35"/>
      <c r="B52" s="5"/>
      <c r="C52" s="5"/>
      <c r="D52" s="5"/>
      <c r="E52" s="5"/>
      <c r="F52" s="59"/>
      <c r="G52" s="5"/>
      <c r="H52" s="127"/>
      <c r="I52" s="228"/>
      <c r="J52" s="9" t="s">
        <v>252</v>
      </c>
      <c r="K52" s="1" t="s">
        <v>70</v>
      </c>
      <c r="L52" s="1" t="s">
        <v>70</v>
      </c>
      <c r="M52" s="1" t="s">
        <v>70</v>
      </c>
      <c r="N52" s="57">
        <f t="shared" si="40"/>
        <v>7550.698692810457</v>
      </c>
      <c r="O52" s="1">
        <v>100</v>
      </c>
      <c r="P52" s="126">
        <f t="shared" si="36"/>
        <v>75.506986928104567</v>
      </c>
      <c r="R52" s="48"/>
      <c r="S52" s="120"/>
      <c r="T52" s="35" t="s">
        <v>252</v>
      </c>
      <c r="U52" s="5"/>
      <c r="V52" s="5"/>
      <c r="W52" s="5"/>
      <c r="X52" s="29">
        <f t="shared" si="41"/>
        <v>3165.8066666666664</v>
      </c>
      <c r="Y52" s="6">
        <v>102</v>
      </c>
      <c r="Z52" s="30">
        <f t="shared" si="33"/>
        <v>31.037320261437905</v>
      </c>
      <c r="AB52" s="48"/>
    </row>
    <row r="53" spans="1:28" x14ac:dyDescent="0.35">
      <c r="A53" s="35"/>
      <c r="B53" s="5"/>
      <c r="C53" s="5"/>
      <c r="D53" s="5"/>
      <c r="E53" s="5"/>
      <c r="F53" s="59"/>
      <c r="G53" s="5"/>
      <c r="H53" s="37"/>
      <c r="I53" s="228"/>
      <c r="J53" s="9" t="s">
        <v>253</v>
      </c>
      <c r="K53" s="1" t="s">
        <v>70</v>
      </c>
      <c r="L53" s="1" t="s">
        <v>70</v>
      </c>
      <c r="M53" s="1" t="s">
        <v>70</v>
      </c>
      <c r="N53" s="57">
        <f t="shared" si="40"/>
        <v>7550.698692810457</v>
      </c>
      <c r="O53" s="1">
        <v>100</v>
      </c>
      <c r="P53" s="126">
        <f t="shared" si="36"/>
        <v>75.506986928104567</v>
      </c>
      <c r="R53" s="48"/>
      <c r="S53" s="120"/>
      <c r="T53" s="35"/>
      <c r="U53" s="5"/>
      <c r="V53" s="5"/>
      <c r="W53" s="5"/>
      <c r="X53" s="29"/>
      <c r="Y53" s="6"/>
      <c r="Z53" s="30"/>
      <c r="AB53" s="48"/>
    </row>
    <row r="54" spans="1:28" x14ac:dyDescent="0.35">
      <c r="A54" s="35"/>
      <c r="B54" s="5"/>
      <c r="C54" s="5"/>
      <c r="D54" s="5"/>
      <c r="E54" s="5"/>
      <c r="F54" s="59"/>
      <c r="G54" s="5"/>
      <c r="H54" s="37"/>
      <c r="I54" s="228"/>
      <c r="J54" s="9"/>
      <c r="K54" s="1"/>
      <c r="L54" s="1"/>
      <c r="M54" s="1"/>
      <c r="N54" s="57"/>
      <c r="O54" s="1"/>
      <c r="P54" s="126"/>
      <c r="R54" s="48"/>
      <c r="S54" s="120"/>
      <c r="T54" s="35"/>
      <c r="U54" s="5"/>
      <c r="V54" s="5"/>
      <c r="W54" s="5"/>
      <c r="X54" s="29"/>
      <c r="Y54" s="6"/>
      <c r="Z54" s="30"/>
      <c r="AB54" s="48"/>
    </row>
    <row r="55" spans="1:28" x14ac:dyDescent="0.35">
      <c r="A55" s="35"/>
      <c r="B55" s="5"/>
      <c r="C55" s="5"/>
      <c r="D55" s="5"/>
      <c r="E55" s="5"/>
      <c r="F55" s="59"/>
      <c r="G55" s="5"/>
      <c r="H55" s="37"/>
      <c r="I55" s="228"/>
      <c r="J55" s="9"/>
      <c r="K55" s="1"/>
      <c r="L55" s="1"/>
      <c r="M55" s="1"/>
      <c r="N55" s="57"/>
      <c r="O55" s="1"/>
      <c r="P55" s="126"/>
      <c r="R55" s="48"/>
      <c r="S55" s="120"/>
      <c r="T55" s="35"/>
      <c r="U55" s="5"/>
      <c r="V55" s="5"/>
      <c r="W55" s="5"/>
      <c r="X55" s="29"/>
      <c r="Y55" s="6"/>
      <c r="Z55" s="30"/>
      <c r="AB55" s="48"/>
    </row>
    <row r="56" spans="1:28" ht="15" thickBot="1" x14ac:dyDescent="0.4">
      <c r="A56" s="11"/>
      <c r="B56" s="12"/>
      <c r="C56" s="12"/>
      <c r="D56" s="12"/>
      <c r="E56" s="12"/>
      <c r="F56" s="114">
        <f>SUM(F46:F53)</f>
        <v>16883.922091503271</v>
      </c>
      <c r="G56" s="114">
        <f>SUM(G46:G55)</f>
        <v>528</v>
      </c>
      <c r="H56" s="13"/>
      <c r="I56" s="229"/>
      <c r="J56" s="11"/>
      <c r="K56" s="12"/>
      <c r="L56" s="12"/>
      <c r="M56" s="12"/>
      <c r="N56" s="114">
        <f>SUM(N46:N53)</f>
        <v>60405.589542483664</v>
      </c>
      <c r="O56" s="114">
        <f>SUM(O46:O55)</f>
        <v>823</v>
      </c>
      <c r="P56" s="226"/>
      <c r="Q56" s="46" t="s">
        <v>71</v>
      </c>
      <c r="R56" s="52">
        <f>R44+R50</f>
        <v>38024.288202602991</v>
      </c>
      <c r="S56" s="121"/>
      <c r="T56" s="35"/>
      <c r="U56" s="5"/>
      <c r="V56" s="5"/>
      <c r="W56" s="5"/>
      <c r="X56" s="221">
        <f>SUM(X46:X49)</f>
        <v>12663.226666666666</v>
      </c>
      <c r="Y56" s="221">
        <f>SUM(Y46:Y55)</f>
        <v>714</v>
      </c>
      <c r="Z56" s="30"/>
      <c r="AA56" s="46"/>
      <c r="AB56" s="52"/>
    </row>
    <row r="57" spans="1:28" x14ac:dyDescent="0.35">
      <c r="A57" s="39" t="s">
        <v>461</v>
      </c>
      <c r="B57" s="40" t="s">
        <v>43</v>
      </c>
      <c r="C57" s="41" t="s">
        <v>2</v>
      </c>
      <c r="D57" s="41" t="s">
        <v>86</v>
      </c>
      <c r="E57" s="41">
        <f>3650/50</f>
        <v>73</v>
      </c>
      <c r="F57" s="41">
        <f>E57*36</f>
        <v>2628</v>
      </c>
      <c r="G57" s="41">
        <v>132</v>
      </c>
      <c r="H57" s="113">
        <f>F57/G57</f>
        <v>19.90909090909091</v>
      </c>
      <c r="I57" s="147"/>
      <c r="J57" s="80" t="s">
        <v>43</v>
      </c>
      <c r="K57" s="41" t="s">
        <v>2</v>
      </c>
      <c r="L57" s="41" t="s">
        <v>49</v>
      </c>
      <c r="M57" s="41">
        <f>3650/50</f>
        <v>73</v>
      </c>
      <c r="N57" s="41">
        <f>M57*50</f>
        <v>3650</v>
      </c>
      <c r="O57" s="41">
        <v>103</v>
      </c>
      <c r="P57" s="113">
        <f>N57/O57</f>
        <v>35.436893203883493</v>
      </c>
      <c r="Q57" s="43" t="s">
        <v>0</v>
      </c>
      <c r="R57" s="44"/>
      <c r="S57" s="119"/>
      <c r="T57" s="39" t="s">
        <v>43</v>
      </c>
      <c r="U57" s="41" t="s">
        <v>2</v>
      </c>
      <c r="V57" s="41" t="s">
        <v>317</v>
      </c>
      <c r="W57" s="139">
        <f>3600/50</f>
        <v>72</v>
      </c>
      <c r="X57" s="41">
        <f>W57*26</f>
        <v>1872</v>
      </c>
      <c r="Y57" s="41">
        <v>102</v>
      </c>
      <c r="Z57" s="113">
        <f t="shared" ref="Z57:Z64" si="43">X57/Y57</f>
        <v>18.352941176470587</v>
      </c>
      <c r="AA57" s="43" t="s">
        <v>196</v>
      </c>
      <c r="AB57" s="44"/>
    </row>
    <row r="58" spans="1:28" x14ac:dyDescent="0.35">
      <c r="A58" s="35"/>
      <c r="B58" s="5"/>
      <c r="C58" s="6" t="s">
        <v>4</v>
      </c>
      <c r="D58" s="6" t="s">
        <v>50</v>
      </c>
      <c r="E58" s="28">
        <f>7200/50</f>
        <v>144</v>
      </c>
      <c r="F58" s="6">
        <f>E58*4.5</f>
        <v>648</v>
      </c>
      <c r="G58" s="1">
        <f>G57</f>
        <v>132</v>
      </c>
      <c r="H58" s="126">
        <f t="shared" ref="H58:H63" si="44">F58/G58</f>
        <v>4.9090909090909092</v>
      </c>
      <c r="I58" s="146"/>
      <c r="J58" s="9"/>
      <c r="K58" s="1" t="s">
        <v>4</v>
      </c>
      <c r="L58" s="1" t="s">
        <v>353</v>
      </c>
      <c r="M58" s="28">
        <f>7200/50</f>
        <v>144</v>
      </c>
      <c r="N58" s="57">
        <f>M58*2.5</f>
        <v>360</v>
      </c>
      <c r="O58" s="1">
        <f t="shared" ref="O58:O63" si="45">O57</f>
        <v>103</v>
      </c>
      <c r="P58" s="126">
        <f t="shared" ref="P58:P63" si="46">N58/O58</f>
        <v>3.4951456310679609</v>
      </c>
      <c r="Q58" t="s">
        <v>68</v>
      </c>
      <c r="R58" s="45">
        <v>60</v>
      </c>
      <c r="T58" s="35"/>
      <c r="U58" s="6" t="s">
        <v>4</v>
      </c>
      <c r="V58" s="6" t="s">
        <v>324</v>
      </c>
      <c r="W58" s="28">
        <f>7200/50</f>
        <v>144</v>
      </c>
      <c r="X58" s="29">
        <f>W58*3.8</f>
        <v>547.19999999999993</v>
      </c>
      <c r="Y58" s="1">
        <f t="shared" ref="Y58:Y64" si="47">Y57</f>
        <v>102</v>
      </c>
      <c r="Z58" s="126">
        <f t="shared" si="43"/>
        <v>5.3647058823529408</v>
      </c>
      <c r="AA58" t="s">
        <v>68</v>
      </c>
      <c r="AB58" s="45">
        <v>50</v>
      </c>
    </row>
    <row r="59" spans="1:28" x14ac:dyDescent="0.35">
      <c r="A59" s="35"/>
      <c r="B59" s="5"/>
      <c r="C59" s="6" t="s">
        <v>54</v>
      </c>
      <c r="D59" s="6" t="s">
        <v>419</v>
      </c>
      <c r="E59" s="28">
        <f>600/1000</f>
        <v>0.6</v>
      </c>
      <c r="F59" s="6">
        <f>E59*60</f>
        <v>36</v>
      </c>
      <c r="G59" s="1">
        <f t="shared" ref="G59:G63" si="48">G58</f>
        <v>132</v>
      </c>
      <c r="H59" s="126">
        <f t="shared" si="44"/>
        <v>0.27272727272727271</v>
      </c>
      <c r="I59" s="146"/>
      <c r="J59" s="9"/>
      <c r="K59" s="1" t="s">
        <v>5</v>
      </c>
      <c r="L59" s="1" t="s">
        <v>421</v>
      </c>
      <c r="M59" s="233">
        <f>400/450</f>
        <v>0.88888888888888884</v>
      </c>
      <c r="N59" s="57">
        <f>M59*160</f>
        <v>142.22222222222223</v>
      </c>
      <c r="O59" s="1">
        <f t="shared" si="45"/>
        <v>103</v>
      </c>
      <c r="P59" s="126">
        <f t="shared" si="46"/>
        <v>1.3807982740021576</v>
      </c>
      <c r="Q59" t="s">
        <v>32</v>
      </c>
      <c r="R59" s="47">
        <f>H64</f>
        <v>31.977125173301644</v>
      </c>
      <c r="S59" s="120"/>
      <c r="T59" s="35"/>
      <c r="U59" s="6" t="s">
        <v>5</v>
      </c>
      <c r="V59" s="6" t="s">
        <v>420</v>
      </c>
      <c r="W59" s="28">
        <f>255/450</f>
        <v>0.56666666666666665</v>
      </c>
      <c r="X59" s="29">
        <f>W59*190</f>
        <v>107.66666666666666</v>
      </c>
      <c r="Y59" s="1">
        <f t="shared" si="47"/>
        <v>102</v>
      </c>
      <c r="Z59" s="126">
        <f t="shared" si="43"/>
        <v>1.0555555555555554</v>
      </c>
      <c r="AA59" t="s">
        <v>32</v>
      </c>
      <c r="AB59" s="47">
        <f>Z64</f>
        <v>31.037320261437905</v>
      </c>
    </row>
    <row r="60" spans="1:28" x14ac:dyDescent="0.35">
      <c r="A60" s="35"/>
      <c r="B60" s="5"/>
      <c r="C60" s="6" t="s">
        <v>55</v>
      </c>
      <c r="D60" s="6" t="s">
        <v>318</v>
      </c>
      <c r="E60" s="28">
        <f>35.5/1000</f>
        <v>3.5499999999999997E-2</v>
      </c>
      <c r="F60" s="6">
        <f>E60*280</f>
        <v>9.94</v>
      </c>
      <c r="G60" s="1">
        <f t="shared" si="48"/>
        <v>132</v>
      </c>
      <c r="H60" s="126">
        <f t="shared" si="44"/>
        <v>7.5303030303030302E-2</v>
      </c>
      <c r="I60" s="146"/>
      <c r="J60" s="9"/>
      <c r="K60" s="1" t="s">
        <v>51</v>
      </c>
      <c r="L60" s="1" t="s">
        <v>52</v>
      </c>
      <c r="M60" s="232">
        <f>35.5/1000</f>
        <v>3.5499999999999997E-2</v>
      </c>
      <c r="N60" s="1">
        <f>M60*300</f>
        <v>10.649999999999999</v>
      </c>
      <c r="O60" s="1">
        <f t="shared" si="45"/>
        <v>103</v>
      </c>
      <c r="P60" s="126">
        <f t="shared" si="46"/>
        <v>0.10339805825242718</v>
      </c>
      <c r="Q60" t="s">
        <v>62</v>
      </c>
      <c r="R60" s="47">
        <f>R58-R59</f>
        <v>28.022874826698356</v>
      </c>
      <c r="S60" s="120"/>
      <c r="T60" s="35"/>
      <c r="U60" s="6" t="s">
        <v>51</v>
      </c>
      <c r="V60" s="6" t="s">
        <v>318</v>
      </c>
      <c r="W60" s="205">
        <f>35.5/1000</f>
        <v>3.5499999999999997E-2</v>
      </c>
      <c r="X60" s="6">
        <f>W60*280</f>
        <v>9.94</v>
      </c>
      <c r="Y60" s="1">
        <f t="shared" si="47"/>
        <v>102</v>
      </c>
      <c r="Z60" s="126">
        <f t="shared" si="43"/>
        <v>9.7450980392156855E-2</v>
      </c>
      <c r="AA60" t="s">
        <v>69</v>
      </c>
      <c r="AB60" s="47">
        <f>AB58-AB59</f>
        <v>18.962679738562095</v>
      </c>
    </row>
    <row r="61" spans="1:28" x14ac:dyDescent="0.35">
      <c r="A61" s="35"/>
      <c r="B61" s="5"/>
      <c r="C61" s="6" t="s">
        <v>56</v>
      </c>
      <c r="D61" s="6" t="s">
        <v>419</v>
      </c>
      <c r="E61" s="6">
        <f>340/1000</f>
        <v>0.34</v>
      </c>
      <c r="F61" s="6">
        <f>E61*60</f>
        <v>20.400000000000002</v>
      </c>
      <c r="G61" s="1">
        <f t="shared" si="48"/>
        <v>132</v>
      </c>
      <c r="H61" s="126">
        <f t="shared" si="44"/>
        <v>0.15454545454545457</v>
      </c>
      <c r="I61" s="146"/>
      <c r="J61" s="9"/>
      <c r="K61" s="1" t="s">
        <v>26</v>
      </c>
      <c r="L61" s="1" t="s">
        <v>419</v>
      </c>
      <c r="M61" s="1">
        <f>340/1000</f>
        <v>0.34</v>
      </c>
      <c r="N61" s="1">
        <f>M61*60</f>
        <v>20.400000000000002</v>
      </c>
      <c r="O61" s="1">
        <f t="shared" si="45"/>
        <v>103</v>
      </c>
      <c r="P61" s="126">
        <f t="shared" si="46"/>
        <v>0.1980582524271845</v>
      </c>
      <c r="Q61" t="s">
        <v>72</v>
      </c>
      <c r="R61" s="50">
        <f>G64*R60</f>
        <v>3699.0194771241831</v>
      </c>
      <c r="S61" s="120"/>
      <c r="T61" s="35"/>
      <c r="U61" s="6" t="s">
        <v>26</v>
      </c>
      <c r="V61" s="6" t="s">
        <v>53</v>
      </c>
      <c r="W61" s="6">
        <f>340/1000</f>
        <v>0.34</v>
      </c>
      <c r="X61" s="6">
        <f>W61*50</f>
        <v>17</v>
      </c>
      <c r="Y61" s="1">
        <f t="shared" si="47"/>
        <v>102</v>
      </c>
      <c r="Z61" s="126">
        <f t="shared" si="43"/>
        <v>0.16666666666666666</v>
      </c>
      <c r="AA61" t="s">
        <v>205</v>
      </c>
      <c r="AB61" s="50">
        <f>AB60*102</f>
        <v>1934.1933333333336</v>
      </c>
    </row>
    <row r="62" spans="1:28" x14ac:dyDescent="0.35">
      <c r="A62" s="35"/>
      <c r="B62" s="5"/>
      <c r="C62" s="6" t="s">
        <v>57</v>
      </c>
      <c r="D62" s="6" t="s">
        <v>6</v>
      </c>
      <c r="E62" s="28">
        <f>250/450</f>
        <v>0.55555555555555558</v>
      </c>
      <c r="F62" s="28">
        <f>E62*200</f>
        <v>111.11111111111111</v>
      </c>
      <c r="G62" s="1">
        <f t="shared" si="48"/>
        <v>132</v>
      </c>
      <c r="H62" s="126">
        <f t="shared" si="44"/>
        <v>0.84175084175084181</v>
      </c>
      <c r="I62" s="146"/>
      <c r="J62" s="9"/>
      <c r="K62" s="1" t="s">
        <v>3</v>
      </c>
      <c r="L62" s="1" t="s">
        <v>382</v>
      </c>
      <c r="M62" s="57">
        <f>4660/17</f>
        <v>274.11764705882354</v>
      </c>
      <c r="N62" s="57">
        <f>M62*1.5</f>
        <v>411.1764705882353</v>
      </c>
      <c r="O62" s="1">
        <f t="shared" si="45"/>
        <v>103</v>
      </c>
      <c r="P62" s="126">
        <f t="shared" si="46"/>
        <v>3.9920045688178183</v>
      </c>
      <c r="Q62" t="s">
        <v>424</v>
      </c>
      <c r="R62" s="48">
        <f>R61*4</f>
        <v>14796.077908496733</v>
      </c>
      <c r="S62" s="120"/>
      <c r="T62" s="35"/>
      <c r="U62" s="6" t="s">
        <v>3</v>
      </c>
      <c r="V62" s="6" t="s">
        <v>325</v>
      </c>
      <c r="W62" s="29">
        <f>260</f>
        <v>260</v>
      </c>
      <c r="X62" s="29">
        <f>W62*2.3</f>
        <v>598</v>
      </c>
      <c r="Y62" s="1">
        <f t="shared" si="47"/>
        <v>102</v>
      </c>
      <c r="Z62" s="126">
        <f t="shared" si="43"/>
        <v>5.8627450980392153</v>
      </c>
      <c r="AA62" t="s">
        <v>390</v>
      </c>
      <c r="AB62" s="48">
        <f>AB61*6</f>
        <v>11605.160000000002</v>
      </c>
    </row>
    <row r="63" spans="1:28" x14ac:dyDescent="0.35">
      <c r="A63" s="35"/>
      <c r="B63" s="5"/>
      <c r="C63" s="6" t="s">
        <v>58</v>
      </c>
      <c r="D63" s="6" t="s">
        <v>319</v>
      </c>
      <c r="E63" s="29">
        <f>4660/17</f>
        <v>274.11764705882354</v>
      </c>
      <c r="F63" s="29">
        <f>E63*2.8</f>
        <v>767.52941176470586</v>
      </c>
      <c r="G63" s="6">
        <f t="shared" si="48"/>
        <v>132</v>
      </c>
      <c r="H63" s="126">
        <f t="shared" si="44"/>
        <v>5.8146167557932262</v>
      </c>
      <c r="I63" s="146"/>
      <c r="J63" s="9"/>
      <c r="K63" s="1" t="s">
        <v>7</v>
      </c>
      <c r="L63" s="234" t="s">
        <v>388</v>
      </c>
      <c r="M63" s="57">
        <f>4730/20</f>
        <v>236.5</v>
      </c>
      <c r="N63" s="57">
        <f>M63*8.6</f>
        <v>2033.8999999999999</v>
      </c>
      <c r="O63" s="1">
        <f t="shared" si="45"/>
        <v>103</v>
      </c>
      <c r="P63" s="126">
        <f t="shared" si="46"/>
        <v>19.746601941747571</v>
      </c>
      <c r="Q63" t="s">
        <v>1</v>
      </c>
      <c r="R63" s="45"/>
      <c r="T63" s="35"/>
      <c r="U63" s="6" t="s">
        <v>151</v>
      </c>
      <c r="V63" s="53" t="s">
        <v>53</v>
      </c>
      <c r="W63" s="28">
        <f>280/1000</f>
        <v>0.28000000000000003</v>
      </c>
      <c r="X63" s="6">
        <f>W63*50</f>
        <v>14.000000000000002</v>
      </c>
      <c r="Y63" s="1">
        <f t="shared" si="47"/>
        <v>102</v>
      </c>
      <c r="Z63" s="126">
        <f t="shared" si="43"/>
        <v>0.13725490196078433</v>
      </c>
      <c r="AB63" s="45"/>
    </row>
    <row r="64" spans="1:28" x14ac:dyDescent="0.35">
      <c r="A64" s="35"/>
      <c r="B64" s="5"/>
      <c r="C64" s="6"/>
      <c r="D64" s="6"/>
      <c r="E64" s="29"/>
      <c r="F64" s="51">
        <f>SUM(F57:F63)</f>
        <v>4220.9805228758178</v>
      </c>
      <c r="G64" s="32">
        <f t="shared" ref="G64" si="49">G63</f>
        <v>132</v>
      </c>
      <c r="H64" s="33">
        <f>SUM(H57:H63)</f>
        <v>31.977125173301644</v>
      </c>
      <c r="I64" s="146"/>
      <c r="J64" s="35"/>
      <c r="K64" s="6"/>
      <c r="L64" s="6"/>
      <c r="M64" s="6"/>
      <c r="N64" s="235">
        <f>SUM(N57:N63)</f>
        <v>6628.3486928104567</v>
      </c>
      <c r="O64" s="32">
        <f t="shared" ref="O64" si="50">O63</f>
        <v>103</v>
      </c>
      <c r="P64" s="236">
        <f t="shared" ref="P64" si="51">N64/O64</f>
        <v>64.352899930198603</v>
      </c>
      <c r="Q64" t="s">
        <v>68</v>
      </c>
      <c r="R64" s="45">
        <v>100</v>
      </c>
      <c r="T64" s="35"/>
      <c r="U64" s="6"/>
      <c r="V64" s="6"/>
      <c r="W64" s="6"/>
      <c r="X64" s="31">
        <f>SUM(X57:X63)</f>
        <v>3165.8066666666664</v>
      </c>
      <c r="Y64" s="32">
        <f t="shared" si="47"/>
        <v>102</v>
      </c>
      <c r="Z64" s="33">
        <f t="shared" si="43"/>
        <v>31.037320261437905</v>
      </c>
      <c r="AB64" s="45"/>
    </row>
    <row r="65" spans="1:28" x14ac:dyDescent="0.35">
      <c r="A65" s="35"/>
      <c r="B65" s="5" t="s">
        <v>44</v>
      </c>
      <c r="C65" s="5" t="s">
        <v>70</v>
      </c>
      <c r="D65" s="5" t="s">
        <v>70</v>
      </c>
      <c r="E65" s="5"/>
      <c r="F65" s="59">
        <f t="shared" ref="F65:F67" si="52">F64</f>
        <v>4220.9805228758178</v>
      </c>
      <c r="G65" s="5">
        <v>132</v>
      </c>
      <c r="H65" s="127">
        <f>F65/G65</f>
        <v>31.977125173301651</v>
      </c>
      <c r="I65" s="146"/>
      <c r="J65" s="35" t="s">
        <v>44</v>
      </c>
      <c r="K65" s="5" t="s">
        <v>70</v>
      </c>
      <c r="L65" s="5" t="s">
        <v>70</v>
      </c>
      <c r="M65" s="5" t="s">
        <v>70</v>
      </c>
      <c r="N65" s="38">
        <f>N64</f>
        <v>6628.3486928104567</v>
      </c>
      <c r="O65" s="5">
        <v>102</v>
      </c>
      <c r="P65" s="30">
        <f>N65/O65</f>
        <v>64.983810713828007</v>
      </c>
      <c r="Q65" t="s">
        <v>32</v>
      </c>
      <c r="R65" s="47">
        <f>AVERAGE(P64,P65,P66,P67,P68,P69,P70,P71)</f>
        <v>64.904946865874336</v>
      </c>
      <c r="S65" s="120"/>
      <c r="T65" s="35" t="s">
        <v>44</v>
      </c>
      <c r="U65" s="5"/>
      <c r="V65" s="5"/>
      <c r="W65" s="5"/>
      <c r="X65" s="29">
        <f t="shared" ref="X65:X67" si="53">X64</f>
        <v>3165.8066666666664</v>
      </c>
      <c r="Y65" s="6">
        <v>102</v>
      </c>
      <c r="Z65" s="30">
        <f t="shared" ref="Z65:Z66" si="54">X65/Y65</f>
        <v>31.037320261437905</v>
      </c>
      <c r="AB65" s="47"/>
    </row>
    <row r="66" spans="1:28" x14ac:dyDescent="0.35">
      <c r="A66" s="35"/>
      <c r="B66" s="5" t="s">
        <v>45</v>
      </c>
      <c r="C66" s="5" t="s">
        <v>70</v>
      </c>
      <c r="D66" s="5" t="s">
        <v>70</v>
      </c>
      <c r="E66" s="5"/>
      <c r="F66" s="59">
        <f t="shared" si="52"/>
        <v>4220.9805228758178</v>
      </c>
      <c r="G66" s="5">
        <v>132</v>
      </c>
      <c r="H66" s="127">
        <f t="shared" ref="H66" si="55">F66/G66</f>
        <v>31.977125173301651</v>
      </c>
      <c r="I66" s="146"/>
      <c r="J66" s="35" t="s">
        <v>45</v>
      </c>
      <c r="K66" s="5" t="s">
        <v>70</v>
      </c>
      <c r="L66" s="5" t="s">
        <v>70</v>
      </c>
      <c r="M66" s="5" t="s">
        <v>70</v>
      </c>
      <c r="N66" s="38">
        <f t="shared" ref="N66:N71" si="56">N65</f>
        <v>6628.3486928104567</v>
      </c>
      <c r="O66" s="5">
        <v>102</v>
      </c>
      <c r="P66" s="30">
        <f t="shared" ref="P66:P70" si="57">N66/O66</f>
        <v>64.983810713828007</v>
      </c>
      <c r="Q66" t="s">
        <v>69</v>
      </c>
      <c r="R66" s="47">
        <f>R64-R65</f>
        <v>35.095053134125664</v>
      </c>
      <c r="S66" s="120"/>
      <c r="T66" s="35" t="s">
        <v>45</v>
      </c>
      <c r="U66" s="5"/>
      <c r="V66" s="5"/>
      <c r="W66" s="5"/>
      <c r="X66" s="29">
        <f t="shared" si="53"/>
        <v>3165.8066666666664</v>
      </c>
      <c r="Y66" s="6">
        <v>102</v>
      </c>
      <c r="Z66" s="30">
        <f t="shared" si="54"/>
        <v>31.037320261437905</v>
      </c>
      <c r="AB66" s="47"/>
    </row>
    <row r="67" spans="1:28" x14ac:dyDescent="0.35">
      <c r="A67" s="35"/>
      <c r="B67" s="5" t="s">
        <v>67</v>
      </c>
      <c r="C67" s="5" t="s">
        <v>70</v>
      </c>
      <c r="D67" s="5" t="s">
        <v>70</v>
      </c>
      <c r="E67" s="5"/>
      <c r="F67" s="59">
        <f t="shared" si="52"/>
        <v>4220.9805228758178</v>
      </c>
      <c r="G67" s="5">
        <v>132</v>
      </c>
      <c r="H67" s="127">
        <f t="shared" ref="H67" si="58">F67/G67</f>
        <v>31.977125173301651</v>
      </c>
      <c r="I67" s="146"/>
      <c r="J67" s="35" t="s">
        <v>67</v>
      </c>
      <c r="K67" s="5" t="s">
        <v>70</v>
      </c>
      <c r="L67" s="5" t="s">
        <v>70</v>
      </c>
      <c r="M67" s="5" t="s">
        <v>70</v>
      </c>
      <c r="N67" s="38">
        <f t="shared" si="56"/>
        <v>6628.3486928104567</v>
      </c>
      <c r="O67" s="5">
        <v>102</v>
      </c>
      <c r="P67" s="30">
        <f t="shared" si="57"/>
        <v>64.983810713828007</v>
      </c>
      <c r="Q67" t="s">
        <v>136</v>
      </c>
      <c r="R67" s="50">
        <f>R66*106</f>
        <v>3720.0756322173202</v>
      </c>
      <c r="S67" s="120"/>
      <c r="T67" s="35" t="s">
        <v>67</v>
      </c>
      <c r="U67" s="5"/>
      <c r="V67" s="5"/>
      <c r="W67" s="5"/>
      <c r="X67" s="29">
        <f t="shared" si="53"/>
        <v>3165.8066666666664</v>
      </c>
      <c r="Y67" s="6">
        <v>102</v>
      </c>
      <c r="Z67" s="30">
        <f t="shared" ref="Z67:Z69" si="59">X67/Y67</f>
        <v>31.037320261437905</v>
      </c>
      <c r="AB67" s="50"/>
    </row>
    <row r="68" spans="1:28" x14ac:dyDescent="0.35">
      <c r="A68" s="35"/>
      <c r="B68" s="5"/>
      <c r="C68" s="5"/>
      <c r="D68" s="5"/>
      <c r="E68" s="5"/>
      <c r="F68" s="59"/>
      <c r="G68" s="5"/>
      <c r="H68" s="127"/>
      <c r="I68" s="146"/>
      <c r="J68" s="35" t="s">
        <v>133</v>
      </c>
      <c r="K68" s="5"/>
      <c r="L68" s="5"/>
      <c r="M68" s="5"/>
      <c r="N68" s="38">
        <f t="shared" si="56"/>
        <v>6628.3486928104567</v>
      </c>
      <c r="O68" s="5">
        <v>102</v>
      </c>
      <c r="P68" s="30">
        <f t="shared" si="57"/>
        <v>64.983810713828007</v>
      </c>
      <c r="Q68" t="s">
        <v>425</v>
      </c>
      <c r="R68" s="48">
        <f>R67*8</f>
        <v>29760.605057738561</v>
      </c>
      <c r="S68" s="120"/>
      <c r="T68" s="35" t="s">
        <v>133</v>
      </c>
      <c r="U68" s="5"/>
      <c r="V68" s="5"/>
      <c r="W68" s="5"/>
      <c r="X68" s="29">
        <f>X67</f>
        <v>3165.8066666666664</v>
      </c>
      <c r="Y68" s="6">
        <v>102</v>
      </c>
      <c r="Z68" s="30">
        <f t="shared" si="59"/>
        <v>31.037320261437905</v>
      </c>
      <c r="AB68" s="48"/>
    </row>
    <row r="69" spans="1:28" x14ac:dyDescent="0.35">
      <c r="A69" s="35"/>
      <c r="B69" s="5"/>
      <c r="C69" s="5"/>
      <c r="D69" s="5"/>
      <c r="E69" s="5"/>
      <c r="F69" s="59"/>
      <c r="G69" s="5"/>
      <c r="H69" s="127"/>
      <c r="I69" s="146"/>
      <c r="J69" s="35" t="s">
        <v>134</v>
      </c>
      <c r="K69" s="5"/>
      <c r="L69" s="5"/>
      <c r="M69" s="5"/>
      <c r="N69" s="38">
        <f t="shared" si="56"/>
        <v>6628.3486928104567</v>
      </c>
      <c r="O69" s="5">
        <v>102</v>
      </c>
      <c r="P69" s="30">
        <f t="shared" si="57"/>
        <v>64.983810713828007</v>
      </c>
      <c r="Q69">
        <f>100/8</f>
        <v>12.5</v>
      </c>
      <c r="R69" s="48"/>
      <c r="S69" s="120"/>
      <c r="T69" s="9" t="s">
        <v>134</v>
      </c>
      <c r="U69" s="1"/>
      <c r="V69" s="1"/>
      <c r="W69" s="1"/>
      <c r="X69" s="29">
        <f t="shared" ref="X69" si="60">X68</f>
        <v>3165.8066666666664</v>
      </c>
      <c r="Y69" s="6">
        <v>102</v>
      </c>
      <c r="Z69" s="30">
        <f t="shared" si="59"/>
        <v>31.037320261437905</v>
      </c>
      <c r="AB69" s="48"/>
    </row>
    <row r="70" spans="1:28" x14ac:dyDescent="0.35">
      <c r="A70" s="35"/>
      <c r="B70" s="5"/>
      <c r="C70" s="5"/>
      <c r="D70" s="5"/>
      <c r="E70" s="5"/>
      <c r="F70" s="59"/>
      <c r="G70" s="5"/>
      <c r="H70" s="127"/>
      <c r="I70" s="146"/>
      <c r="J70" s="35" t="s">
        <v>252</v>
      </c>
      <c r="K70" s="5" t="s">
        <v>70</v>
      </c>
      <c r="L70" s="5" t="s">
        <v>70</v>
      </c>
      <c r="M70" s="5" t="s">
        <v>70</v>
      </c>
      <c r="N70" s="38">
        <f t="shared" si="56"/>
        <v>6628.3486928104567</v>
      </c>
      <c r="O70" s="5">
        <v>102</v>
      </c>
      <c r="P70" s="30">
        <f t="shared" si="57"/>
        <v>64.983810713828007</v>
      </c>
      <c r="R70" s="48"/>
      <c r="S70" s="120"/>
      <c r="T70" s="9"/>
      <c r="U70" s="1"/>
      <c r="V70" s="1"/>
      <c r="W70" s="1"/>
      <c r="X70" s="29"/>
      <c r="Y70" s="6"/>
      <c r="Z70" s="30"/>
      <c r="AB70" s="48"/>
    </row>
    <row r="71" spans="1:28" x14ac:dyDescent="0.35">
      <c r="A71" s="35"/>
      <c r="B71" s="5"/>
      <c r="C71" s="5"/>
      <c r="D71" s="5"/>
      <c r="E71" s="5"/>
      <c r="F71" s="59"/>
      <c r="G71" s="5"/>
      <c r="H71" s="127"/>
      <c r="I71" s="146"/>
      <c r="J71" s="35" t="s">
        <v>253</v>
      </c>
      <c r="K71" s="5" t="s">
        <v>70</v>
      </c>
      <c r="L71" s="5" t="s">
        <v>70</v>
      </c>
      <c r="M71" s="5" t="s">
        <v>70</v>
      </c>
      <c r="N71" s="38">
        <f t="shared" si="56"/>
        <v>6628.3486928104567</v>
      </c>
      <c r="O71" s="5">
        <v>102</v>
      </c>
      <c r="P71" s="30">
        <f t="shared" ref="P71" si="61">N71/O71</f>
        <v>64.983810713828007</v>
      </c>
      <c r="R71" s="48"/>
      <c r="S71" s="120"/>
      <c r="T71" s="9"/>
      <c r="U71" s="1"/>
      <c r="V71" s="1"/>
      <c r="W71" s="1"/>
      <c r="X71" s="29"/>
      <c r="Y71" s="6"/>
      <c r="Z71" s="30"/>
      <c r="AB71" s="48"/>
    </row>
    <row r="72" spans="1:28" x14ac:dyDescent="0.35">
      <c r="A72" s="35"/>
      <c r="B72" s="5"/>
      <c r="C72" s="5"/>
      <c r="D72" s="5"/>
      <c r="E72" s="5"/>
      <c r="F72" s="59"/>
      <c r="G72" s="5">
        <v>0</v>
      </c>
      <c r="H72" s="37"/>
      <c r="I72" s="146"/>
      <c r="J72" s="35"/>
      <c r="K72" s="5"/>
      <c r="L72" s="5"/>
      <c r="M72" s="5"/>
      <c r="N72" s="38"/>
      <c r="O72" s="5"/>
      <c r="P72" s="126"/>
      <c r="R72" s="48"/>
      <c r="S72" s="120"/>
      <c r="T72" s="35"/>
      <c r="U72" s="5"/>
      <c r="V72" s="5"/>
      <c r="W72" s="5"/>
      <c r="X72" s="38"/>
      <c r="Y72" s="90"/>
      <c r="Z72" s="91"/>
      <c r="AB72" s="48"/>
    </row>
    <row r="73" spans="1:28" ht="15" thickBot="1" x14ac:dyDescent="0.4">
      <c r="A73" s="11"/>
      <c r="B73" s="12"/>
      <c r="C73" s="12"/>
      <c r="D73" s="12"/>
      <c r="E73" s="12"/>
      <c r="F73" s="114">
        <f>SUM(F64:F72)</f>
        <v>16883.922091503271</v>
      </c>
      <c r="G73" s="114">
        <f>SUM(G64:G72)</f>
        <v>528</v>
      </c>
      <c r="H73" s="13"/>
      <c r="I73" s="148"/>
      <c r="J73" s="11"/>
      <c r="K73" s="12"/>
      <c r="L73" s="12"/>
      <c r="M73" s="12"/>
      <c r="N73" s="77">
        <f>SUM(N64:N72)</f>
        <v>53026.789542483646</v>
      </c>
      <c r="O73" s="115">
        <f>SUM(O64:O72)</f>
        <v>817</v>
      </c>
      <c r="P73" s="13"/>
      <c r="Q73" s="46" t="s">
        <v>71</v>
      </c>
      <c r="R73" s="52">
        <f>R62+R68</f>
        <v>44556.682966235297</v>
      </c>
      <c r="S73" s="121"/>
      <c r="T73" s="11"/>
      <c r="U73" s="12"/>
      <c r="V73" s="12"/>
      <c r="W73" s="12"/>
      <c r="X73" s="77">
        <f>SUM(X64:X69)</f>
        <v>18994.84</v>
      </c>
      <c r="Y73" s="115">
        <f>SUM(Y64:Y72)</f>
        <v>612</v>
      </c>
      <c r="Z73" s="13"/>
      <c r="AA73" s="46"/>
      <c r="AB73" s="52"/>
    </row>
    <row r="74" spans="1:28" x14ac:dyDescent="0.35">
      <c r="A74" s="39" t="s">
        <v>462</v>
      </c>
      <c r="B74" s="40" t="s">
        <v>43</v>
      </c>
      <c r="C74" s="41" t="s">
        <v>2</v>
      </c>
      <c r="D74" s="41" t="s">
        <v>86</v>
      </c>
      <c r="E74" s="41">
        <f>3650/50</f>
        <v>73</v>
      </c>
      <c r="F74" s="41">
        <f>E74*36</f>
        <v>2628</v>
      </c>
      <c r="G74" s="41">
        <v>132</v>
      </c>
      <c r="H74" s="113">
        <f>F74/G74</f>
        <v>19.90909090909091</v>
      </c>
      <c r="I74" s="147"/>
      <c r="J74" s="80" t="s">
        <v>43</v>
      </c>
      <c r="K74" s="41" t="s">
        <v>2</v>
      </c>
      <c r="L74" s="41" t="s">
        <v>49</v>
      </c>
      <c r="M74" s="41">
        <f>3650/50</f>
        <v>73</v>
      </c>
      <c r="N74" s="41">
        <f>M74*50</f>
        <v>3650</v>
      </c>
      <c r="O74" s="41">
        <v>101</v>
      </c>
      <c r="P74" s="113">
        <f>N74/O74</f>
        <v>36.138613861386141</v>
      </c>
      <c r="Q74" s="43" t="s">
        <v>0</v>
      </c>
      <c r="R74" s="44"/>
      <c r="S74" s="119"/>
      <c r="T74" s="39" t="s">
        <v>43</v>
      </c>
      <c r="U74" s="41" t="s">
        <v>2</v>
      </c>
      <c r="V74" s="41" t="s">
        <v>317</v>
      </c>
      <c r="W74" s="139">
        <f>3600/50</f>
        <v>72</v>
      </c>
      <c r="X74" s="41">
        <f>W74*26</f>
        <v>1872</v>
      </c>
      <c r="Y74" s="41">
        <v>102</v>
      </c>
      <c r="Z74" s="113">
        <f t="shared" ref="Z74:Z81" si="62">X74/Y74</f>
        <v>18.352941176470587</v>
      </c>
      <c r="AA74" s="43" t="s">
        <v>196</v>
      </c>
      <c r="AB74" s="44"/>
    </row>
    <row r="75" spans="1:28" x14ac:dyDescent="0.35">
      <c r="A75" s="35"/>
      <c r="B75" s="5"/>
      <c r="C75" s="6" t="s">
        <v>4</v>
      </c>
      <c r="D75" s="6" t="s">
        <v>50</v>
      </c>
      <c r="E75" s="28">
        <f>7200/50</f>
        <v>144</v>
      </c>
      <c r="F75" s="6">
        <f>E75*4.5</f>
        <v>648</v>
      </c>
      <c r="G75" s="1">
        <f>G74</f>
        <v>132</v>
      </c>
      <c r="H75" s="126">
        <f t="shared" ref="H75:H80" si="63">F75/G75</f>
        <v>4.9090909090909092</v>
      </c>
      <c r="I75" s="146"/>
      <c r="J75" s="9"/>
      <c r="K75" s="1" t="s">
        <v>4</v>
      </c>
      <c r="L75" s="1" t="s">
        <v>353</v>
      </c>
      <c r="M75" s="28">
        <f>7200/50</f>
        <v>144</v>
      </c>
      <c r="N75" s="57">
        <f>M75*2.5</f>
        <v>360</v>
      </c>
      <c r="O75" s="1">
        <f t="shared" ref="O75:O81" si="64">O74</f>
        <v>101</v>
      </c>
      <c r="P75" s="126">
        <f t="shared" ref="P75:P81" si="65">N75/O75</f>
        <v>3.5643564356435644</v>
      </c>
      <c r="Q75" t="s">
        <v>68</v>
      </c>
      <c r="R75" s="45">
        <v>60</v>
      </c>
      <c r="T75" s="35"/>
      <c r="U75" s="6" t="s">
        <v>4</v>
      </c>
      <c r="V75" s="6" t="s">
        <v>324</v>
      </c>
      <c r="W75" s="28">
        <f>7200/50</f>
        <v>144</v>
      </c>
      <c r="X75" s="29">
        <f>W75*3.8</f>
        <v>547.19999999999993</v>
      </c>
      <c r="Y75" s="1">
        <f t="shared" ref="Y75:Y81" si="66">Y74</f>
        <v>102</v>
      </c>
      <c r="Z75" s="126">
        <f t="shared" si="62"/>
        <v>5.3647058823529408</v>
      </c>
      <c r="AA75" t="s">
        <v>68</v>
      </c>
      <c r="AB75" s="45">
        <v>50</v>
      </c>
    </row>
    <row r="76" spans="1:28" x14ac:dyDescent="0.35">
      <c r="A76" s="35"/>
      <c r="B76" s="5"/>
      <c r="C76" s="6" t="s">
        <v>54</v>
      </c>
      <c r="D76" s="6" t="s">
        <v>419</v>
      </c>
      <c r="E76" s="28">
        <f>600/1000</f>
        <v>0.6</v>
      </c>
      <c r="F76" s="6">
        <f>E76*60</f>
        <v>36</v>
      </c>
      <c r="G76" s="1">
        <f t="shared" ref="G76:G81" si="67">G75</f>
        <v>132</v>
      </c>
      <c r="H76" s="126">
        <f t="shared" si="63"/>
        <v>0.27272727272727271</v>
      </c>
      <c r="I76" s="146"/>
      <c r="J76" s="9"/>
      <c r="K76" s="1" t="s">
        <v>5</v>
      </c>
      <c r="L76" s="1" t="s">
        <v>421</v>
      </c>
      <c r="M76" s="233">
        <f>400/450</f>
        <v>0.88888888888888884</v>
      </c>
      <c r="N76" s="57">
        <f>M76*160</f>
        <v>142.22222222222223</v>
      </c>
      <c r="O76" s="1">
        <f t="shared" si="64"/>
        <v>101</v>
      </c>
      <c r="P76" s="126">
        <f t="shared" si="65"/>
        <v>1.4081408140814082</v>
      </c>
      <c r="Q76" t="s">
        <v>32</v>
      </c>
      <c r="R76" s="47">
        <f>H81</f>
        <v>31.977125173301644</v>
      </c>
      <c r="S76" s="120"/>
      <c r="T76" s="35"/>
      <c r="U76" s="6" t="s">
        <v>5</v>
      </c>
      <c r="V76" s="6" t="s">
        <v>420</v>
      </c>
      <c r="W76" s="28">
        <f>255/450</f>
        <v>0.56666666666666665</v>
      </c>
      <c r="X76" s="29">
        <f>W76*190</f>
        <v>107.66666666666666</v>
      </c>
      <c r="Y76" s="1">
        <f t="shared" si="66"/>
        <v>102</v>
      </c>
      <c r="Z76" s="126">
        <f t="shared" si="62"/>
        <v>1.0555555555555554</v>
      </c>
      <c r="AA76" t="s">
        <v>32</v>
      </c>
      <c r="AB76" s="47">
        <f>Z81</f>
        <v>31.037320261437905</v>
      </c>
    </row>
    <row r="77" spans="1:28" x14ac:dyDescent="0.35">
      <c r="A77" s="35"/>
      <c r="B77" s="5"/>
      <c r="C77" s="6" t="s">
        <v>55</v>
      </c>
      <c r="D77" s="6" t="s">
        <v>318</v>
      </c>
      <c r="E77" s="28">
        <f>35.5/1000</f>
        <v>3.5499999999999997E-2</v>
      </c>
      <c r="F77" s="6">
        <f>E77*280</f>
        <v>9.94</v>
      </c>
      <c r="G77" s="1">
        <f t="shared" si="67"/>
        <v>132</v>
      </c>
      <c r="H77" s="126">
        <f t="shared" si="63"/>
        <v>7.5303030303030302E-2</v>
      </c>
      <c r="I77" s="146"/>
      <c r="J77" s="9"/>
      <c r="K77" s="1" t="s">
        <v>51</v>
      </c>
      <c r="L77" s="1" t="s">
        <v>52</v>
      </c>
      <c r="M77" s="232">
        <f>35.5/1000</f>
        <v>3.5499999999999997E-2</v>
      </c>
      <c r="N77" s="1">
        <f>M77*300</f>
        <v>10.649999999999999</v>
      </c>
      <c r="O77" s="1">
        <f t="shared" si="64"/>
        <v>101</v>
      </c>
      <c r="P77" s="126">
        <f t="shared" si="65"/>
        <v>0.10544554455445543</v>
      </c>
      <c r="Q77" t="s">
        <v>62</v>
      </c>
      <c r="R77" s="47">
        <f>R75-R76</f>
        <v>28.022874826698356</v>
      </c>
      <c r="S77" s="120"/>
      <c r="T77" s="35"/>
      <c r="U77" s="6" t="s">
        <v>51</v>
      </c>
      <c r="V77" s="6" t="s">
        <v>318</v>
      </c>
      <c r="W77" s="205">
        <f>35.5/1000</f>
        <v>3.5499999999999997E-2</v>
      </c>
      <c r="X77" s="6">
        <f>W77*280</f>
        <v>9.94</v>
      </c>
      <c r="Y77" s="1">
        <f t="shared" si="66"/>
        <v>102</v>
      </c>
      <c r="Z77" s="126">
        <f t="shared" si="62"/>
        <v>9.7450980392156855E-2</v>
      </c>
      <c r="AA77" t="s">
        <v>69</v>
      </c>
      <c r="AB77" s="47">
        <f>AB75-AB76</f>
        <v>18.962679738562095</v>
      </c>
    </row>
    <row r="78" spans="1:28" x14ac:dyDescent="0.35">
      <c r="A78" s="35"/>
      <c r="B78" s="5"/>
      <c r="C78" s="6" t="s">
        <v>56</v>
      </c>
      <c r="D78" s="6" t="s">
        <v>419</v>
      </c>
      <c r="E78" s="6">
        <f>340/1000</f>
        <v>0.34</v>
      </c>
      <c r="F78" s="6">
        <f>E78*60</f>
        <v>20.400000000000002</v>
      </c>
      <c r="G78" s="1">
        <f t="shared" si="67"/>
        <v>132</v>
      </c>
      <c r="H78" s="126">
        <f t="shared" si="63"/>
        <v>0.15454545454545457</v>
      </c>
      <c r="I78" s="146"/>
      <c r="J78" s="9"/>
      <c r="K78" s="1" t="s">
        <v>26</v>
      </c>
      <c r="L78" s="1" t="s">
        <v>419</v>
      </c>
      <c r="M78" s="1">
        <f>340/1000</f>
        <v>0.34</v>
      </c>
      <c r="N78" s="1">
        <f>M78*60</f>
        <v>20.400000000000002</v>
      </c>
      <c r="O78" s="1">
        <f t="shared" si="64"/>
        <v>101</v>
      </c>
      <c r="P78" s="126">
        <f t="shared" si="65"/>
        <v>0.20198019801980199</v>
      </c>
      <c r="Q78" t="s">
        <v>72</v>
      </c>
      <c r="R78" s="50">
        <f>G81*R77</f>
        <v>3699.0194771241831</v>
      </c>
      <c r="S78" s="120"/>
      <c r="T78" s="35"/>
      <c r="U78" s="6" t="s">
        <v>26</v>
      </c>
      <c r="V78" s="6" t="s">
        <v>53</v>
      </c>
      <c r="W78" s="6">
        <f>340/1000</f>
        <v>0.34</v>
      </c>
      <c r="X78" s="6">
        <f>W78*50</f>
        <v>17</v>
      </c>
      <c r="Y78" s="1">
        <f t="shared" si="66"/>
        <v>102</v>
      </c>
      <c r="Z78" s="126">
        <f t="shared" si="62"/>
        <v>0.16666666666666666</v>
      </c>
      <c r="AA78" t="s">
        <v>205</v>
      </c>
      <c r="AB78" s="50">
        <f>AB77*102</f>
        <v>1934.1933333333336</v>
      </c>
    </row>
    <row r="79" spans="1:28" x14ac:dyDescent="0.35">
      <c r="A79" s="35"/>
      <c r="B79" s="5"/>
      <c r="C79" s="6" t="s">
        <v>57</v>
      </c>
      <c r="D79" s="6" t="s">
        <v>6</v>
      </c>
      <c r="E79" s="28">
        <f>250/450</f>
        <v>0.55555555555555558</v>
      </c>
      <c r="F79" s="28">
        <f>E79*200</f>
        <v>111.11111111111111</v>
      </c>
      <c r="G79" s="1">
        <f t="shared" si="67"/>
        <v>132</v>
      </c>
      <c r="H79" s="126">
        <f t="shared" si="63"/>
        <v>0.84175084175084181</v>
      </c>
      <c r="I79" s="146"/>
      <c r="J79" s="9"/>
      <c r="K79" s="1" t="s">
        <v>3</v>
      </c>
      <c r="L79" s="1" t="s">
        <v>382</v>
      </c>
      <c r="M79" s="57">
        <f>4660/17</f>
        <v>274.11764705882354</v>
      </c>
      <c r="N79" s="57">
        <f>M79*1.5</f>
        <v>411.1764705882353</v>
      </c>
      <c r="O79" s="1">
        <f t="shared" si="64"/>
        <v>101</v>
      </c>
      <c r="P79" s="126">
        <f t="shared" si="65"/>
        <v>4.0710541642399534</v>
      </c>
      <c r="Q79" t="s">
        <v>424</v>
      </c>
      <c r="R79" s="48">
        <f>R78*4</f>
        <v>14796.077908496733</v>
      </c>
      <c r="S79" s="120"/>
      <c r="T79" s="35"/>
      <c r="U79" s="6" t="s">
        <v>3</v>
      </c>
      <c r="V79" s="6" t="s">
        <v>325</v>
      </c>
      <c r="W79" s="29">
        <f>260</f>
        <v>260</v>
      </c>
      <c r="X79" s="29">
        <f>W79*2.3</f>
        <v>598</v>
      </c>
      <c r="Y79" s="1">
        <f t="shared" si="66"/>
        <v>102</v>
      </c>
      <c r="Z79" s="126">
        <f t="shared" si="62"/>
        <v>5.8627450980392153</v>
      </c>
      <c r="AA79" t="s">
        <v>389</v>
      </c>
      <c r="AB79" s="48">
        <f>AB78*6</f>
        <v>11605.160000000002</v>
      </c>
    </row>
    <row r="80" spans="1:28" x14ac:dyDescent="0.35">
      <c r="A80" s="35"/>
      <c r="B80" s="5"/>
      <c r="C80" s="6" t="s">
        <v>58</v>
      </c>
      <c r="D80" s="6" t="s">
        <v>319</v>
      </c>
      <c r="E80" s="29">
        <f>4660/17</f>
        <v>274.11764705882354</v>
      </c>
      <c r="F80" s="29">
        <f>E80*2.8</f>
        <v>767.52941176470586</v>
      </c>
      <c r="G80" s="6">
        <f t="shared" si="67"/>
        <v>132</v>
      </c>
      <c r="H80" s="126">
        <f t="shared" si="63"/>
        <v>5.8146167557932262</v>
      </c>
      <c r="I80" s="146"/>
      <c r="J80" s="9"/>
      <c r="K80" s="1" t="s">
        <v>7</v>
      </c>
      <c r="L80" s="234" t="s">
        <v>316</v>
      </c>
      <c r="M80" s="57">
        <f>4730/20</f>
        <v>236.5</v>
      </c>
      <c r="N80" s="57">
        <f>M80*10</f>
        <v>2365</v>
      </c>
      <c r="O80" s="1">
        <f t="shared" si="64"/>
        <v>101</v>
      </c>
      <c r="P80" s="126">
        <f t="shared" si="65"/>
        <v>23.415841584158414</v>
      </c>
      <c r="Q80" t="s">
        <v>1</v>
      </c>
      <c r="R80" s="45"/>
      <c r="T80" s="35"/>
      <c r="U80" s="6" t="s">
        <v>151</v>
      </c>
      <c r="V80" s="53" t="s">
        <v>53</v>
      </c>
      <c r="W80" s="28">
        <f>280/1000</f>
        <v>0.28000000000000003</v>
      </c>
      <c r="X80" s="6">
        <f>W80*50</f>
        <v>14.000000000000002</v>
      </c>
      <c r="Y80" s="1">
        <f t="shared" si="66"/>
        <v>102</v>
      </c>
      <c r="Z80" s="126">
        <f t="shared" si="62"/>
        <v>0.13725490196078433</v>
      </c>
      <c r="AB80" s="45"/>
    </row>
    <row r="81" spans="1:28" x14ac:dyDescent="0.35">
      <c r="A81" s="35"/>
      <c r="B81" s="5"/>
      <c r="C81" s="6"/>
      <c r="D81" s="6"/>
      <c r="E81" s="29"/>
      <c r="F81" s="51">
        <f>SUM(F74:F80)</f>
        <v>4220.9805228758178</v>
      </c>
      <c r="G81" s="32">
        <f t="shared" si="67"/>
        <v>132</v>
      </c>
      <c r="H81" s="33">
        <f>SUM(H74:H80)</f>
        <v>31.977125173301644</v>
      </c>
      <c r="I81" s="146"/>
      <c r="J81" s="35"/>
      <c r="K81" s="6"/>
      <c r="L81" s="6"/>
      <c r="M81" s="6"/>
      <c r="N81" s="235">
        <f>SUM(N74:N80)</f>
        <v>6959.448692810457</v>
      </c>
      <c r="O81" s="32">
        <f t="shared" si="64"/>
        <v>101</v>
      </c>
      <c r="P81" s="236">
        <f t="shared" si="65"/>
        <v>68.905432602083735</v>
      </c>
      <c r="Q81" t="s">
        <v>68</v>
      </c>
      <c r="R81" s="45">
        <v>100</v>
      </c>
      <c r="T81" s="35"/>
      <c r="U81" s="6"/>
      <c r="V81" s="6"/>
      <c r="W81" s="6"/>
      <c r="X81" s="31">
        <f>SUM(X74:X80)</f>
        <v>3165.8066666666664</v>
      </c>
      <c r="Y81" s="32">
        <f t="shared" si="66"/>
        <v>102</v>
      </c>
      <c r="Z81" s="33">
        <f t="shared" si="62"/>
        <v>31.037320261437905</v>
      </c>
      <c r="AB81" s="45"/>
    </row>
    <row r="82" spans="1:28" x14ac:dyDescent="0.35">
      <c r="A82" s="35"/>
      <c r="B82" s="5" t="s">
        <v>44</v>
      </c>
      <c r="C82" s="5" t="s">
        <v>70</v>
      </c>
      <c r="D82" s="5" t="s">
        <v>70</v>
      </c>
      <c r="E82" s="5"/>
      <c r="F82" s="59">
        <f t="shared" ref="F82:F84" si="68">F81</f>
        <v>4220.9805228758178</v>
      </c>
      <c r="G82" s="5">
        <v>132</v>
      </c>
      <c r="H82" s="127">
        <f>F82/G82</f>
        <v>31.977125173301651</v>
      </c>
      <c r="I82" s="228"/>
      <c r="J82" s="35" t="s">
        <v>44</v>
      </c>
      <c r="K82" s="5" t="s">
        <v>70</v>
      </c>
      <c r="L82" s="5" t="s">
        <v>70</v>
      </c>
      <c r="M82" s="5" t="s">
        <v>70</v>
      </c>
      <c r="N82" s="38">
        <f>N81</f>
        <v>6959.448692810457</v>
      </c>
      <c r="O82" s="5">
        <v>101</v>
      </c>
      <c r="P82" s="30">
        <f>N82/O82</f>
        <v>68.905432602083735</v>
      </c>
      <c r="Q82" t="s">
        <v>32</v>
      </c>
      <c r="R82" s="47">
        <f>AVERAGE(P81,P82,P83,P84,P85,P86,P87,P88)</f>
        <v>69.422223346599367</v>
      </c>
      <c r="S82" s="120"/>
      <c r="T82" s="35" t="s">
        <v>44</v>
      </c>
      <c r="U82" s="5"/>
      <c r="V82" s="5"/>
      <c r="W82" s="5"/>
      <c r="X82" s="29">
        <f t="shared" ref="X82:X86" si="69">X81</f>
        <v>3165.8066666666664</v>
      </c>
      <c r="Y82" s="6">
        <v>102</v>
      </c>
      <c r="Z82" s="30">
        <f t="shared" ref="Z82:Z86" si="70">X82/Y82</f>
        <v>31.037320261437905</v>
      </c>
      <c r="AB82" s="47"/>
    </row>
    <row r="83" spans="1:28" x14ac:dyDescent="0.35">
      <c r="A83" s="35"/>
      <c r="B83" s="5" t="s">
        <v>45</v>
      </c>
      <c r="C83" s="5" t="s">
        <v>70</v>
      </c>
      <c r="D83" s="5" t="s">
        <v>70</v>
      </c>
      <c r="E83" s="5"/>
      <c r="F83" s="59">
        <f t="shared" si="68"/>
        <v>4220.9805228758178</v>
      </c>
      <c r="G83" s="5">
        <v>132</v>
      </c>
      <c r="H83" s="127">
        <f t="shared" ref="H83:H84" si="71">F83/G83</f>
        <v>31.977125173301651</v>
      </c>
      <c r="I83" s="228"/>
      <c r="J83" s="35" t="s">
        <v>45</v>
      </c>
      <c r="K83" s="5" t="s">
        <v>70</v>
      </c>
      <c r="L83" s="5" t="s">
        <v>70</v>
      </c>
      <c r="M83" s="5" t="s">
        <v>70</v>
      </c>
      <c r="N83" s="38">
        <f t="shared" ref="N83:N88" si="72">N82</f>
        <v>6959.448692810457</v>
      </c>
      <c r="O83" s="5">
        <v>100</v>
      </c>
      <c r="P83" s="30">
        <f t="shared" ref="P83:P87" si="73">N83/O83</f>
        <v>69.594486928104573</v>
      </c>
      <c r="Q83" t="s">
        <v>69</v>
      </c>
      <c r="R83" s="47">
        <f>R81-R82</f>
        <v>30.577776653400633</v>
      </c>
      <c r="S83" s="120"/>
      <c r="T83" s="35" t="s">
        <v>45</v>
      </c>
      <c r="U83" s="5"/>
      <c r="V83" s="5"/>
      <c r="W83" s="5"/>
      <c r="X83" s="29">
        <f t="shared" si="69"/>
        <v>3165.8066666666664</v>
      </c>
      <c r="Y83" s="6">
        <v>102</v>
      </c>
      <c r="Z83" s="30">
        <f t="shared" si="70"/>
        <v>31.037320261437905</v>
      </c>
      <c r="AB83" s="47"/>
    </row>
    <row r="84" spans="1:28" x14ac:dyDescent="0.35">
      <c r="A84" s="35"/>
      <c r="B84" s="5" t="s">
        <v>67</v>
      </c>
      <c r="C84" s="5" t="s">
        <v>70</v>
      </c>
      <c r="D84" s="5" t="s">
        <v>70</v>
      </c>
      <c r="E84" s="5"/>
      <c r="F84" s="59">
        <f t="shared" si="68"/>
        <v>4220.9805228758178</v>
      </c>
      <c r="G84" s="5">
        <v>132</v>
      </c>
      <c r="H84" s="127">
        <f t="shared" si="71"/>
        <v>31.977125173301651</v>
      </c>
      <c r="I84" s="228"/>
      <c r="J84" s="35" t="s">
        <v>67</v>
      </c>
      <c r="K84" s="5" t="s">
        <v>70</v>
      </c>
      <c r="L84" s="5" t="s">
        <v>70</v>
      </c>
      <c r="M84" s="5" t="s">
        <v>70</v>
      </c>
      <c r="N84" s="38">
        <f t="shared" si="72"/>
        <v>6959.448692810457</v>
      </c>
      <c r="O84" s="5">
        <v>100</v>
      </c>
      <c r="P84" s="30">
        <f t="shared" si="73"/>
        <v>69.594486928104573</v>
      </c>
      <c r="Q84" t="s">
        <v>136</v>
      </c>
      <c r="R84" s="50">
        <f>R83*106</f>
        <v>3241.2443252604671</v>
      </c>
      <c r="S84" s="120"/>
      <c r="T84" s="35" t="s">
        <v>67</v>
      </c>
      <c r="U84" s="5"/>
      <c r="V84" s="5"/>
      <c r="W84" s="5"/>
      <c r="X84" s="29">
        <f t="shared" si="69"/>
        <v>3165.8066666666664</v>
      </c>
      <c r="Y84" s="6">
        <v>102</v>
      </c>
      <c r="Z84" s="30">
        <f t="shared" si="70"/>
        <v>31.037320261437905</v>
      </c>
      <c r="AB84" s="50"/>
    </row>
    <row r="85" spans="1:28" x14ac:dyDescent="0.35">
      <c r="A85" s="35"/>
      <c r="B85" s="5"/>
      <c r="C85" s="5"/>
      <c r="D85" s="5"/>
      <c r="E85" s="5"/>
      <c r="F85" s="59"/>
      <c r="G85" s="5"/>
      <c r="H85" s="127"/>
      <c r="I85" s="228"/>
      <c r="J85" s="35" t="s">
        <v>133</v>
      </c>
      <c r="K85" s="5"/>
      <c r="L85" s="5"/>
      <c r="M85" s="5"/>
      <c r="N85" s="38">
        <f t="shared" si="72"/>
        <v>6959.448692810457</v>
      </c>
      <c r="O85" s="5">
        <v>100</v>
      </c>
      <c r="P85" s="30">
        <f t="shared" si="73"/>
        <v>69.594486928104573</v>
      </c>
      <c r="Q85" t="s">
        <v>425</v>
      </c>
      <c r="R85" s="48">
        <f>R84*8</f>
        <v>25929.954602083737</v>
      </c>
      <c r="S85" s="120"/>
      <c r="T85" s="35" t="s">
        <v>133</v>
      </c>
      <c r="U85" s="5"/>
      <c r="V85" s="5"/>
      <c r="W85" s="5"/>
      <c r="X85" s="29">
        <f t="shared" si="69"/>
        <v>3165.8066666666664</v>
      </c>
      <c r="Y85" s="6">
        <v>102</v>
      </c>
      <c r="Z85" s="30">
        <f t="shared" si="70"/>
        <v>31.037320261437905</v>
      </c>
      <c r="AB85" s="48"/>
    </row>
    <row r="86" spans="1:28" x14ac:dyDescent="0.35">
      <c r="A86" s="35"/>
      <c r="B86" s="5"/>
      <c r="C86" s="5"/>
      <c r="D86" s="5"/>
      <c r="E86" s="5"/>
      <c r="F86" s="59"/>
      <c r="G86" s="5"/>
      <c r="H86" s="127"/>
      <c r="I86" s="228"/>
      <c r="J86" s="35" t="s">
        <v>134</v>
      </c>
      <c r="K86" s="5"/>
      <c r="L86" s="5"/>
      <c r="M86" s="5"/>
      <c r="N86" s="38">
        <f t="shared" si="72"/>
        <v>6959.448692810457</v>
      </c>
      <c r="O86" s="5">
        <v>100</v>
      </c>
      <c r="P86" s="30">
        <f t="shared" si="73"/>
        <v>69.594486928104573</v>
      </c>
      <c r="R86" s="48"/>
      <c r="S86" s="120"/>
      <c r="T86" s="35" t="s">
        <v>134</v>
      </c>
      <c r="U86" s="5"/>
      <c r="V86" s="5"/>
      <c r="W86" s="5"/>
      <c r="X86" s="29">
        <f t="shared" si="69"/>
        <v>3165.8066666666664</v>
      </c>
      <c r="Y86" s="6">
        <v>102</v>
      </c>
      <c r="Z86" s="30">
        <f t="shared" si="70"/>
        <v>31.037320261437905</v>
      </c>
      <c r="AB86" s="48"/>
    </row>
    <row r="87" spans="1:28" x14ac:dyDescent="0.35">
      <c r="A87" s="35"/>
      <c r="B87" s="5"/>
      <c r="C87" s="5"/>
      <c r="D87" s="5"/>
      <c r="E87" s="5"/>
      <c r="F87" s="59"/>
      <c r="G87" s="5"/>
      <c r="H87" s="127"/>
      <c r="I87" s="228"/>
      <c r="J87" s="35" t="s">
        <v>252</v>
      </c>
      <c r="K87" s="5" t="s">
        <v>70</v>
      </c>
      <c r="L87" s="5" t="s">
        <v>70</v>
      </c>
      <c r="M87" s="5" t="s">
        <v>70</v>
      </c>
      <c r="N87" s="38">
        <f t="shared" si="72"/>
        <v>6959.448692810457</v>
      </c>
      <c r="O87" s="5">
        <v>100</v>
      </c>
      <c r="P87" s="30">
        <f t="shared" si="73"/>
        <v>69.594486928104573</v>
      </c>
      <c r="Q87">
        <f>80/10</f>
        <v>8</v>
      </c>
      <c r="R87" s="48"/>
      <c r="S87" s="120"/>
      <c r="T87" s="35"/>
      <c r="U87" s="5"/>
      <c r="V87" s="5"/>
      <c r="W87" s="5"/>
      <c r="X87" s="29"/>
      <c r="Y87" s="6"/>
      <c r="Z87" s="30"/>
      <c r="AB87" s="48"/>
    </row>
    <row r="88" spans="1:28" x14ac:dyDescent="0.35">
      <c r="A88" s="35"/>
      <c r="B88" s="5"/>
      <c r="C88" s="5"/>
      <c r="D88" s="5"/>
      <c r="E88" s="5"/>
      <c r="F88" s="59"/>
      <c r="G88" s="5"/>
      <c r="H88" s="127"/>
      <c r="I88" s="228"/>
      <c r="J88" s="35" t="s">
        <v>253</v>
      </c>
      <c r="K88" s="5" t="s">
        <v>70</v>
      </c>
      <c r="L88" s="5" t="s">
        <v>70</v>
      </c>
      <c r="M88" s="5" t="s">
        <v>70</v>
      </c>
      <c r="N88" s="38">
        <f t="shared" si="72"/>
        <v>6959.448692810457</v>
      </c>
      <c r="O88" s="5">
        <v>100</v>
      </c>
      <c r="P88" s="30">
        <f t="shared" ref="P88" si="74">N88/O88</f>
        <v>69.594486928104573</v>
      </c>
      <c r="Q88">
        <f>120/13</f>
        <v>9.2307692307692299</v>
      </c>
      <c r="R88" s="48"/>
      <c r="S88" s="120"/>
      <c r="T88" s="35"/>
      <c r="U88" s="5"/>
      <c r="V88" s="5"/>
      <c r="W88" s="5"/>
      <c r="X88" s="29"/>
      <c r="Y88" s="6"/>
      <c r="Z88" s="30"/>
      <c r="AB88" s="48"/>
    </row>
    <row r="89" spans="1:28" x14ac:dyDescent="0.35">
      <c r="A89" s="35"/>
      <c r="B89" s="5"/>
      <c r="C89" s="5"/>
      <c r="D89" s="5"/>
      <c r="E89" s="5"/>
      <c r="F89" s="59"/>
      <c r="G89" s="5"/>
      <c r="H89" s="37"/>
      <c r="I89" s="228"/>
      <c r="J89" s="9"/>
      <c r="K89" s="1"/>
      <c r="L89" s="1"/>
      <c r="M89" s="1"/>
      <c r="N89" s="57"/>
      <c r="O89" s="1"/>
      <c r="P89" s="126"/>
      <c r="R89" s="48"/>
      <c r="S89" s="120"/>
      <c r="T89" s="35"/>
      <c r="U89" s="5"/>
      <c r="V89" s="5"/>
      <c r="W89" s="5"/>
      <c r="X89" s="29"/>
      <c r="Y89" s="6"/>
      <c r="Z89" s="30"/>
      <c r="AB89" s="48"/>
    </row>
    <row r="90" spans="1:28" x14ac:dyDescent="0.35">
      <c r="A90" s="35"/>
      <c r="B90" s="5"/>
      <c r="C90" s="5"/>
      <c r="D90" s="5"/>
      <c r="E90" s="5"/>
      <c r="F90" s="59"/>
      <c r="G90" s="5"/>
      <c r="H90" s="37"/>
      <c r="I90" s="228"/>
      <c r="J90" s="9"/>
      <c r="K90" s="1"/>
      <c r="L90" s="1"/>
      <c r="M90" s="1"/>
      <c r="N90" s="57"/>
      <c r="O90" s="1"/>
      <c r="P90" s="126"/>
      <c r="Q90">
        <f>80/8</f>
        <v>10</v>
      </c>
      <c r="R90" s="48"/>
      <c r="S90" s="120"/>
      <c r="T90" s="35"/>
      <c r="U90" s="5"/>
      <c r="V90" s="5"/>
      <c r="W90" s="5"/>
      <c r="X90" s="5"/>
      <c r="Y90" s="5"/>
      <c r="Z90" s="5"/>
      <c r="AB90" s="48"/>
    </row>
    <row r="91" spans="1:28" x14ac:dyDescent="0.35">
      <c r="A91" s="35"/>
      <c r="B91" s="5"/>
      <c r="C91" s="5"/>
      <c r="D91" s="5"/>
      <c r="E91" s="5"/>
      <c r="F91" s="59"/>
      <c r="G91" s="5"/>
      <c r="H91" s="37"/>
      <c r="I91" s="228"/>
      <c r="J91" s="9"/>
      <c r="K91" s="1"/>
      <c r="L91" s="1"/>
      <c r="M91" s="1"/>
      <c r="N91" s="57"/>
      <c r="O91" s="1"/>
      <c r="P91" s="126"/>
      <c r="R91" s="48"/>
      <c r="S91" s="120"/>
      <c r="T91" s="35"/>
      <c r="U91" s="5"/>
      <c r="V91" s="5"/>
      <c r="W91" s="5"/>
      <c r="X91" s="5"/>
      <c r="Y91" s="5"/>
      <c r="Z91" s="5"/>
      <c r="AB91" s="48"/>
    </row>
    <row r="92" spans="1:28" x14ac:dyDescent="0.35">
      <c r="A92" s="35"/>
      <c r="B92" s="5"/>
      <c r="C92" s="5"/>
      <c r="D92" s="5"/>
      <c r="E92" s="5"/>
      <c r="F92" s="59"/>
      <c r="G92" s="5"/>
      <c r="H92" s="37"/>
      <c r="I92" s="228"/>
      <c r="J92" s="9"/>
      <c r="K92" s="1"/>
      <c r="L92" s="1"/>
      <c r="M92" s="1"/>
      <c r="N92" s="57"/>
      <c r="O92" s="1"/>
      <c r="P92" s="126"/>
      <c r="R92" s="48"/>
      <c r="S92" s="120"/>
      <c r="T92" s="35"/>
      <c r="U92" s="5"/>
      <c r="V92" s="5"/>
      <c r="W92" s="5"/>
      <c r="X92" s="5"/>
      <c r="Y92" s="5"/>
      <c r="Z92" s="5"/>
      <c r="AB92" s="48"/>
    </row>
    <row r="93" spans="1:28" x14ac:dyDescent="0.35">
      <c r="A93" s="35"/>
      <c r="B93" s="5"/>
      <c r="C93" s="5"/>
      <c r="D93" s="5"/>
      <c r="E93" s="5"/>
      <c r="F93" s="59"/>
      <c r="G93" s="5"/>
      <c r="H93" s="37"/>
      <c r="I93" s="228"/>
      <c r="J93" s="9"/>
      <c r="K93" s="1"/>
      <c r="L93" s="1"/>
      <c r="M93" s="1"/>
      <c r="N93" s="57"/>
      <c r="O93" s="1"/>
      <c r="P93" s="126"/>
      <c r="R93" s="48"/>
      <c r="S93" s="120"/>
      <c r="T93" s="35"/>
      <c r="U93" s="5"/>
      <c r="V93" s="5"/>
      <c r="W93" s="5"/>
      <c r="X93" s="5"/>
      <c r="Y93" s="5"/>
      <c r="Z93" s="5"/>
      <c r="AB93" s="48"/>
    </row>
    <row r="94" spans="1:28" ht="15" thickBot="1" x14ac:dyDescent="0.4">
      <c r="A94" s="11"/>
      <c r="B94" s="12"/>
      <c r="C94" s="12"/>
      <c r="D94" s="12"/>
      <c r="E94" s="12"/>
      <c r="F94" s="114">
        <f>SUM(F81:F89)</f>
        <v>16883.922091503271</v>
      </c>
      <c r="G94" s="114">
        <f>SUM(G81:G89)</f>
        <v>528</v>
      </c>
      <c r="H94" s="13"/>
      <c r="I94" s="229"/>
      <c r="J94" s="35"/>
      <c r="K94" s="5"/>
      <c r="L94" s="5"/>
      <c r="M94" s="5"/>
      <c r="N94" s="182">
        <f>SUM(N81:N89)</f>
        <v>55675.589542483664</v>
      </c>
      <c r="O94" s="182">
        <f>SUM(O81:O93)</f>
        <v>802</v>
      </c>
      <c r="P94" s="37"/>
      <c r="Q94" s="46" t="s">
        <v>71</v>
      </c>
      <c r="R94" s="52">
        <f>R79+R85</f>
        <v>40726.032510580466</v>
      </c>
      <c r="S94" s="121"/>
      <c r="T94" s="11"/>
      <c r="U94" s="12"/>
      <c r="V94" s="12"/>
      <c r="W94" s="12"/>
      <c r="X94" s="77">
        <f>SUM(X81:X86)</f>
        <v>18994.84</v>
      </c>
      <c r="Y94" s="115">
        <f>SUM(Y81:Y89)</f>
        <v>612</v>
      </c>
      <c r="Z94" s="13"/>
      <c r="AA94" s="46"/>
      <c r="AB94" s="52"/>
    </row>
    <row r="95" spans="1:28" x14ac:dyDescent="0.35">
      <c r="A95" s="39" t="s">
        <v>464</v>
      </c>
      <c r="B95" s="40" t="s">
        <v>43</v>
      </c>
      <c r="C95" s="41" t="s">
        <v>2</v>
      </c>
      <c r="D95" s="41" t="s">
        <v>86</v>
      </c>
      <c r="E95" s="41">
        <f>3650/50</f>
        <v>73</v>
      </c>
      <c r="F95" s="41">
        <f>E95*36</f>
        <v>2628</v>
      </c>
      <c r="G95" s="41">
        <v>132</v>
      </c>
      <c r="H95" s="113">
        <f>F95/G95</f>
        <v>19.90909090909091</v>
      </c>
      <c r="I95" s="119"/>
      <c r="J95" s="80" t="s">
        <v>43</v>
      </c>
      <c r="K95" s="41" t="s">
        <v>2</v>
      </c>
      <c r="L95" s="41" t="s">
        <v>49</v>
      </c>
      <c r="M95" s="41">
        <f>3650/50</f>
        <v>73</v>
      </c>
      <c r="N95" s="41">
        <f>M95*50</f>
        <v>3650</v>
      </c>
      <c r="O95" s="41">
        <v>102</v>
      </c>
      <c r="P95" s="113">
        <f>N95/O95</f>
        <v>35.784313725490193</v>
      </c>
      <c r="Q95" s="43" t="s">
        <v>0</v>
      </c>
      <c r="R95" s="44"/>
      <c r="S95" s="119"/>
      <c r="T95" s="39" t="s">
        <v>43</v>
      </c>
      <c r="U95" s="41" t="s">
        <v>2</v>
      </c>
      <c r="V95" s="41" t="s">
        <v>317</v>
      </c>
      <c r="W95" s="139">
        <f>3600/50</f>
        <v>72</v>
      </c>
      <c r="X95" s="41">
        <f>W95*26</f>
        <v>1872</v>
      </c>
      <c r="Y95" s="41">
        <v>102</v>
      </c>
      <c r="Z95" s="113">
        <f t="shared" ref="Z95:Z107" si="75">X95/Y95</f>
        <v>18.352941176470587</v>
      </c>
      <c r="AA95" s="43" t="s">
        <v>196</v>
      </c>
      <c r="AB95" s="44"/>
    </row>
    <row r="96" spans="1:28" x14ac:dyDescent="0.35">
      <c r="A96" s="35"/>
      <c r="B96" s="5"/>
      <c r="C96" s="6" t="s">
        <v>4</v>
      </c>
      <c r="D96" s="6" t="s">
        <v>50</v>
      </c>
      <c r="E96" s="28">
        <f>7200/50</f>
        <v>144</v>
      </c>
      <c r="F96" s="6">
        <f>E96*4.5</f>
        <v>648</v>
      </c>
      <c r="G96" s="1">
        <f>G95</f>
        <v>132</v>
      </c>
      <c r="H96" s="126">
        <f t="shared" ref="H96:H101" si="76">F96/G96</f>
        <v>4.9090909090909092</v>
      </c>
      <c r="I96" s="228"/>
      <c r="J96" s="9"/>
      <c r="K96" s="1" t="s">
        <v>4</v>
      </c>
      <c r="L96" s="1" t="s">
        <v>353</v>
      </c>
      <c r="M96" s="28">
        <f>7200/50</f>
        <v>144</v>
      </c>
      <c r="N96" s="57">
        <f>M96*2.5</f>
        <v>360</v>
      </c>
      <c r="O96" s="1">
        <f t="shared" ref="O96:O102" si="77">O95</f>
        <v>102</v>
      </c>
      <c r="P96" s="126">
        <f t="shared" ref="P96:P102" si="78">N96/O96</f>
        <v>3.5294117647058822</v>
      </c>
      <c r="Q96" t="s">
        <v>68</v>
      </c>
      <c r="R96" s="45">
        <v>60</v>
      </c>
      <c r="T96" s="35"/>
      <c r="U96" s="6" t="s">
        <v>4</v>
      </c>
      <c r="V96" s="6" t="s">
        <v>324</v>
      </c>
      <c r="W96" s="28">
        <f>7200/50</f>
        <v>144</v>
      </c>
      <c r="X96" s="29">
        <f>W96*3.8</f>
        <v>547.19999999999993</v>
      </c>
      <c r="Y96" s="1">
        <f t="shared" ref="Y96:Y102" si="79">Y95</f>
        <v>102</v>
      </c>
      <c r="Z96" s="126">
        <f t="shared" si="75"/>
        <v>5.3647058823529408</v>
      </c>
      <c r="AA96" t="s">
        <v>68</v>
      </c>
      <c r="AB96" s="45">
        <v>50</v>
      </c>
    </row>
    <row r="97" spans="1:28" x14ac:dyDescent="0.35">
      <c r="A97" s="35"/>
      <c r="B97" s="5"/>
      <c r="C97" s="6" t="s">
        <v>54</v>
      </c>
      <c r="D97" s="6" t="s">
        <v>419</v>
      </c>
      <c r="E97" s="28">
        <f>600/1000</f>
        <v>0.6</v>
      </c>
      <c r="F97" s="6">
        <f>E97*60</f>
        <v>36</v>
      </c>
      <c r="G97" s="1">
        <f t="shared" ref="G97:G102" si="80">G96</f>
        <v>132</v>
      </c>
      <c r="H97" s="126">
        <f t="shared" si="76"/>
        <v>0.27272727272727271</v>
      </c>
      <c r="I97" s="228"/>
      <c r="J97" s="9"/>
      <c r="K97" s="1" t="s">
        <v>5</v>
      </c>
      <c r="L97" s="1" t="s">
        <v>421</v>
      </c>
      <c r="M97" s="233">
        <f>400/450</f>
        <v>0.88888888888888884</v>
      </c>
      <c r="N97" s="57">
        <f>M97*160</f>
        <v>142.22222222222223</v>
      </c>
      <c r="O97" s="1">
        <f t="shared" si="77"/>
        <v>102</v>
      </c>
      <c r="P97" s="126">
        <f t="shared" si="78"/>
        <v>1.3943355119825709</v>
      </c>
      <c r="Q97" t="s">
        <v>32</v>
      </c>
      <c r="R97" s="47">
        <f>H102</f>
        <v>31.977125173301644</v>
      </c>
      <c r="S97" s="120"/>
      <c r="T97" s="35"/>
      <c r="U97" s="6" t="s">
        <v>5</v>
      </c>
      <c r="V97" s="6" t="s">
        <v>420</v>
      </c>
      <c r="W97" s="28">
        <f>255/450</f>
        <v>0.56666666666666665</v>
      </c>
      <c r="X97" s="29">
        <f>W97*190</f>
        <v>107.66666666666666</v>
      </c>
      <c r="Y97" s="1">
        <f t="shared" si="79"/>
        <v>102</v>
      </c>
      <c r="Z97" s="126">
        <f t="shared" si="75"/>
        <v>1.0555555555555554</v>
      </c>
      <c r="AA97" t="s">
        <v>32</v>
      </c>
      <c r="AB97" s="47">
        <f>Z102</f>
        <v>31.037320261437905</v>
      </c>
    </row>
    <row r="98" spans="1:28" x14ac:dyDescent="0.35">
      <c r="A98" s="35"/>
      <c r="B98" s="5"/>
      <c r="C98" s="6" t="s">
        <v>55</v>
      </c>
      <c r="D98" s="6" t="s">
        <v>318</v>
      </c>
      <c r="E98" s="28">
        <f>35.5/1000</f>
        <v>3.5499999999999997E-2</v>
      </c>
      <c r="F98" s="6">
        <f>E98*280</f>
        <v>9.94</v>
      </c>
      <c r="G98" s="1">
        <f t="shared" si="80"/>
        <v>132</v>
      </c>
      <c r="H98" s="126">
        <f t="shared" si="76"/>
        <v>7.5303030303030302E-2</v>
      </c>
      <c r="I98" s="228"/>
      <c r="J98" s="9"/>
      <c r="K98" s="1" t="s">
        <v>51</v>
      </c>
      <c r="L98" s="1" t="s">
        <v>52</v>
      </c>
      <c r="M98" s="232">
        <f>35.5/1000</f>
        <v>3.5499999999999997E-2</v>
      </c>
      <c r="N98" s="1">
        <f>M98*300</f>
        <v>10.649999999999999</v>
      </c>
      <c r="O98" s="1">
        <f t="shared" si="77"/>
        <v>102</v>
      </c>
      <c r="P98" s="126">
        <f t="shared" si="78"/>
        <v>0.10441176470588234</v>
      </c>
      <c r="Q98" t="s">
        <v>62</v>
      </c>
      <c r="R98" s="47">
        <f>R96-R97</f>
        <v>28.022874826698356</v>
      </c>
      <c r="S98" s="120"/>
      <c r="T98" s="35"/>
      <c r="U98" s="6" t="s">
        <v>51</v>
      </c>
      <c r="V98" s="6" t="s">
        <v>318</v>
      </c>
      <c r="W98" s="205">
        <f>35.5/1000</f>
        <v>3.5499999999999997E-2</v>
      </c>
      <c r="X98" s="6">
        <f>W98*280</f>
        <v>9.94</v>
      </c>
      <c r="Y98" s="1">
        <f t="shared" si="79"/>
        <v>102</v>
      </c>
      <c r="Z98" s="126">
        <f t="shared" si="75"/>
        <v>9.7450980392156855E-2</v>
      </c>
      <c r="AA98" t="s">
        <v>69</v>
      </c>
      <c r="AB98" s="47">
        <f>AB96-AB97</f>
        <v>18.962679738562095</v>
      </c>
    </row>
    <row r="99" spans="1:28" x14ac:dyDescent="0.35">
      <c r="A99" s="35"/>
      <c r="B99" s="5"/>
      <c r="C99" s="6" t="s">
        <v>56</v>
      </c>
      <c r="D99" s="6" t="s">
        <v>419</v>
      </c>
      <c r="E99" s="6">
        <f>340/1000</f>
        <v>0.34</v>
      </c>
      <c r="F99" s="6">
        <f>E99*60</f>
        <v>20.400000000000002</v>
      </c>
      <c r="G99" s="1">
        <f t="shared" si="80"/>
        <v>132</v>
      </c>
      <c r="H99" s="126">
        <f t="shared" si="76"/>
        <v>0.15454545454545457</v>
      </c>
      <c r="I99" s="228"/>
      <c r="J99" s="9"/>
      <c r="K99" s="1" t="s">
        <v>26</v>
      </c>
      <c r="L99" s="1" t="s">
        <v>419</v>
      </c>
      <c r="M99" s="1">
        <f>340/1000</f>
        <v>0.34</v>
      </c>
      <c r="N99" s="1">
        <f>M99*60</f>
        <v>20.400000000000002</v>
      </c>
      <c r="O99" s="1">
        <f t="shared" si="77"/>
        <v>102</v>
      </c>
      <c r="P99" s="126">
        <f t="shared" si="78"/>
        <v>0.2</v>
      </c>
      <c r="Q99" t="s">
        <v>72</v>
      </c>
      <c r="R99" s="50">
        <f>G102*R98</f>
        <v>3699.0194771241831</v>
      </c>
      <c r="S99" s="120"/>
      <c r="T99" s="35"/>
      <c r="U99" s="6" t="s">
        <v>26</v>
      </c>
      <c r="V99" s="6" t="s">
        <v>53</v>
      </c>
      <c r="W99" s="6">
        <f>340/1000</f>
        <v>0.34</v>
      </c>
      <c r="X99" s="6">
        <f>W99*50</f>
        <v>17</v>
      </c>
      <c r="Y99" s="1">
        <f t="shared" si="79"/>
        <v>102</v>
      </c>
      <c r="Z99" s="126">
        <f t="shared" si="75"/>
        <v>0.16666666666666666</v>
      </c>
      <c r="AA99" t="s">
        <v>205</v>
      </c>
      <c r="AB99" s="50">
        <f>AB98*102</f>
        <v>1934.1933333333336</v>
      </c>
    </row>
    <row r="100" spans="1:28" x14ac:dyDescent="0.35">
      <c r="A100" s="35"/>
      <c r="B100" s="5"/>
      <c r="C100" s="6" t="s">
        <v>57</v>
      </c>
      <c r="D100" s="6" t="s">
        <v>6</v>
      </c>
      <c r="E100" s="28">
        <f>250/450</f>
        <v>0.55555555555555558</v>
      </c>
      <c r="F100" s="28">
        <f>E100*200</f>
        <v>111.11111111111111</v>
      </c>
      <c r="G100" s="1">
        <f t="shared" si="80"/>
        <v>132</v>
      </c>
      <c r="H100" s="126">
        <f t="shared" si="76"/>
        <v>0.84175084175084181</v>
      </c>
      <c r="I100" s="228"/>
      <c r="J100" s="9"/>
      <c r="K100" s="1" t="s">
        <v>3</v>
      </c>
      <c r="L100" s="1" t="s">
        <v>382</v>
      </c>
      <c r="M100" s="57">
        <f>4660/17</f>
        <v>274.11764705882354</v>
      </c>
      <c r="N100" s="57">
        <f>M100*1.5</f>
        <v>411.1764705882353</v>
      </c>
      <c r="O100" s="1">
        <f t="shared" si="77"/>
        <v>102</v>
      </c>
      <c r="P100" s="126">
        <f t="shared" si="78"/>
        <v>4.031141868512111</v>
      </c>
      <c r="Q100" t="s">
        <v>424</v>
      </c>
      <c r="R100" s="48">
        <f>R99*4</f>
        <v>14796.077908496733</v>
      </c>
      <c r="S100" s="120"/>
      <c r="T100" s="35"/>
      <c r="U100" s="6" t="s">
        <v>3</v>
      </c>
      <c r="V100" s="6" t="s">
        <v>325</v>
      </c>
      <c r="W100" s="29">
        <f>260</f>
        <v>260</v>
      </c>
      <c r="X100" s="29">
        <f>W100*2.3</f>
        <v>598</v>
      </c>
      <c r="Y100" s="1">
        <f t="shared" si="79"/>
        <v>102</v>
      </c>
      <c r="Z100" s="126">
        <f t="shared" si="75"/>
        <v>5.8627450980392153</v>
      </c>
      <c r="AA100" t="s">
        <v>427</v>
      </c>
      <c r="AB100" s="48">
        <f>AB99*6</f>
        <v>11605.160000000002</v>
      </c>
    </row>
    <row r="101" spans="1:28" x14ac:dyDescent="0.35">
      <c r="A101" s="35"/>
      <c r="B101" s="5"/>
      <c r="C101" s="6" t="s">
        <v>58</v>
      </c>
      <c r="D101" s="6" t="s">
        <v>319</v>
      </c>
      <c r="E101" s="29">
        <f>4660/17</f>
        <v>274.11764705882354</v>
      </c>
      <c r="F101" s="29">
        <f>E101*2.8</f>
        <v>767.52941176470586</v>
      </c>
      <c r="G101" s="6">
        <f t="shared" si="80"/>
        <v>132</v>
      </c>
      <c r="H101" s="126">
        <f t="shared" si="76"/>
        <v>5.8146167557932262</v>
      </c>
      <c r="I101" s="228"/>
      <c r="J101" s="9"/>
      <c r="K101" s="1" t="s">
        <v>7</v>
      </c>
      <c r="L101" s="234" t="s">
        <v>388</v>
      </c>
      <c r="M101" s="57">
        <f>4730/20</f>
        <v>236.5</v>
      </c>
      <c r="N101" s="57">
        <f>M101*12.5</f>
        <v>2956.25</v>
      </c>
      <c r="O101" s="1">
        <f t="shared" si="77"/>
        <v>102</v>
      </c>
      <c r="P101" s="126">
        <f t="shared" si="78"/>
        <v>28.982843137254903</v>
      </c>
      <c r="Q101" t="s">
        <v>1</v>
      </c>
      <c r="R101" s="45"/>
      <c r="T101" s="35"/>
      <c r="U101" s="6" t="s">
        <v>151</v>
      </c>
      <c r="V101" s="53" t="s">
        <v>53</v>
      </c>
      <c r="W101" s="28">
        <f>280/1000</f>
        <v>0.28000000000000003</v>
      </c>
      <c r="X101" s="6">
        <f>W101*50</f>
        <v>14.000000000000002</v>
      </c>
      <c r="Y101" s="1">
        <f t="shared" si="79"/>
        <v>102</v>
      </c>
      <c r="Z101" s="126">
        <f t="shared" si="75"/>
        <v>0.13725490196078433</v>
      </c>
      <c r="AB101" s="45"/>
    </row>
    <row r="102" spans="1:28" x14ac:dyDescent="0.35">
      <c r="A102" s="35"/>
      <c r="B102" s="5"/>
      <c r="C102" s="6"/>
      <c r="D102" s="6"/>
      <c r="E102" s="29"/>
      <c r="F102" s="51">
        <f>SUM(F95:F101)</f>
        <v>4220.9805228758178</v>
      </c>
      <c r="G102" s="32">
        <f t="shared" si="80"/>
        <v>132</v>
      </c>
      <c r="H102" s="33">
        <f>SUM(H95:H101)</f>
        <v>31.977125173301644</v>
      </c>
      <c r="I102" s="228"/>
      <c r="J102" s="35"/>
      <c r="K102" s="6"/>
      <c r="L102" s="6"/>
      <c r="M102" s="6"/>
      <c r="N102" s="235">
        <f>SUM(N95:N101)</f>
        <v>7550.698692810457</v>
      </c>
      <c r="O102" s="32">
        <f t="shared" si="77"/>
        <v>102</v>
      </c>
      <c r="P102" s="236">
        <f t="shared" si="78"/>
        <v>74.02645777265154</v>
      </c>
      <c r="Q102" t="s">
        <v>68</v>
      </c>
      <c r="R102" s="45">
        <v>100</v>
      </c>
      <c r="T102" s="35"/>
      <c r="U102" s="6"/>
      <c r="V102" s="6"/>
      <c r="W102" s="6"/>
      <c r="X102" s="31">
        <f>SUM(X95:X101)</f>
        <v>3165.8066666666664</v>
      </c>
      <c r="Y102" s="32">
        <f t="shared" si="79"/>
        <v>102</v>
      </c>
      <c r="Z102" s="33">
        <f t="shared" si="75"/>
        <v>31.037320261437905</v>
      </c>
      <c r="AB102" s="45"/>
    </row>
    <row r="103" spans="1:28" x14ac:dyDescent="0.35">
      <c r="A103" s="35"/>
      <c r="B103" s="5" t="s">
        <v>44</v>
      </c>
      <c r="C103" s="5" t="s">
        <v>70</v>
      </c>
      <c r="D103" s="5" t="s">
        <v>70</v>
      </c>
      <c r="E103" s="5"/>
      <c r="F103" s="59">
        <f t="shared" ref="F103:F105" si="81">F102</f>
        <v>4220.9805228758178</v>
      </c>
      <c r="G103" s="5">
        <v>119</v>
      </c>
      <c r="H103" s="127">
        <f>F103/G103</f>
        <v>35.470424561981659</v>
      </c>
      <c r="I103" s="228"/>
      <c r="J103" s="35" t="s">
        <v>44</v>
      </c>
      <c r="K103" s="5" t="s">
        <v>70</v>
      </c>
      <c r="L103" s="5" t="s">
        <v>70</v>
      </c>
      <c r="M103" s="5" t="s">
        <v>70</v>
      </c>
      <c r="N103" s="38">
        <f>N102</f>
        <v>7550.698692810457</v>
      </c>
      <c r="O103" s="5">
        <v>102</v>
      </c>
      <c r="P103" s="30">
        <f>N103/O103</f>
        <v>74.02645777265154</v>
      </c>
      <c r="Q103" t="s">
        <v>32</v>
      </c>
      <c r="R103" s="47">
        <f>AVERAGE(P102,P103,P104,P105,P106,P107,P108)</f>
        <v>74.02645777265154</v>
      </c>
      <c r="S103" s="120"/>
      <c r="T103" s="35" t="s">
        <v>44</v>
      </c>
      <c r="U103" s="5"/>
      <c r="V103" s="5"/>
      <c r="W103" s="5"/>
      <c r="X103" s="29">
        <f t="shared" ref="X103:X107" si="82">X102</f>
        <v>3165.8066666666664</v>
      </c>
      <c r="Y103" s="6">
        <v>102</v>
      </c>
      <c r="Z103" s="30">
        <f t="shared" si="75"/>
        <v>31.037320261437905</v>
      </c>
      <c r="AB103" s="47"/>
    </row>
    <row r="104" spans="1:28" x14ac:dyDescent="0.35">
      <c r="A104" s="35"/>
      <c r="B104" s="5" t="s">
        <v>45</v>
      </c>
      <c r="C104" s="5" t="s">
        <v>70</v>
      </c>
      <c r="D104" s="5" t="s">
        <v>70</v>
      </c>
      <c r="E104" s="5"/>
      <c r="F104" s="59">
        <f t="shared" si="81"/>
        <v>4220.9805228758178</v>
      </c>
      <c r="G104" s="5">
        <v>132</v>
      </c>
      <c r="H104" s="127">
        <f t="shared" ref="H104:H105" si="83">F104/G104</f>
        <v>31.977125173301651</v>
      </c>
      <c r="I104" s="228"/>
      <c r="J104" s="35" t="s">
        <v>45</v>
      </c>
      <c r="K104" s="5" t="s">
        <v>70</v>
      </c>
      <c r="L104" s="5" t="s">
        <v>70</v>
      </c>
      <c r="M104" s="5" t="s">
        <v>70</v>
      </c>
      <c r="N104" s="38">
        <f t="shared" ref="N104:N109" si="84">N103</f>
        <v>7550.698692810457</v>
      </c>
      <c r="O104" s="5">
        <v>102</v>
      </c>
      <c r="P104" s="30">
        <f t="shared" ref="P104:P109" si="85">N104/O104</f>
        <v>74.02645777265154</v>
      </c>
      <c r="Q104" t="s">
        <v>69</v>
      </c>
      <c r="R104" s="47">
        <f>R102-R103</f>
        <v>25.97354222734846</v>
      </c>
      <c r="S104" s="120"/>
      <c r="T104" s="35" t="s">
        <v>45</v>
      </c>
      <c r="U104" s="5"/>
      <c r="V104" s="5"/>
      <c r="W104" s="5"/>
      <c r="X104" s="29">
        <f t="shared" si="82"/>
        <v>3165.8066666666664</v>
      </c>
      <c r="Y104" s="6">
        <v>102</v>
      </c>
      <c r="Z104" s="30">
        <f t="shared" si="75"/>
        <v>31.037320261437905</v>
      </c>
      <c r="AB104" s="47"/>
    </row>
    <row r="105" spans="1:28" x14ac:dyDescent="0.35">
      <c r="A105" s="35"/>
      <c r="B105" s="5" t="s">
        <v>67</v>
      </c>
      <c r="C105" s="5" t="s">
        <v>70</v>
      </c>
      <c r="D105" s="5" t="s">
        <v>70</v>
      </c>
      <c r="E105" s="5"/>
      <c r="F105" s="59">
        <f t="shared" si="81"/>
        <v>4220.9805228758178</v>
      </c>
      <c r="G105" s="5">
        <v>132</v>
      </c>
      <c r="H105" s="127">
        <f t="shared" si="83"/>
        <v>31.977125173301651</v>
      </c>
      <c r="I105" s="228"/>
      <c r="J105" s="35" t="s">
        <v>67</v>
      </c>
      <c r="K105" s="5" t="s">
        <v>70</v>
      </c>
      <c r="L105" s="5" t="s">
        <v>70</v>
      </c>
      <c r="M105" s="5" t="s">
        <v>70</v>
      </c>
      <c r="N105" s="38">
        <f t="shared" si="84"/>
        <v>7550.698692810457</v>
      </c>
      <c r="O105" s="5">
        <v>102</v>
      </c>
      <c r="P105" s="30">
        <f t="shared" si="85"/>
        <v>74.02645777265154</v>
      </c>
      <c r="Q105" t="s">
        <v>136</v>
      </c>
      <c r="R105" s="50">
        <f>R104*106</f>
        <v>2753.195476098937</v>
      </c>
      <c r="S105" s="120"/>
      <c r="T105" s="35" t="s">
        <v>67</v>
      </c>
      <c r="U105" s="5"/>
      <c r="V105" s="5"/>
      <c r="W105" s="5"/>
      <c r="X105" s="29">
        <f t="shared" si="82"/>
        <v>3165.8066666666664</v>
      </c>
      <c r="Y105" s="6">
        <v>102</v>
      </c>
      <c r="Z105" s="30">
        <f t="shared" si="75"/>
        <v>31.037320261437905</v>
      </c>
      <c r="AB105" s="50"/>
    </row>
    <row r="106" spans="1:28" x14ac:dyDescent="0.35">
      <c r="A106" s="35"/>
      <c r="B106" s="5"/>
      <c r="C106" s="5"/>
      <c r="D106" s="5"/>
      <c r="E106" s="5"/>
      <c r="F106" s="59"/>
      <c r="G106" s="5"/>
      <c r="H106" s="127"/>
      <c r="I106" s="228"/>
      <c r="J106" s="35" t="s">
        <v>133</v>
      </c>
      <c r="K106" s="5"/>
      <c r="L106" s="5"/>
      <c r="M106" s="5"/>
      <c r="N106" s="38">
        <f t="shared" si="84"/>
        <v>7550.698692810457</v>
      </c>
      <c r="O106" s="5">
        <v>102</v>
      </c>
      <c r="P106" s="30">
        <f t="shared" si="85"/>
        <v>74.02645777265154</v>
      </c>
      <c r="Q106" t="s">
        <v>425</v>
      </c>
      <c r="R106" s="48">
        <f>R105*8</f>
        <v>22025.563808791496</v>
      </c>
      <c r="S106" s="120"/>
      <c r="T106" s="35" t="s">
        <v>133</v>
      </c>
      <c r="U106" s="5"/>
      <c r="V106" s="5"/>
      <c r="W106" s="5"/>
      <c r="X106" s="29">
        <f t="shared" si="82"/>
        <v>3165.8066666666664</v>
      </c>
      <c r="Y106" s="6">
        <v>102</v>
      </c>
      <c r="Z106" s="30">
        <f t="shared" si="75"/>
        <v>31.037320261437905</v>
      </c>
      <c r="AB106" s="48"/>
    </row>
    <row r="107" spans="1:28" x14ac:dyDescent="0.35">
      <c r="A107" s="35"/>
      <c r="B107" s="5"/>
      <c r="C107" s="5"/>
      <c r="D107" s="5"/>
      <c r="E107" s="5"/>
      <c r="F107" s="59"/>
      <c r="G107" s="5"/>
      <c r="H107" s="127"/>
      <c r="I107" s="228"/>
      <c r="J107" s="35" t="s">
        <v>134</v>
      </c>
      <c r="K107" s="5"/>
      <c r="L107" s="5"/>
      <c r="M107" s="5"/>
      <c r="N107" s="38">
        <f t="shared" si="84"/>
        <v>7550.698692810457</v>
      </c>
      <c r="O107" s="5">
        <v>102</v>
      </c>
      <c r="P107" s="30">
        <f t="shared" si="85"/>
        <v>74.02645777265154</v>
      </c>
      <c r="R107" s="48"/>
      <c r="S107" s="120"/>
      <c r="T107" s="35" t="s">
        <v>134</v>
      </c>
      <c r="U107" s="5"/>
      <c r="V107" s="5"/>
      <c r="W107" s="5"/>
      <c r="X107" s="29">
        <f t="shared" si="82"/>
        <v>3165.8066666666664</v>
      </c>
      <c r="Y107" s="6">
        <v>102</v>
      </c>
      <c r="Z107" s="30">
        <f t="shared" si="75"/>
        <v>31.037320261437905</v>
      </c>
      <c r="AB107" s="48"/>
    </row>
    <row r="108" spans="1:28" x14ac:dyDescent="0.35">
      <c r="A108" s="35"/>
      <c r="B108" s="5"/>
      <c r="C108" s="5"/>
      <c r="D108" s="5"/>
      <c r="E108" s="5"/>
      <c r="F108" s="59"/>
      <c r="G108" s="5"/>
      <c r="H108" s="127"/>
      <c r="I108" s="228"/>
      <c r="J108" s="35" t="s">
        <v>252</v>
      </c>
      <c r="K108" s="5" t="s">
        <v>70</v>
      </c>
      <c r="L108" s="5" t="s">
        <v>70</v>
      </c>
      <c r="M108" s="5" t="s">
        <v>70</v>
      </c>
      <c r="N108" s="38">
        <f t="shared" si="84"/>
        <v>7550.698692810457</v>
      </c>
      <c r="O108" s="5">
        <v>102</v>
      </c>
      <c r="P108" s="30">
        <f t="shared" si="85"/>
        <v>74.02645777265154</v>
      </c>
      <c r="R108" s="48"/>
      <c r="S108" s="120"/>
      <c r="T108" s="35"/>
      <c r="U108" s="5"/>
      <c r="V108" s="5"/>
      <c r="W108" s="5"/>
      <c r="X108" s="29"/>
      <c r="Y108" s="6"/>
      <c r="Z108" s="30"/>
      <c r="AB108" s="48"/>
    </row>
    <row r="109" spans="1:28" x14ac:dyDescent="0.35">
      <c r="A109" s="35"/>
      <c r="B109" s="5"/>
      <c r="C109" s="5"/>
      <c r="D109" s="5"/>
      <c r="E109" s="5"/>
      <c r="F109" s="59"/>
      <c r="G109" s="5"/>
      <c r="H109" s="127"/>
      <c r="I109" s="228"/>
      <c r="J109" s="35" t="s">
        <v>253</v>
      </c>
      <c r="K109" s="5" t="s">
        <v>70</v>
      </c>
      <c r="L109" s="5" t="s">
        <v>70</v>
      </c>
      <c r="M109" s="5" t="s">
        <v>70</v>
      </c>
      <c r="N109" s="38">
        <f t="shared" si="84"/>
        <v>7550.698692810457</v>
      </c>
      <c r="O109" s="5">
        <v>102</v>
      </c>
      <c r="P109" s="30">
        <f t="shared" si="85"/>
        <v>74.02645777265154</v>
      </c>
      <c r="Q109">
        <f>100/8</f>
        <v>12.5</v>
      </c>
      <c r="R109" s="48"/>
      <c r="S109" s="120"/>
      <c r="T109" s="35"/>
      <c r="U109" s="5"/>
      <c r="V109" s="5"/>
      <c r="W109" s="5"/>
      <c r="X109" s="29"/>
      <c r="Y109" s="6"/>
      <c r="Z109" s="30"/>
      <c r="AB109" s="48"/>
    </row>
    <row r="110" spans="1:28" x14ac:dyDescent="0.35">
      <c r="A110" s="35"/>
      <c r="B110" s="5"/>
      <c r="C110" s="5"/>
      <c r="D110" s="5"/>
      <c r="E110" s="5"/>
      <c r="F110" s="59"/>
      <c r="G110" s="5"/>
      <c r="H110" s="127"/>
      <c r="I110" s="228"/>
      <c r="J110" s="9"/>
      <c r="K110" s="1"/>
      <c r="L110" s="1"/>
      <c r="M110" s="1"/>
      <c r="N110" s="57"/>
      <c r="O110" s="1"/>
      <c r="P110" s="126"/>
      <c r="R110" s="48"/>
      <c r="S110" s="120"/>
      <c r="T110" s="35"/>
      <c r="U110" s="5"/>
      <c r="V110" s="5"/>
      <c r="W110" s="5"/>
      <c r="X110" s="29"/>
      <c r="Y110" s="6"/>
      <c r="Z110" s="30"/>
      <c r="AB110" s="48"/>
    </row>
    <row r="111" spans="1:28" x14ac:dyDescent="0.35">
      <c r="A111" s="35"/>
      <c r="B111" s="5"/>
      <c r="C111" s="5"/>
      <c r="D111" s="5"/>
      <c r="E111" s="5"/>
      <c r="F111" s="59"/>
      <c r="G111" s="5"/>
      <c r="H111" s="37"/>
      <c r="I111" s="228"/>
      <c r="J111" s="9"/>
      <c r="K111" s="1"/>
      <c r="L111" s="1"/>
      <c r="M111" s="1"/>
      <c r="N111" s="57"/>
      <c r="O111" s="1"/>
      <c r="P111" s="126"/>
      <c r="R111" s="48"/>
      <c r="S111" s="120"/>
      <c r="T111" s="35"/>
      <c r="U111" s="5"/>
      <c r="V111" s="5"/>
      <c r="W111" s="5"/>
      <c r="X111" s="29"/>
      <c r="Y111" s="6"/>
      <c r="Z111" s="30"/>
      <c r="AB111" s="48"/>
    </row>
    <row r="112" spans="1:28" x14ac:dyDescent="0.35">
      <c r="A112" s="35"/>
      <c r="B112" s="5"/>
      <c r="C112" s="5"/>
      <c r="D112" s="5"/>
      <c r="E112" s="5"/>
      <c r="F112" s="59"/>
      <c r="G112" s="5"/>
      <c r="H112" s="37"/>
      <c r="I112" s="228"/>
      <c r="J112" s="9"/>
      <c r="K112" s="1"/>
      <c r="L112" s="1"/>
      <c r="M112" s="1"/>
      <c r="N112" s="57"/>
      <c r="O112" s="1"/>
      <c r="P112" s="126"/>
      <c r="R112" s="48"/>
      <c r="S112" s="120"/>
      <c r="T112" s="35"/>
      <c r="U112" s="5"/>
      <c r="V112" s="5"/>
      <c r="W112" s="5"/>
      <c r="X112" s="206"/>
      <c r="Y112" s="90"/>
      <c r="Z112" s="91"/>
      <c r="AB112" s="48"/>
    </row>
    <row r="113" spans="1:28" x14ac:dyDescent="0.35">
      <c r="A113" s="35"/>
      <c r="B113" s="5"/>
      <c r="C113" s="5"/>
      <c r="D113" s="5"/>
      <c r="E113" s="5"/>
      <c r="F113" s="59"/>
      <c r="G113" s="5"/>
      <c r="H113" s="37"/>
      <c r="I113" s="228"/>
      <c r="J113" s="9"/>
      <c r="K113" s="1"/>
      <c r="L113" s="1"/>
      <c r="M113" s="1"/>
      <c r="N113" s="57"/>
      <c r="O113" s="1"/>
      <c r="P113" s="126"/>
      <c r="R113" s="48"/>
      <c r="S113" s="120"/>
      <c r="T113" s="35"/>
      <c r="U113" s="5"/>
      <c r="V113" s="5"/>
      <c r="W113" s="5"/>
      <c r="X113" s="206"/>
      <c r="Y113" s="90"/>
      <c r="Z113" s="91"/>
      <c r="AB113" s="48"/>
    </row>
    <row r="114" spans="1:28" ht="15" thickBot="1" x14ac:dyDescent="0.4">
      <c r="A114" s="11"/>
      <c r="B114" s="12"/>
      <c r="C114" s="12"/>
      <c r="D114" s="12"/>
      <c r="E114" s="12"/>
      <c r="F114" s="114">
        <f>SUM(F102:F109)</f>
        <v>16883.922091503271</v>
      </c>
      <c r="G114" s="114">
        <f>SUM(G102:G109)</f>
        <v>515</v>
      </c>
      <c r="H114" s="13"/>
      <c r="I114" s="229"/>
      <c r="J114" s="11"/>
      <c r="K114" s="12"/>
      <c r="L114" s="12"/>
      <c r="M114" s="12"/>
      <c r="N114" s="77">
        <f>SUM(N102:N113)</f>
        <v>60405.589542483664</v>
      </c>
      <c r="O114" s="77">
        <f>SUM(O102:O113)</f>
        <v>816</v>
      </c>
      <c r="P114" s="226"/>
      <c r="Q114" s="46" t="s">
        <v>71</v>
      </c>
      <c r="R114" s="52">
        <f>R100+R106</f>
        <v>36821.641717288228</v>
      </c>
      <c r="S114" s="121"/>
      <c r="T114" s="11"/>
      <c r="U114" s="12"/>
      <c r="V114" s="12"/>
      <c r="W114" s="12"/>
      <c r="X114" s="77">
        <f>SUM(X102:X107)</f>
        <v>18994.84</v>
      </c>
      <c r="Y114" s="115">
        <f>SUM(Y102:Y109)</f>
        <v>612</v>
      </c>
      <c r="Z114" s="13"/>
      <c r="AA114" s="46"/>
      <c r="AB114" s="52"/>
    </row>
    <row r="115" spans="1:28" x14ac:dyDescent="0.35">
      <c r="A115" s="39" t="s">
        <v>465</v>
      </c>
      <c r="B115" s="40" t="s">
        <v>43</v>
      </c>
      <c r="C115" s="41" t="s">
        <v>2</v>
      </c>
      <c r="D115" s="41" t="s">
        <v>86</v>
      </c>
      <c r="E115" s="41">
        <f>3650/50</f>
        <v>73</v>
      </c>
      <c r="F115" s="41">
        <f t="shared" ref="F115:F121" si="86">E115*0</f>
        <v>0</v>
      </c>
      <c r="G115" s="41">
        <v>0</v>
      </c>
      <c r="H115" s="113">
        <v>0</v>
      </c>
      <c r="I115" s="119"/>
      <c r="J115" s="80" t="s">
        <v>43</v>
      </c>
      <c r="K115" s="41" t="s">
        <v>2</v>
      </c>
      <c r="L115" s="41" t="s">
        <v>49</v>
      </c>
      <c r="M115" s="41">
        <f>3650/50</f>
        <v>73</v>
      </c>
      <c r="N115" s="41">
        <f t="shared" ref="N115:N121" si="87">M115*0</f>
        <v>0</v>
      </c>
      <c r="O115" s="41">
        <v>0</v>
      </c>
      <c r="P115" s="113">
        <v>0</v>
      </c>
      <c r="Q115" s="43" t="s">
        <v>0</v>
      </c>
      <c r="R115" s="44"/>
      <c r="S115" s="119"/>
      <c r="T115" s="39" t="s">
        <v>43</v>
      </c>
      <c r="U115" s="41" t="s">
        <v>2</v>
      </c>
      <c r="V115" s="41" t="s">
        <v>317</v>
      </c>
      <c r="W115" s="139">
        <f>3600/50</f>
        <v>72</v>
      </c>
      <c r="X115" s="41">
        <f t="shared" ref="X115:X121" si="88">W115*0</f>
        <v>0</v>
      </c>
      <c r="Y115" s="41">
        <v>0</v>
      </c>
      <c r="Z115" s="113">
        <v>0</v>
      </c>
      <c r="AA115" s="43" t="s">
        <v>196</v>
      </c>
      <c r="AB115" s="44"/>
    </row>
    <row r="116" spans="1:28" x14ac:dyDescent="0.35">
      <c r="A116" s="35"/>
      <c r="B116" s="5"/>
      <c r="C116" s="6" t="s">
        <v>4</v>
      </c>
      <c r="D116" s="6" t="s">
        <v>50</v>
      </c>
      <c r="E116" s="28">
        <f>7200/50</f>
        <v>144</v>
      </c>
      <c r="F116" s="6">
        <f t="shared" si="86"/>
        <v>0</v>
      </c>
      <c r="G116" s="1">
        <f>G115</f>
        <v>0</v>
      </c>
      <c r="H116" s="126">
        <v>0</v>
      </c>
      <c r="I116" s="228"/>
      <c r="J116" s="9"/>
      <c r="K116" s="1" t="s">
        <v>4</v>
      </c>
      <c r="L116" s="1" t="s">
        <v>353</v>
      </c>
      <c r="M116" s="28">
        <f>7200/50</f>
        <v>144</v>
      </c>
      <c r="N116" s="6">
        <f t="shared" si="87"/>
        <v>0</v>
      </c>
      <c r="O116" s="1">
        <f>O115</f>
        <v>0</v>
      </c>
      <c r="P116" s="126">
        <v>0</v>
      </c>
      <c r="Q116" t="s">
        <v>68</v>
      </c>
      <c r="R116" s="45">
        <v>60</v>
      </c>
      <c r="T116" s="35"/>
      <c r="U116" s="6" t="s">
        <v>4</v>
      </c>
      <c r="V116" s="6" t="s">
        <v>324</v>
      </c>
      <c r="W116" s="28">
        <f>7200/50</f>
        <v>144</v>
      </c>
      <c r="X116" s="29">
        <f t="shared" si="88"/>
        <v>0</v>
      </c>
      <c r="Y116" s="1">
        <f t="shared" ref="Y116:Y122" si="89">Y115</f>
        <v>0</v>
      </c>
      <c r="Z116" s="126">
        <v>0</v>
      </c>
      <c r="AA116" t="s">
        <v>68</v>
      </c>
      <c r="AB116" s="45">
        <v>50</v>
      </c>
    </row>
    <row r="117" spans="1:28" x14ac:dyDescent="0.35">
      <c r="A117" s="35"/>
      <c r="B117" s="5"/>
      <c r="C117" s="6" t="s">
        <v>54</v>
      </c>
      <c r="D117" s="6" t="s">
        <v>419</v>
      </c>
      <c r="E117" s="28">
        <f>600/1000</f>
        <v>0.6</v>
      </c>
      <c r="F117" s="6">
        <f t="shared" si="86"/>
        <v>0</v>
      </c>
      <c r="G117" s="1">
        <f t="shared" ref="G117:G122" si="90">G116</f>
        <v>0</v>
      </c>
      <c r="H117" s="126">
        <v>0</v>
      </c>
      <c r="I117" s="228"/>
      <c r="J117" s="9"/>
      <c r="K117" s="1" t="s">
        <v>5</v>
      </c>
      <c r="L117" s="1" t="s">
        <v>421</v>
      </c>
      <c r="M117" s="233">
        <f>400/450</f>
        <v>0.88888888888888884</v>
      </c>
      <c r="N117" s="6">
        <f t="shared" si="87"/>
        <v>0</v>
      </c>
      <c r="O117" s="1">
        <f t="shared" ref="O117:O122" si="91">O116</f>
        <v>0</v>
      </c>
      <c r="P117" s="126">
        <v>0</v>
      </c>
      <c r="Q117" t="s">
        <v>32</v>
      </c>
      <c r="R117" s="47">
        <f>H122</f>
        <v>0</v>
      </c>
      <c r="S117" s="120"/>
      <c r="T117" s="35"/>
      <c r="U117" s="6" t="s">
        <v>5</v>
      </c>
      <c r="V117" s="6" t="s">
        <v>420</v>
      </c>
      <c r="W117" s="28">
        <f>255/450</f>
        <v>0.56666666666666665</v>
      </c>
      <c r="X117" s="29">
        <f t="shared" si="88"/>
        <v>0</v>
      </c>
      <c r="Y117" s="1">
        <f t="shared" si="89"/>
        <v>0</v>
      </c>
      <c r="Z117" s="126">
        <v>0</v>
      </c>
      <c r="AA117" t="s">
        <v>32</v>
      </c>
      <c r="AB117" s="47">
        <f>Z122</f>
        <v>0</v>
      </c>
    </row>
    <row r="118" spans="1:28" x14ac:dyDescent="0.35">
      <c r="A118" s="35"/>
      <c r="B118" s="5"/>
      <c r="C118" s="6" t="s">
        <v>55</v>
      </c>
      <c r="D118" s="6" t="s">
        <v>318</v>
      </c>
      <c r="E118" s="28">
        <f>35.5/1000</f>
        <v>3.5499999999999997E-2</v>
      </c>
      <c r="F118" s="6">
        <f t="shared" si="86"/>
        <v>0</v>
      </c>
      <c r="G118" s="1">
        <f t="shared" si="90"/>
        <v>0</v>
      </c>
      <c r="H118" s="126">
        <v>0</v>
      </c>
      <c r="I118" s="228"/>
      <c r="J118" s="9"/>
      <c r="K118" s="1" t="s">
        <v>51</v>
      </c>
      <c r="L118" s="1" t="s">
        <v>52</v>
      </c>
      <c r="M118" s="232">
        <f>35.5/1000</f>
        <v>3.5499999999999997E-2</v>
      </c>
      <c r="N118" s="6">
        <f t="shared" si="87"/>
        <v>0</v>
      </c>
      <c r="O118" s="1">
        <f t="shared" si="91"/>
        <v>0</v>
      </c>
      <c r="P118" s="126">
        <v>0</v>
      </c>
      <c r="Q118" t="s">
        <v>62</v>
      </c>
      <c r="R118" s="47">
        <f>R116-R117</f>
        <v>60</v>
      </c>
      <c r="S118" s="120"/>
      <c r="T118" s="35"/>
      <c r="U118" s="6" t="s">
        <v>51</v>
      </c>
      <c r="V118" s="6" t="s">
        <v>318</v>
      </c>
      <c r="W118" s="205">
        <f>35.5/1000</f>
        <v>3.5499999999999997E-2</v>
      </c>
      <c r="X118" s="6">
        <f t="shared" si="88"/>
        <v>0</v>
      </c>
      <c r="Y118" s="1">
        <f t="shared" si="89"/>
        <v>0</v>
      </c>
      <c r="Z118" s="126">
        <v>0</v>
      </c>
      <c r="AA118" t="s">
        <v>69</v>
      </c>
      <c r="AB118" s="47">
        <f>AB116-AB117</f>
        <v>50</v>
      </c>
    </row>
    <row r="119" spans="1:28" x14ac:dyDescent="0.35">
      <c r="A119" s="35"/>
      <c r="B119" s="5"/>
      <c r="C119" s="6" t="s">
        <v>56</v>
      </c>
      <c r="D119" s="6" t="s">
        <v>419</v>
      </c>
      <c r="E119" s="6">
        <f>340/1000</f>
        <v>0.34</v>
      </c>
      <c r="F119" s="6">
        <f t="shared" si="86"/>
        <v>0</v>
      </c>
      <c r="G119" s="1">
        <f t="shared" si="90"/>
        <v>0</v>
      </c>
      <c r="H119" s="126">
        <v>0</v>
      </c>
      <c r="I119" s="228"/>
      <c r="J119" s="9"/>
      <c r="K119" s="1" t="s">
        <v>26</v>
      </c>
      <c r="L119" s="1" t="s">
        <v>419</v>
      </c>
      <c r="M119" s="1">
        <f>340/1000</f>
        <v>0.34</v>
      </c>
      <c r="N119" s="6">
        <f t="shared" si="87"/>
        <v>0</v>
      </c>
      <c r="O119" s="1">
        <f t="shared" si="91"/>
        <v>0</v>
      </c>
      <c r="P119" s="126">
        <v>0</v>
      </c>
      <c r="Q119" t="s">
        <v>72</v>
      </c>
      <c r="R119" s="50">
        <f>G122*R118</f>
        <v>0</v>
      </c>
      <c r="S119" s="120"/>
      <c r="T119" s="35"/>
      <c r="U119" s="6" t="s">
        <v>26</v>
      </c>
      <c r="V119" s="6" t="s">
        <v>53</v>
      </c>
      <c r="W119" s="6">
        <f>340/1000</f>
        <v>0.34</v>
      </c>
      <c r="X119" s="6">
        <f t="shared" si="88"/>
        <v>0</v>
      </c>
      <c r="Y119" s="1">
        <f t="shared" si="89"/>
        <v>0</v>
      </c>
      <c r="Z119" s="126">
        <v>0</v>
      </c>
      <c r="AA119" t="s">
        <v>205</v>
      </c>
      <c r="AB119" s="50">
        <f>AB118*0</f>
        <v>0</v>
      </c>
    </row>
    <row r="120" spans="1:28" x14ac:dyDescent="0.35">
      <c r="A120" s="35"/>
      <c r="B120" s="5"/>
      <c r="C120" s="6" t="s">
        <v>57</v>
      </c>
      <c r="D120" s="6" t="s">
        <v>6</v>
      </c>
      <c r="E120" s="28">
        <f>250/450</f>
        <v>0.55555555555555558</v>
      </c>
      <c r="F120" s="6">
        <f t="shared" si="86"/>
        <v>0</v>
      </c>
      <c r="G120" s="1">
        <f t="shared" si="90"/>
        <v>0</v>
      </c>
      <c r="H120" s="126">
        <v>0</v>
      </c>
      <c r="I120" s="228"/>
      <c r="J120" s="9"/>
      <c r="K120" s="1" t="s">
        <v>3</v>
      </c>
      <c r="L120" s="1" t="s">
        <v>382</v>
      </c>
      <c r="M120" s="57">
        <f>4660/17</f>
        <v>274.11764705882354</v>
      </c>
      <c r="N120" s="6">
        <f t="shared" si="87"/>
        <v>0</v>
      </c>
      <c r="O120" s="1">
        <f t="shared" si="91"/>
        <v>0</v>
      </c>
      <c r="P120" s="126">
        <v>0</v>
      </c>
      <c r="Q120" t="s">
        <v>81</v>
      </c>
      <c r="R120" s="48">
        <f>R119*3</f>
        <v>0</v>
      </c>
      <c r="S120" s="120"/>
      <c r="T120" s="35"/>
      <c r="U120" s="6" t="s">
        <v>3</v>
      </c>
      <c r="V120" s="6" t="s">
        <v>325</v>
      </c>
      <c r="W120" s="29">
        <f>260</f>
        <v>260</v>
      </c>
      <c r="X120" s="29">
        <f t="shared" si="88"/>
        <v>0</v>
      </c>
      <c r="Y120" s="1">
        <f t="shared" si="89"/>
        <v>0</v>
      </c>
      <c r="Z120" s="126">
        <v>0</v>
      </c>
      <c r="AA120" t="s">
        <v>427</v>
      </c>
      <c r="AB120" s="48">
        <f>AB119*4</f>
        <v>0</v>
      </c>
    </row>
    <row r="121" spans="1:28" x14ac:dyDescent="0.35">
      <c r="A121" s="35"/>
      <c r="B121" s="5"/>
      <c r="C121" s="6" t="s">
        <v>58</v>
      </c>
      <c r="D121" s="6" t="s">
        <v>319</v>
      </c>
      <c r="E121" s="29">
        <f>4660/17</f>
        <v>274.11764705882354</v>
      </c>
      <c r="F121" s="29">
        <f t="shared" si="86"/>
        <v>0</v>
      </c>
      <c r="G121" s="6">
        <f t="shared" si="90"/>
        <v>0</v>
      </c>
      <c r="H121" s="126">
        <v>0</v>
      </c>
      <c r="I121" s="228"/>
      <c r="J121" s="9"/>
      <c r="K121" s="1" t="s">
        <v>7</v>
      </c>
      <c r="L121" s="234" t="s">
        <v>316</v>
      </c>
      <c r="M121" s="57">
        <f>4730/20</f>
        <v>236.5</v>
      </c>
      <c r="N121" s="29">
        <f t="shared" si="87"/>
        <v>0</v>
      </c>
      <c r="O121" s="6">
        <f t="shared" si="91"/>
        <v>0</v>
      </c>
      <c r="P121" s="126">
        <v>0</v>
      </c>
      <c r="Q121" t="s">
        <v>1</v>
      </c>
      <c r="R121" s="45"/>
      <c r="T121" s="35"/>
      <c r="U121" s="6" t="s">
        <v>151</v>
      </c>
      <c r="V121" s="53" t="s">
        <v>53</v>
      </c>
      <c r="W121" s="28">
        <f>280/1000</f>
        <v>0.28000000000000003</v>
      </c>
      <c r="X121" s="6">
        <f t="shared" si="88"/>
        <v>0</v>
      </c>
      <c r="Y121" s="1">
        <f t="shared" si="89"/>
        <v>0</v>
      </c>
      <c r="Z121" s="126">
        <v>0</v>
      </c>
      <c r="AB121" s="45"/>
    </row>
    <row r="122" spans="1:28" x14ac:dyDescent="0.35">
      <c r="A122" s="35"/>
      <c r="B122" s="5"/>
      <c r="C122" s="6"/>
      <c r="D122" s="6"/>
      <c r="E122" s="29"/>
      <c r="F122" s="51">
        <f>SUM(F115:F121)</f>
        <v>0</v>
      </c>
      <c r="G122" s="32">
        <f t="shared" si="90"/>
        <v>0</v>
      </c>
      <c r="H122" s="33">
        <f>SUM(H115:H121)</f>
        <v>0</v>
      </c>
      <c r="I122" s="228"/>
      <c r="J122" s="35"/>
      <c r="K122" s="6"/>
      <c r="L122" s="6"/>
      <c r="M122" s="6"/>
      <c r="N122" s="51">
        <f>SUM(N115:N121)</f>
        <v>0</v>
      </c>
      <c r="O122" s="32">
        <f t="shared" si="91"/>
        <v>0</v>
      </c>
      <c r="P122" s="33">
        <f>SUM(P115:P121)</f>
        <v>0</v>
      </c>
      <c r="Q122" t="s">
        <v>68</v>
      </c>
      <c r="R122" s="45">
        <v>100</v>
      </c>
      <c r="T122" s="35"/>
      <c r="U122" s="6"/>
      <c r="V122" s="6"/>
      <c r="W122" s="6"/>
      <c r="X122" s="31">
        <f>SUM(X115:X121)</f>
        <v>0</v>
      </c>
      <c r="Y122" s="32">
        <f t="shared" si="89"/>
        <v>0</v>
      </c>
      <c r="Z122" s="33">
        <v>0</v>
      </c>
      <c r="AB122" s="45"/>
    </row>
    <row r="123" spans="1:28" x14ac:dyDescent="0.35">
      <c r="A123" s="35"/>
      <c r="B123" s="5"/>
      <c r="C123" s="5"/>
      <c r="D123" s="5"/>
      <c r="E123" s="5"/>
      <c r="F123" s="59"/>
      <c r="G123" s="5"/>
      <c r="H123" s="127"/>
      <c r="I123" s="228"/>
      <c r="J123" s="35"/>
      <c r="K123" s="5"/>
      <c r="L123" s="5"/>
      <c r="M123" s="5"/>
      <c r="N123" s="38"/>
      <c r="O123" s="5"/>
      <c r="P123" s="30"/>
      <c r="Q123" t="s">
        <v>32</v>
      </c>
      <c r="R123" s="47">
        <f>AVERAGE(P122,P123,P124,P125,P126,P127,P128,P129)</f>
        <v>0</v>
      </c>
      <c r="S123" s="120"/>
      <c r="T123" s="35"/>
      <c r="U123" s="5"/>
      <c r="V123" s="5"/>
      <c r="W123" s="5"/>
      <c r="X123" s="29"/>
      <c r="Y123" s="6"/>
      <c r="Z123" s="30"/>
      <c r="AB123" s="47"/>
    </row>
    <row r="124" spans="1:28" x14ac:dyDescent="0.35">
      <c r="A124" s="35"/>
      <c r="B124" s="5"/>
      <c r="C124" s="5"/>
      <c r="D124" s="5"/>
      <c r="E124" s="5"/>
      <c r="F124" s="59"/>
      <c r="G124" s="5"/>
      <c r="H124" s="127"/>
      <c r="I124" s="228"/>
      <c r="J124" s="35"/>
      <c r="K124" s="5"/>
      <c r="L124" s="5"/>
      <c r="M124" s="5"/>
      <c r="N124" s="38"/>
      <c r="O124" s="5"/>
      <c r="P124" s="30"/>
      <c r="Q124" t="s">
        <v>69</v>
      </c>
      <c r="R124" s="47">
        <f>R122-R123</f>
        <v>100</v>
      </c>
      <c r="S124" s="120"/>
      <c r="T124" s="35"/>
      <c r="U124" s="5"/>
      <c r="V124" s="5"/>
      <c r="W124" s="5"/>
      <c r="X124" s="29"/>
      <c r="Y124" s="6"/>
      <c r="Z124" s="30"/>
      <c r="AB124" s="47"/>
    </row>
    <row r="125" spans="1:28" x14ac:dyDescent="0.35">
      <c r="A125" s="35"/>
      <c r="B125" s="5"/>
      <c r="C125" s="5"/>
      <c r="D125" s="5"/>
      <c r="E125" s="5"/>
      <c r="F125" s="59"/>
      <c r="G125" s="5"/>
      <c r="H125" s="127"/>
      <c r="I125" s="228"/>
      <c r="J125" s="35"/>
      <c r="K125" s="5"/>
      <c r="L125" s="5"/>
      <c r="M125" s="5"/>
      <c r="N125" s="38"/>
      <c r="O125" s="5"/>
      <c r="P125" s="30"/>
      <c r="Q125" t="s">
        <v>136</v>
      </c>
      <c r="R125" s="50">
        <f>R124*0</f>
        <v>0</v>
      </c>
      <c r="S125" s="120"/>
      <c r="T125" s="35"/>
      <c r="U125" s="5"/>
      <c r="V125" s="5"/>
      <c r="W125" s="5"/>
      <c r="X125" s="29"/>
      <c r="Y125" s="6"/>
      <c r="Z125" s="30"/>
      <c r="AB125" s="50"/>
    </row>
    <row r="126" spans="1:28" x14ac:dyDescent="0.35">
      <c r="A126" s="35"/>
      <c r="B126" s="5"/>
      <c r="C126" s="5"/>
      <c r="D126" s="5"/>
      <c r="E126" s="5"/>
      <c r="F126" s="59"/>
      <c r="G126" s="5"/>
      <c r="H126" s="127"/>
      <c r="I126" s="228"/>
      <c r="J126" s="35"/>
      <c r="K126" s="5"/>
      <c r="L126" s="5"/>
      <c r="M126" s="5"/>
      <c r="N126" s="38"/>
      <c r="O126" s="5"/>
      <c r="P126" s="30"/>
      <c r="Q126" t="s">
        <v>194</v>
      </c>
      <c r="R126" s="48">
        <f>R125*6</f>
        <v>0</v>
      </c>
      <c r="S126" s="120"/>
      <c r="T126" s="35"/>
      <c r="U126" s="5"/>
      <c r="V126" s="5"/>
      <c r="W126" s="5"/>
      <c r="X126" s="29"/>
      <c r="Y126" s="6"/>
      <c r="Z126" s="30"/>
      <c r="AB126" s="48"/>
    </row>
    <row r="127" spans="1:28" x14ac:dyDescent="0.35">
      <c r="A127" s="35"/>
      <c r="B127" s="5"/>
      <c r="C127" s="5"/>
      <c r="D127" s="5"/>
      <c r="E127" s="5"/>
      <c r="F127" s="59"/>
      <c r="G127" s="5"/>
      <c r="H127" s="127"/>
      <c r="I127" s="228"/>
      <c r="J127" s="35"/>
      <c r="K127" s="5"/>
      <c r="L127" s="5"/>
      <c r="M127" s="5"/>
      <c r="N127" s="38"/>
      <c r="O127" s="5"/>
      <c r="P127" s="30"/>
      <c r="R127" s="48"/>
      <c r="S127" s="120"/>
      <c r="T127" s="35"/>
      <c r="U127" s="5"/>
      <c r="V127" s="5"/>
      <c r="W127" s="5"/>
      <c r="X127" s="29"/>
      <c r="Y127" s="6"/>
      <c r="Z127" s="30"/>
      <c r="AB127" s="48"/>
    </row>
    <row r="128" spans="1:28" x14ac:dyDescent="0.35">
      <c r="A128" s="35"/>
      <c r="B128" s="5"/>
      <c r="C128" s="5"/>
      <c r="D128" s="5"/>
      <c r="E128" s="5"/>
      <c r="F128" s="59"/>
      <c r="G128" s="5"/>
      <c r="H128" s="127"/>
      <c r="I128" s="228"/>
      <c r="J128" s="35"/>
      <c r="K128" s="5"/>
      <c r="L128" s="5"/>
      <c r="M128" s="5"/>
      <c r="N128" s="38"/>
      <c r="O128" s="5"/>
      <c r="P128" s="30"/>
      <c r="Q128">
        <f>80/8</f>
        <v>10</v>
      </c>
      <c r="R128" s="48"/>
      <c r="S128" s="120"/>
      <c r="T128" s="35"/>
      <c r="U128" s="5"/>
      <c r="V128" s="5"/>
      <c r="W128" s="5"/>
      <c r="X128" s="29"/>
      <c r="Y128" s="6"/>
      <c r="Z128" s="30"/>
      <c r="AB128" s="48"/>
    </row>
    <row r="129" spans="1:28" x14ac:dyDescent="0.35">
      <c r="A129" s="35"/>
      <c r="B129" s="5"/>
      <c r="C129" s="5"/>
      <c r="D129" s="5"/>
      <c r="E129" s="5"/>
      <c r="F129" s="59"/>
      <c r="G129" s="5"/>
      <c r="H129" s="127"/>
      <c r="I129" s="228"/>
      <c r="J129" s="9"/>
      <c r="K129" s="1"/>
      <c r="L129" s="1"/>
      <c r="M129" s="1"/>
      <c r="N129" s="57"/>
      <c r="O129" s="1"/>
      <c r="P129" s="126"/>
      <c r="R129" s="48"/>
      <c r="S129" s="120"/>
      <c r="T129" s="35"/>
      <c r="U129" s="5"/>
      <c r="V129" s="5"/>
      <c r="W129" s="5"/>
      <c r="X129" s="38"/>
      <c r="Y129" s="90"/>
      <c r="Z129" s="91"/>
      <c r="AB129" s="48"/>
    </row>
    <row r="130" spans="1:28" x14ac:dyDescent="0.35">
      <c r="A130" s="35"/>
      <c r="B130" s="5"/>
      <c r="C130" s="5"/>
      <c r="D130" s="5"/>
      <c r="E130" s="5"/>
      <c r="F130" s="59"/>
      <c r="G130" s="5"/>
      <c r="H130" s="37"/>
      <c r="I130" s="228"/>
      <c r="J130" s="9"/>
      <c r="K130" s="1"/>
      <c r="L130" s="1"/>
      <c r="M130" s="1"/>
      <c r="N130" s="57"/>
      <c r="O130" s="1"/>
      <c r="P130" s="126"/>
      <c r="R130" s="48"/>
      <c r="S130" s="120"/>
      <c r="T130" s="35"/>
      <c r="U130" s="5"/>
      <c r="V130" s="5"/>
      <c r="W130" s="5"/>
      <c r="X130" s="38"/>
      <c r="Y130" s="90"/>
      <c r="Z130" s="91"/>
      <c r="AB130" s="48"/>
    </row>
    <row r="131" spans="1:28" x14ac:dyDescent="0.35">
      <c r="A131" s="35"/>
      <c r="B131" s="5"/>
      <c r="C131" s="5"/>
      <c r="D131" s="5"/>
      <c r="E131" s="5"/>
      <c r="F131" s="59"/>
      <c r="G131" s="5"/>
      <c r="H131" s="37"/>
      <c r="I131" s="228"/>
      <c r="J131" s="9"/>
      <c r="K131" s="1"/>
      <c r="L131" s="1"/>
      <c r="M131" s="1"/>
      <c r="N131" s="57"/>
      <c r="O131" s="1"/>
      <c r="P131" s="126"/>
      <c r="R131" s="48"/>
      <c r="S131" s="120"/>
      <c r="T131" s="35"/>
      <c r="U131" s="5"/>
      <c r="V131" s="5"/>
      <c r="W131" s="5"/>
      <c r="X131" s="38"/>
      <c r="Y131" s="90"/>
      <c r="Z131" s="91"/>
      <c r="AB131" s="48"/>
    </row>
    <row r="132" spans="1:28" ht="15" thickBot="1" x14ac:dyDescent="0.4">
      <c r="A132" s="11"/>
      <c r="B132" s="12"/>
      <c r="C132" s="12"/>
      <c r="D132" s="12"/>
      <c r="E132" s="12"/>
      <c r="F132" s="114">
        <f>SUM(F122:F130)</f>
        <v>0</v>
      </c>
      <c r="G132" s="114">
        <f>SUM(G122:G130)</f>
        <v>0</v>
      </c>
      <c r="H132" s="13"/>
      <c r="I132" s="229"/>
      <c r="J132" s="11"/>
      <c r="K132" s="12"/>
      <c r="L132" s="12"/>
      <c r="M132" s="12"/>
      <c r="N132" s="77">
        <f>SUM(N122:N131)</f>
        <v>0</v>
      </c>
      <c r="O132" s="77">
        <f>SUM(O122:O131)</f>
        <v>0</v>
      </c>
      <c r="P132" s="13"/>
      <c r="Q132" s="46" t="s">
        <v>71</v>
      </c>
      <c r="R132" s="52">
        <f>R120+R126</f>
        <v>0</v>
      </c>
      <c r="S132" s="121"/>
      <c r="T132" s="11"/>
      <c r="U132" s="12"/>
      <c r="V132" s="12"/>
      <c r="W132" s="12"/>
      <c r="X132" s="77">
        <f>SUM(X122:X127)</f>
        <v>0</v>
      </c>
      <c r="Y132" s="115">
        <f>SUM(Y122:Y130)</f>
        <v>0</v>
      </c>
      <c r="Z132" s="13"/>
      <c r="AA132" s="46"/>
      <c r="AB132" s="52"/>
    </row>
    <row r="133" spans="1:28" x14ac:dyDescent="0.35">
      <c r="A133" s="39" t="s">
        <v>466</v>
      </c>
      <c r="B133" s="40" t="s">
        <v>43</v>
      </c>
      <c r="C133" s="41" t="s">
        <v>2</v>
      </c>
      <c r="D133" s="41" t="s">
        <v>86</v>
      </c>
      <c r="E133" s="41">
        <f>3650/50</f>
        <v>73</v>
      </c>
      <c r="F133" s="41">
        <f>E133*36</f>
        <v>2628</v>
      </c>
      <c r="G133" s="41">
        <v>132</v>
      </c>
      <c r="H133" s="113">
        <f>F133/G133</f>
        <v>19.90909090909091</v>
      </c>
      <c r="I133" s="147"/>
      <c r="J133" s="80" t="s">
        <v>43</v>
      </c>
      <c r="K133" s="41" t="s">
        <v>2</v>
      </c>
      <c r="L133" s="41" t="s">
        <v>49</v>
      </c>
      <c r="M133" s="41">
        <f>3650/50</f>
        <v>73</v>
      </c>
      <c r="N133" s="41">
        <f>M133*50</f>
        <v>3650</v>
      </c>
      <c r="O133" s="41">
        <v>104</v>
      </c>
      <c r="P133" s="113">
        <f>N133/O133</f>
        <v>35.096153846153847</v>
      </c>
      <c r="Q133" s="43" t="s">
        <v>0</v>
      </c>
      <c r="R133" s="44"/>
      <c r="S133" s="119"/>
      <c r="T133" s="39" t="s">
        <v>43</v>
      </c>
      <c r="U133" s="41" t="s">
        <v>2</v>
      </c>
      <c r="V133" s="41" t="s">
        <v>317</v>
      </c>
      <c r="W133" s="139">
        <f>3600/50</f>
        <v>72</v>
      </c>
      <c r="X133" s="41">
        <f>W133*26</f>
        <v>1872</v>
      </c>
      <c r="Y133" s="41">
        <v>102</v>
      </c>
      <c r="Z133" s="113">
        <f t="shared" ref="Z133:Z145" si="92">X133/Y133</f>
        <v>18.352941176470587</v>
      </c>
      <c r="AA133" s="43" t="s">
        <v>196</v>
      </c>
      <c r="AB133" s="44"/>
    </row>
    <row r="134" spans="1:28" x14ac:dyDescent="0.35">
      <c r="A134" s="35"/>
      <c r="B134" s="5"/>
      <c r="C134" s="6" t="s">
        <v>4</v>
      </c>
      <c r="D134" s="6" t="s">
        <v>50</v>
      </c>
      <c r="E134" s="28">
        <f>7200/50</f>
        <v>144</v>
      </c>
      <c r="F134" s="6">
        <f>E134*4.5</f>
        <v>648</v>
      </c>
      <c r="G134" s="1">
        <f>G133</f>
        <v>132</v>
      </c>
      <c r="H134" s="126">
        <f t="shared" ref="H134:H139" si="93">F134/G134</f>
        <v>4.9090909090909092</v>
      </c>
      <c r="I134" s="146"/>
      <c r="J134" s="9"/>
      <c r="K134" s="1" t="s">
        <v>4</v>
      </c>
      <c r="L134" s="1" t="s">
        <v>353</v>
      </c>
      <c r="M134" s="28">
        <f>7200/50</f>
        <v>144</v>
      </c>
      <c r="N134" s="57">
        <f>M134*2.5</f>
        <v>360</v>
      </c>
      <c r="O134" s="1">
        <f t="shared" ref="O134:O140" si="94">O133</f>
        <v>104</v>
      </c>
      <c r="P134" s="126">
        <f t="shared" ref="P134:P140" si="95">N134/O134</f>
        <v>3.4615384615384617</v>
      </c>
      <c r="Q134" t="s">
        <v>68</v>
      </c>
      <c r="R134" s="45">
        <v>60</v>
      </c>
      <c r="T134" s="35"/>
      <c r="U134" s="6" t="s">
        <v>4</v>
      </c>
      <c r="V134" s="6" t="s">
        <v>324</v>
      </c>
      <c r="W134" s="28">
        <f>7200/50</f>
        <v>144</v>
      </c>
      <c r="X134" s="29">
        <f>W134*3.8</f>
        <v>547.19999999999993</v>
      </c>
      <c r="Y134" s="1">
        <f t="shared" ref="Y134:Y140" si="96">Y133</f>
        <v>102</v>
      </c>
      <c r="Z134" s="126">
        <f t="shared" si="92"/>
        <v>5.3647058823529408</v>
      </c>
      <c r="AA134" t="s">
        <v>68</v>
      </c>
      <c r="AB134" s="45">
        <v>50</v>
      </c>
    </row>
    <row r="135" spans="1:28" x14ac:dyDescent="0.35">
      <c r="A135" s="35"/>
      <c r="B135" s="5"/>
      <c r="C135" s="6" t="s">
        <v>54</v>
      </c>
      <c r="D135" s="6" t="s">
        <v>419</v>
      </c>
      <c r="E135" s="28">
        <f>600/1000</f>
        <v>0.6</v>
      </c>
      <c r="F135" s="6">
        <f>E135*60</f>
        <v>36</v>
      </c>
      <c r="G135" s="1">
        <f t="shared" ref="G135:G140" si="97">G134</f>
        <v>132</v>
      </c>
      <c r="H135" s="126">
        <f t="shared" si="93"/>
        <v>0.27272727272727271</v>
      </c>
      <c r="I135" s="146"/>
      <c r="J135" s="9"/>
      <c r="K135" s="1" t="s">
        <v>5</v>
      </c>
      <c r="L135" s="1" t="s">
        <v>421</v>
      </c>
      <c r="M135" s="233">
        <f>400/450</f>
        <v>0.88888888888888884</v>
      </c>
      <c r="N135" s="57">
        <f>M135*160</f>
        <v>142.22222222222223</v>
      </c>
      <c r="O135" s="1">
        <f t="shared" si="94"/>
        <v>104</v>
      </c>
      <c r="P135" s="126">
        <f t="shared" si="95"/>
        <v>1.3675213675213675</v>
      </c>
      <c r="Q135" t="s">
        <v>32</v>
      </c>
      <c r="R135" s="47">
        <f>H140</f>
        <v>31.977125173301644</v>
      </c>
      <c r="S135" s="120"/>
      <c r="T135" s="35"/>
      <c r="U135" s="6" t="s">
        <v>5</v>
      </c>
      <c r="V135" s="6" t="s">
        <v>420</v>
      </c>
      <c r="W135" s="28">
        <f>255/450</f>
        <v>0.56666666666666665</v>
      </c>
      <c r="X135" s="29">
        <f>W135*190</f>
        <v>107.66666666666666</v>
      </c>
      <c r="Y135" s="1">
        <f t="shared" si="96"/>
        <v>102</v>
      </c>
      <c r="Z135" s="126">
        <f t="shared" si="92"/>
        <v>1.0555555555555554</v>
      </c>
      <c r="AA135" t="s">
        <v>32</v>
      </c>
      <c r="AB135" s="47">
        <f>Z140</f>
        <v>31.037320261437905</v>
      </c>
    </row>
    <row r="136" spans="1:28" x14ac:dyDescent="0.35">
      <c r="A136" s="35"/>
      <c r="B136" s="5"/>
      <c r="C136" s="6" t="s">
        <v>55</v>
      </c>
      <c r="D136" s="6" t="s">
        <v>318</v>
      </c>
      <c r="E136" s="28">
        <f>35.5/1000</f>
        <v>3.5499999999999997E-2</v>
      </c>
      <c r="F136" s="6">
        <f>E136*280</f>
        <v>9.94</v>
      </c>
      <c r="G136" s="1">
        <f t="shared" si="97"/>
        <v>132</v>
      </c>
      <c r="H136" s="126">
        <f t="shared" si="93"/>
        <v>7.5303030303030302E-2</v>
      </c>
      <c r="I136" s="146"/>
      <c r="J136" s="9"/>
      <c r="K136" s="1" t="s">
        <v>51</v>
      </c>
      <c r="L136" s="1" t="s">
        <v>52</v>
      </c>
      <c r="M136" s="232">
        <f>35.5/1000</f>
        <v>3.5499999999999997E-2</v>
      </c>
      <c r="N136" s="1">
        <f>M136*300</f>
        <v>10.649999999999999</v>
      </c>
      <c r="O136" s="1">
        <f t="shared" si="94"/>
        <v>104</v>
      </c>
      <c r="P136" s="126">
        <f t="shared" si="95"/>
        <v>0.10240384615384614</v>
      </c>
      <c r="Q136" t="s">
        <v>62</v>
      </c>
      <c r="R136" s="47">
        <f>R134-R135</f>
        <v>28.022874826698356</v>
      </c>
      <c r="S136" s="120"/>
      <c r="T136" s="35"/>
      <c r="U136" s="6" t="s">
        <v>51</v>
      </c>
      <c r="V136" s="6" t="s">
        <v>318</v>
      </c>
      <c r="W136" s="205">
        <f>35.5/1000</f>
        <v>3.5499999999999997E-2</v>
      </c>
      <c r="X136" s="6">
        <f>W136*280</f>
        <v>9.94</v>
      </c>
      <c r="Y136" s="1">
        <f t="shared" si="96"/>
        <v>102</v>
      </c>
      <c r="Z136" s="126">
        <f t="shared" si="92"/>
        <v>9.7450980392156855E-2</v>
      </c>
      <c r="AA136" t="s">
        <v>69</v>
      </c>
      <c r="AB136" s="47">
        <f>AB134-AB135</f>
        <v>18.962679738562095</v>
      </c>
    </row>
    <row r="137" spans="1:28" x14ac:dyDescent="0.35">
      <c r="A137" s="35"/>
      <c r="B137" s="5"/>
      <c r="C137" s="6" t="s">
        <v>56</v>
      </c>
      <c r="D137" s="6" t="s">
        <v>419</v>
      </c>
      <c r="E137" s="6">
        <f>340/1000</f>
        <v>0.34</v>
      </c>
      <c r="F137" s="6">
        <f>E137*60</f>
        <v>20.400000000000002</v>
      </c>
      <c r="G137" s="1">
        <f t="shared" si="97"/>
        <v>132</v>
      </c>
      <c r="H137" s="126">
        <f t="shared" si="93"/>
        <v>0.15454545454545457</v>
      </c>
      <c r="I137" s="146"/>
      <c r="J137" s="9"/>
      <c r="K137" s="1" t="s">
        <v>26</v>
      </c>
      <c r="L137" s="1" t="s">
        <v>419</v>
      </c>
      <c r="M137" s="1">
        <f>340/1000</f>
        <v>0.34</v>
      </c>
      <c r="N137" s="1">
        <f>M137*60</f>
        <v>20.400000000000002</v>
      </c>
      <c r="O137" s="1">
        <f t="shared" si="94"/>
        <v>104</v>
      </c>
      <c r="P137" s="126">
        <f t="shared" si="95"/>
        <v>0.19615384615384618</v>
      </c>
      <c r="Q137" t="s">
        <v>72</v>
      </c>
      <c r="R137" s="50">
        <f>G140*R136</f>
        <v>3699.0194771241831</v>
      </c>
      <c r="S137" s="120"/>
      <c r="T137" s="35"/>
      <c r="U137" s="6" t="s">
        <v>26</v>
      </c>
      <c r="V137" s="6" t="s">
        <v>53</v>
      </c>
      <c r="W137" s="6">
        <f>340/1000</f>
        <v>0.34</v>
      </c>
      <c r="X137" s="6">
        <f>W137*50</f>
        <v>17</v>
      </c>
      <c r="Y137" s="1">
        <f t="shared" si="96"/>
        <v>102</v>
      </c>
      <c r="Z137" s="126">
        <f t="shared" si="92"/>
        <v>0.16666666666666666</v>
      </c>
      <c r="AA137" t="s">
        <v>205</v>
      </c>
      <c r="AB137" s="50">
        <f>AB136*102</f>
        <v>1934.1933333333336</v>
      </c>
    </row>
    <row r="138" spans="1:28" x14ac:dyDescent="0.35">
      <c r="A138" s="35"/>
      <c r="B138" s="5"/>
      <c r="C138" s="6" t="s">
        <v>57</v>
      </c>
      <c r="D138" s="6" t="s">
        <v>6</v>
      </c>
      <c r="E138" s="28">
        <f>250/450</f>
        <v>0.55555555555555558</v>
      </c>
      <c r="F138" s="28">
        <f>E138*200</f>
        <v>111.11111111111111</v>
      </c>
      <c r="G138" s="1">
        <f t="shared" si="97"/>
        <v>132</v>
      </c>
      <c r="H138" s="126">
        <f t="shared" si="93"/>
        <v>0.84175084175084181</v>
      </c>
      <c r="I138" s="146"/>
      <c r="J138" s="9"/>
      <c r="K138" s="1" t="s">
        <v>3</v>
      </c>
      <c r="L138" s="1" t="s">
        <v>382</v>
      </c>
      <c r="M138" s="57">
        <f>4660/17</f>
        <v>274.11764705882354</v>
      </c>
      <c r="N138" s="57">
        <f>M138*1.5</f>
        <v>411.1764705882353</v>
      </c>
      <c r="O138" s="1">
        <f t="shared" si="94"/>
        <v>104</v>
      </c>
      <c r="P138" s="126">
        <f t="shared" si="95"/>
        <v>3.9536199095022626</v>
      </c>
      <c r="Q138" t="s">
        <v>431</v>
      </c>
      <c r="R138" s="48">
        <f>R137*5</f>
        <v>18495.097385620917</v>
      </c>
      <c r="S138" s="120"/>
      <c r="T138" s="35"/>
      <c r="U138" s="6" t="s">
        <v>3</v>
      </c>
      <c r="V138" s="6" t="s">
        <v>325</v>
      </c>
      <c r="W138" s="29">
        <f>260</f>
        <v>260</v>
      </c>
      <c r="X138" s="29">
        <f>W138*2.3</f>
        <v>598</v>
      </c>
      <c r="Y138" s="1">
        <f t="shared" si="96"/>
        <v>102</v>
      </c>
      <c r="Z138" s="126">
        <f t="shared" si="92"/>
        <v>5.8627450980392153</v>
      </c>
      <c r="AA138" t="s">
        <v>433</v>
      </c>
      <c r="AB138" s="48">
        <f>AB137*8</f>
        <v>15473.546666666669</v>
      </c>
    </row>
    <row r="139" spans="1:28" x14ac:dyDescent="0.35">
      <c r="A139" s="35"/>
      <c r="B139" s="5"/>
      <c r="C139" s="6" t="s">
        <v>58</v>
      </c>
      <c r="D139" s="6" t="s">
        <v>319</v>
      </c>
      <c r="E139" s="29">
        <f>4660/17</f>
        <v>274.11764705882354</v>
      </c>
      <c r="F139" s="29">
        <f>E139*2.8</f>
        <v>767.52941176470586</v>
      </c>
      <c r="G139" s="6">
        <f t="shared" si="97"/>
        <v>132</v>
      </c>
      <c r="H139" s="126">
        <f t="shared" si="93"/>
        <v>5.8146167557932262</v>
      </c>
      <c r="I139" s="146"/>
      <c r="J139" s="9"/>
      <c r="K139" s="1" t="s">
        <v>7</v>
      </c>
      <c r="L139" s="234" t="s">
        <v>316</v>
      </c>
      <c r="M139" s="57">
        <f>4730/20</f>
        <v>236.5</v>
      </c>
      <c r="N139" s="57">
        <f>M139*10</f>
        <v>2365</v>
      </c>
      <c r="O139" s="1">
        <f t="shared" si="94"/>
        <v>104</v>
      </c>
      <c r="P139" s="126">
        <f t="shared" si="95"/>
        <v>22.740384615384617</v>
      </c>
      <c r="Q139" t="s">
        <v>1</v>
      </c>
      <c r="R139" s="45"/>
      <c r="T139" s="35"/>
      <c r="U139" s="6" t="s">
        <v>151</v>
      </c>
      <c r="V139" s="53" t="s">
        <v>53</v>
      </c>
      <c r="W139" s="28">
        <f>280/1000</f>
        <v>0.28000000000000003</v>
      </c>
      <c r="X139" s="6">
        <f>W139*50</f>
        <v>14.000000000000002</v>
      </c>
      <c r="Y139" s="1">
        <f t="shared" si="96"/>
        <v>102</v>
      </c>
      <c r="Z139" s="126">
        <f t="shared" si="92"/>
        <v>0.13725490196078433</v>
      </c>
      <c r="AB139" s="45"/>
    </row>
    <row r="140" spans="1:28" x14ac:dyDescent="0.35">
      <c r="A140" s="35"/>
      <c r="B140" s="5"/>
      <c r="C140" s="6"/>
      <c r="D140" s="6"/>
      <c r="E140" s="29"/>
      <c r="F140" s="51">
        <f>SUM(F133:F139)</f>
        <v>4220.9805228758178</v>
      </c>
      <c r="G140" s="32">
        <f t="shared" si="97"/>
        <v>132</v>
      </c>
      <c r="H140" s="33">
        <f>SUM(H133:H139)</f>
        <v>31.977125173301644</v>
      </c>
      <c r="I140" s="146"/>
      <c r="J140" s="35"/>
      <c r="K140" s="6"/>
      <c r="L140" s="6"/>
      <c r="M140" s="6"/>
      <c r="N140" s="235">
        <f>SUM(N133:N139)</f>
        <v>6959.448692810457</v>
      </c>
      <c r="O140" s="32">
        <f t="shared" si="94"/>
        <v>104</v>
      </c>
      <c r="P140" s="236">
        <f t="shared" si="95"/>
        <v>66.917775892408244</v>
      </c>
      <c r="Q140" t="s">
        <v>68</v>
      </c>
      <c r="R140" s="45">
        <v>100</v>
      </c>
      <c r="T140" s="35"/>
      <c r="U140" s="6"/>
      <c r="V140" s="6"/>
      <c r="W140" s="6"/>
      <c r="X140" s="31">
        <f>SUM(X133:X139)</f>
        <v>3165.8066666666664</v>
      </c>
      <c r="Y140" s="32">
        <f t="shared" si="96"/>
        <v>102</v>
      </c>
      <c r="Z140" s="33">
        <f t="shared" si="92"/>
        <v>31.037320261437905</v>
      </c>
      <c r="AB140" s="45"/>
    </row>
    <row r="141" spans="1:28" x14ac:dyDescent="0.35">
      <c r="A141" s="35"/>
      <c r="B141" s="5" t="s">
        <v>44</v>
      </c>
      <c r="C141" s="5" t="s">
        <v>70</v>
      </c>
      <c r="D141" s="5" t="s">
        <v>70</v>
      </c>
      <c r="E141" s="5"/>
      <c r="F141" s="59">
        <f t="shared" ref="F141:F144" si="98">F140</f>
        <v>4220.9805228758178</v>
      </c>
      <c r="G141" s="5">
        <v>132</v>
      </c>
      <c r="H141" s="127">
        <f>F141/G141</f>
        <v>31.977125173301651</v>
      </c>
      <c r="I141" s="146"/>
      <c r="J141" s="35" t="s">
        <v>44</v>
      </c>
      <c r="K141" s="5" t="s">
        <v>70</v>
      </c>
      <c r="L141" s="5" t="s">
        <v>70</v>
      </c>
      <c r="M141" s="5" t="s">
        <v>70</v>
      </c>
      <c r="N141" s="38">
        <f>N140</f>
        <v>6959.448692810457</v>
      </c>
      <c r="O141" s="5">
        <v>104</v>
      </c>
      <c r="P141" s="30">
        <f>N141/O141</f>
        <v>66.917775892408244</v>
      </c>
      <c r="Q141" t="s">
        <v>32</v>
      </c>
      <c r="R141" s="47">
        <f>AVERAGE(P140,P141,P142,P143,P144,P145)</f>
        <v>67.461305006833527</v>
      </c>
      <c r="S141" s="120"/>
      <c r="T141" s="35" t="s">
        <v>44</v>
      </c>
      <c r="U141" s="5"/>
      <c r="V141" s="5"/>
      <c r="W141" s="5"/>
      <c r="X141" s="29">
        <f t="shared" ref="X141:X145" si="99">X140</f>
        <v>3165.8066666666664</v>
      </c>
      <c r="Y141" s="6">
        <v>102</v>
      </c>
      <c r="Z141" s="30">
        <f t="shared" si="92"/>
        <v>31.037320261437905</v>
      </c>
      <c r="AB141" s="47"/>
    </row>
    <row r="142" spans="1:28" x14ac:dyDescent="0.35">
      <c r="A142" s="35"/>
      <c r="B142" s="5" t="s">
        <v>45</v>
      </c>
      <c r="C142" s="5" t="s">
        <v>70</v>
      </c>
      <c r="D142" s="5" t="s">
        <v>70</v>
      </c>
      <c r="E142" s="5"/>
      <c r="F142" s="59">
        <f t="shared" si="98"/>
        <v>4220.9805228758178</v>
      </c>
      <c r="G142" s="5">
        <v>132</v>
      </c>
      <c r="H142" s="127">
        <f t="shared" ref="H142:H143" si="100">F142/G142</f>
        <v>31.977125173301651</v>
      </c>
      <c r="I142" s="146"/>
      <c r="J142" s="35" t="s">
        <v>45</v>
      </c>
      <c r="K142" s="5" t="s">
        <v>70</v>
      </c>
      <c r="L142" s="5" t="s">
        <v>70</v>
      </c>
      <c r="M142" s="5" t="s">
        <v>70</v>
      </c>
      <c r="N142" s="38">
        <f t="shared" ref="N142:N147" si="101">N141</f>
        <v>6959.448692810457</v>
      </c>
      <c r="O142" s="5">
        <v>103</v>
      </c>
      <c r="P142" s="30">
        <f t="shared" ref="P142:P147" si="102">N142/O142</f>
        <v>67.567463036994724</v>
      </c>
      <c r="Q142" t="s">
        <v>69</v>
      </c>
      <c r="R142" s="47">
        <f>R140-R141</f>
        <v>32.538694993166473</v>
      </c>
      <c r="S142" s="120"/>
      <c r="T142" s="35" t="s">
        <v>45</v>
      </c>
      <c r="U142" s="5"/>
      <c r="V142" s="5"/>
      <c r="W142" s="5"/>
      <c r="X142" s="29">
        <f t="shared" si="99"/>
        <v>3165.8066666666664</v>
      </c>
      <c r="Y142" s="6">
        <v>102</v>
      </c>
      <c r="Z142" s="30">
        <f t="shared" si="92"/>
        <v>31.037320261437905</v>
      </c>
      <c r="AB142" s="47"/>
    </row>
    <row r="143" spans="1:28" x14ac:dyDescent="0.35">
      <c r="A143" s="35"/>
      <c r="B143" s="5" t="s">
        <v>67</v>
      </c>
      <c r="C143" s="5" t="s">
        <v>70</v>
      </c>
      <c r="D143" s="5" t="s">
        <v>70</v>
      </c>
      <c r="E143" s="5"/>
      <c r="F143" s="59">
        <f t="shared" si="98"/>
        <v>4220.9805228758178</v>
      </c>
      <c r="G143" s="5">
        <v>132</v>
      </c>
      <c r="H143" s="127">
        <f t="shared" si="100"/>
        <v>31.977125173301651</v>
      </c>
      <c r="I143" s="146"/>
      <c r="J143" s="35" t="s">
        <v>67</v>
      </c>
      <c r="K143" s="5" t="s">
        <v>70</v>
      </c>
      <c r="L143" s="5" t="s">
        <v>70</v>
      </c>
      <c r="M143" s="5" t="s">
        <v>70</v>
      </c>
      <c r="N143" s="38">
        <f t="shared" si="101"/>
        <v>6959.448692810457</v>
      </c>
      <c r="O143" s="5">
        <v>103</v>
      </c>
      <c r="P143" s="30">
        <f t="shared" si="102"/>
        <v>67.567463036994724</v>
      </c>
      <c r="Q143" t="s">
        <v>136</v>
      </c>
      <c r="R143" s="50">
        <f>R142*106</f>
        <v>3449.1016692756461</v>
      </c>
      <c r="S143" s="120"/>
      <c r="T143" s="35" t="s">
        <v>67</v>
      </c>
      <c r="U143" s="5"/>
      <c r="V143" s="5"/>
      <c r="W143" s="5"/>
      <c r="X143" s="29">
        <f t="shared" si="99"/>
        <v>3165.8066666666664</v>
      </c>
      <c r="Y143" s="6">
        <v>102</v>
      </c>
      <c r="Z143" s="30">
        <f t="shared" si="92"/>
        <v>31.037320261437905</v>
      </c>
      <c r="AB143" s="50"/>
    </row>
    <row r="144" spans="1:28" x14ac:dyDescent="0.35">
      <c r="A144" s="35"/>
      <c r="B144" s="5" t="s">
        <v>133</v>
      </c>
      <c r="C144" s="5" t="s">
        <v>70</v>
      </c>
      <c r="D144" s="5" t="s">
        <v>70</v>
      </c>
      <c r="E144" s="5"/>
      <c r="F144" s="59">
        <f t="shared" si="98"/>
        <v>4220.9805228758178</v>
      </c>
      <c r="G144" s="5">
        <v>132</v>
      </c>
      <c r="H144" s="127">
        <f t="shared" ref="H144" si="103">F144/G144</f>
        <v>31.977125173301651</v>
      </c>
      <c r="I144" s="146"/>
      <c r="J144" s="35" t="s">
        <v>133</v>
      </c>
      <c r="K144" s="5"/>
      <c r="L144" s="5"/>
      <c r="M144" s="5"/>
      <c r="N144" s="38">
        <f t="shared" si="101"/>
        <v>6959.448692810457</v>
      </c>
      <c r="O144" s="5">
        <v>103</v>
      </c>
      <c r="P144" s="30">
        <f t="shared" si="102"/>
        <v>67.567463036994724</v>
      </c>
      <c r="Q144" t="s">
        <v>425</v>
      </c>
      <c r="R144" s="48">
        <f>R143*8</f>
        <v>27592.813354205169</v>
      </c>
      <c r="S144" s="120"/>
      <c r="T144" s="35" t="s">
        <v>133</v>
      </c>
      <c r="U144" s="5"/>
      <c r="V144" s="5"/>
      <c r="W144" s="5"/>
      <c r="X144" s="29">
        <f t="shared" si="99"/>
        <v>3165.8066666666664</v>
      </c>
      <c r="Y144" s="6">
        <v>102</v>
      </c>
      <c r="Z144" s="30">
        <f t="shared" si="92"/>
        <v>31.037320261437905</v>
      </c>
      <c r="AB144" s="48"/>
    </row>
    <row r="145" spans="1:28" x14ac:dyDescent="0.35">
      <c r="A145" s="35"/>
      <c r="B145" s="5"/>
      <c r="C145" s="5"/>
      <c r="D145" s="5"/>
      <c r="E145" s="5"/>
      <c r="F145" s="59"/>
      <c r="G145" s="5"/>
      <c r="H145" s="127"/>
      <c r="I145" s="146"/>
      <c r="J145" s="35" t="s">
        <v>134</v>
      </c>
      <c r="K145" s="5"/>
      <c r="L145" s="5"/>
      <c r="M145" s="5"/>
      <c r="N145" s="38">
        <f t="shared" si="101"/>
        <v>6959.448692810457</v>
      </c>
      <c r="O145" s="5">
        <v>102</v>
      </c>
      <c r="P145" s="30">
        <f t="shared" si="102"/>
        <v>68.229889145200559</v>
      </c>
      <c r="R145" s="48"/>
      <c r="S145" s="120"/>
      <c r="T145" s="35" t="s">
        <v>134</v>
      </c>
      <c r="U145" s="5"/>
      <c r="V145" s="5"/>
      <c r="W145" s="5"/>
      <c r="X145" s="29">
        <f t="shared" si="99"/>
        <v>3165.8066666666664</v>
      </c>
      <c r="Y145" s="6">
        <v>102</v>
      </c>
      <c r="Z145" s="30">
        <f t="shared" si="92"/>
        <v>31.037320261437905</v>
      </c>
      <c r="AB145" s="48"/>
    </row>
    <row r="146" spans="1:28" x14ac:dyDescent="0.35">
      <c r="A146" s="35"/>
      <c r="B146" s="5"/>
      <c r="C146" s="5"/>
      <c r="D146" s="5"/>
      <c r="E146" s="5"/>
      <c r="F146" s="59"/>
      <c r="G146" s="5"/>
      <c r="H146" s="127"/>
      <c r="I146" s="146"/>
      <c r="J146" s="35" t="s">
        <v>252</v>
      </c>
      <c r="K146" s="5" t="s">
        <v>70</v>
      </c>
      <c r="L146" s="5" t="s">
        <v>70</v>
      </c>
      <c r="M146" s="5" t="s">
        <v>70</v>
      </c>
      <c r="N146" s="38">
        <f t="shared" si="101"/>
        <v>6959.448692810457</v>
      </c>
      <c r="O146" s="5">
        <v>102</v>
      </c>
      <c r="P146" s="30">
        <f t="shared" si="102"/>
        <v>68.229889145200559</v>
      </c>
      <c r="Q146">
        <f>80/8</f>
        <v>10</v>
      </c>
      <c r="R146" s="48"/>
      <c r="S146" s="120"/>
      <c r="T146" s="35" t="s">
        <v>252</v>
      </c>
      <c r="U146" s="5"/>
      <c r="V146" s="5"/>
      <c r="W146" s="5"/>
      <c r="X146" s="29">
        <f t="shared" ref="X146" si="104">X145</f>
        <v>3165.8066666666664</v>
      </c>
      <c r="Y146" s="6">
        <v>102</v>
      </c>
      <c r="Z146" s="30">
        <f t="shared" ref="Z146" si="105">X146/Y146</f>
        <v>31.037320261437905</v>
      </c>
      <c r="AB146" s="48"/>
    </row>
    <row r="147" spans="1:28" x14ac:dyDescent="0.35">
      <c r="A147" s="35"/>
      <c r="B147" s="5"/>
      <c r="C147" s="5"/>
      <c r="D147" s="5"/>
      <c r="E147" s="5"/>
      <c r="F147" s="59"/>
      <c r="G147" s="5">
        <v>0</v>
      </c>
      <c r="H147" s="37"/>
      <c r="I147" s="146"/>
      <c r="J147" s="35" t="s">
        <v>253</v>
      </c>
      <c r="K147" s="5" t="s">
        <v>70</v>
      </c>
      <c r="L147" s="5" t="s">
        <v>70</v>
      </c>
      <c r="M147" s="5" t="s">
        <v>70</v>
      </c>
      <c r="N147" s="38">
        <f t="shared" si="101"/>
        <v>6959.448692810457</v>
      </c>
      <c r="O147" s="5">
        <v>102</v>
      </c>
      <c r="P147" s="30">
        <f t="shared" si="102"/>
        <v>68.229889145200559</v>
      </c>
      <c r="R147" s="48"/>
      <c r="S147" s="120"/>
      <c r="T147" s="35" t="s">
        <v>253</v>
      </c>
      <c r="U147" s="5"/>
      <c r="V147" s="5"/>
      <c r="W147" s="5"/>
      <c r="X147" s="29">
        <f t="shared" ref="X147" si="106">X146</f>
        <v>3165.8066666666664</v>
      </c>
      <c r="Y147" s="6">
        <v>102</v>
      </c>
      <c r="Z147" s="30">
        <f t="shared" ref="Z147" si="107">X147/Y147</f>
        <v>31.037320261437905</v>
      </c>
      <c r="AB147" s="48"/>
    </row>
    <row r="148" spans="1:28" x14ac:dyDescent="0.35">
      <c r="A148" s="35"/>
      <c r="B148" s="5"/>
      <c r="C148" s="5"/>
      <c r="D148" s="5"/>
      <c r="E148" s="5"/>
      <c r="F148" s="59"/>
      <c r="G148" s="5"/>
      <c r="H148" s="37"/>
      <c r="I148" s="146"/>
      <c r="J148" s="9"/>
      <c r="K148" s="1"/>
      <c r="L148" s="1"/>
      <c r="M148" s="1"/>
      <c r="N148" s="57"/>
      <c r="O148" s="1"/>
      <c r="P148" s="126"/>
      <c r="R148" s="48"/>
      <c r="S148" s="120"/>
      <c r="T148" s="35"/>
      <c r="U148" s="5"/>
      <c r="V148" s="5"/>
      <c r="W148" s="5"/>
      <c r="X148" s="29"/>
      <c r="Y148" s="6"/>
      <c r="Z148" s="30"/>
      <c r="AB148" s="48"/>
    </row>
    <row r="149" spans="1:28" x14ac:dyDescent="0.35">
      <c r="A149" s="35"/>
      <c r="B149" s="5"/>
      <c r="C149" s="5"/>
      <c r="D149" s="5"/>
      <c r="E149" s="5"/>
      <c r="F149" s="59"/>
      <c r="G149" s="5"/>
      <c r="H149" s="37"/>
      <c r="I149" s="146"/>
      <c r="J149" s="9"/>
      <c r="K149" s="1"/>
      <c r="L149" s="1"/>
      <c r="M149" s="1"/>
      <c r="N149" s="57"/>
      <c r="O149" s="1"/>
      <c r="P149" s="126"/>
      <c r="R149" s="48"/>
      <c r="S149" s="120"/>
      <c r="T149" s="35"/>
      <c r="U149" s="5"/>
      <c r="V149" s="5"/>
      <c r="W149" s="5"/>
      <c r="X149" s="29"/>
      <c r="Y149" s="6"/>
      <c r="Z149" s="30"/>
      <c r="AB149" s="48"/>
    </row>
    <row r="150" spans="1:28" x14ac:dyDescent="0.35">
      <c r="A150" s="35"/>
      <c r="B150" s="5"/>
      <c r="C150" s="5"/>
      <c r="D150" s="5"/>
      <c r="E150" s="5"/>
      <c r="F150" s="59"/>
      <c r="G150" s="5"/>
      <c r="H150" s="37"/>
      <c r="I150" s="146"/>
      <c r="J150" s="35"/>
      <c r="K150" s="5"/>
      <c r="L150" s="5"/>
      <c r="M150" s="5"/>
      <c r="N150" s="38"/>
      <c r="O150" s="90"/>
      <c r="P150" s="91"/>
      <c r="R150" s="48"/>
      <c r="S150" s="120"/>
      <c r="T150" s="35"/>
      <c r="U150" s="5"/>
      <c r="V150" s="5"/>
      <c r="W150" s="5"/>
      <c r="X150" s="206"/>
      <c r="Y150" s="90"/>
      <c r="Z150" s="91"/>
      <c r="AB150" s="48"/>
    </row>
    <row r="151" spans="1:28" ht="15" thickBot="1" x14ac:dyDescent="0.4">
      <c r="A151" s="11"/>
      <c r="B151" s="12"/>
      <c r="C151" s="12"/>
      <c r="D151" s="12"/>
      <c r="E151" s="12"/>
      <c r="F151" s="114">
        <f>SUM(F140:F147)</f>
        <v>21104.902614379091</v>
      </c>
      <c r="G151" s="114">
        <f>SUM(G140:G147)</f>
        <v>660</v>
      </c>
      <c r="H151" s="13"/>
      <c r="I151" s="148"/>
      <c r="J151" s="11"/>
      <c r="K151" s="12"/>
      <c r="L151" s="12"/>
      <c r="M151" s="12"/>
      <c r="N151" s="77">
        <f>SUM(N140:N147)</f>
        <v>55675.589542483664</v>
      </c>
      <c r="O151" s="115">
        <f>SUM(O140:O149)</f>
        <v>823</v>
      </c>
      <c r="P151" s="13"/>
      <c r="Q151" s="46" t="s">
        <v>71</v>
      </c>
      <c r="R151" s="52">
        <f>R138+R144</f>
        <v>46087.910739826082</v>
      </c>
      <c r="S151" s="121"/>
      <c r="T151" s="11"/>
      <c r="U151" s="12"/>
      <c r="V151" s="12"/>
      <c r="W151" s="12"/>
      <c r="X151" s="77">
        <f>SUM(X140:X149)</f>
        <v>25326.453333333335</v>
      </c>
      <c r="Y151" s="115">
        <f>SUM(Y140:Y149)</f>
        <v>816</v>
      </c>
      <c r="Z151" s="13"/>
      <c r="AA151" s="46"/>
      <c r="AB151" s="52"/>
    </row>
    <row r="152" spans="1:28" x14ac:dyDescent="0.35">
      <c r="A152" s="39" t="s">
        <v>467</v>
      </c>
      <c r="B152" s="40" t="s">
        <v>43</v>
      </c>
      <c r="C152" s="41" t="s">
        <v>2</v>
      </c>
      <c r="D152" s="41" t="s">
        <v>86</v>
      </c>
      <c r="E152" s="41">
        <f>3650/50</f>
        <v>73</v>
      </c>
      <c r="F152" s="41">
        <f>E152*36</f>
        <v>2628</v>
      </c>
      <c r="G152" s="41">
        <v>132</v>
      </c>
      <c r="H152" s="113">
        <f>F152/G152</f>
        <v>19.90909090909091</v>
      </c>
      <c r="I152" s="147"/>
      <c r="J152" s="80" t="s">
        <v>43</v>
      </c>
      <c r="K152" s="41" t="s">
        <v>2</v>
      </c>
      <c r="L152" s="41" t="s">
        <v>49</v>
      </c>
      <c r="M152" s="41">
        <f>3650/50</f>
        <v>73</v>
      </c>
      <c r="N152" s="41">
        <f>M152*50</f>
        <v>3650</v>
      </c>
      <c r="O152" s="41">
        <v>100</v>
      </c>
      <c r="P152" s="113">
        <f>N152/O152</f>
        <v>36.5</v>
      </c>
      <c r="Q152" s="43" t="s">
        <v>0</v>
      </c>
      <c r="R152" s="44"/>
      <c r="S152" s="119"/>
      <c r="T152" s="39" t="s">
        <v>43</v>
      </c>
      <c r="U152" s="41" t="s">
        <v>2</v>
      </c>
      <c r="V152" s="41" t="s">
        <v>317</v>
      </c>
      <c r="W152" s="139">
        <f>3600/50</f>
        <v>72</v>
      </c>
      <c r="X152" s="41">
        <f>W152*26</f>
        <v>1872</v>
      </c>
      <c r="Y152" s="41">
        <v>102</v>
      </c>
      <c r="Z152" s="113">
        <f t="shared" ref="Z152:Z165" si="108">X152/Y152</f>
        <v>18.352941176470587</v>
      </c>
      <c r="AA152" s="43" t="s">
        <v>196</v>
      </c>
      <c r="AB152" s="44"/>
    </row>
    <row r="153" spans="1:28" x14ac:dyDescent="0.35">
      <c r="A153" s="35"/>
      <c r="B153" s="5"/>
      <c r="C153" s="6" t="s">
        <v>4</v>
      </c>
      <c r="D153" s="6" t="s">
        <v>50</v>
      </c>
      <c r="E153" s="28">
        <f>7200/50</f>
        <v>144</v>
      </c>
      <c r="F153" s="6">
        <f>E153*4.5</f>
        <v>648</v>
      </c>
      <c r="G153" s="1">
        <f>G152</f>
        <v>132</v>
      </c>
      <c r="H153" s="126">
        <f t="shared" ref="H153:H158" si="109">F153/G153</f>
        <v>4.9090909090909092</v>
      </c>
      <c r="I153" s="146"/>
      <c r="J153" s="9"/>
      <c r="K153" s="1" t="s">
        <v>4</v>
      </c>
      <c r="L153" s="1" t="s">
        <v>353</v>
      </c>
      <c r="M153" s="28">
        <f>7200/50</f>
        <v>144</v>
      </c>
      <c r="N153" s="57">
        <f>M153*2.5</f>
        <v>360</v>
      </c>
      <c r="O153" s="1">
        <f t="shared" ref="O153:O159" si="110">O152</f>
        <v>100</v>
      </c>
      <c r="P153" s="126">
        <f t="shared" ref="P153:P159" si="111">N153/O153</f>
        <v>3.6</v>
      </c>
      <c r="Q153" t="s">
        <v>68</v>
      </c>
      <c r="R153" s="45">
        <v>60</v>
      </c>
      <c r="T153" s="35"/>
      <c r="U153" s="6" t="s">
        <v>4</v>
      </c>
      <c r="V153" s="6" t="s">
        <v>324</v>
      </c>
      <c r="W153" s="28">
        <f>7200/50</f>
        <v>144</v>
      </c>
      <c r="X153" s="29">
        <f>W153*3.8</f>
        <v>547.19999999999993</v>
      </c>
      <c r="Y153" s="1">
        <f t="shared" ref="Y153:Y159" si="112">Y152</f>
        <v>102</v>
      </c>
      <c r="Z153" s="126">
        <f t="shared" si="108"/>
        <v>5.3647058823529408</v>
      </c>
      <c r="AA153" t="s">
        <v>68</v>
      </c>
      <c r="AB153" s="45">
        <v>50</v>
      </c>
    </row>
    <row r="154" spans="1:28" x14ac:dyDescent="0.35">
      <c r="A154" s="35"/>
      <c r="B154" s="5"/>
      <c r="C154" s="6" t="s">
        <v>54</v>
      </c>
      <c r="D154" s="6" t="s">
        <v>419</v>
      </c>
      <c r="E154" s="28">
        <f>600/1000</f>
        <v>0.6</v>
      </c>
      <c r="F154" s="6">
        <f>E154*60</f>
        <v>36</v>
      </c>
      <c r="G154" s="1">
        <f t="shared" ref="G154:G159" si="113">G153</f>
        <v>132</v>
      </c>
      <c r="H154" s="126">
        <f t="shared" si="109"/>
        <v>0.27272727272727271</v>
      </c>
      <c r="I154" s="146"/>
      <c r="J154" s="9"/>
      <c r="K154" s="1" t="s">
        <v>5</v>
      </c>
      <c r="L154" s="1" t="s">
        <v>421</v>
      </c>
      <c r="M154" s="233">
        <f>400/450</f>
        <v>0.88888888888888884</v>
      </c>
      <c r="N154" s="57">
        <f>M154*160</f>
        <v>142.22222222222223</v>
      </c>
      <c r="O154" s="1">
        <f t="shared" si="110"/>
        <v>100</v>
      </c>
      <c r="P154" s="126">
        <f t="shared" si="111"/>
        <v>1.4222222222222223</v>
      </c>
      <c r="Q154" t="s">
        <v>32</v>
      </c>
      <c r="R154" s="47">
        <f>H159</f>
        <v>31.977125173301644</v>
      </c>
      <c r="S154" s="120"/>
      <c r="T154" s="35"/>
      <c r="U154" s="6" t="s">
        <v>5</v>
      </c>
      <c r="V154" s="6" t="s">
        <v>420</v>
      </c>
      <c r="W154" s="28">
        <f>255/450</f>
        <v>0.56666666666666665</v>
      </c>
      <c r="X154" s="29">
        <f>W154*190</f>
        <v>107.66666666666666</v>
      </c>
      <c r="Y154" s="1">
        <f t="shared" si="112"/>
        <v>102</v>
      </c>
      <c r="Z154" s="126">
        <f t="shared" si="108"/>
        <v>1.0555555555555554</v>
      </c>
      <c r="AA154" t="s">
        <v>32</v>
      </c>
      <c r="AB154" s="47">
        <f>Z159</f>
        <v>31.037320261437905</v>
      </c>
    </row>
    <row r="155" spans="1:28" x14ac:dyDescent="0.35">
      <c r="A155" s="35"/>
      <c r="B155" s="5"/>
      <c r="C155" s="6" t="s">
        <v>55</v>
      </c>
      <c r="D155" s="6" t="s">
        <v>318</v>
      </c>
      <c r="E155" s="28">
        <f>35.5/1000</f>
        <v>3.5499999999999997E-2</v>
      </c>
      <c r="F155" s="6">
        <f>E155*280</f>
        <v>9.94</v>
      </c>
      <c r="G155" s="1">
        <f t="shared" si="113"/>
        <v>132</v>
      </c>
      <c r="H155" s="126">
        <f t="shared" si="109"/>
        <v>7.5303030303030302E-2</v>
      </c>
      <c r="I155" s="146"/>
      <c r="J155" s="9"/>
      <c r="K155" s="1" t="s">
        <v>51</v>
      </c>
      <c r="L155" s="1" t="s">
        <v>52</v>
      </c>
      <c r="M155" s="232">
        <f>35.5/1000</f>
        <v>3.5499999999999997E-2</v>
      </c>
      <c r="N155" s="1">
        <f>M155*300</f>
        <v>10.649999999999999</v>
      </c>
      <c r="O155" s="1">
        <f t="shared" si="110"/>
        <v>100</v>
      </c>
      <c r="P155" s="126">
        <f t="shared" si="111"/>
        <v>0.10649999999999998</v>
      </c>
      <c r="Q155" t="s">
        <v>62</v>
      </c>
      <c r="R155" s="47">
        <f>R153-R154</f>
        <v>28.022874826698356</v>
      </c>
      <c r="S155" s="120"/>
      <c r="T155" s="35"/>
      <c r="U155" s="6" t="s">
        <v>51</v>
      </c>
      <c r="V155" s="6" t="s">
        <v>318</v>
      </c>
      <c r="W155" s="205">
        <f>35.5/1000</f>
        <v>3.5499999999999997E-2</v>
      </c>
      <c r="X155" s="6">
        <f>W155*280</f>
        <v>9.94</v>
      </c>
      <c r="Y155" s="1">
        <f t="shared" si="112"/>
        <v>102</v>
      </c>
      <c r="Z155" s="126">
        <f t="shared" si="108"/>
        <v>9.7450980392156855E-2</v>
      </c>
      <c r="AA155" t="s">
        <v>69</v>
      </c>
      <c r="AB155" s="47">
        <f>AB153-AB154</f>
        <v>18.962679738562095</v>
      </c>
    </row>
    <row r="156" spans="1:28" x14ac:dyDescent="0.35">
      <c r="A156" s="35"/>
      <c r="B156" s="5"/>
      <c r="C156" s="6" t="s">
        <v>56</v>
      </c>
      <c r="D156" s="6" t="s">
        <v>419</v>
      </c>
      <c r="E156" s="6">
        <f>340/1000</f>
        <v>0.34</v>
      </c>
      <c r="F156" s="6">
        <f>E156*60</f>
        <v>20.400000000000002</v>
      </c>
      <c r="G156" s="1">
        <f t="shared" si="113"/>
        <v>132</v>
      </c>
      <c r="H156" s="126">
        <f t="shared" si="109"/>
        <v>0.15454545454545457</v>
      </c>
      <c r="I156" s="146"/>
      <c r="J156" s="9"/>
      <c r="K156" s="1" t="s">
        <v>26</v>
      </c>
      <c r="L156" s="1" t="s">
        <v>419</v>
      </c>
      <c r="M156" s="1">
        <f>340/1000</f>
        <v>0.34</v>
      </c>
      <c r="N156" s="1">
        <f>M156*60</f>
        <v>20.400000000000002</v>
      </c>
      <c r="O156" s="1">
        <f t="shared" si="110"/>
        <v>100</v>
      </c>
      <c r="P156" s="126">
        <f t="shared" si="111"/>
        <v>0.20400000000000001</v>
      </c>
      <c r="Q156" t="s">
        <v>72</v>
      </c>
      <c r="R156" s="50">
        <f>G159*R155</f>
        <v>3699.0194771241831</v>
      </c>
      <c r="S156" s="120"/>
      <c r="T156" s="35"/>
      <c r="U156" s="6" t="s">
        <v>26</v>
      </c>
      <c r="V156" s="6" t="s">
        <v>53</v>
      </c>
      <c r="W156" s="6">
        <f>340/1000</f>
        <v>0.34</v>
      </c>
      <c r="X156" s="6">
        <f>W156*50</f>
        <v>17</v>
      </c>
      <c r="Y156" s="1">
        <f t="shared" si="112"/>
        <v>102</v>
      </c>
      <c r="Z156" s="126">
        <f t="shared" si="108"/>
        <v>0.16666666666666666</v>
      </c>
      <c r="AA156" t="s">
        <v>205</v>
      </c>
      <c r="AB156" s="50">
        <f>AB155*68</f>
        <v>1289.4622222222224</v>
      </c>
    </row>
    <row r="157" spans="1:28" x14ac:dyDescent="0.35">
      <c r="A157" s="35"/>
      <c r="B157" s="5"/>
      <c r="C157" s="6" t="s">
        <v>57</v>
      </c>
      <c r="D157" s="6" t="s">
        <v>6</v>
      </c>
      <c r="E157" s="28">
        <f>250/450</f>
        <v>0.55555555555555558</v>
      </c>
      <c r="F157" s="28">
        <f>E157*200</f>
        <v>111.11111111111111</v>
      </c>
      <c r="G157" s="1">
        <f t="shared" si="113"/>
        <v>132</v>
      </c>
      <c r="H157" s="126">
        <f t="shared" si="109"/>
        <v>0.84175084175084181</v>
      </c>
      <c r="I157" s="146"/>
      <c r="J157" s="9"/>
      <c r="K157" s="1" t="s">
        <v>3</v>
      </c>
      <c r="L157" s="1" t="s">
        <v>382</v>
      </c>
      <c r="M157" s="57">
        <f>4660/17</f>
        <v>274.11764705882354</v>
      </c>
      <c r="N157" s="57">
        <f>M157*1.5</f>
        <v>411.1764705882353</v>
      </c>
      <c r="O157" s="1">
        <f t="shared" si="110"/>
        <v>100</v>
      </c>
      <c r="P157" s="126">
        <f t="shared" si="111"/>
        <v>4.1117647058823534</v>
      </c>
      <c r="Q157" t="s">
        <v>424</v>
      </c>
      <c r="R157" s="48">
        <f>R156*4</f>
        <v>14796.077908496733</v>
      </c>
      <c r="S157" s="120"/>
      <c r="T157" s="35"/>
      <c r="U157" s="6" t="s">
        <v>3</v>
      </c>
      <c r="V157" s="6" t="s">
        <v>325</v>
      </c>
      <c r="W157" s="29">
        <f>260</f>
        <v>260</v>
      </c>
      <c r="X157" s="29">
        <f>W157*2.3</f>
        <v>598</v>
      </c>
      <c r="Y157" s="1">
        <f t="shared" si="112"/>
        <v>102</v>
      </c>
      <c r="Z157" s="126">
        <f t="shared" si="108"/>
        <v>5.8627450980392153</v>
      </c>
      <c r="AA157" t="s">
        <v>426</v>
      </c>
      <c r="AB157" s="48">
        <f>AB156*7</f>
        <v>9026.2355555555569</v>
      </c>
    </row>
    <row r="158" spans="1:28" x14ac:dyDescent="0.35">
      <c r="A158" s="35"/>
      <c r="B158" s="5"/>
      <c r="C158" s="6" t="s">
        <v>58</v>
      </c>
      <c r="D158" s="6" t="s">
        <v>319</v>
      </c>
      <c r="E158" s="29">
        <f>4660/17</f>
        <v>274.11764705882354</v>
      </c>
      <c r="F158" s="29">
        <f>E158*2.8</f>
        <v>767.52941176470586</v>
      </c>
      <c r="G158" s="6">
        <f t="shared" si="113"/>
        <v>132</v>
      </c>
      <c r="H158" s="126">
        <f t="shared" si="109"/>
        <v>5.8146167557932262</v>
      </c>
      <c r="I158" s="146"/>
      <c r="J158" s="9"/>
      <c r="K158" s="1" t="s">
        <v>7</v>
      </c>
      <c r="L158" s="234" t="s">
        <v>468</v>
      </c>
      <c r="M158" s="57">
        <f>4730/20</f>
        <v>236.5</v>
      </c>
      <c r="N158" s="57">
        <f>M158*8.8</f>
        <v>2081.2000000000003</v>
      </c>
      <c r="O158" s="1">
        <f t="shared" si="110"/>
        <v>100</v>
      </c>
      <c r="P158" s="126">
        <f t="shared" si="111"/>
        <v>20.812000000000001</v>
      </c>
      <c r="Q158" t="s">
        <v>1</v>
      </c>
      <c r="R158" s="45"/>
      <c r="T158" s="35"/>
      <c r="U158" s="6" t="s">
        <v>151</v>
      </c>
      <c r="V158" s="53" t="s">
        <v>53</v>
      </c>
      <c r="W158" s="28">
        <f>280/1000</f>
        <v>0.28000000000000003</v>
      </c>
      <c r="X158" s="6">
        <f>W158*50</f>
        <v>14.000000000000002</v>
      </c>
      <c r="Y158" s="1">
        <f t="shared" si="112"/>
        <v>102</v>
      </c>
      <c r="Z158" s="126">
        <f t="shared" si="108"/>
        <v>0.13725490196078433</v>
      </c>
      <c r="AB158" s="45"/>
    </row>
    <row r="159" spans="1:28" x14ac:dyDescent="0.35">
      <c r="A159" s="35"/>
      <c r="B159" s="5"/>
      <c r="C159" s="6"/>
      <c r="D159" s="6"/>
      <c r="E159" s="29"/>
      <c r="F159" s="51">
        <f>SUM(F152:F158)</f>
        <v>4220.9805228758178</v>
      </c>
      <c r="G159" s="32">
        <f t="shared" si="113"/>
        <v>132</v>
      </c>
      <c r="H159" s="33">
        <f>SUM(H152:H158)</f>
        <v>31.977125173301644</v>
      </c>
      <c r="I159" s="146"/>
      <c r="J159" s="35"/>
      <c r="K159" s="6"/>
      <c r="L159" s="6"/>
      <c r="M159" s="6"/>
      <c r="N159" s="235">
        <f>SUM(N152:N158)</f>
        <v>6675.6486928104569</v>
      </c>
      <c r="O159" s="32">
        <f t="shared" si="110"/>
        <v>100</v>
      </c>
      <c r="P159" s="236">
        <f t="shared" si="111"/>
        <v>66.756486928104565</v>
      </c>
      <c r="Q159" t="s">
        <v>68</v>
      </c>
      <c r="R159" s="45">
        <v>100</v>
      </c>
      <c r="T159" s="35"/>
      <c r="U159" s="6"/>
      <c r="V159" s="6"/>
      <c r="W159" s="6"/>
      <c r="X159" s="31">
        <f>SUM(X152:X158)</f>
        <v>3165.8066666666664</v>
      </c>
      <c r="Y159" s="32">
        <f t="shared" si="112"/>
        <v>102</v>
      </c>
      <c r="Z159" s="33">
        <f t="shared" si="108"/>
        <v>31.037320261437905</v>
      </c>
      <c r="AB159" s="45"/>
    </row>
    <row r="160" spans="1:28" x14ac:dyDescent="0.35">
      <c r="A160" s="35"/>
      <c r="B160" s="5" t="s">
        <v>44</v>
      </c>
      <c r="C160" s="5" t="s">
        <v>70</v>
      </c>
      <c r="D160" s="5" t="s">
        <v>70</v>
      </c>
      <c r="E160" s="5"/>
      <c r="F160" s="59">
        <f t="shared" ref="F160:F162" si="114">F159</f>
        <v>4220.9805228758178</v>
      </c>
      <c r="G160" s="5">
        <v>132</v>
      </c>
      <c r="H160" s="127">
        <f>F160/G160</f>
        <v>31.977125173301651</v>
      </c>
      <c r="I160" s="146"/>
      <c r="J160" s="35" t="s">
        <v>44</v>
      </c>
      <c r="K160" s="5" t="s">
        <v>70</v>
      </c>
      <c r="L160" s="5" t="s">
        <v>70</v>
      </c>
      <c r="M160" s="5" t="s">
        <v>70</v>
      </c>
      <c r="N160" s="38">
        <f>N159</f>
        <v>6675.6486928104569</v>
      </c>
      <c r="O160" s="5">
        <v>100</v>
      </c>
      <c r="P160" s="30">
        <f>N160/O160</f>
        <v>66.756486928104565</v>
      </c>
      <c r="Q160" t="s">
        <v>32</v>
      </c>
      <c r="R160" s="47">
        <f>AVERAGE(P159,P160,P161,P162,P163)</f>
        <v>67.161071697365813</v>
      </c>
      <c r="S160" s="120"/>
      <c r="T160" s="35" t="s">
        <v>44</v>
      </c>
      <c r="U160" s="5"/>
      <c r="V160" s="5"/>
      <c r="W160" s="5"/>
      <c r="X160" s="29">
        <f t="shared" ref="X160:X165" si="115">X159</f>
        <v>3165.8066666666664</v>
      </c>
      <c r="Y160" s="6">
        <v>102</v>
      </c>
      <c r="Z160" s="30">
        <f t="shared" si="108"/>
        <v>31.037320261437905</v>
      </c>
      <c r="AB160" s="47"/>
    </row>
    <row r="161" spans="1:28" x14ac:dyDescent="0.35">
      <c r="A161" s="35"/>
      <c r="B161" s="5" t="s">
        <v>45</v>
      </c>
      <c r="C161" s="5" t="s">
        <v>70</v>
      </c>
      <c r="D161" s="5" t="s">
        <v>70</v>
      </c>
      <c r="E161" s="5"/>
      <c r="F161" s="59">
        <f t="shared" si="114"/>
        <v>4220.9805228758178</v>
      </c>
      <c r="G161" s="5">
        <v>132</v>
      </c>
      <c r="H161" s="127">
        <f t="shared" ref="H161:H162" si="116">F161/G161</f>
        <v>31.977125173301651</v>
      </c>
      <c r="I161" s="146"/>
      <c r="J161" s="35" t="s">
        <v>45</v>
      </c>
      <c r="K161" s="5" t="s">
        <v>70</v>
      </c>
      <c r="L161" s="5" t="s">
        <v>70</v>
      </c>
      <c r="M161" s="5" t="s">
        <v>70</v>
      </c>
      <c r="N161" s="38">
        <f t="shared" ref="N161:N165" si="117">N160</f>
        <v>6675.6486928104569</v>
      </c>
      <c r="O161" s="5">
        <v>99</v>
      </c>
      <c r="P161" s="30">
        <f t="shared" ref="P161:P165" si="118">N161/O161</f>
        <v>67.430794876873307</v>
      </c>
      <c r="Q161" t="s">
        <v>69</v>
      </c>
      <c r="R161" s="47">
        <f>R159-R160</f>
        <v>32.838928302634187</v>
      </c>
      <c r="S161" s="120"/>
      <c r="T161" s="35" t="s">
        <v>45</v>
      </c>
      <c r="U161" s="5"/>
      <c r="V161" s="5"/>
      <c r="W161" s="5"/>
      <c r="X161" s="29">
        <f t="shared" si="115"/>
        <v>3165.8066666666664</v>
      </c>
      <c r="Y161" s="6">
        <v>102</v>
      </c>
      <c r="Z161" s="30">
        <f t="shared" si="108"/>
        <v>31.037320261437905</v>
      </c>
      <c r="AB161" s="47"/>
    </row>
    <row r="162" spans="1:28" x14ac:dyDescent="0.35">
      <c r="A162" s="35"/>
      <c r="B162" s="5" t="s">
        <v>67</v>
      </c>
      <c r="C162" s="5" t="s">
        <v>70</v>
      </c>
      <c r="D162" s="5" t="s">
        <v>70</v>
      </c>
      <c r="E162" s="5"/>
      <c r="F162" s="59">
        <f t="shared" si="114"/>
        <v>4220.9805228758178</v>
      </c>
      <c r="G162" s="5">
        <v>132</v>
      </c>
      <c r="H162" s="127">
        <f t="shared" si="116"/>
        <v>31.977125173301651</v>
      </c>
      <c r="I162" s="146"/>
      <c r="J162" s="35" t="s">
        <v>67</v>
      </c>
      <c r="K162" s="5" t="s">
        <v>70</v>
      </c>
      <c r="L162" s="5" t="s">
        <v>70</v>
      </c>
      <c r="M162" s="5" t="s">
        <v>70</v>
      </c>
      <c r="N162" s="38">
        <f t="shared" si="117"/>
        <v>6675.6486928104569</v>
      </c>
      <c r="O162" s="5">
        <v>99</v>
      </c>
      <c r="P162" s="30">
        <f t="shared" si="118"/>
        <v>67.430794876873307</v>
      </c>
      <c r="Q162" t="s">
        <v>136</v>
      </c>
      <c r="R162" s="50">
        <f>R161*106</f>
        <v>3480.9264000792236</v>
      </c>
      <c r="S162" s="120"/>
      <c r="T162" s="35" t="s">
        <v>67</v>
      </c>
      <c r="U162" s="5"/>
      <c r="V162" s="5"/>
      <c r="W162" s="5"/>
      <c r="X162" s="29">
        <f t="shared" si="115"/>
        <v>3165.8066666666664</v>
      </c>
      <c r="Y162" s="6">
        <v>102</v>
      </c>
      <c r="Z162" s="30">
        <f t="shared" si="108"/>
        <v>31.037320261437905</v>
      </c>
      <c r="AB162" s="50"/>
    </row>
    <row r="163" spans="1:28" x14ac:dyDescent="0.35">
      <c r="A163" s="35"/>
      <c r="B163" s="5"/>
      <c r="C163" s="5"/>
      <c r="D163" s="5"/>
      <c r="E163" s="5"/>
      <c r="F163" s="59"/>
      <c r="G163" s="5"/>
      <c r="H163" s="127"/>
      <c r="I163" s="146"/>
      <c r="J163" s="35" t="s">
        <v>133</v>
      </c>
      <c r="K163" s="5"/>
      <c r="L163" s="5"/>
      <c r="M163" s="5"/>
      <c r="N163" s="38">
        <f t="shared" si="117"/>
        <v>6675.6486928104569</v>
      </c>
      <c r="O163" s="5">
        <v>99</v>
      </c>
      <c r="P163" s="30">
        <f t="shared" si="118"/>
        <v>67.430794876873307</v>
      </c>
      <c r="Q163" t="s">
        <v>469</v>
      </c>
      <c r="R163" s="48">
        <f>R162*9</f>
        <v>31328.337600713014</v>
      </c>
      <c r="S163" s="120"/>
      <c r="T163" s="35" t="s">
        <v>133</v>
      </c>
      <c r="U163" s="5"/>
      <c r="V163" s="5"/>
      <c r="W163" s="5"/>
      <c r="X163" s="29">
        <f t="shared" si="115"/>
        <v>3165.8066666666664</v>
      </c>
      <c r="Y163" s="6">
        <v>102</v>
      </c>
      <c r="Z163" s="30">
        <f t="shared" si="108"/>
        <v>31.037320261437905</v>
      </c>
      <c r="AB163" s="48"/>
    </row>
    <row r="164" spans="1:28" x14ac:dyDescent="0.35">
      <c r="A164" s="35"/>
      <c r="B164" s="5"/>
      <c r="C164" s="5"/>
      <c r="D164" s="5"/>
      <c r="E164" s="5"/>
      <c r="F164" s="59"/>
      <c r="G164" s="5"/>
      <c r="H164" s="127"/>
      <c r="I164" s="146"/>
      <c r="J164" s="35" t="s">
        <v>134</v>
      </c>
      <c r="K164" s="5"/>
      <c r="L164" s="5"/>
      <c r="M164" s="5"/>
      <c r="N164" s="38">
        <f t="shared" si="117"/>
        <v>6675.6486928104569</v>
      </c>
      <c r="O164" s="5">
        <v>99</v>
      </c>
      <c r="P164" s="30">
        <f t="shared" si="118"/>
        <v>67.430794876873307</v>
      </c>
      <c r="R164" s="48"/>
      <c r="S164" s="120"/>
      <c r="T164" s="35" t="s">
        <v>134</v>
      </c>
      <c r="U164" s="5"/>
      <c r="V164" s="5"/>
      <c r="W164" s="5"/>
      <c r="X164" s="29">
        <f t="shared" si="115"/>
        <v>3165.8066666666664</v>
      </c>
      <c r="Y164" s="6">
        <v>102</v>
      </c>
      <c r="Z164" s="30">
        <f t="shared" si="108"/>
        <v>31.037320261437905</v>
      </c>
      <c r="AB164" s="48"/>
    </row>
    <row r="165" spans="1:28" x14ac:dyDescent="0.35">
      <c r="A165" s="35"/>
      <c r="B165" s="5"/>
      <c r="C165" s="5"/>
      <c r="D165" s="5"/>
      <c r="E165" s="5"/>
      <c r="F165" s="59"/>
      <c r="G165" s="5"/>
      <c r="H165" s="127"/>
      <c r="I165" s="146"/>
      <c r="J165" s="35" t="s">
        <v>252</v>
      </c>
      <c r="K165" s="5" t="s">
        <v>70</v>
      </c>
      <c r="L165" s="5" t="s">
        <v>70</v>
      </c>
      <c r="M165" s="5" t="s">
        <v>70</v>
      </c>
      <c r="N165" s="38">
        <f t="shared" si="117"/>
        <v>6675.6486928104569</v>
      </c>
      <c r="O165" s="5">
        <v>99</v>
      </c>
      <c r="P165" s="30">
        <f t="shared" si="118"/>
        <v>67.430794876873307</v>
      </c>
      <c r="Q165">
        <f>80/9</f>
        <v>8.8888888888888893</v>
      </c>
      <c r="R165" s="48"/>
      <c r="S165" s="120"/>
      <c r="T165" s="35" t="s">
        <v>252</v>
      </c>
      <c r="U165" s="5"/>
      <c r="V165" s="5"/>
      <c r="W165" s="5"/>
      <c r="X165" s="29">
        <f t="shared" si="115"/>
        <v>3165.8066666666664</v>
      </c>
      <c r="Y165" s="6">
        <v>102</v>
      </c>
      <c r="Z165" s="30">
        <f t="shared" si="108"/>
        <v>31.037320261437905</v>
      </c>
      <c r="AB165" s="48"/>
    </row>
    <row r="166" spans="1:28" x14ac:dyDescent="0.35">
      <c r="A166" s="35"/>
      <c r="B166" s="5"/>
      <c r="C166" s="5"/>
      <c r="D166" s="5"/>
      <c r="E166" s="5"/>
      <c r="F166" s="59"/>
      <c r="G166" s="5"/>
      <c r="H166" s="127"/>
      <c r="I166" s="146"/>
      <c r="J166" s="35" t="s">
        <v>253</v>
      </c>
      <c r="K166" s="5" t="s">
        <v>70</v>
      </c>
      <c r="L166" s="5" t="s">
        <v>70</v>
      </c>
      <c r="M166" s="5" t="s">
        <v>70</v>
      </c>
      <c r="N166" s="38">
        <f>N165</f>
        <v>6675.6486928104569</v>
      </c>
      <c r="O166" s="5">
        <v>99</v>
      </c>
      <c r="P166" s="30">
        <f>N166/O166</f>
        <v>67.430794876873307</v>
      </c>
      <c r="R166" s="48"/>
      <c r="S166" s="120"/>
      <c r="T166" s="9"/>
      <c r="U166" s="1"/>
      <c r="V166" s="1"/>
      <c r="W166" s="1"/>
      <c r="X166" s="29"/>
      <c r="Y166" s="6"/>
      <c r="Z166" s="30"/>
      <c r="AB166" s="48"/>
    </row>
    <row r="167" spans="1:28" x14ac:dyDescent="0.35">
      <c r="A167" s="35"/>
      <c r="B167" s="5"/>
      <c r="C167" s="5"/>
      <c r="D167" s="5"/>
      <c r="E167" s="5"/>
      <c r="F167" s="59"/>
      <c r="G167" s="5"/>
      <c r="H167" s="127"/>
      <c r="I167" s="146"/>
      <c r="J167" s="35" t="s">
        <v>455</v>
      </c>
      <c r="K167" s="5" t="s">
        <v>70</v>
      </c>
      <c r="L167" s="5" t="s">
        <v>70</v>
      </c>
      <c r="M167" s="5" t="s">
        <v>70</v>
      </c>
      <c r="N167" s="38">
        <f>N166</f>
        <v>6675.6486928104569</v>
      </c>
      <c r="O167" s="5">
        <v>99</v>
      </c>
      <c r="P167" s="30">
        <f>N167/O167</f>
        <v>67.430794876873307</v>
      </c>
      <c r="R167" s="48"/>
      <c r="S167" s="120"/>
      <c r="T167" s="9"/>
      <c r="U167" s="1"/>
      <c r="V167" s="1"/>
      <c r="W167" s="1"/>
      <c r="X167" s="29"/>
      <c r="Y167" s="6"/>
      <c r="Z167" s="30"/>
      <c r="AB167" s="48"/>
    </row>
    <row r="168" spans="1:28" x14ac:dyDescent="0.35">
      <c r="A168" s="35"/>
      <c r="B168" s="5"/>
      <c r="C168" s="5"/>
      <c r="D168" s="5"/>
      <c r="E168" s="5"/>
      <c r="F168" s="59"/>
      <c r="G168" s="5"/>
      <c r="H168" s="127"/>
      <c r="I168" s="146"/>
      <c r="J168" s="9"/>
      <c r="K168" s="1"/>
      <c r="L168" s="1"/>
      <c r="M168" s="1"/>
      <c r="N168" s="57"/>
      <c r="O168" s="1"/>
      <c r="P168" s="126"/>
      <c r="R168" s="48"/>
      <c r="S168" s="120"/>
      <c r="T168" s="9"/>
      <c r="U168" s="1"/>
      <c r="V168" s="1"/>
      <c r="W168" s="1"/>
      <c r="X168" s="29"/>
      <c r="Y168" s="6"/>
      <c r="Z168" s="30"/>
      <c r="AB168" s="48"/>
    </row>
    <row r="169" spans="1:28" x14ac:dyDescent="0.35">
      <c r="A169" s="35"/>
      <c r="B169" s="5"/>
      <c r="C169" s="5" t="s">
        <v>70</v>
      </c>
      <c r="D169" s="5" t="s">
        <v>70</v>
      </c>
      <c r="E169" s="5"/>
      <c r="F169" s="59"/>
      <c r="G169" s="5"/>
      <c r="H169" s="127"/>
      <c r="I169" s="146"/>
      <c r="J169" s="35"/>
      <c r="K169" s="5"/>
      <c r="L169" s="5"/>
      <c r="M169" s="5"/>
      <c r="N169" s="38"/>
      <c r="O169" s="90"/>
      <c r="P169" s="91"/>
      <c r="R169" s="48"/>
      <c r="S169" s="120"/>
      <c r="T169" s="9"/>
      <c r="U169" s="1"/>
      <c r="V169" s="1"/>
      <c r="W169" s="1"/>
      <c r="X169" s="57"/>
      <c r="Y169" s="1"/>
      <c r="Z169" s="126"/>
      <c r="AB169" s="48"/>
    </row>
    <row r="170" spans="1:28" x14ac:dyDescent="0.35">
      <c r="A170" s="35"/>
      <c r="B170" s="5"/>
      <c r="C170" s="5" t="s">
        <v>70</v>
      </c>
      <c r="D170" s="5" t="s">
        <v>70</v>
      </c>
      <c r="E170" s="5"/>
      <c r="F170" s="59"/>
      <c r="G170" s="5"/>
      <c r="H170" s="127"/>
      <c r="I170" s="146"/>
      <c r="J170" s="35"/>
      <c r="K170" s="5"/>
      <c r="L170" s="5"/>
      <c r="M170" s="5"/>
      <c r="N170" s="38"/>
      <c r="O170" s="90"/>
      <c r="P170" s="91"/>
      <c r="R170" s="48"/>
      <c r="S170" s="120"/>
      <c r="T170" s="9"/>
      <c r="U170" s="1"/>
      <c r="V170" s="1"/>
      <c r="W170" s="1"/>
      <c r="X170" s="57"/>
      <c r="Y170" s="1"/>
      <c r="Z170" s="126"/>
      <c r="AB170" s="48"/>
    </row>
    <row r="171" spans="1:28" ht="15" thickBot="1" x14ac:dyDescent="0.4">
      <c r="A171" s="11"/>
      <c r="B171" s="12"/>
      <c r="C171" s="12"/>
      <c r="D171" s="12"/>
      <c r="E171" s="12"/>
      <c r="F171" s="114">
        <f>SUM(F159:F166)</f>
        <v>16883.922091503271</v>
      </c>
      <c r="G171" s="114">
        <f>SUM(G159:G170)</f>
        <v>528</v>
      </c>
      <c r="H171" s="13"/>
      <c r="I171" s="148"/>
      <c r="J171" s="11"/>
      <c r="K171" s="12"/>
      <c r="L171" s="12"/>
      <c r="M171" s="12"/>
      <c r="N171" s="77">
        <f>SUM(N159:N166)</f>
        <v>53405.189542483655</v>
      </c>
      <c r="O171" s="115">
        <f>SUM(O159:O170)</f>
        <v>893</v>
      </c>
      <c r="P171" s="13"/>
      <c r="Q171" s="46" t="s">
        <v>71</v>
      </c>
      <c r="R171" s="52">
        <f>R157+R163</f>
        <v>46124.41550920975</v>
      </c>
      <c r="S171" s="121"/>
      <c r="T171" s="222"/>
      <c r="U171" s="207"/>
      <c r="V171" s="207"/>
      <c r="W171" s="207"/>
      <c r="X171" s="223">
        <f>SUM(X159:X164)</f>
        <v>18994.84</v>
      </c>
      <c r="Y171" s="115">
        <f>SUM(Y159:Y170)</f>
        <v>714</v>
      </c>
      <c r="Z171" s="224"/>
      <c r="AA171" s="46"/>
      <c r="AB171" s="52"/>
    </row>
    <row r="172" spans="1:28" x14ac:dyDescent="0.35">
      <c r="A172" s="39" t="s">
        <v>474</v>
      </c>
      <c r="B172" s="40" t="s">
        <v>43</v>
      </c>
      <c r="C172" s="41" t="s">
        <v>2</v>
      </c>
      <c r="D172" s="41" t="s">
        <v>86</v>
      </c>
      <c r="E172" s="41">
        <f>3650/50</f>
        <v>73</v>
      </c>
      <c r="F172" s="41">
        <f>E172*36</f>
        <v>2628</v>
      </c>
      <c r="G172" s="41">
        <v>132</v>
      </c>
      <c r="H172" s="113">
        <f>F172/G172</f>
        <v>19.90909090909091</v>
      </c>
      <c r="I172" s="147"/>
      <c r="J172" s="80" t="s">
        <v>43</v>
      </c>
      <c r="K172" s="41" t="s">
        <v>2</v>
      </c>
      <c r="L172" s="41" t="s">
        <v>49</v>
      </c>
      <c r="M172" s="41">
        <f>3650/50</f>
        <v>73</v>
      </c>
      <c r="N172" s="41">
        <f>M172*50</f>
        <v>3650</v>
      </c>
      <c r="O172" s="41">
        <v>102</v>
      </c>
      <c r="P172" s="113">
        <f>N172/O172</f>
        <v>35.784313725490193</v>
      </c>
      <c r="Q172" s="43" t="s">
        <v>0</v>
      </c>
      <c r="R172" s="44"/>
      <c r="S172" s="119"/>
      <c r="T172" s="39" t="s">
        <v>43</v>
      </c>
      <c r="U172" s="41" t="s">
        <v>2</v>
      </c>
      <c r="V172" s="41" t="s">
        <v>317</v>
      </c>
      <c r="W172" s="139">
        <f>3600/50</f>
        <v>72</v>
      </c>
      <c r="X172" s="41">
        <f>W172*26</f>
        <v>1872</v>
      </c>
      <c r="Y172" s="41">
        <v>102</v>
      </c>
      <c r="Z172" s="113">
        <f t="shared" ref="Z172:Z185" si="119">X172/Y172</f>
        <v>18.352941176470587</v>
      </c>
      <c r="AA172" s="43" t="s">
        <v>196</v>
      </c>
      <c r="AB172" s="44"/>
    </row>
    <row r="173" spans="1:28" x14ac:dyDescent="0.35">
      <c r="A173" s="35"/>
      <c r="B173" s="5"/>
      <c r="C173" s="6" t="s">
        <v>4</v>
      </c>
      <c r="D173" s="6" t="s">
        <v>50</v>
      </c>
      <c r="E173" s="28">
        <f>7200/50</f>
        <v>144</v>
      </c>
      <c r="F173" s="6">
        <f>E173*4.5</f>
        <v>648</v>
      </c>
      <c r="G173" s="1">
        <f>G172</f>
        <v>132</v>
      </c>
      <c r="H173" s="126">
        <f t="shared" ref="H173:H178" si="120">F173/G173</f>
        <v>4.9090909090909092</v>
      </c>
      <c r="I173" s="146"/>
      <c r="J173" s="9"/>
      <c r="K173" s="1" t="s">
        <v>4</v>
      </c>
      <c r="L173" s="1" t="s">
        <v>353</v>
      </c>
      <c r="M173" s="28">
        <f>7200/50</f>
        <v>144</v>
      </c>
      <c r="N173" s="57">
        <f>M173*2.5</f>
        <v>360</v>
      </c>
      <c r="O173" s="1">
        <f t="shared" ref="O173:O179" si="121">O172</f>
        <v>102</v>
      </c>
      <c r="P173" s="126">
        <f t="shared" ref="P173:P179" si="122">N173/O173</f>
        <v>3.5294117647058822</v>
      </c>
      <c r="Q173" t="s">
        <v>68</v>
      </c>
      <c r="R173" s="45">
        <v>60</v>
      </c>
      <c r="T173" s="35"/>
      <c r="U173" s="6" t="s">
        <v>4</v>
      </c>
      <c r="V173" s="6" t="s">
        <v>324</v>
      </c>
      <c r="W173" s="28">
        <f>7200/50</f>
        <v>144</v>
      </c>
      <c r="X173" s="29">
        <f>W173*3.8</f>
        <v>547.19999999999993</v>
      </c>
      <c r="Y173" s="1">
        <f t="shared" ref="Y173:Y179" si="123">Y172</f>
        <v>102</v>
      </c>
      <c r="Z173" s="126">
        <f t="shared" si="119"/>
        <v>5.3647058823529408</v>
      </c>
      <c r="AA173" t="s">
        <v>68</v>
      </c>
      <c r="AB173" s="45">
        <v>50</v>
      </c>
    </row>
    <row r="174" spans="1:28" x14ac:dyDescent="0.35">
      <c r="A174" s="35"/>
      <c r="B174" s="5"/>
      <c r="C174" s="6" t="s">
        <v>54</v>
      </c>
      <c r="D174" s="6" t="s">
        <v>419</v>
      </c>
      <c r="E174" s="28">
        <f>600/1000</f>
        <v>0.6</v>
      </c>
      <c r="F174" s="6">
        <f>E174*60</f>
        <v>36</v>
      </c>
      <c r="G174" s="1">
        <f t="shared" ref="G174:G179" si="124">G173</f>
        <v>132</v>
      </c>
      <c r="H174" s="126">
        <f t="shared" si="120"/>
        <v>0.27272727272727271</v>
      </c>
      <c r="I174" s="146"/>
      <c r="J174" s="9"/>
      <c r="K174" s="1" t="s">
        <v>5</v>
      </c>
      <c r="L174" s="1" t="s">
        <v>421</v>
      </c>
      <c r="M174" s="233">
        <f>400/450</f>
        <v>0.88888888888888884</v>
      </c>
      <c r="N174" s="57">
        <f>M174*160</f>
        <v>142.22222222222223</v>
      </c>
      <c r="O174" s="1">
        <f t="shared" si="121"/>
        <v>102</v>
      </c>
      <c r="P174" s="126">
        <f t="shared" si="122"/>
        <v>1.3943355119825709</v>
      </c>
      <c r="Q174" t="s">
        <v>32</v>
      </c>
      <c r="R174" s="47">
        <f>H179</f>
        <v>31.977125173301644</v>
      </c>
      <c r="S174" s="120"/>
      <c r="T174" s="35"/>
      <c r="U174" s="6" t="s">
        <v>5</v>
      </c>
      <c r="V174" s="6" t="s">
        <v>420</v>
      </c>
      <c r="W174" s="28">
        <f>255/450</f>
        <v>0.56666666666666665</v>
      </c>
      <c r="X174" s="29">
        <f>W174*190</f>
        <v>107.66666666666666</v>
      </c>
      <c r="Y174" s="1">
        <f t="shared" si="123"/>
        <v>102</v>
      </c>
      <c r="Z174" s="126">
        <f t="shared" si="119"/>
        <v>1.0555555555555554</v>
      </c>
      <c r="AA174" t="s">
        <v>32</v>
      </c>
      <c r="AB174" s="47">
        <f>Z179</f>
        <v>31.037320261437905</v>
      </c>
    </row>
    <row r="175" spans="1:28" x14ac:dyDescent="0.35">
      <c r="A175" s="35"/>
      <c r="B175" s="5"/>
      <c r="C175" s="6" t="s">
        <v>55</v>
      </c>
      <c r="D175" s="6" t="s">
        <v>318</v>
      </c>
      <c r="E175" s="28">
        <f>35.5/1000</f>
        <v>3.5499999999999997E-2</v>
      </c>
      <c r="F175" s="6">
        <f>E175*280</f>
        <v>9.94</v>
      </c>
      <c r="G175" s="1">
        <f t="shared" si="124"/>
        <v>132</v>
      </c>
      <c r="H175" s="126">
        <f t="shared" si="120"/>
        <v>7.5303030303030302E-2</v>
      </c>
      <c r="I175" s="146"/>
      <c r="J175" s="9"/>
      <c r="K175" s="1" t="s">
        <v>51</v>
      </c>
      <c r="L175" s="1" t="s">
        <v>52</v>
      </c>
      <c r="M175" s="232">
        <f>35.5/1000</f>
        <v>3.5499999999999997E-2</v>
      </c>
      <c r="N175" s="1">
        <f>M175*300</f>
        <v>10.649999999999999</v>
      </c>
      <c r="O175" s="1">
        <f t="shared" si="121"/>
        <v>102</v>
      </c>
      <c r="P175" s="126">
        <f t="shared" si="122"/>
        <v>0.10441176470588234</v>
      </c>
      <c r="Q175" t="s">
        <v>62</v>
      </c>
      <c r="R175" s="47">
        <f>R173-R174</f>
        <v>28.022874826698356</v>
      </c>
      <c r="S175" s="120"/>
      <c r="T175" s="35"/>
      <c r="U175" s="6" t="s">
        <v>51</v>
      </c>
      <c r="V175" s="6" t="s">
        <v>318</v>
      </c>
      <c r="W175" s="205">
        <f>35.5/1000</f>
        <v>3.5499999999999997E-2</v>
      </c>
      <c r="X175" s="6">
        <f>W175*280</f>
        <v>9.94</v>
      </c>
      <c r="Y175" s="1">
        <f t="shared" si="123"/>
        <v>102</v>
      </c>
      <c r="Z175" s="126">
        <f t="shared" si="119"/>
        <v>9.7450980392156855E-2</v>
      </c>
      <c r="AA175" t="s">
        <v>69</v>
      </c>
      <c r="AB175" s="47">
        <f>AB173-AB174</f>
        <v>18.962679738562095</v>
      </c>
    </row>
    <row r="176" spans="1:28" x14ac:dyDescent="0.35">
      <c r="A176" s="35"/>
      <c r="B176" s="5"/>
      <c r="C176" s="6" t="s">
        <v>56</v>
      </c>
      <c r="D176" s="6" t="s">
        <v>419</v>
      </c>
      <c r="E176" s="6">
        <f>340/1000</f>
        <v>0.34</v>
      </c>
      <c r="F176" s="6">
        <f>E176*60</f>
        <v>20.400000000000002</v>
      </c>
      <c r="G176" s="1">
        <f t="shared" si="124"/>
        <v>132</v>
      </c>
      <c r="H176" s="126">
        <f t="shared" si="120"/>
        <v>0.15454545454545457</v>
      </c>
      <c r="I176" s="146"/>
      <c r="J176" s="9"/>
      <c r="K176" s="1" t="s">
        <v>26</v>
      </c>
      <c r="L176" s="1" t="s">
        <v>419</v>
      </c>
      <c r="M176" s="1">
        <f>340/1000</f>
        <v>0.34</v>
      </c>
      <c r="N176" s="1">
        <f>M176*60</f>
        <v>20.400000000000002</v>
      </c>
      <c r="O176" s="1">
        <f t="shared" si="121"/>
        <v>102</v>
      </c>
      <c r="P176" s="126">
        <f t="shared" si="122"/>
        <v>0.2</v>
      </c>
      <c r="Q176" t="s">
        <v>72</v>
      </c>
      <c r="R176" s="50">
        <f>G179*R175</f>
        <v>3699.0194771241831</v>
      </c>
      <c r="S176" s="120"/>
      <c r="T176" s="35"/>
      <c r="U176" s="6" t="s">
        <v>26</v>
      </c>
      <c r="V176" s="6" t="s">
        <v>53</v>
      </c>
      <c r="W176" s="6">
        <f>340/1000</f>
        <v>0.34</v>
      </c>
      <c r="X176" s="6">
        <f>W176*50</f>
        <v>17</v>
      </c>
      <c r="Y176" s="1">
        <f t="shared" si="123"/>
        <v>102</v>
      </c>
      <c r="Z176" s="126">
        <f t="shared" si="119"/>
        <v>0.16666666666666666</v>
      </c>
      <c r="AA176" t="s">
        <v>205</v>
      </c>
      <c r="AB176" s="50">
        <f>AB175*102</f>
        <v>1934.1933333333336</v>
      </c>
    </row>
    <row r="177" spans="1:28" x14ac:dyDescent="0.35">
      <c r="A177" s="35"/>
      <c r="B177" s="5"/>
      <c r="C177" s="6" t="s">
        <v>57</v>
      </c>
      <c r="D177" s="6" t="s">
        <v>6</v>
      </c>
      <c r="E177" s="28">
        <f>250/450</f>
        <v>0.55555555555555558</v>
      </c>
      <c r="F177" s="28">
        <f>E177*200</f>
        <v>111.11111111111111</v>
      </c>
      <c r="G177" s="1">
        <f t="shared" si="124"/>
        <v>132</v>
      </c>
      <c r="H177" s="126">
        <f t="shared" si="120"/>
        <v>0.84175084175084181</v>
      </c>
      <c r="I177" s="146"/>
      <c r="J177" s="9"/>
      <c r="K177" s="1" t="s">
        <v>3</v>
      </c>
      <c r="L177" s="1" t="s">
        <v>382</v>
      </c>
      <c r="M177" s="57">
        <f>4660/17</f>
        <v>274.11764705882354</v>
      </c>
      <c r="N177" s="57">
        <f>M177*1.5</f>
        <v>411.1764705882353</v>
      </c>
      <c r="O177" s="1">
        <f t="shared" si="121"/>
        <v>102</v>
      </c>
      <c r="P177" s="126">
        <f t="shared" si="122"/>
        <v>4.031141868512111</v>
      </c>
      <c r="Q177" t="s">
        <v>424</v>
      </c>
      <c r="R177" s="48">
        <f>R176*4</f>
        <v>14796.077908496733</v>
      </c>
      <c r="S177" s="120"/>
      <c r="T177" s="35"/>
      <c r="U177" s="6" t="s">
        <v>3</v>
      </c>
      <c r="V177" s="6" t="s">
        <v>325</v>
      </c>
      <c r="W177" s="29">
        <f>260</f>
        <v>260</v>
      </c>
      <c r="X177" s="29">
        <f>W177*2.3</f>
        <v>598</v>
      </c>
      <c r="Y177" s="1">
        <f t="shared" si="123"/>
        <v>102</v>
      </c>
      <c r="Z177" s="126">
        <f t="shared" si="119"/>
        <v>5.8627450980392153</v>
      </c>
      <c r="AA177" t="s">
        <v>426</v>
      </c>
      <c r="AB177" s="48">
        <f>AB176*7</f>
        <v>13539.353333333336</v>
      </c>
    </row>
    <row r="178" spans="1:28" x14ac:dyDescent="0.35">
      <c r="A178" s="35"/>
      <c r="B178" s="5"/>
      <c r="C178" s="6" t="s">
        <v>58</v>
      </c>
      <c r="D178" s="6" t="s">
        <v>319</v>
      </c>
      <c r="E178" s="29">
        <f>4660/17</f>
        <v>274.11764705882354</v>
      </c>
      <c r="F178" s="29">
        <f>E178*2.8</f>
        <v>767.52941176470586</v>
      </c>
      <c r="G178" s="6">
        <f t="shared" si="124"/>
        <v>132</v>
      </c>
      <c r="H178" s="126">
        <f t="shared" si="120"/>
        <v>5.8146167557932262</v>
      </c>
      <c r="I178" s="146"/>
      <c r="J178" s="9"/>
      <c r="K178" s="1" t="s">
        <v>7</v>
      </c>
      <c r="L178" s="234" t="s">
        <v>316</v>
      </c>
      <c r="M178" s="57">
        <f>4730/20</f>
        <v>236.5</v>
      </c>
      <c r="N178" s="57">
        <f>M178*10</f>
        <v>2365</v>
      </c>
      <c r="O178" s="1">
        <f t="shared" si="121"/>
        <v>102</v>
      </c>
      <c r="P178" s="126">
        <f t="shared" si="122"/>
        <v>23.186274509803923</v>
      </c>
      <c r="Q178" t="s">
        <v>1</v>
      </c>
      <c r="R178" s="45"/>
      <c r="T178" s="35"/>
      <c r="U178" s="6" t="s">
        <v>151</v>
      </c>
      <c r="V178" s="53" t="s">
        <v>53</v>
      </c>
      <c r="W178" s="28">
        <f>280/1000</f>
        <v>0.28000000000000003</v>
      </c>
      <c r="X178" s="6">
        <f>W178*50</f>
        <v>14.000000000000002</v>
      </c>
      <c r="Y178" s="1">
        <f t="shared" si="123"/>
        <v>102</v>
      </c>
      <c r="Z178" s="126">
        <f t="shared" si="119"/>
        <v>0.13725490196078433</v>
      </c>
      <c r="AB178" s="45"/>
    </row>
    <row r="179" spans="1:28" x14ac:dyDescent="0.35">
      <c r="A179" s="35"/>
      <c r="B179" s="5"/>
      <c r="C179" s="6"/>
      <c r="D179" s="6"/>
      <c r="E179" s="29"/>
      <c r="F179" s="51">
        <f>SUM(F172:F178)</f>
        <v>4220.9805228758178</v>
      </c>
      <c r="G179" s="32">
        <f t="shared" si="124"/>
        <v>132</v>
      </c>
      <c r="H179" s="33">
        <f>SUM(H172:H178)</f>
        <v>31.977125173301644</v>
      </c>
      <c r="I179" s="146"/>
      <c r="J179" s="35"/>
      <c r="K179" s="6"/>
      <c r="L179" s="6"/>
      <c r="M179" s="6"/>
      <c r="N179" s="235">
        <f>SUM(N172:N178)</f>
        <v>6959.448692810457</v>
      </c>
      <c r="O179" s="32">
        <f t="shared" si="121"/>
        <v>102</v>
      </c>
      <c r="P179" s="236">
        <f t="shared" si="122"/>
        <v>68.229889145200559</v>
      </c>
      <c r="Q179" t="s">
        <v>68</v>
      </c>
      <c r="R179" s="45">
        <v>100</v>
      </c>
      <c r="T179" s="35"/>
      <c r="U179" s="6"/>
      <c r="V179" s="6"/>
      <c r="W179" s="6"/>
      <c r="X179" s="31">
        <f>SUM(X172:X178)</f>
        <v>3165.8066666666664</v>
      </c>
      <c r="Y179" s="32">
        <f t="shared" si="123"/>
        <v>102</v>
      </c>
      <c r="Z179" s="33">
        <f t="shared" si="119"/>
        <v>31.037320261437905</v>
      </c>
      <c r="AB179" s="45"/>
    </row>
    <row r="180" spans="1:28" x14ac:dyDescent="0.35">
      <c r="A180" s="35"/>
      <c r="B180" s="5" t="s">
        <v>44</v>
      </c>
      <c r="C180" s="5" t="s">
        <v>70</v>
      </c>
      <c r="D180" s="5" t="s">
        <v>70</v>
      </c>
      <c r="E180" s="5"/>
      <c r="F180" s="59">
        <f t="shared" ref="F180:F182" si="125">F179</f>
        <v>4220.9805228758178</v>
      </c>
      <c r="G180" s="5">
        <v>132</v>
      </c>
      <c r="H180" s="127">
        <f>F180/G180</f>
        <v>31.977125173301651</v>
      </c>
      <c r="I180" s="146"/>
      <c r="J180" s="35" t="s">
        <v>44</v>
      </c>
      <c r="K180" s="5" t="s">
        <v>70</v>
      </c>
      <c r="L180" s="5" t="s">
        <v>70</v>
      </c>
      <c r="M180" s="5" t="s">
        <v>70</v>
      </c>
      <c r="N180" s="38">
        <f>N179</f>
        <v>6959.448692810457</v>
      </c>
      <c r="O180" s="5">
        <v>101</v>
      </c>
      <c r="P180" s="30">
        <f>N180/O180</f>
        <v>68.905432602083735</v>
      </c>
      <c r="Q180" t="s">
        <v>32</v>
      </c>
      <c r="R180" s="47">
        <f>AVERAGE(P179,P180,P181,P182,P183)</f>
        <v>69.183756506319611</v>
      </c>
      <c r="S180" s="120"/>
      <c r="T180" s="35" t="s">
        <v>44</v>
      </c>
      <c r="U180" s="5"/>
      <c r="V180" s="5"/>
      <c r="W180" s="5"/>
      <c r="X180" s="29">
        <f t="shared" ref="X180:X185" si="126">X179</f>
        <v>3165.8066666666664</v>
      </c>
      <c r="Y180" s="6">
        <v>102</v>
      </c>
      <c r="Z180" s="30">
        <f t="shared" si="119"/>
        <v>31.037320261437905</v>
      </c>
      <c r="AB180" s="47"/>
    </row>
    <row r="181" spans="1:28" x14ac:dyDescent="0.35">
      <c r="A181" s="35"/>
      <c r="B181" s="5" t="s">
        <v>45</v>
      </c>
      <c r="C181" s="5" t="s">
        <v>70</v>
      </c>
      <c r="D181" s="5" t="s">
        <v>70</v>
      </c>
      <c r="E181" s="5"/>
      <c r="F181" s="59">
        <f t="shared" si="125"/>
        <v>4220.9805228758178</v>
      </c>
      <c r="G181" s="5">
        <v>132</v>
      </c>
      <c r="H181" s="127">
        <f t="shared" ref="H181:H182" si="127">F181/G181</f>
        <v>31.977125173301651</v>
      </c>
      <c r="I181" s="146"/>
      <c r="J181" s="35" t="s">
        <v>45</v>
      </c>
      <c r="K181" s="5" t="s">
        <v>70</v>
      </c>
      <c r="L181" s="5" t="s">
        <v>70</v>
      </c>
      <c r="M181" s="5" t="s">
        <v>70</v>
      </c>
      <c r="N181" s="38">
        <f t="shared" ref="N181:N185" si="128">N180</f>
        <v>6959.448692810457</v>
      </c>
      <c r="O181" s="5">
        <v>100</v>
      </c>
      <c r="P181" s="30">
        <f t="shared" ref="P181:P185" si="129">N181/O181</f>
        <v>69.594486928104573</v>
      </c>
      <c r="Q181" t="s">
        <v>69</v>
      </c>
      <c r="R181" s="47">
        <f>R179-R180</f>
        <v>30.816243493680389</v>
      </c>
      <c r="S181" s="120"/>
      <c r="T181" s="35" t="s">
        <v>45</v>
      </c>
      <c r="U181" s="5"/>
      <c r="V181" s="5"/>
      <c r="W181" s="5"/>
      <c r="X181" s="29">
        <f t="shared" si="126"/>
        <v>3165.8066666666664</v>
      </c>
      <c r="Y181" s="6">
        <v>102</v>
      </c>
      <c r="Z181" s="30">
        <f t="shared" si="119"/>
        <v>31.037320261437905</v>
      </c>
      <c r="AB181" s="47"/>
    </row>
    <row r="182" spans="1:28" x14ac:dyDescent="0.35">
      <c r="A182" s="35"/>
      <c r="B182" s="5" t="s">
        <v>67</v>
      </c>
      <c r="C182" s="5" t="s">
        <v>70</v>
      </c>
      <c r="D182" s="5" t="s">
        <v>70</v>
      </c>
      <c r="E182" s="5"/>
      <c r="F182" s="59">
        <f t="shared" si="125"/>
        <v>4220.9805228758178</v>
      </c>
      <c r="G182" s="5">
        <v>132</v>
      </c>
      <c r="H182" s="127">
        <f t="shared" si="127"/>
        <v>31.977125173301651</v>
      </c>
      <c r="I182" s="146"/>
      <c r="J182" s="35" t="s">
        <v>67</v>
      </c>
      <c r="K182" s="5" t="s">
        <v>70</v>
      </c>
      <c r="L182" s="5" t="s">
        <v>70</v>
      </c>
      <c r="M182" s="5" t="s">
        <v>70</v>
      </c>
      <c r="N182" s="38">
        <f t="shared" si="128"/>
        <v>6959.448692810457</v>
      </c>
      <c r="O182" s="5">
        <v>100</v>
      </c>
      <c r="P182" s="30">
        <f t="shared" si="129"/>
        <v>69.594486928104573</v>
      </c>
      <c r="Q182" t="s">
        <v>136</v>
      </c>
      <c r="R182" s="50">
        <f>R181*100</f>
        <v>3081.624349368039</v>
      </c>
      <c r="S182" s="120"/>
      <c r="T182" s="35" t="s">
        <v>67</v>
      </c>
      <c r="U182" s="5"/>
      <c r="V182" s="5"/>
      <c r="W182" s="5"/>
      <c r="X182" s="29">
        <f t="shared" si="126"/>
        <v>3165.8066666666664</v>
      </c>
      <c r="Y182" s="6">
        <v>102</v>
      </c>
      <c r="Z182" s="30">
        <f t="shared" si="119"/>
        <v>31.037320261437905</v>
      </c>
      <c r="AB182" s="50"/>
    </row>
    <row r="183" spans="1:28" x14ac:dyDescent="0.35">
      <c r="A183" s="35"/>
      <c r="B183" s="5"/>
      <c r="C183" s="5"/>
      <c r="D183" s="5"/>
      <c r="E183" s="5"/>
      <c r="F183" s="59"/>
      <c r="G183" s="5"/>
      <c r="H183" s="127"/>
      <c r="I183" s="146"/>
      <c r="J183" s="35" t="s">
        <v>133</v>
      </c>
      <c r="K183" s="5"/>
      <c r="L183" s="5"/>
      <c r="M183" s="5"/>
      <c r="N183" s="38">
        <f t="shared" si="128"/>
        <v>6959.448692810457</v>
      </c>
      <c r="O183" s="5">
        <v>100</v>
      </c>
      <c r="P183" s="30">
        <f t="shared" si="129"/>
        <v>69.594486928104573</v>
      </c>
      <c r="Q183" t="s">
        <v>425</v>
      </c>
      <c r="R183" s="48">
        <f>R182*8</f>
        <v>24652.994794944312</v>
      </c>
      <c r="S183" s="120"/>
      <c r="T183" s="35" t="s">
        <v>133</v>
      </c>
      <c r="U183" s="5"/>
      <c r="V183" s="5"/>
      <c r="W183" s="5"/>
      <c r="X183" s="29">
        <f t="shared" si="126"/>
        <v>3165.8066666666664</v>
      </c>
      <c r="Y183" s="6">
        <v>102</v>
      </c>
      <c r="Z183" s="30">
        <f t="shared" si="119"/>
        <v>31.037320261437905</v>
      </c>
      <c r="AB183" s="48"/>
    </row>
    <row r="184" spans="1:28" x14ac:dyDescent="0.35">
      <c r="A184" s="35"/>
      <c r="B184" s="5"/>
      <c r="C184" s="5"/>
      <c r="D184" s="5"/>
      <c r="E184" s="5"/>
      <c r="F184" s="59"/>
      <c r="G184" s="5"/>
      <c r="H184" s="127"/>
      <c r="I184" s="146"/>
      <c r="J184" s="35" t="s">
        <v>134</v>
      </c>
      <c r="K184" s="5"/>
      <c r="L184" s="5"/>
      <c r="M184" s="5"/>
      <c r="N184" s="38">
        <f t="shared" si="128"/>
        <v>6959.448692810457</v>
      </c>
      <c r="O184" s="5">
        <v>100</v>
      </c>
      <c r="P184" s="30">
        <f t="shared" si="129"/>
        <v>69.594486928104573</v>
      </c>
      <c r="R184" s="48"/>
      <c r="S184" s="120"/>
      <c r="T184" s="35" t="s">
        <v>134</v>
      </c>
      <c r="U184" s="5"/>
      <c r="V184" s="5"/>
      <c r="W184" s="5"/>
      <c r="X184" s="29">
        <f t="shared" si="126"/>
        <v>3165.8066666666664</v>
      </c>
      <c r="Y184" s="6">
        <v>102</v>
      </c>
      <c r="Z184" s="30">
        <f t="shared" si="119"/>
        <v>31.037320261437905</v>
      </c>
      <c r="AB184" s="48"/>
    </row>
    <row r="185" spans="1:28" x14ac:dyDescent="0.35">
      <c r="A185" s="35"/>
      <c r="B185" s="5"/>
      <c r="C185" s="5"/>
      <c r="D185" s="5"/>
      <c r="E185" s="5"/>
      <c r="F185" s="59"/>
      <c r="G185" s="5"/>
      <c r="H185" s="127"/>
      <c r="I185" s="146"/>
      <c r="J185" s="35" t="s">
        <v>252</v>
      </c>
      <c r="K185" s="5" t="s">
        <v>70</v>
      </c>
      <c r="L185" s="5" t="s">
        <v>70</v>
      </c>
      <c r="M185" s="5" t="s">
        <v>70</v>
      </c>
      <c r="N185" s="38">
        <f t="shared" si="128"/>
        <v>6959.448692810457</v>
      </c>
      <c r="O185" s="5">
        <v>100</v>
      </c>
      <c r="P185" s="30">
        <f t="shared" si="129"/>
        <v>69.594486928104573</v>
      </c>
      <c r="Q185">
        <f>80/8</f>
        <v>10</v>
      </c>
      <c r="R185" s="48"/>
      <c r="S185" s="120"/>
      <c r="T185" s="35" t="s">
        <v>252</v>
      </c>
      <c r="U185" s="5"/>
      <c r="V185" s="5"/>
      <c r="W185" s="5"/>
      <c r="X185" s="29">
        <f t="shared" si="126"/>
        <v>3165.8066666666664</v>
      </c>
      <c r="Y185" s="6">
        <v>102</v>
      </c>
      <c r="Z185" s="30">
        <f t="shared" si="119"/>
        <v>31.037320261437905</v>
      </c>
      <c r="AB185" s="48"/>
    </row>
    <row r="186" spans="1:28" x14ac:dyDescent="0.35">
      <c r="A186" s="35"/>
      <c r="B186" s="5"/>
      <c r="C186" s="5"/>
      <c r="D186" s="5"/>
      <c r="E186" s="5"/>
      <c r="F186" s="59"/>
      <c r="G186" s="5"/>
      <c r="H186" s="127"/>
      <c r="I186" s="146"/>
      <c r="J186" s="35" t="s">
        <v>253</v>
      </c>
      <c r="K186" s="5" t="s">
        <v>70</v>
      </c>
      <c r="L186" s="5" t="s">
        <v>70</v>
      </c>
      <c r="M186" s="5" t="s">
        <v>70</v>
      </c>
      <c r="N186" s="38">
        <f>N185</f>
        <v>6959.448692810457</v>
      </c>
      <c r="O186" s="5">
        <v>100</v>
      </c>
      <c r="P186" s="30">
        <f>N186/O186</f>
        <v>69.594486928104573</v>
      </c>
      <c r="R186" s="48"/>
      <c r="S186" s="120"/>
      <c r="T186" s="9"/>
      <c r="U186" s="1"/>
      <c r="V186" s="1"/>
      <c r="W186" s="1"/>
      <c r="X186" s="29"/>
      <c r="Y186" s="6"/>
      <c r="Z186" s="30"/>
      <c r="AB186" s="48"/>
    </row>
    <row r="187" spans="1:28" x14ac:dyDescent="0.35">
      <c r="A187" s="35"/>
      <c r="B187" s="5"/>
      <c r="C187" s="5"/>
      <c r="D187" s="5"/>
      <c r="E187" s="5"/>
      <c r="F187" s="59"/>
      <c r="G187" s="5"/>
      <c r="H187" s="127"/>
      <c r="I187" s="146"/>
      <c r="J187" s="35"/>
      <c r="K187" s="5"/>
      <c r="L187" s="5"/>
      <c r="M187" s="5"/>
      <c r="N187" s="38"/>
      <c r="O187" s="5"/>
      <c r="P187" s="30"/>
      <c r="Q187">
        <f>100/10</f>
        <v>10</v>
      </c>
      <c r="R187" s="48"/>
      <c r="S187" s="120"/>
      <c r="T187" s="9"/>
      <c r="U187" s="1"/>
      <c r="V187" s="1"/>
      <c r="W187" s="1"/>
      <c r="X187" s="29"/>
      <c r="Y187" s="6"/>
      <c r="Z187" s="30"/>
      <c r="AB187" s="48"/>
    </row>
    <row r="188" spans="1:28" x14ac:dyDescent="0.35">
      <c r="A188" s="35"/>
      <c r="B188" s="5"/>
      <c r="C188" s="5"/>
      <c r="D188" s="5"/>
      <c r="E188" s="5"/>
      <c r="F188" s="59"/>
      <c r="G188" s="5"/>
      <c r="H188" s="127"/>
      <c r="I188" s="146"/>
      <c r="J188" s="9"/>
      <c r="K188" s="1"/>
      <c r="L188" s="1"/>
      <c r="M188" s="1"/>
      <c r="N188" s="57"/>
      <c r="O188" s="1"/>
      <c r="P188" s="126"/>
      <c r="R188" s="48"/>
      <c r="S188" s="120"/>
      <c r="T188" s="9"/>
      <c r="U188" s="1"/>
      <c r="V188" s="1"/>
      <c r="W188" s="1"/>
      <c r="X188" s="29"/>
      <c r="Y188" s="6"/>
      <c r="Z188" s="30"/>
      <c r="AB188" s="48"/>
    </row>
    <row r="189" spans="1:28" x14ac:dyDescent="0.35">
      <c r="A189" s="35"/>
      <c r="B189" s="5"/>
      <c r="C189" s="5"/>
      <c r="D189" s="5"/>
      <c r="E189" s="5"/>
      <c r="F189" s="59"/>
      <c r="G189" s="5"/>
      <c r="H189" s="37"/>
      <c r="I189" s="146"/>
      <c r="J189" s="35"/>
      <c r="K189" s="5"/>
      <c r="L189" s="5"/>
      <c r="M189" s="5"/>
      <c r="N189" s="57"/>
      <c r="O189" s="1"/>
      <c r="P189" s="126"/>
      <c r="R189" s="48"/>
      <c r="S189" s="120"/>
      <c r="T189" s="35"/>
      <c r="U189" s="5"/>
      <c r="V189" s="5"/>
      <c r="W189" s="5"/>
      <c r="X189" s="57"/>
      <c r="Y189" s="1"/>
      <c r="Z189" s="126"/>
      <c r="AB189" s="48"/>
    </row>
    <row r="190" spans="1:28" ht="15" thickBot="1" x14ac:dyDescent="0.4">
      <c r="A190" s="11"/>
      <c r="B190" s="12"/>
      <c r="C190" s="12"/>
      <c r="D190" s="12"/>
      <c r="E190" s="12"/>
      <c r="F190" s="114">
        <f>SUM(F179:F187)</f>
        <v>16883.922091503271</v>
      </c>
      <c r="G190" s="114">
        <f>SUM(G179:G189)</f>
        <v>528</v>
      </c>
      <c r="H190" s="13"/>
      <c r="I190" s="148"/>
      <c r="J190" s="11"/>
      <c r="K190" s="12"/>
      <c r="L190" s="12"/>
      <c r="M190" s="12"/>
      <c r="N190" s="223">
        <f>SUM(N179:N187)</f>
        <v>55675.589542483664</v>
      </c>
      <c r="O190" s="115">
        <f>SUM(O179:O189)</f>
        <v>803</v>
      </c>
      <c r="P190" s="224"/>
      <c r="Q190" s="46" t="s">
        <v>71</v>
      </c>
      <c r="R190" s="52">
        <f>R177+R183</f>
        <v>39449.072703441045</v>
      </c>
      <c r="S190" s="121"/>
      <c r="T190" s="11"/>
      <c r="U190" s="12"/>
      <c r="V190" s="12"/>
      <c r="W190" s="12"/>
      <c r="X190" s="223">
        <f>SUM(X179:X184)</f>
        <v>18994.84</v>
      </c>
      <c r="Y190" s="115">
        <f>SUM(Y179:Y189)</f>
        <v>714</v>
      </c>
      <c r="Z190" s="224"/>
      <c r="AA190" s="46"/>
      <c r="AB190" s="52"/>
    </row>
    <row r="191" spans="1:28" x14ac:dyDescent="0.35">
      <c r="A191" s="39" t="s">
        <v>475</v>
      </c>
      <c r="B191" s="40" t="s">
        <v>43</v>
      </c>
      <c r="C191" s="41" t="s">
        <v>2</v>
      </c>
      <c r="D191" s="41" t="s">
        <v>86</v>
      </c>
      <c r="E191" s="41">
        <f>3650/50</f>
        <v>73</v>
      </c>
      <c r="F191" s="41">
        <f>E191*36</f>
        <v>2628</v>
      </c>
      <c r="G191" s="41">
        <v>132</v>
      </c>
      <c r="H191" s="113">
        <f>F191/G191</f>
        <v>19.90909090909091</v>
      </c>
      <c r="I191" s="147"/>
      <c r="J191" s="80" t="s">
        <v>43</v>
      </c>
      <c r="K191" s="41" t="s">
        <v>2</v>
      </c>
      <c r="L191" s="41" t="s">
        <v>49</v>
      </c>
      <c r="M191" s="41">
        <f>3650/50</f>
        <v>73</v>
      </c>
      <c r="N191" s="41">
        <f>M191*50</f>
        <v>3650</v>
      </c>
      <c r="O191" s="41">
        <v>105</v>
      </c>
      <c r="P191" s="113">
        <f>N191/O191</f>
        <v>34.761904761904759</v>
      </c>
      <c r="Q191" s="43" t="s">
        <v>0</v>
      </c>
      <c r="R191" s="44"/>
      <c r="S191" s="119"/>
      <c r="T191" s="39" t="s">
        <v>43</v>
      </c>
      <c r="U191" s="41" t="s">
        <v>2</v>
      </c>
      <c r="V191" s="41" t="s">
        <v>317</v>
      </c>
      <c r="W191" s="139">
        <f>3600/50</f>
        <v>72</v>
      </c>
      <c r="X191" s="41">
        <f>W191*26</f>
        <v>1872</v>
      </c>
      <c r="Y191" s="41">
        <v>102</v>
      </c>
      <c r="Z191" s="113">
        <f t="shared" ref="Z191:Z203" si="130">X191/Y191</f>
        <v>18.352941176470587</v>
      </c>
      <c r="AA191" s="43" t="s">
        <v>196</v>
      </c>
      <c r="AB191" s="44"/>
    </row>
    <row r="192" spans="1:28" x14ac:dyDescent="0.35">
      <c r="A192" s="35"/>
      <c r="B192" s="5"/>
      <c r="C192" s="6" t="s">
        <v>4</v>
      </c>
      <c r="D192" s="6" t="s">
        <v>50</v>
      </c>
      <c r="E192" s="28">
        <f>7200/50</f>
        <v>144</v>
      </c>
      <c r="F192" s="6">
        <f>E192*4.5</f>
        <v>648</v>
      </c>
      <c r="G192" s="1">
        <f>G191</f>
        <v>132</v>
      </c>
      <c r="H192" s="126">
        <f t="shared" ref="H192:H197" si="131">F192/G192</f>
        <v>4.9090909090909092</v>
      </c>
      <c r="I192" s="146"/>
      <c r="J192" s="9"/>
      <c r="K192" s="1" t="s">
        <v>4</v>
      </c>
      <c r="L192" s="1" t="s">
        <v>353</v>
      </c>
      <c r="M192" s="28">
        <f>7200/50</f>
        <v>144</v>
      </c>
      <c r="N192" s="57">
        <f>M192*2.5</f>
        <v>360</v>
      </c>
      <c r="O192" s="1">
        <f t="shared" ref="O192:O198" si="132">O191</f>
        <v>105</v>
      </c>
      <c r="P192" s="126">
        <f t="shared" ref="P192:P198" si="133">N192/O192</f>
        <v>3.4285714285714284</v>
      </c>
      <c r="Q192" t="s">
        <v>68</v>
      </c>
      <c r="R192" s="45">
        <v>60</v>
      </c>
      <c r="T192" s="35"/>
      <c r="U192" s="6" t="s">
        <v>4</v>
      </c>
      <c r="V192" s="6" t="s">
        <v>324</v>
      </c>
      <c r="W192" s="28">
        <f>7200/50</f>
        <v>144</v>
      </c>
      <c r="X192" s="29">
        <f>W192*3.8</f>
        <v>547.19999999999993</v>
      </c>
      <c r="Y192" s="1">
        <f t="shared" ref="Y192:Y198" si="134">Y191</f>
        <v>102</v>
      </c>
      <c r="Z192" s="126">
        <f t="shared" si="130"/>
        <v>5.3647058823529408</v>
      </c>
      <c r="AA192" t="s">
        <v>68</v>
      </c>
      <c r="AB192" s="45">
        <v>50</v>
      </c>
    </row>
    <row r="193" spans="1:28" x14ac:dyDescent="0.35">
      <c r="A193" s="35"/>
      <c r="B193" s="5"/>
      <c r="C193" s="6" t="s">
        <v>54</v>
      </c>
      <c r="D193" s="6" t="s">
        <v>419</v>
      </c>
      <c r="E193" s="28">
        <f>600/1000</f>
        <v>0.6</v>
      </c>
      <c r="F193" s="6">
        <f>E193*60</f>
        <v>36</v>
      </c>
      <c r="G193" s="1">
        <f t="shared" ref="G193:G198" si="135">G192</f>
        <v>132</v>
      </c>
      <c r="H193" s="126">
        <f t="shared" si="131"/>
        <v>0.27272727272727271</v>
      </c>
      <c r="I193" s="146"/>
      <c r="J193" s="9"/>
      <c r="K193" s="1" t="s">
        <v>5</v>
      </c>
      <c r="L193" s="1" t="s">
        <v>421</v>
      </c>
      <c r="M193" s="233">
        <f>400/450</f>
        <v>0.88888888888888884</v>
      </c>
      <c r="N193" s="57">
        <f>M193*160</f>
        <v>142.22222222222223</v>
      </c>
      <c r="O193" s="1">
        <f t="shared" si="132"/>
        <v>105</v>
      </c>
      <c r="P193" s="126">
        <f t="shared" si="133"/>
        <v>1.3544973544973546</v>
      </c>
      <c r="Q193" t="s">
        <v>32</v>
      </c>
      <c r="R193" s="47">
        <f>H198</f>
        <v>31.977125173301644</v>
      </c>
      <c r="S193" s="120"/>
      <c r="T193" s="35"/>
      <c r="U193" s="6" t="s">
        <v>5</v>
      </c>
      <c r="V193" s="6" t="s">
        <v>420</v>
      </c>
      <c r="W193" s="28">
        <f>255/450</f>
        <v>0.56666666666666665</v>
      </c>
      <c r="X193" s="29">
        <f>W193*190</f>
        <v>107.66666666666666</v>
      </c>
      <c r="Y193" s="1">
        <f t="shared" si="134"/>
        <v>102</v>
      </c>
      <c r="Z193" s="126">
        <f t="shared" si="130"/>
        <v>1.0555555555555554</v>
      </c>
      <c r="AA193" t="s">
        <v>32</v>
      </c>
      <c r="AB193" s="47">
        <f>Z198</f>
        <v>31.037320261437905</v>
      </c>
    </row>
    <row r="194" spans="1:28" x14ac:dyDescent="0.35">
      <c r="A194" s="35"/>
      <c r="B194" s="5"/>
      <c r="C194" s="6" t="s">
        <v>55</v>
      </c>
      <c r="D194" s="6" t="s">
        <v>318</v>
      </c>
      <c r="E194" s="28">
        <f>35.5/1000</f>
        <v>3.5499999999999997E-2</v>
      </c>
      <c r="F194" s="6">
        <f>E194*280</f>
        <v>9.94</v>
      </c>
      <c r="G194" s="1">
        <f t="shared" si="135"/>
        <v>132</v>
      </c>
      <c r="H194" s="126">
        <f t="shared" si="131"/>
        <v>7.5303030303030302E-2</v>
      </c>
      <c r="I194" s="146"/>
      <c r="J194" s="9"/>
      <c r="K194" s="1" t="s">
        <v>51</v>
      </c>
      <c r="L194" s="1" t="s">
        <v>52</v>
      </c>
      <c r="M194" s="232">
        <f>35.5/1000</f>
        <v>3.5499999999999997E-2</v>
      </c>
      <c r="N194" s="1">
        <f>M194*300</f>
        <v>10.649999999999999</v>
      </c>
      <c r="O194" s="1">
        <f t="shared" si="132"/>
        <v>105</v>
      </c>
      <c r="P194" s="126">
        <f t="shared" si="133"/>
        <v>0.10142857142857141</v>
      </c>
      <c r="Q194" t="s">
        <v>62</v>
      </c>
      <c r="R194" s="47">
        <f>R192-R193</f>
        <v>28.022874826698356</v>
      </c>
      <c r="S194" s="120"/>
      <c r="T194" s="35"/>
      <c r="U194" s="6" t="s">
        <v>51</v>
      </c>
      <c r="V194" s="6" t="s">
        <v>318</v>
      </c>
      <c r="W194" s="205">
        <f>35.5/1000</f>
        <v>3.5499999999999997E-2</v>
      </c>
      <c r="X194" s="6">
        <f>W194*280</f>
        <v>9.94</v>
      </c>
      <c r="Y194" s="1">
        <f t="shared" si="134"/>
        <v>102</v>
      </c>
      <c r="Z194" s="126">
        <f t="shared" si="130"/>
        <v>9.7450980392156855E-2</v>
      </c>
      <c r="AA194" t="s">
        <v>69</v>
      </c>
      <c r="AB194" s="47">
        <f>AB192-AB193</f>
        <v>18.962679738562095</v>
      </c>
    </row>
    <row r="195" spans="1:28" x14ac:dyDescent="0.35">
      <c r="A195" s="35"/>
      <c r="B195" s="5"/>
      <c r="C195" s="6" t="s">
        <v>56</v>
      </c>
      <c r="D195" s="6" t="s">
        <v>419</v>
      </c>
      <c r="E195" s="6">
        <f>340/1000</f>
        <v>0.34</v>
      </c>
      <c r="F195" s="6">
        <f>E195*60</f>
        <v>20.400000000000002</v>
      </c>
      <c r="G195" s="1">
        <f t="shared" si="135"/>
        <v>132</v>
      </c>
      <c r="H195" s="126">
        <f t="shared" si="131"/>
        <v>0.15454545454545457</v>
      </c>
      <c r="I195" s="146"/>
      <c r="J195" s="9"/>
      <c r="K195" s="1" t="s">
        <v>26</v>
      </c>
      <c r="L195" s="1" t="s">
        <v>419</v>
      </c>
      <c r="M195" s="1">
        <f>340/1000</f>
        <v>0.34</v>
      </c>
      <c r="N195" s="1">
        <f>M195*60</f>
        <v>20.400000000000002</v>
      </c>
      <c r="O195" s="1">
        <f t="shared" si="132"/>
        <v>105</v>
      </c>
      <c r="P195" s="126">
        <f t="shared" si="133"/>
        <v>0.19428571428571431</v>
      </c>
      <c r="Q195" t="s">
        <v>72</v>
      </c>
      <c r="R195" s="50">
        <f>G198*R194</f>
        <v>3699.0194771241831</v>
      </c>
      <c r="S195" s="120"/>
      <c r="T195" s="35"/>
      <c r="U195" s="6" t="s">
        <v>26</v>
      </c>
      <c r="V195" s="6" t="s">
        <v>53</v>
      </c>
      <c r="W195" s="6">
        <f>340/1000</f>
        <v>0.34</v>
      </c>
      <c r="X195" s="6">
        <f>W195*50</f>
        <v>17</v>
      </c>
      <c r="Y195" s="1">
        <f t="shared" si="134"/>
        <v>102</v>
      </c>
      <c r="Z195" s="126">
        <f t="shared" si="130"/>
        <v>0.16666666666666666</v>
      </c>
      <c r="AA195" t="s">
        <v>205</v>
      </c>
      <c r="AB195" s="50">
        <f>AB194*102</f>
        <v>1934.1933333333336</v>
      </c>
    </row>
    <row r="196" spans="1:28" x14ac:dyDescent="0.35">
      <c r="A196" s="35"/>
      <c r="B196" s="5"/>
      <c r="C196" s="6" t="s">
        <v>57</v>
      </c>
      <c r="D196" s="6" t="s">
        <v>6</v>
      </c>
      <c r="E196" s="28">
        <f>250/450</f>
        <v>0.55555555555555558</v>
      </c>
      <c r="F196" s="28">
        <f>E196*200</f>
        <v>111.11111111111111</v>
      </c>
      <c r="G196" s="1">
        <f t="shared" si="135"/>
        <v>132</v>
      </c>
      <c r="H196" s="126">
        <f t="shared" si="131"/>
        <v>0.84175084175084181</v>
      </c>
      <c r="I196" s="146"/>
      <c r="J196" s="9"/>
      <c r="K196" s="1" t="s">
        <v>3</v>
      </c>
      <c r="L196" s="1" t="s">
        <v>382</v>
      </c>
      <c r="M196" s="57">
        <f>4660/17</f>
        <v>274.11764705882354</v>
      </c>
      <c r="N196" s="57">
        <f>M196*1.5</f>
        <v>411.1764705882353</v>
      </c>
      <c r="O196" s="1">
        <f t="shared" si="132"/>
        <v>105</v>
      </c>
      <c r="P196" s="126">
        <f t="shared" si="133"/>
        <v>3.9159663865546221</v>
      </c>
      <c r="Q196" t="s">
        <v>432</v>
      </c>
      <c r="R196" s="48">
        <f>R195*2</f>
        <v>7398.0389542483663</v>
      </c>
      <c r="S196" s="120"/>
      <c r="T196" s="35"/>
      <c r="U196" s="6" t="s">
        <v>3</v>
      </c>
      <c r="V196" s="6" t="s">
        <v>325</v>
      </c>
      <c r="W196" s="29">
        <f>260</f>
        <v>260</v>
      </c>
      <c r="X196" s="29">
        <f>W196*2.3</f>
        <v>598</v>
      </c>
      <c r="Y196" s="1">
        <f t="shared" si="134"/>
        <v>102</v>
      </c>
      <c r="Z196" s="126">
        <f t="shared" si="130"/>
        <v>5.8627450980392153</v>
      </c>
      <c r="AA196" t="s">
        <v>204</v>
      </c>
      <c r="AB196" s="48">
        <f>AB195*6</f>
        <v>11605.160000000002</v>
      </c>
    </row>
    <row r="197" spans="1:28" x14ac:dyDescent="0.35">
      <c r="A197" s="35"/>
      <c r="B197" s="5"/>
      <c r="C197" s="6" t="s">
        <v>58</v>
      </c>
      <c r="D197" s="6" t="s">
        <v>319</v>
      </c>
      <c r="E197" s="29">
        <f>4660/17</f>
        <v>274.11764705882354</v>
      </c>
      <c r="F197" s="29">
        <f>E197*2.8</f>
        <v>767.52941176470586</v>
      </c>
      <c r="G197" s="6">
        <f t="shared" si="135"/>
        <v>132</v>
      </c>
      <c r="H197" s="126">
        <f t="shared" si="131"/>
        <v>5.8146167557932262</v>
      </c>
      <c r="I197" s="146"/>
      <c r="J197" s="9"/>
      <c r="K197" s="1" t="s">
        <v>7</v>
      </c>
      <c r="L197" s="234" t="s">
        <v>476</v>
      </c>
      <c r="M197" s="57">
        <f>4730/20</f>
        <v>236.5</v>
      </c>
      <c r="N197" s="57">
        <f>M197*6.7</f>
        <v>1584.55</v>
      </c>
      <c r="O197" s="1">
        <f t="shared" si="132"/>
        <v>105</v>
      </c>
      <c r="P197" s="126">
        <f t="shared" si="133"/>
        <v>15.09095238095238</v>
      </c>
      <c r="Q197" t="s">
        <v>1</v>
      </c>
      <c r="R197" s="45"/>
      <c r="T197" s="35"/>
      <c r="U197" s="6" t="s">
        <v>151</v>
      </c>
      <c r="V197" s="53" t="s">
        <v>53</v>
      </c>
      <c r="W197" s="28">
        <f>280/1000</f>
        <v>0.28000000000000003</v>
      </c>
      <c r="X197" s="6">
        <f>W197*50</f>
        <v>14.000000000000002</v>
      </c>
      <c r="Y197" s="1">
        <f t="shared" si="134"/>
        <v>102</v>
      </c>
      <c r="Z197" s="126">
        <f t="shared" si="130"/>
        <v>0.13725490196078433</v>
      </c>
      <c r="AB197" s="45"/>
    </row>
    <row r="198" spans="1:28" x14ac:dyDescent="0.35">
      <c r="A198" s="35"/>
      <c r="B198" s="5"/>
      <c r="C198" s="6"/>
      <c r="D198" s="6"/>
      <c r="E198" s="29"/>
      <c r="F198" s="51">
        <f>SUM(F191:F197)</f>
        <v>4220.9805228758178</v>
      </c>
      <c r="G198" s="32">
        <f t="shared" si="135"/>
        <v>132</v>
      </c>
      <c r="H198" s="33">
        <f>SUM(H191:H197)</f>
        <v>31.977125173301644</v>
      </c>
      <c r="I198" s="146"/>
      <c r="J198" s="35"/>
      <c r="K198" s="6"/>
      <c r="L198" s="6"/>
      <c r="M198" s="6"/>
      <c r="N198" s="235">
        <f>SUM(N191:N197)</f>
        <v>6178.9986928104572</v>
      </c>
      <c r="O198" s="32">
        <f t="shared" si="132"/>
        <v>105</v>
      </c>
      <c r="P198" s="236">
        <f t="shared" si="133"/>
        <v>58.84760659819483</v>
      </c>
      <c r="Q198" t="s">
        <v>68</v>
      </c>
      <c r="R198" s="45">
        <v>100</v>
      </c>
      <c r="T198" s="35"/>
      <c r="U198" s="6"/>
      <c r="V198" s="6"/>
      <c r="W198" s="6"/>
      <c r="X198" s="31">
        <f>SUM(X191:X197)</f>
        <v>3165.8066666666664</v>
      </c>
      <c r="Y198" s="32">
        <f t="shared" si="134"/>
        <v>102</v>
      </c>
      <c r="Z198" s="33">
        <f t="shared" si="130"/>
        <v>31.037320261437905</v>
      </c>
      <c r="AB198" s="45"/>
    </row>
    <row r="199" spans="1:28" x14ac:dyDescent="0.35">
      <c r="A199" s="35"/>
      <c r="B199" s="5" t="s">
        <v>44</v>
      </c>
      <c r="C199" s="5" t="s">
        <v>70</v>
      </c>
      <c r="D199" s="5" t="s">
        <v>70</v>
      </c>
      <c r="E199" s="5"/>
      <c r="F199" s="59">
        <f t="shared" ref="F199" si="136">F198</f>
        <v>4220.9805228758178</v>
      </c>
      <c r="G199" s="5">
        <v>132</v>
      </c>
      <c r="H199" s="127">
        <f>F199/G199</f>
        <v>31.977125173301651</v>
      </c>
      <c r="I199" s="146"/>
      <c r="J199" s="35" t="s">
        <v>44</v>
      </c>
      <c r="K199" s="5" t="s">
        <v>70</v>
      </c>
      <c r="L199" s="5" t="s">
        <v>70</v>
      </c>
      <c r="M199" s="5" t="s">
        <v>70</v>
      </c>
      <c r="N199" s="38">
        <f>N198</f>
        <v>6178.9986928104572</v>
      </c>
      <c r="O199" s="5">
        <v>104</v>
      </c>
      <c r="P199" s="30">
        <f>N199/O199</f>
        <v>59.41344896933132</v>
      </c>
      <c r="Q199" t="s">
        <v>32</v>
      </c>
      <c r="R199" s="47">
        <f>AVERAGE(P198,P199,P200,P201,P202)</f>
        <v>60.12154877942487</v>
      </c>
      <c r="S199" s="120"/>
      <c r="T199" s="35" t="s">
        <v>44</v>
      </c>
      <c r="U199" s="5"/>
      <c r="V199" s="5"/>
      <c r="W199" s="5"/>
      <c r="X199" s="29">
        <f t="shared" ref="X199:X203" si="137">X198</f>
        <v>3165.8066666666664</v>
      </c>
      <c r="Y199" s="6">
        <v>102</v>
      </c>
      <c r="Z199" s="30">
        <f t="shared" si="130"/>
        <v>31.037320261437905</v>
      </c>
      <c r="AB199" s="47"/>
    </row>
    <row r="200" spans="1:28" x14ac:dyDescent="0.35">
      <c r="A200" s="35"/>
      <c r="B200" s="5"/>
      <c r="C200" s="5"/>
      <c r="D200" s="5"/>
      <c r="E200" s="5"/>
      <c r="F200" s="59"/>
      <c r="G200" s="5"/>
      <c r="H200" s="127"/>
      <c r="I200" s="146"/>
      <c r="J200" s="35" t="s">
        <v>45</v>
      </c>
      <c r="K200" s="5" t="s">
        <v>70</v>
      </c>
      <c r="L200" s="5" t="s">
        <v>70</v>
      </c>
      <c r="M200" s="5" t="s">
        <v>70</v>
      </c>
      <c r="N200" s="38">
        <f t="shared" ref="N200:N204" si="138">N199</f>
        <v>6178.9986928104572</v>
      </c>
      <c r="O200" s="5">
        <v>103</v>
      </c>
      <c r="P200" s="30">
        <f t="shared" ref="P200:P204" si="139">N200/O200</f>
        <v>59.990278570975313</v>
      </c>
      <c r="Q200" t="s">
        <v>69</v>
      </c>
      <c r="R200" s="47">
        <f>R198-R199</f>
        <v>39.87845122057513</v>
      </c>
      <c r="S200" s="120"/>
      <c r="T200" s="35" t="s">
        <v>45</v>
      </c>
      <c r="U200" s="5"/>
      <c r="V200" s="5"/>
      <c r="W200" s="5"/>
      <c r="X200" s="29">
        <f t="shared" si="137"/>
        <v>3165.8066666666664</v>
      </c>
      <c r="Y200" s="6">
        <v>102</v>
      </c>
      <c r="Z200" s="30">
        <f t="shared" si="130"/>
        <v>31.037320261437905</v>
      </c>
      <c r="AB200" s="47"/>
    </row>
    <row r="201" spans="1:28" x14ac:dyDescent="0.35">
      <c r="A201" s="35"/>
      <c r="B201" s="5"/>
      <c r="C201" s="5"/>
      <c r="D201" s="5"/>
      <c r="E201" s="5"/>
      <c r="F201" s="59"/>
      <c r="G201" s="5"/>
      <c r="H201" s="127"/>
      <c r="I201" s="146"/>
      <c r="J201" s="35" t="s">
        <v>67</v>
      </c>
      <c r="K201" s="5" t="s">
        <v>70</v>
      </c>
      <c r="L201" s="5" t="s">
        <v>70</v>
      </c>
      <c r="M201" s="5" t="s">
        <v>70</v>
      </c>
      <c r="N201" s="38">
        <f t="shared" si="138"/>
        <v>6178.9986928104572</v>
      </c>
      <c r="O201" s="5">
        <v>101</v>
      </c>
      <c r="P201" s="30">
        <f t="shared" si="139"/>
        <v>61.178204879311458</v>
      </c>
      <c r="Q201" t="s">
        <v>136</v>
      </c>
      <c r="R201" s="50">
        <f>R200*100</f>
        <v>3987.845122057513</v>
      </c>
      <c r="S201" s="120"/>
      <c r="T201" s="35" t="s">
        <v>67</v>
      </c>
      <c r="U201" s="5"/>
      <c r="V201" s="5"/>
      <c r="W201" s="5"/>
      <c r="X201" s="29">
        <f t="shared" si="137"/>
        <v>3165.8066666666664</v>
      </c>
      <c r="Y201" s="6">
        <v>102</v>
      </c>
      <c r="Z201" s="30">
        <f t="shared" si="130"/>
        <v>31.037320261437905</v>
      </c>
      <c r="AB201" s="50"/>
    </row>
    <row r="202" spans="1:28" x14ac:dyDescent="0.35">
      <c r="A202" s="35"/>
      <c r="B202" s="5"/>
      <c r="C202" s="5"/>
      <c r="D202" s="5"/>
      <c r="E202" s="5"/>
      <c r="F202" s="59"/>
      <c r="G202" s="5"/>
      <c r="H202" s="127"/>
      <c r="I202" s="146"/>
      <c r="J202" s="35" t="s">
        <v>133</v>
      </c>
      <c r="K202" s="5"/>
      <c r="L202" s="5"/>
      <c r="M202" s="5"/>
      <c r="N202" s="38">
        <f t="shared" si="138"/>
        <v>6178.9986928104572</v>
      </c>
      <c r="O202" s="5">
        <v>101</v>
      </c>
      <c r="P202" s="30">
        <f t="shared" si="139"/>
        <v>61.178204879311458</v>
      </c>
      <c r="Q202" t="s">
        <v>469</v>
      </c>
      <c r="R202" s="48">
        <f>R201*9</f>
        <v>35890.606098517615</v>
      </c>
      <c r="S202" s="120"/>
      <c r="T202" s="35" t="s">
        <v>133</v>
      </c>
      <c r="U202" s="5"/>
      <c r="V202" s="5"/>
      <c r="W202" s="5"/>
      <c r="X202" s="29">
        <f t="shared" si="137"/>
        <v>3165.8066666666664</v>
      </c>
      <c r="Y202" s="6">
        <v>102</v>
      </c>
      <c r="Z202" s="30">
        <f t="shared" si="130"/>
        <v>31.037320261437905</v>
      </c>
      <c r="AB202" s="48"/>
    </row>
    <row r="203" spans="1:28" x14ac:dyDescent="0.35">
      <c r="A203" s="35"/>
      <c r="B203" s="5"/>
      <c r="C203" s="5"/>
      <c r="D203" s="5"/>
      <c r="E203" s="5"/>
      <c r="F203" s="59"/>
      <c r="G203" s="5"/>
      <c r="H203" s="127"/>
      <c r="I203" s="146"/>
      <c r="J203" s="35" t="s">
        <v>134</v>
      </c>
      <c r="K203" s="5"/>
      <c r="L203" s="5"/>
      <c r="M203" s="5"/>
      <c r="N203" s="38">
        <f t="shared" si="138"/>
        <v>6178.9986928104572</v>
      </c>
      <c r="O203" s="5">
        <v>101</v>
      </c>
      <c r="P203" s="30">
        <f t="shared" si="139"/>
        <v>61.178204879311458</v>
      </c>
      <c r="R203" s="48"/>
      <c r="S203" s="120"/>
      <c r="T203" s="35" t="s">
        <v>134</v>
      </c>
      <c r="U203" s="5"/>
      <c r="V203" s="5"/>
      <c r="W203" s="5"/>
      <c r="X203" s="29">
        <f t="shared" si="137"/>
        <v>3165.8066666666664</v>
      </c>
      <c r="Y203" s="6">
        <v>102</v>
      </c>
      <c r="Z203" s="30">
        <f t="shared" si="130"/>
        <v>31.037320261437905</v>
      </c>
      <c r="AB203" s="48"/>
    </row>
    <row r="204" spans="1:28" x14ac:dyDescent="0.35">
      <c r="A204" s="35"/>
      <c r="B204" s="5"/>
      <c r="C204" s="5"/>
      <c r="D204" s="5"/>
      <c r="E204" s="5"/>
      <c r="F204" s="59"/>
      <c r="G204" s="5"/>
      <c r="H204" s="127"/>
      <c r="I204" s="146"/>
      <c r="J204" s="35" t="s">
        <v>252</v>
      </c>
      <c r="K204" s="5" t="s">
        <v>70</v>
      </c>
      <c r="L204" s="5" t="s">
        <v>70</v>
      </c>
      <c r="M204" s="5" t="s">
        <v>70</v>
      </c>
      <c r="N204" s="38">
        <f t="shared" si="138"/>
        <v>6178.9986928104572</v>
      </c>
      <c r="O204" s="5">
        <v>100</v>
      </c>
      <c r="P204" s="30">
        <f t="shared" si="139"/>
        <v>61.789986928104575</v>
      </c>
      <c r="Q204">
        <f>60/9</f>
        <v>6.666666666666667</v>
      </c>
      <c r="R204" s="48"/>
      <c r="S204" s="120"/>
      <c r="T204" s="9"/>
      <c r="U204" s="1"/>
      <c r="V204" s="1"/>
      <c r="W204" s="1"/>
      <c r="X204" s="29"/>
      <c r="Y204" s="6"/>
      <c r="Z204" s="30"/>
      <c r="AB204" s="48"/>
    </row>
    <row r="205" spans="1:28" x14ac:dyDescent="0.35">
      <c r="A205" s="35"/>
      <c r="B205" s="5"/>
      <c r="C205" s="5"/>
      <c r="D205" s="5"/>
      <c r="E205" s="5"/>
      <c r="F205" s="59"/>
      <c r="G205" s="5"/>
      <c r="H205" s="127"/>
      <c r="I205" s="146"/>
      <c r="J205" s="35" t="s">
        <v>253</v>
      </c>
      <c r="K205" s="5" t="s">
        <v>70</v>
      </c>
      <c r="L205" s="5" t="s">
        <v>70</v>
      </c>
      <c r="M205" s="5" t="s">
        <v>70</v>
      </c>
      <c r="N205" s="38">
        <f>N204</f>
        <v>6178.9986928104572</v>
      </c>
      <c r="O205" s="5">
        <v>100</v>
      </c>
      <c r="P205" s="30">
        <f>N205/O205</f>
        <v>61.789986928104575</v>
      </c>
      <c r="R205" s="48"/>
      <c r="S205" s="120"/>
      <c r="T205" s="9"/>
      <c r="U205" s="1"/>
      <c r="V205" s="1"/>
      <c r="W205" s="1"/>
      <c r="X205" s="29"/>
      <c r="Y205" s="6"/>
      <c r="Z205" s="30"/>
      <c r="AB205" s="48"/>
    </row>
    <row r="206" spans="1:28" x14ac:dyDescent="0.35">
      <c r="A206" s="35"/>
      <c r="B206" s="5"/>
      <c r="C206" s="5"/>
      <c r="D206" s="5"/>
      <c r="E206" s="5"/>
      <c r="F206" s="59"/>
      <c r="G206" s="5"/>
      <c r="H206" s="37"/>
      <c r="I206" s="146"/>
      <c r="J206" s="35" t="s">
        <v>455</v>
      </c>
      <c r="K206" s="5" t="s">
        <v>70</v>
      </c>
      <c r="L206" s="5" t="s">
        <v>70</v>
      </c>
      <c r="M206" s="5" t="s">
        <v>70</v>
      </c>
      <c r="N206" s="38">
        <f>N205</f>
        <v>6178.9986928104572</v>
      </c>
      <c r="O206" s="5">
        <v>100</v>
      </c>
      <c r="P206" s="30">
        <f>N206/O206</f>
        <v>61.789986928104575</v>
      </c>
      <c r="R206" s="48"/>
      <c r="S206" s="120"/>
      <c r="T206" s="35"/>
      <c r="U206" s="5"/>
      <c r="V206" s="5"/>
      <c r="W206" s="5"/>
      <c r="X206" s="38"/>
      <c r="Y206" s="90"/>
      <c r="Z206" s="91"/>
      <c r="AB206" s="48"/>
    </row>
    <row r="207" spans="1:28" ht="15" thickBot="1" x14ac:dyDescent="0.4">
      <c r="A207" s="11"/>
      <c r="B207" s="12"/>
      <c r="C207" s="12"/>
      <c r="D207" s="12"/>
      <c r="E207" s="12"/>
      <c r="F207" s="114">
        <f>SUM(F198:F206)</f>
        <v>8441.9610457516355</v>
      </c>
      <c r="G207" s="114">
        <f>SUM(G198:G206)</f>
        <v>264</v>
      </c>
      <c r="H207" s="13"/>
      <c r="I207" s="148"/>
      <c r="J207" s="11"/>
      <c r="K207" s="12"/>
      <c r="L207" s="12"/>
      <c r="M207" s="12"/>
      <c r="N207" s="77">
        <f>SUM(N198:N206)</f>
        <v>55610.988235294106</v>
      </c>
      <c r="O207" s="115">
        <f>SUM(O198:O206)</f>
        <v>915</v>
      </c>
      <c r="P207" s="13"/>
      <c r="Q207" s="46" t="s">
        <v>71</v>
      </c>
      <c r="R207" s="52">
        <f>R196+R202</f>
        <v>43288.645052765984</v>
      </c>
      <c r="S207" s="121"/>
      <c r="T207" s="11"/>
      <c r="U207" s="12"/>
      <c r="V207" s="12"/>
      <c r="W207" s="12"/>
      <c r="X207" s="77">
        <f>SUM(X198:X203)</f>
        <v>18994.84</v>
      </c>
      <c r="Y207" s="115">
        <f>SUM(Y198:Y206)</f>
        <v>612</v>
      </c>
      <c r="Z207" s="13"/>
      <c r="AA207" s="46"/>
      <c r="AB207" s="52"/>
    </row>
    <row r="208" spans="1:28" x14ac:dyDescent="0.35">
      <c r="A208" s="39" t="s">
        <v>479</v>
      </c>
      <c r="B208" s="40" t="s">
        <v>43</v>
      </c>
      <c r="C208" s="41" t="s">
        <v>2</v>
      </c>
      <c r="D208" s="41" t="s">
        <v>86</v>
      </c>
      <c r="E208" s="41">
        <f>3650/50</f>
        <v>73</v>
      </c>
      <c r="F208" s="41">
        <f>E208*36</f>
        <v>2628</v>
      </c>
      <c r="G208" s="41">
        <v>132</v>
      </c>
      <c r="H208" s="113">
        <f>F208/G208</f>
        <v>19.90909090909091</v>
      </c>
      <c r="I208" s="147"/>
      <c r="J208" s="80" t="s">
        <v>43</v>
      </c>
      <c r="K208" s="41" t="s">
        <v>2</v>
      </c>
      <c r="L208" s="41" t="s">
        <v>49</v>
      </c>
      <c r="M208" s="41">
        <f>3650/50</f>
        <v>73</v>
      </c>
      <c r="N208" s="41">
        <f>M208*50</f>
        <v>3650</v>
      </c>
      <c r="O208" s="41">
        <v>103</v>
      </c>
      <c r="P208" s="113">
        <f>N208/O208</f>
        <v>35.436893203883493</v>
      </c>
      <c r="Q208" s="43" t="s">
        <v>0</v>
      </c>
      <c r="R208" s="44"/>
      <c r="S208" s="119"/>
      <c r="T208" s="39" t="s">
        <v>43</v>
      </c>
      <c r="U208" s="41" t="s">
        <v>2</v>
      </c>
      <c r="V208" s="41" t="s">
        <v>317</v>
      </c>
      <c r="W208" s="139">
        <f>3600/50</f>
        <v>72</v>
      </c>
      <c r="X208" s="41">
        <f>W208*26</f>
        <v>1872</v>
      </c>
      <c r="Y208" s="41">
        <v>102</v>
      </c>
      <c r="Z208" s="113">
        <f t="shared" ref="Z208:Z220" si="140">X208/Y208</f>
        <v>18.352941176470587</v>
      </c>
      <c r="AA208" s="43" t="s">
        <v>196</v>
      </c>
      <c r="AB208" s="44"/>
    </row>
    <row r="209" spans="1:28" x14ac:dyDescent="0.35">
      <c r="A209" s="35"/>
      <c r="B209" s="5"/>
      <c r="C209" s="6" t="s">
        <v>4</v>
      </c>
      <c r="D209" s="6" t="s">
        <v>50</v>
      </c>
      <c r="E209" s="28">
        <f>7200/50</f>
        <v>144</v>
      </c>
      <c r="F209" s="6">
        <f>E209*4.5</f>
        <v>648</v>
      </c>
      <c r="G209" s="1">
        <f>G208</f>
        <v>132</v>
      </c>
      <c r="H209" s="126">
        <f t="shared" ref="H209:H214" si="141">F209/G209</f>
        <v>4.9090909090909092</v>
      </c>
      <c r="I209" s="146"/>
      <c r="J209" s="9"/>
      <c r="K209" s="1" t="s">
        <v>4</v>
      </c>
      <c r="L209" s="1" t="s">
        <v>353</v>
      </c>
      <c r="M209" s="28">
        <f>7200/50</f>
        <v>144</v>
      </c>
      <c r="N209" s="57">
        <f>M209*2.5</f>
        <v>360</v>
      </c>
      <c r="O209" s="1">
        <f t="shared" ref="O209:O215" si="142">O208</f>
        <v>103</v>
      </c>
      <c r="P209" s="126">
        <f t="shared" ref="P209:P215" si="143">N209/O209</f>
        <v>3.4951456310679609</v>
      </c>
      <c r="Q209" t="s">
        <v>68</v>
      </c>
      <c r="R209" s="45">
        <v>60</v>
      </c>
      <c r="T209" s="35"/>
      <c r="U209" s="6" t="s">
        <v>4</v>
      </c>
      <c r="V209" s="6" t="s">
        <v>324</v>
      </c>
      <c r="W209" s="28">
        <f>7200/50</f>
        <v>144</v>
      </c>
      <c r="X209" s="29">
        <f>W209*3.8</f>
        <v>547.19999999999993</v>
      </c>
      <c r="Y209" s="1">
        <f t="shared" ref="Y209:Y215" si="144">Y208</f>
        <v>102</v>
      </c>
      <c r="Z209" s="126">
        <f t="shared" si="140"/>
        <v>5.3647058823529408</v>
      </c>
      <c r="AA209" t="s">
        <v>68</v>
      </c>
      <c r="AB209" s="45">
        <v>50</v>
      </c>
    </row>
    <row r="210" spans="1:28" x14ac:dyDescent="0.35">
      <c r="A210" s="35"/>
      <c r="B210" s="5"/>
      <c r="C210" s="6" t="s">
        <v>54</v>
      </c>
      <c r="D210" s="6" t="s">
        <v>419</v>
      </c>
      <c r="E210" s="28">
        <f>600/1000</f>
        <v>0.6</v>
      </c>
      <c r="F210" s="6">
        <f>E210*60</f>
        <v>36</v>
      </c>
      <c r="G210" s="1">
        <f t="shared" ref="G210:G215" si="145">G209</f>
        <v>132</v>
      </c>
      <c r="H210" s="126">
        <f t="shared" si="141"/>
        <v>0.27272727272727271</v>
      </c>
      <c r="I210" s="146"/>
      <c r="J210" s="9"/>
      <c r="K210" s="1" t="s">
        <v>5</v>
      </c>
      <c r="L210" s="1" t="s">
        <v>421</v>
      </c>
      <c r="M210" s="233">
        <f>400/450</f>
        <v>0.88888888888888884</v>
      </c>
      <c r="N210" s="57">
        <f>M210*160</f>
        <v>142.22222222222223</v>
      </c>
      <c r="O210" s="1">
        <f t="shared" si="142"/>
        <v>103</v>
      </c>
      <c r="P210" s="126">
        <f t="shared" si="143"/>
        <v>1.3807982740021576</v>
      </c>
      <c r="Q210" t="s">
        <v>32</v>
      </c>
      <c r="R210" s="47">
        <f>H215</f>
        <v>31.977125173301644</v>
      </c>
      <c r="S210" s="120"/>
      <c r="T210" s="35"/>
      <c r="U210" s="6" t="s">
        <v>5</v>
      </c>
      <c r="V210" s="6" t="s">
        <v>420</v>
      </c>
      <c r="W210" s="28">
        <f>255/450</f>
        <v>0.56666666666666665</v>
      </c>
      <c r="X210" s="29">
        <f>W210*190</f>
        <v>107.66666666666666</v>
      </c>
      <c r="Y210" s="1">
        <f t="shared" si="144"/>
        <v>102</v>
      </c>
      <c r="Z210" s="126">
        <f t="shared" si="140"/>
        <v>1.0555555555555554</v>
      </c>
      <c r="AA210" t="s">
        <v>32</v>
      </c>
      <c r="AB210" s="47">
        <f>Z215</f>
        <v>31.037320261437905</v>
      </c>
    </row>
    <row r="211" spans="1:28" x14ac:dyDescent="0.35">
      <c r="A211" s="35"/>
      <c r="B211" s="5"/>
      <c r="C211" s="6" t="s">
        <v>55</v>
      </c>
      <c r="D211" s="6" t="s">
        <v>318</v>
      </c>
      <c r="E211" s="28">
        <f>35.5/1000</f>
        <v>3.5499999999999997E-2</v>
      </c>
      <c r="F211" s="6">
        <f>E211*280</f>
        <v>9.94</v>
      </c>
      <c r="G211" s="1">
        <f t="shared" si="145"/>
        <v>132</v>
      </c>
      <c r="H211" s="126">
        <f t="shared" si="141"/>
        <v>7.5303030303030302E-2</v>
      </c>
      <c r="I211" s="146"/>
      <c r="J211" s="9"/>
      <c r="K211" s="1" t="s">
        <v>51</v>
      </c>
      <c r="L211" s="1" t="s">
        <v>52</v>
      </c>
      <c r="M211" s="232">
        <f>35.5/1000</f>
        <v>3.5499999999999997E-2</v>
      </c>
      <c r="N211" s="1">
        <f>M211*300</f>
        <v>10.649999999999999</v>
      </c>
      <c r="O211" s="1">
        <f t="shared" si="142"/>
        <v>103</v>
      </c>
      <c r="P211" s="126">
        <f t="shared" si="143"/>
        <v>0.10339805825242718</v>
      </c>
      <c r="Q211" t="s">
        <v>62</v>
      </c>
      <c r="R211" s="47">
        <f>R209-R210</f>
        <v>28.022874826698356</v>
      </c>
      <c r="S211" s="120"/>
      <c r="T211" s="35"/>
      <c r="U211" s="6" t="s">
        <v>51</v>
      </c>
      <c r="V211" s="6" t="s">
        <v>318</v>
      </c>
      <c r="W211" s="205">
        <f>35.5/1000</f>
        <v>3.5499999999999997E-2</v>
      </c>
      <c r="X211" s="6">
        <f>W211*280</f>
        <v>9.94</v>
      </c>
      <c r="Y211" s="1">
        <f t="shared" si="144"/>
        <v>102</v>
      </c>
      <c r="Z211" s="126">
        <f t="shared" si="140"/>
        <v>9.7450980392156855E-2</v>
      </c>
      <c r="AA211" t="s">
        <v>69</v>
      </c>
      <c r="AB211" s="47">
        <f>AB209-AB210</f>
        <v>18.962679738562095</v>
      </c>
    </row>
    <row r="212" spans="1:28" x14ac:dyDescent="0.35">
      <c r="A212" s="35"/>
      <c r="B212" s="5"/>
      <c r="C212" s="6" t="s">
        <v>56</v>
      </c>
      <c r="D212" s="6" t="s">
        <v>419</v>
      </c>
      <c r="E212" s="6">
        <f>340/1000</f>
        <v>0.34</v>
      </c>
      <c r="F212" s="6">
        <f>E212*60</f>
        <v>20.400000000000002</v>
      </c>
      <c r="G212" s="1">
        <f t="shared" si="145"/>
        <v>132</v>
      </c>
      <c r="H212" s="126">
        <f t="shared" si="141"/>
        <v>0.15454545454545457</v>
      </c>
      <c r="I212" s="146"/>
      <c r="J212" s="9"/>
      <c r="K212" s="1" t="s">
        <v>26</v>
      </c>
      <c r="L212" s="1" t="s">
        <v>419</v>
      </c>
      <c r="M212" s="1">
        <f>340/1000</f>
        <v>0.34</v>
      </c>
      <c r="N212" s="1">
        <f>M212*60</f>
        <v>20.400000000000002</v>
      </c>
      <c r="O212" s="1">
        <f t="shared" si="142"/>
        <v>103</v>
      </c>
      <c r="P212" s="126">
        <f t="shared" si="143"/>
        <v>0.1980582524271845</v>
      </c>
      <c r="Q212" t="s">
        <v>72</v>
      </c>
      <c r="R212" s="50">
        <f>G215*R211</f>
        <v>3699.0194771241831</v>
      </c>
      <c r="S212" s="120"/>
      <c r="T212" s="35"/>
      <c r="U212" s="6" t="s">
        <v>26</v>
      </c>
      <c r="V212" s="6" t="s">
        <v>53</v>
      </c>
      <c r="W212" s="6">
        <f>340/1000</f>
        <v>0.34</v>
      </c>
      <c r="X212" s="6">
        <f>W212*50</f>
        <v>17</v>
      </c>
      <c r="Y212" s="1">
        <f t="shared" si="144"/>
        <v>102</v>
      </c>
      <c r="Z212" s="126">
        <f t="shared" si="140"/>
        <v>0.16666666666666666</v>
      </c>
      <c r="AA212" t="s">
        <v>205</v>
      </c>
      <c r="AB212" s="50">
        <f>AB211*102</f>
        <v>1934.1933333333336</v>
      </c>
    </row>
    <row r="213" spans="1:28" x14ac:dyDescent="0.35">
      <c r="A213" s="35"/>
      <c r="B213" s="5"/>
      <c r="C213" s="6" t="s">
        <v>57</v>
      </c>
      <c r="D213" s="6" t="s">
        <v>6</v>
      </c>
      <c r="E213" s="28">
        <f>250/450</f>
        <v>0.55555555555555558</v>
      </c>
      <c r="F213" s="28">
        <f>E213*200</f>
        <v>111.11111111111111</v>
      </c>
      <c r="G213" s="1">
        <f t="shared" si="145"/>
        <v>132</v>
      </c>
      <c r="H213" s="126">
        <f t="shared" si="141"/>
        <v>0.84175084175084181</v>
      </c>
      <c r="I213" s="146"/>
      <c r="J213" s="9"/>
      <c r="K213" s="1" t="s">
        <v>3</v>
      </c>
      <c r="L213" s="1" t="s">
        <v>382</v>
      </c>
      <c r="M213" s="57">
        <f>4660/17</f>
        <v>274.11764705882354</v>
      </c>
      <c r="N213" s="57">
        <f>M213*1.5</f>
        <v>411.1764705882353</v>
      </c>
      <c r="O213" s="1">
        <f t="shared" si="142"/>
        <v>103</v>
      </c>
      <c r="P213" s="126">
        <f t="shared" si="143"/>
        <v>3.9920045688178183</v>
      </c>
      <c r="Q213" t="s">
        <v>431</v>
      </c>
      <c r="R213" s="48">
        <f>R212*5</f>
        <v>18495.097385620917</v>
      </c>
      <c r="S213" s="120"/>
      <c r="T213" s="35"/>
      <c r="U213" s="6" t="s">
        <v>3</v>
      </c>
      <c r="V213" s="6" t="s">
        <v>325</v>
      </c>
      <c r="W213" s="29">
        <f>260</f>
        <v>260</v>
      </c>
      <c r="X213" s="29">
        <f>W213*2.3</f>
        <v>598</v>
      </c>
      <c r="Y213" s="1">
        <f t="shared" si="144"/>
        <v>102</v>
      </c>
      <c r="Z213" s="126">
        <f t="shared" si="140"/>
        <v>5.8627450980392153</v>
      </c>
      <c r="AA213" t="s">
        <v>389</v>
      </c>
      <c r="AB213" s="48">
        <f>AB212*6</f>
        <v>11605.160000000002</v>
      </c>
    </row>
    <row r="214" spans="1:28" x14ac:dyDescent="0.35">
      <c r="A214" s="35"/>
      <c r="B214" s="5"/>
      <c r="C214" s="6" t="s">
        <v>58</v>
      </c>
      <c r="D214" s="6" t="s">
        <v>319</v>
      </c>
      <c r="E214" s="29">
        <f>4660/17</f>
        <v>274.11764705882354</v>
      </c>
      <c r="F214" s="29">
        <f>E214*2.8</f>
        <v>767.52941176470586</v>
      </c>
      <c r="G214" s="6">
        <f t="shared" si="145"/>
        <v>132</v>
      </c>
      <c r="H214" s="126">
        <f t="shared" si="141"/>
        <v>5.8146167557932262</v>
      </c>
      <c r="I214" s="146"/>
      <c r="J214" s="9"/>
      <c r="K214" s="1" t="s">
        <v>7</v>
      </c>
      <c r="L214" s="234" t="s">
        <v>388</v>
      </c>
      <c r="M214" s="57">
        <f>4730/20</f>
        <v>236.5</v>
      </c>
      <c r="N214" s="57">
        <f>M214*12.5</f>
        <v>2956.25</v>
      </c>
      <c r="O214" s="1">
        <f t="shared" si="142"/>
        <v>103</v>
      </c>
      <c r="P214" s="126">
        <f t="shared" si="143"/>
        <v>28.70145631067961</v>
      </c>
      <c r="Q214" t="s">
        <v>1</v>
      </c>
      <c r="R214" s="45"/>
      <c r="T214" s="35"/>
      <c r="U214" s="6" t="s">
        <v>151</v>
      </c>
      <c r="V214" s="53" t="s">
        <v>53</v>
      </c>
      <c r="W214" s="28">
        <f>280/1000</f>
        <v>0.28000000000000003</v>
      </c>
      <c r="X214" s="6">
        <f>W214*50</f>
        <v>14.000000000000002</v>
      </c>
      <c r="Y214" s="1">
        <f t="shared" si="144"/>
        <v>102</v>
      </c>
      <c r="Z214" s="126">
        <f t="shared" si="140"/>
        <v>0.13725490196078433</v>
      </c>
      <c r="AB214" s="45"/>
    </row>
    <row r="215" spans="1:28" x14ac:dyDescent="0.35">
      <c r="A215" s="35"/>
      <c r="B215" s="5"/>
      <c r="C215" s="6"/>
      <c r="D215" s="6"/>
      <c r="E215" s="29"/>
      <c r="F215" s="51">
        <f>SUM(F208:F214)</f>
        <v>4220.9805228758178</v>
      </c>
      <c r="G215" s="32">
        <f t="shared" si="145"/>
        <v>132</v>
      </c>
      <c r="H215" s="33">
        <f>SUM(H208:H214)</f>
        <v>31.977125173301644</v>
      </c>
      <c r="I215" s="146"/>
      <c r="J215" s="35"/>
      <c r="K215" s="6"/>
      <c r="L215" s="6"/>
      <c r="M215" s="6"/>
      <c r="N215" s="235">
        <f>SUM(N208:N214)</f>
        <v>7550.698692810457</v>
      </c>
      <c r="O215" s="32">
        <f t="shared" si="142"/>
        <v>103</v>
      </c>
      <c r="P215" s="236">
        <f t="shared" si="143"/>
        <v>73.30775429913065</v>
      </c>
      <c r="Q215" t="s">
        <v>68</v>
      </c>
      <c r="R215" s="45">
        <v>100</v>
      </c>
      <c r="T215" s="35"/>
      <c r="U215" s="6"/>
      <c r="V215" s="6"/>
      <c r="W215" s="6"/>
      <c r="X215" s="31">
        <f>SUM(X208:X214)</f>
        <v>3165.8066666666664</v>
      </c>
      <c r="Y215" s="32">
        <f t="shared" si="144"/>
        <v>102</v>
      </c>
      <c r="Z215" s="33">
        <f t="shared" si="140"/>
        <v>31.037320261437905</v>
      </c>
      <c r="AB215" s="45"/>
    </row>
    <row r="216" spans="1:28" x14ac:dyDescent="0.35">
      <c r="A216" s="35"/>
      <c r="B216" s="5" t="s">
        <v>44</v>
      </c>
      <c r="C216" s="5" t="s">
        <v>70</v>
      </c>
      <c r="D216" s="5" t="s">
        <v>70</v>
      </c>
      <c r="E216" s="5"/>
      <c r="F216" s="59">
        <f t="shared" ref="F216:F219" si="146">F215</f>
        <v>4220.9805228758178</v>
      </c>
      <c r="G216" s="5">
        <v>132</v>
      </c>
      <c r="H216" s="127">
        <f>F216/G216</f>
        <v>31.977125173301651</v>
      </c>
      <c r="I216" s="146"/>
      <c r="J216" s="35" t="s">
        <v>44</v>
      </c>
      <c r="K216" s="5" t="s">
        <v>70</v>
      </c>
      <c r="L216" s="5" t="s">
        <v>70</v>
      </c>
      <c r="M216" s="5" t="s">
        <v>70</v>
      </c>
      <c r="N216" s="38">
        <f>N215</f>
        <v>7550.698692810457</v>
      </c>
      <c r="O216" s="5">
        <v>102</v>
      </c>
      <c r="P216" s="30">
        <f>N216/O216</f>
        <v>74.02645777265154</v>
      </c>
      <c r="Q216" t="s">
        <v>32</v>
      </c>
      <c r="R216" s="47">
        <f>AVERAGE(P215,P216,P217,P218)</f>
        <v>74.030015710639276</v>
      </c>
      <c r="S216" s="120"/>
      <c r="T216" s="35" t="s">
        <v>44</v>
      </c>
      <c r="U216" s="5"/>
      <c r="V216" s="5"/>
      <c r="W216" s="5"/>
      <c r="X216" s="29">
        <f t="shared" ref="X216:X220" si="147">X215</f>
        <v>3165.8066666666664</v>
      </c>
      <c r="Y216" s="6">
        <v>102</v>
      </c>
      <c r="Z216" s="30">
        <f t="shared" si="140"/>
        <v>31.037320261437905</v>
      </c>
      <c r="AB216" s="47"/>
    </row>
    <row r="217" spans="1:28" x14ac:dyDescent="0.35">
      <c r="A217" s="35"/>
      <c r="B217" s="5" t="s">
        <v>45</v>
      </c>
      <c r="C217" s="5" t="s">
        <v>70</v>
      </c>
      <c r="D217" s="5" t="s">
        <v>70</v>
      </c>
      <c r="E217" s="5"/>
      <c r="F217" s="59">
        <f t="shared" si="146"/>
        <v>4220.9805228758178</v>
      </c>
      <c r="G217" s="5">
        <v>132</v>
      </c>
      <c r="H217" s="127">
        <f t="shared" ref="H217:H218" si="148">F217/G217</f>
        <v>31.977125173301651</v>
      </c>
      <c r="I217" s="146"/>
      <c r="J217" s="35" t="s">
        <v>45</v>
      </c>
      <c r="K217" s="5" t="s">
        <v>70</v>
      </c>
      <c r="L217" s="5" t="s">
        <v>70</v>
      </c>
      <c r="M217" s="5" t="s">
        <v>70</v>
      </c>
      <c r="N217" s="38">
        <f t="shared" ref="N217:N221" si="149">N216</f>
        <v>7550.698692810457</v>
      </c>
      <c r="O217" s="5">
        <v>102</v>
      </c>
      <c r="P217" s="30">
        <f t="shared" ref="P217:P221" si="150">N217/O217</f>
        <v>74.02645777265154</v>
      </c>
      <c r="Q217" t="s">
        <v>69</v>
      </c>
      <c r="R217" s="47">
        <f>R215-R216</f>
        <v>25.969984289360724</v>
      </c>
      <c r="S217" s="120"/>
      <c r="T217" s="35" t="s">
        <v>45</v>
      </c>
      <c r="U217" s="5"/>
      <c r="V217" s="5"/>
      <c r="W217" s="5"/>
      <c r="X217" s="29">
        <f t="shared" si="147"/>
        <v>3165.8066666666664</v>
      </c>
      <c r="Y217" s="6">
        <v>102</v>
      </c>
      <c r="Z217" s="30">
        <f t="shared" si="140"/>
        <v>31.037320261437905</v>
      </c>
      <c r="AB217" s="47"/>
    </row>
    <row r="218" spans="1:28" x14ac:dyDescent="0.35">
      <c r="A218" s="35"/>
      <c r="B218" s="5" t="s">
        <v>67</v>
      </c>
      <c r="C218" s="5" t="s">
        <v>70</v>
      </c>
      <c r="D218" s="5" t="s">
        <v>70</v>
      </c>
      <c r="E218" s="5"/>
      <c r="F218" s="59">
        <f t="shared" si="146"/>
        <v>4220.9805228758178</v>
      </c>
      <c r="G218" s="5">
        <v>132</v>
      </c>
      <c r="H218" s="127">
        <f t="shared" si="148"/>
        <v>31.977125173301651</v>
      </c>
      <c r="I218" s="146"/>
      <c r="J218" s="35" t="s">
        <v>67</v>
      </c>
      <c r="K218" s="5" t="s">
        <v>70</v>
      </c>
      <c r="L218" s="5" t="s">
        <v>70</v>
      </c>
      <c r="M218" s="5" t="s">
        <v>70</v>
      </c>
      <c r="N218" s="38">
        <f t="shared" si="149"/>
        <v>7550.698692810457</v>
      </c>
      <c r="O218" s="5">
        <v>101</v>
      </c>
      <c r="P218" s="30">
        <f t="shared" si="150"/>
        <v>74.759392998123332</v>
      </c>
      <c r="Q218" t="s">
        <v>136</v>
      </c>
      <c r="R218" s="50">
        <f>R217*100</f>
        <v>2596.9984289360723</v>
      </c>
      <c r="S218" s="120"/>
      <c r="T218" s="35" t="s">
        <v>67</v>
      </c>
      <c r="U218" s="5"/>
      <c r="V218" s="5"/>
      <c r="W218" s="5"/>
      <c r="X218" s="29">
        <f t="shared" si="147"/>
        <v>3165.8066666666664</v>
      </c>
      <c r="Y218" s="6">
        <v>102</v>
      </c>
      <c r="Z218" s="30">
        <f t="shared" si="140"/>
        <v>31.037320261437905</v>
      </c>
      <c r="AB218" s="50"/>
    </row>
    <row r="219" spans="1:28" x14ac:dyDescent="0.35">
      <c r="A219" s="35"/>
      <c r="B219" s="5" t="s">
        <v>133</v>
      </c>
      <c r="C219" s="5" t="s">
        <v>70</v>
      </c>
      <c r="D219" s="5" t="s">
        <v>70</v>
      </c>
      <c r="E219" s="5"/>
      <c r="F219" s="59">
        <f t="shared" si="146"/>
        <v>4220.9805228758178</v>
      </c>
      <c r="G219" s="5">
        <v>132</v>
      </c>
      <c r="H219" s="127">
        <f t="shared" ref="H219" si="151">F219/G219</f>
        <v>31.977125173301651</v>
      </c>
      <c r="I219" s="146"/>
      <c r="J219" s="35" t="s">
        <v>133</v>
      </c>
      <c r="K219" s="5"/>
      <c r="L219" s="5"/>
      <c r="M219" s="5"/>
      <c r="N219" s="38">
        <f t="shared" si="149"/>
        <v>7550.698692810457</v>
      </c>
      <c r="O219" s="5">
        <v>101</v>
      </c>
      <c r="P219" s="30">
        <f t="shared" si="150"/>
        <v>74.759392998123332</v>
      </c>
      <c r="Q219" t="s">
        <v>433</v>
      </c>
      <c r="R219" s="48">
        <f>R218*8</f>
        <v>20775.987431488578</v>
      </c>
      <c r="S219" s="120"/>
      <c r="T219" s="35" t="s">
        <v>133</v>
      </c>
      <c r="U219" s="5"/>
      <c r="V219" s="5"/>
      <c r="W219" s="5"/>
      <c r="X219" s="29">
        <f t="shared" si="147"/>
        <v>3165.8066666666664</v>
      </c>
      <c r="Y219" s="6">
        <v>102</v>
      </c>
      <c r="Z219" s="30">
        <f t="shared" si="140"/>
        <v>31.037320261437905</v>
      </c>
      <c r="AB219" s="48"/>
    </row>
    <row r="220" spans="1:28" x14ac:dyDescent="0.35">
      <c r="A220" s="35"/>
      <c r="B220" s="5"/>
      <c r="C220" s="5"/>
      <c r="D220" s="5"/>
      <c r="E220" s="5"/>
      <c r="F220" s="59"/>
      <c r="G220" s="5"/>
      <c r="H220" s="127"/>
      <c r="I220" s="146"/>
      <c r="J220" s="35" t="s">
        <v>134</v>
      </c>
      <c r="K220" s="5"/>
      <c r="L220" s="5"/>
      <c r="M220" s="5"/>
      <c r="N220" s="38">
        <f t="shared" si="149"/>
        <v>7550.698692810457</v>
      </c>
      <c r="O220" s="5">
        <v>101</v>
      </c>
      <c r="P220" s="30">
        <f t="shared" si="150"/>
        <v>74.759392998123332</v>
      </c>
      <c r="R220" s="48"/>
      <c r="S220" s="120"/>
      <c r="T220" s="35" t="s">
        <v>134</v>
      </c>
      <c r="U220" s="5"/>
      <c r="V220" s="5"/>
      <c r="W220" s="5"/>
      <c r="X220" s="29">
        <f t="shared" si="147"/>
        <v>3165.8066666666664</v>
      </c>
      <c r="Y220" s="6">
        <v>102</v>
      </c>
      <c r="Z220" s="30">
        <f t="shared" si="140"/>
        <v>31.037320261437905</v>
      </c>
      <c r="AB220" s="48"/>
    </row>
    <row r="221" spans="1:28" x14ac:dyDescent="0.35">
      <c r="A221" s="35"/>
      <c r="B221" s="5"/>
      <c r="C221" s="5"/>
      <c r="D221" s="5"/>
      <c r="E221" s="5"/>
      <c r="F221" s="59"/>
      <c r="G221" s="5"/>
      <c r="H221" s="127"/>
      <c r="I221" s="146"/>
      <c r="J221" s="35" t="s">
        <v>252</v>
      </c>
      <c r="K221" s="5" t="s">
        <v>70</v>
      </c>
      <c r="L221" s="5" t="s">
        <v>70</v>
      </c>
      <c r="M221" s="5" t="s">
        <v>70</v>
      </c>
      <c r="N221" s="38">
        <f t="shared" si="149"/>
        <v>7550.698692810457</v>
      </c>
      <c r="O221" s="5">
        <v>100</v>
      </c>
      <c r="P221" s="30">
        <f t="shared" si="150"/>
        <v>75.506986928104567</v>
      </c>
      <c r="Q221">
        <f>100/8</f>
        <v>12.5</v>
      </c>
      <c r="R221" s="48"/>
      <c r="S221" s="120"/>
      <c r="T221" s="9"/>
      <c r="U221" s="1"/>
      <c r="V221" s="1"/>
      <c r="W221" s="1"/>
      <c r="X221" s="29"/>
      <c r="Y221" s="6"/>
      <c r="Z221" s="30"/>
      <c r="AB221" s="48"/>
    </row>
    <row r="222" spans="1:28" x14ac:dyDescent="0.35">
      <c r="A222" s="35"/>
      <c r="B222" s="5"/>
      <c r="C222" s="5"/>
      <c r="D222" s="5"/>
      <c r="E222" s="5"/>
      <c r="F222" s="59"/>
      <c r="G222" s="5"/>
      <c r="H222" s="127"/>
      <c r="I222" s="146"/>
      <c r="J222" s="35" t="s">
        <v>253</v>
      </c>
      <c r="K222" s="5" t="s">
        <v>70</v>
      </c>
      <c r="L222" s="5" t="s">
        <v>70</v>
      </c>
      <c r="M222" s="5" t="s">
        <v>70</v>
      </c>
      <c r="N222" s="38">
        <f>N221</f>
        <v>7550.698692810457</v>
      </c>
      <c r="O222" s="5">
        <v>100</v>
      </c>
      <c r="P222" s="30">
        <f>N222/O222</f>
        <v>75.506986928104567</v>
      </c>
      <c r="R222" s="48"/>
      <c r="S222" s="120"/>
      <c r="T222" s="9"/>
      <c r="U222" s="1"/>
      <c r="V222" s="1"/>
      <c r="W222" s="1"/>
      <c r="X222" s="29"/>
      <c r="Y222" s="6"/>
      <c r="Z222" s="30"/>
      <c r="AB222" s="48"/>
    </row>
    <row r="223" spans="1:28" x14ac:dyDescent="0.35">
      <c r="A223" s="35"/>
      <c r="B223" s="5"/>
      <c r="C223" s="5"/>
      <c r="D223" s="5"/>
      <c r="E223" s="5"/>
      <c r="F223" s="59"/>
      <c r="G223" s="5"/>
      <c r="H223" s="127"/>
      <c r="I223" s="146"/>
      <c r="J223" s="9"/>
      <c r="K223" s="1"/>
      <c r="L223" s="1"/>
      <c r="M223" s="1"/>
      <c r="N223" s="57"/>
      <c r="O223" s="1"/>
      <c r="P223" s="126"/>
      <c r="R223" s="48"/>
      <c r="S223" s="120"/>
      <c r="T223" s="35"/>
      <c r="U223" s="5"/>
      <c r="V223" s="5"/>
      <c r="W223" s="5"/>
      <c r="X223" s="38"/>
      <c r="Y223" s="90"/>
      <c r="Z223" s="91"/>
      <c r="AB223" s="48"/>
    </row>
    <row r="224" spans="1:28" ht="15" thickBot="1" x14ac:dyDescent="0.4">
      <c r="A224" s="11"/>
      <c r="B224" s="12"/>
      <c r="C224" s="12"/>
      <c r="D224" s="12"/>
      <c r="E224" s="12"/>
      <c r="F224" s="114">
        <f>SUM(F215:F222)</f>
        <v>21104.902614379091</v>
      </c>
      <c r="G224" s="114">
        <f>SUM(G215:G223)</f>
        <v>660</v>
      </c>
      <c r="H224" s="13"/>
      <c r="I224" s="148"/>
      <c r="J224" s="35"/>
      <c r="K224" s="5"/>
      <c r="L224" s="5"/>
      <c r="M224" s="5"/>
      <c r="N224" s="243">
        <f>SUM(N215:N223)</f>
        <v>60405.589542483664</v>
      </c>
      <c r="O224" s="243">
        <f>SUM(O215:O223)</f>
        <v>810</v>
      </c>
      <c r="P224" s="91"/>
      <c r="Q224" s="46" t="s">
        <v>71</v>
      </c>
      <c r="R224" s="52">
        <f>R213+R219</f>
        <v>39271.084817109499</v>
      </c>
      <c r="S224" s="121"/>
      <c r="T224" s="11"/>
      <c r="U224" s="12"/>
      <c r="V224" s="12"/>
      <c r="W224" s="12"/>
      <c r="X224" s="77">
        <f>SUM(X215:X220)</f>
        <v>18994.84</v>
      </c>
      <c r="Y224" s="115">
        <f>SUM(Y215:Y222)</f>
        <v>612</v>
      </c>
      <c r="Z224" s="13"/>
      <c r="AA224" s="46"/>
      <c r="AB224" s="52"/>
    </row>
    <row r="225" spans="1:28" x14ac:dyDescent="0.35">
      <c r="A225" s="39" t="s">
        <v>480</v>
      </c>
      <c r="B225" s="40" t="s">
        <v>43</v>
      </c>
      <c r="C225" s="41" t="s">
        <v>2</v>
      </c>
      <c r="D225" s="41" t="s">
        <v>86</v>
      </c>
      <c r="E225" s="41">
        <f>3650/50</f>
        <v>73</v>
      </c>
      <c r="F225" s="41">
        <f>E225*36</f>
        <v>2628</v>
      </c>
      <c r="G225" s="41">
        <v>132</v>
      </c>
      <c r="H225" s="113">
        <f>F225/G225</f>
        <v>19.90909090909091</v>
      </c>
      <c r="I225" s="147"/>
      <c r="J225" s="80" t="s">
        <v>43</v>
      </c>
      <c r="K225" s="41" t="s">
        <v>2</v>
      </c>
      <c r="L225" s="41" t="s">
        <v>49</v>
      </c>
      <c r="M225" s="41">
        <f>3650/50</f>
        <v>73</v>
      </c>
      <c r="N225" s="41">
        <f>M225*50</f>
        <v>3650</v>
      </c>
      <c r="O225" s="41">
        <v>103</v>
      </c>
      <c r="P225" s="113">
        <f>N225/O225</f>
        <v>35.436893203883493</v>
      </c>
      <c r="Q225" s="43" t="s">
        <v>0</v>
      </c>
      <c r="R225" s="44"/>
      <c r="S225" s="119"/>
      <c r="T225" s="39" t="s">
        <v>43</v>
      </c>
      <c r="U225" s="41" t="s">
        <v>2</v>
      </c>
      <c r="V225" s="41" t="s">
        <v>317</v>
      </c>
      <c r="W225" s="139">
        <f>3600/50</f>
        <v>72</v>
      </c>
      <c r="X225" s="41">
        <f>W225*26</f>
        <v>1872</v>
      </c>
      <c r="Y225" s="41">
        <v>102</v>
      </c>
      <c r="Z225" s="113">
        <f t="shared" ref="Z225:Z237" si="152">X225/Y225</f>
        <v>18.352941176470587</v>
      </c>
      <c r="AA225" s="43" t="s">
        <v>196</v>
      </c>
      <c r="AB225" s="44"/>
    </row>
    <row r="226" spans="1:28" x14ac:dyDescent="0.35">
      <c r="A226" s="35"/>
      <c r="B226" s="5"/>
      <c r="C226" s="6" t="s">
        <v>4</v>
      </c>
      <c r="D226" s="6" t="s">
        <v>50</v>
      </c>
      <c r="E226" s="28">
        <f>7200/50</f>
        <v>144</v>
      </c>
      <c r="F226" s="6">
        <f>E226*4.5</f>
        <v>648</v>
      </c>
      <c r="G226" s="1">
        <f>G225</f>
        <v>132</v>
      </c>
      <c r="H226" s="126">
        <f t="shared" ref="H226:H231" si="153">F226/G226</f>
        <v>4.9090909090909092</v>
      </c>
      <c r="I226" s="146"/>
      <c r="J226" s="9"/>
      <c r="K226" s="1" t="s">
        <v>4</v>
      </c>
      <c r="L226" s="1" t="s">
        <v>353</v>
      </c>
      <c r="M226" s="28">
        <f>7200/50</f>
        <v>144</v>
      </c>
      <c r="N226" s="57">
        <f>M226*2.5</f>
        <v>360</v>
      </c>
      <c r="O226" s="1">
        <f t="shared" ref="O226:O232" si="154">O225</f>
        <v>103</v>
      </c>
      <c r="P226" s="126">
        <f t="shared" ref="P226:P232" si="155">N226/O226</f>
        <v>3.4951456310679609</v>
      </c>
      <c r="Q226" t="s">
        <v>68</v>
      </c>
      <c r="R226" s="45">
        <v>60</v>
      </c>
      <c r="T226" s="35"/>
      <c r="U226" s="6" t="s">
        <v>4</v>
      </c>
      <c r="V226" s="6" t="s">
        <v>324</v>
      </c>
      <c r="W226" s="28">
        <f>7200/50</f>
        <v>144</v>
      </c>
      <c r="X226" s="29">
        <f>W226*3.8</f>
        <v>547.19999999999993</v>
      </c>
      <c r="Y226" s="1">
        <f t="shared" ref="Y226:Y232" si="156">Y225</f>
        <v>102</v>
      </c>
      <c r="Z226" s="126">
        <f t="shared" si="152"/>
        <v>5.3647058823529408</v>
      </c>
      <c r="AA226" t="s">
        <v>68</v>
      </c>
      <c r="AB226" s="45">
        <v>50</v>
      </c>
    </row>
    <row r="227" spans="1:28" x14ac:dyDescent="0.35">
      <c r="A227" s="35"/>
      <c r="B227" s="5"/>
      <c r="C227" s="6" t="s">
        <v>54</v>
      </c>
      <c r="D227" s="6" t="s">
        <v>419</v>
      </c>
      <c r="E227" s="28">
        <f>600/1000</f>
        <v>0.6</v>
      </c>
      <c r="F227" s="6">
        <f>E227*60</f>
        <v>36</v>
      </c>
      <c r="G227" s="1">
        <f t="shared" ref="G227:G232" si="157">G226</f>
        <v>132</v>
      </c>
      <c r="H227" s="126">
        <f t="shared" si="153"/>
        <v>0.27272727272727271</v>
      </c>
      <c r="I227" s="146"/>
      <c r="J227" s="9"/>
      <c r="K227" s="1" t="s">
        <v>5</v>
      </c>
      <c r="L227" s="1" t="s">
        <v>421</v>
      </c>
      <c r="M227" s="233">
        <f>400/450</f>
        <v>0.88888888888888884</v>
      </c>
      <c r="N227" s="57">
        <f>M227*160</f>
        <v>142.22222222222223</v>
      </c>
      <c r="O227" s="1">
        <f t="shared" si="154"/>
        <v>103</v>
      </c>
      <c r="P227" s="126">
        <f t="shared" si="155"/>
        <v>1.3807982740021576</v>
      </c>
      <c r="Q227" t="s">
        <v>32</v>
      </c>
      <c r="R227" s="47">
        <f>H232</f>
        <v>31.977125173301644</v>
      </c>
      <c r="S227" s="120"/>
      <c r="T227" s="35"/>
      <c r="U227" s="6" t="s">
        <v>5</v>
      </c>
      <c r="V227" s="6" t="s">
        <v>420</v>
      </c>
      <c r="W227" s="28">
        <f>255/450</f>
        <v>0.56666666666666665</v>
      </c>
      <c r="X227" s="29">
        <f>W227*190</f>
        <v>107.66666666666666</v>
      </c>
      <c r="Y227" s="1">
        <f t="shared" si="156"/>
        <v>102</v>
      </c>
      <c r="Z227" s="126">
        <f t="shared" si="152"/>
        <v>1.0555555555555554</v>
      </c>
      <c r="AA227" t="s">
        <v>32</v>
      </c>
      <c r="AB227" s="47">
        <f>Z232</f>
        <v>31.037320261437905</v>
      </c>
    </row>
    <row r="228" spans="1:28" x14ac:dyDescent="0.35">
      <c r="A228" s="35"/>
      <c r="B228" s="5"/>
      <c r="C228" s="6" t="s">
        <v>55</v>
      </c>
      <c r="D228" s="6" t="s">
        <v>318</v>
      </c>
      <c r="E228" s="28">
        <f>35.5/1000</f>
        <v>3.5499999999999997E-2</v>
      </c>
      <c r="F228" s="6">
        <f>E228*280</f>
        <v>9.94</v>
      </c>
      <c r="G228" s="1">
        <f t="shared" si="157"/>
        <v>132</v>
      </c>
      <c r="H228" s="126">
        <f t="shared" si="153"/>
        <v>7.5303030303030302E-2</v>
      </c>
      <c r="I228" s="146"/>
      <c r="J228" s="9"/>
      <c r="K228" s="1" t="s">
        <v>51</v>
      </c>
      <c r="L228" s="1" t="s">
        <v>52</v>
      </c>
      <c r="M228" s="232">
        <f>35.5/1000</f>
        <v>3.5499999999999997E-2</v>
      </c>
      <c r="N228" s="1">
        <f>M228*300</f>
        <v>10.649999999999999</v>
      </c>
      <c r="O228" s="1">
        <f t="shared" si="154"/>
        <v>103</v>
      </c>
      <c r="P228" s="126">
        <f t="shared" si="155"/>
        <v>0.10339805825242718</v>
      </c>
      <c r="Q228" t="s">
        <v>62</v>
      </c>
      <c r="R228" s="47">
        <f>R226-R227</f>
        <v>28.022874826698356</v>
      </c>
      <c r="S228" s="120"/>
      <c r="T228" s="35"/>
      <c r="U228" s="6" t="s">
        <v>51</v>
      </c>
      <c r="V228" s="6" t="s">
        <v>318</v>
      </c>
      <c r="W228" s="205">
        <f>35.5/1000</f>
        <v>3.5499999999999997E-2</v>
      </c>
      <c r="X228" s="6">
        <f>W228*280</f>
        <v>9.94</v>
      </c>
      <c r="Y228" s="1">
        <f t="shared" si="156"/>
        <v>102</v>
      </c>
      <c r="Z228" s="126">
        <f t="shared" si="152"/>
        <v>9.7450980392156855E-2</v>
      </c>
      <c r="AA228" t="s">
        <v>69</v>
      </c>
      <c r="AB228" s="47">
        <f>AB226-AB227</f>
        <v>18.962679738562095</v>
      </c>
    </row>
    <row r="229" spans="1:28" x14ac:dyDescent="0.35">
      <c r="A229" s="35"/>
      <c r="B229" s="5"/>
      <c r="C229" s="6" t="s">
        <v>56</v>
      </c>
      <c r="D229" s="6" t="s">
        <v>419</v>
      </c>
      <c r="E229" s="6">
        <f>340/1000</f>
        <v>0.34</v>
      </c>
      <c r="F229" s="6">
        <f>E229*60</f>
        <v>20.400000000000002</v>
      </c>
      <c r="G229" s="1">
        <f t="shared" si="157"/>
        <v>132</v>
      </c>
      <c r="H229" s="126">
        <f t="shared" si="153"/>
        <v>0.15454545454545457</v>
      </c>
      <c r="I229" s="146"/>
      <c r="J229" s="9"/>
      <c r="K229" s="1" t="s">
        <v>26</v>
      </c>
      <c r="L229" s="1" t="s">
        <v>419</v>
      </c>
      <c r="M229" s="1">
        <f>340/1000</f>
        <v>0.34</v>
      </c>
      <c r="N229" s="1">
        <f>M229*60</f>
        <v>20.400000000000002</v>
      </c>
      <c r="O229" s="1">
        <f t="shared" si="154"/>
        <v>103</v>
      </c>
      <c r="P229" s="126">
        <f t="shared" si="155"/>
        <v>0.1980582524271845</v>
      </c>
      <c r="Q229" t="s">
        <v>72</v>
      </c>
      <c r="R229" s="50">
        <f>G232*R228</f>
        <v>3699.0194771241831</v>
      </c>
      <c r="S229" s="120"/>
      <c r="T229" s="35"/>
      <c r="U229" s="6" t="s">
        <v>26</v>
      </c>
      <c r="V229" s="6" t="s">
        <v>53</v>
      </c>
      <c r="W229" s="6">
        <f>340/1000</f>
        <v>0.34</v>
      </c>
      <c r="X229" s="6">
        <f>W229*50</f>
        <v>17</v>
      </c>
      <c r="Y229" s="1">
        <f t="shared" si="156"/>
        <v>102</v>
      </c>
      <c r="Z229" s="126">
        <f t="shared" si="152"/>
        <v>0.16666666666666666</v>
      </c>
      <c r="AA229" t="s">
        <v>205</v>
      </c>
      <c r="AB229" s="50">
        <f>AB228*102</f>
        <v>1934.1933333333336</v>
      </c>
    </row>
    <row r="230" spans="1:28" x14ac:dyDescent="0.35">
      <c r="A230" s="35"/>
      <c r="B230" s="5"/>
      <c r="C230" s="6" t="s">
        <v>57</v>
      </c>
      <c r="D230" s="6" t="s">
        <v>6</v>
      </c>
      <c r="E230" s="28">
        <f>250/450</f>
        <v>0.55555555555555558</v>
      </c>
      <c r="F230" s="28">
        <f>E230*200</f>
        <v>111.11111111111111</v>
      </c>
      <c r="G230" s="1">
        <f t="shared" si="157"/>
        <v>132</v>
      </c>
      <c r="H230" s="126">
        <f t="shared" si="153"/>
        <v>0.84175084175084181</v>
      </c>
      <c r="I230" s="146"/>
      <c r="J230" s="9"/>
      <c r="K230" s="1" t="s">
        <v>3</v>
      </c>
      <c r="L230" s="1" t="s">
        <v>382</v>
      </c>
      <c r="M230" s="57">
        <f>4660/17</f>
        <v>274.11764705882354</v>
      </c>
      <c r="N230" s="57">
        <f>M230*1.5</f>
        <v>411.1764705882353</v>
      </c>
      <c r="O230" s="1">
        <f t="shared" si="154"/>
        <v>103</v>
      </c>
      <c r="P230" s="126">
        <f t="shared" si="155"/>
        <v>3.9920045688178183</v>
      </c>
      <c r="Q230" t="s">
        <v>424</v>
      </c>
      <c r="R230" s="48">
        <f>R229*4</f>
        <v>14796.077908496733</v>
      </c>
      <c r="S230" s="120"/>
      <c r="T230" s="35"/>
      <c r="U230" s="6" t="s">
        <v>3</v>
      </c>
      <c r="V230" s="6" t="s">
        <v>325</v>
      </c>
      <c r="W230" s="29">
        <f>260</f>
        <v>260</v>
      </c>
      <c r="X230" s="29">
        <f>W230*2.3</f>
        <v>598</v>
      </c>
      <c r="Y230" s="1">
        <f t="shared" si="156"/>
        <v>102</v>
      </c>
      <c r="Z230" s="126">
        <f t="shared" si="152"/>
        <v>5.8627450980392153</v>
      </c>
      <c r="AA230" t="s">
        <v>389</v>
      </c>
      <c r="AB230" s="48">
        <f>AB229*6</f>
        <v>11605.160000000002</v>
      </c>
    </row>
    <row r="231" spans="1:28" x14ac:dyDescent="0.35">
      <c r="A231" s="35"/>
      <c r="B231" s="5"/>
      <c r="C231" s="6" t="s">
        <v>58</v>
      </c>
      <c r="D231" s="6" t="s">
        <v>319</v>
      </c>
      <c r="E231" s="29">
        <f>4660/17</f>
        <v>274.11764705882354</v>
      </c>
      <c r="F231" s="29">
        <f>E231*2.8</f>
        <v>767.52941176470586</v>
      </c>
      <c r="G231" s="6">
        <f t="shared" si="157"/>
        <v>132</v>
      </c>
      <c r="H231" s="126">
        <f t="shared" si="153"/>
        <v>5.8146167557932262</v>
      </c>
      <c r="I231" s="146"/>
      <c r="J231" s="9"/>
      <c r="K231" s="1" t="s">
        <v>7</v>
      </c>
      <c r="L231" s="234" t="s">
        <v>391</v>
      </c>
      <c r="M231" s="57">
        <f>4730/20</f>
        <v>236.5</v>
      </c>
      <c r="N231" s="57">
        <f>M231*11.4</f>
        <v>2696.1</v>
      </c>
      <c r="O231" s="1">
        <f t="shared" si="154"/>
        <v>103</v>
      </c>
      <c r="P231" s="126">
        <f t="shared" si="155"/>
        <v>26.175728155339804</v>
      </c>
      <c r="Q231" t="s">
        <v>1</v>
      </c>
      <c r="R231" s="45"/>
      <c r="T231" s="35"/>
      <c r="U231" s="6" t="s">
        <v>151</v>
      </c>
      <c r="V231" s="53" t="s">
        <v>53</v>
      </c>
      <c r="W231" s="28">
        <f>280/1000</f>
        <v>0.28000000000000003</v>
      </c>
      <c r="X231" s="6">
        <f>W231*50</f>
        <v>14.000000000000002</v>
      </c>
      <c r="Y231" s="1">
        <f t="shared" si="156"/>
        <v>102</v>
      </c>
      <c r="Z231" s="126">
        <f t="shared" si="152"/>
        <v>0.13725490196078433</v>
      </c>
      <c r="AB231" s="45"/>
    </row>
    <row r="232" spans="1:28" x14ac:dyDescent="0.35">
      <c r="A232" s="35"/>
      <c r="B232" s="5"/>
      <c r="C232" s="6"/>
      <c r="D232" s="6"/>
      <c r="E232" s="29"/>
      <c r="F232" s="51">
        <f>SUM(F225:F231)</f>
        <v>4220.9805228758178</v>
      </c>
      <c r="G232" s="32">
        <f t="shared" si="157"/>
        <v>132</v>
      </c>
      <c r="H232" s="33">
        <f>SUM(H225:H231)</f>
        <v>31.977125173301644</v>
      </c>
      <c r="I232" s="146"/>
      <c r="J232" s="35"/>
      <c r="K232" s="6"/>
      <c r="L232" s="6"/>
      <c r="M232" s="6"/>
      <c r="N232" s="235">
        <f>SUM(N225:N231)</f>
        <v>7290.5486928104565</v>
      </c>
      <c r="O232" s="32">
        <f t="shared" si="154"/>
        <v>103</v>
      </c>
      <c r="P232" s="236">
        <f t="shared" si="155"/>
        <v>70.782026143790844</v>
      </c>
      <c r="Q232" t="s">
        <v>68</v>
      </c>
      <c r="R232" s="45">
        <v>100</v>
      </c>
      <c r="T232" s="35"/>
      <c r="U232" s="6"/>
      <c r="V232" s="6"/>
      <c r="W232" s="6"/>
      <c r="X232" s="31">
        <f>SUM(X225:X231)</f>
        <v>3165.8066666666664</v>
      </c>
      <c r="Y232" s="32">
        <f t="shared" si="156"/>
        <v>102</v>
      </c>
      <c r="Z232" s="33">
        <f t="shared" si="152"/>
        <v>31.037320261437905</v>
      </c>
      <c r="AB232" s="45"/>
    </row>
    <row r="233" spans="1:28" x14ac:dyDescent="0.35">
      <c r="A233" s="35"/>
      <c r="B233" s="5" t="s">
        <v>44</v>
      </c>
      <c r="C233" s="5" t="s">
        <v>70</v>
      </c>
      <c r="D233" s="5" t="s">
        <v>70</v>
      </c>
      <c r="E233" s="5"/>
      <c r="F233" s="59">
        <f t="shared" ref="F233:F235" si="158">F232</f>
        <v>4220.9805228758178</v>
      </c>
      <c r="G233" s="5">
        <v>132</v>
      </c>
      <c r="H233" s="127">
        <f>F233/G233</f>
        <v>31.977125173301651</v>
      </c>
      <c r="I233" s="146"/>
      <c r="J233" s="35" t="s">
        <v>44</v>
      </c>
      <c r="K233" s="5" t="s">
        <v>70</v>
      </c>
      <c r="L233" s="5" t="s">
        <v>70</v>
      </c>
      <c r="M233" s="5" t="s">
        <v>70</v>
      </c>
      <c r="N233" s="38">
        <f>N232</f>
        <v>7290.5486928104565</v>
      </c>
      <c r="O233" s="5">
        <v>101</v>
      </c>
      <c r="P233" s="30">
        <f>N233/O233</f>
        <v>72.183650423865899</v>
      </c>
      <c r="Q233" t="s">
        <v>32</v>
      </c>
      <c r="R233" s="47">
        <f>AVERAGE(P232,P233,P234,P235)</f>
        <v>72.013703479906795</v>
      </c>
      <c r="S233" s="120"/>
      <c r="T233" s="35" t="s">
        <v>44</v>
      </c>
      <c r="U233" s="5"/>
      <c r="V233" s="5"/>
      <c r="W233" s="5"/>
      <c r="X233" s="29">
        <f t="shared" ref="X233:X237" si="159">X232</f>
        <v>3165.8066666666664</v>
      </c>
      <c r="Y233" s="6">
        <v>102</v>
      </c>
      <c r="Z233" s="30">
        <f t="shared" si="152"/>
        <v>31.037320261437905</v>
      </c>
      <c r="AB233" s="47"/>
    </row>
    <row r="234" spans="1:28" x14ac:dyDescent="0.35">
      <c r="A234" s="35"/>
      <c r="B234" s="5" t="s">
        <v>45</v>
      </c>
      <c r="C234" s="5" t="s">
        <v>70</v>
      </c>
      <c r="D234" s="5" t="s">
        <v>70</v>
      </c>
      <c r="E234" s="5"/>
      <c r="F234" s="59">
        <f t="shared" si="158"/>
        <v>4220.9805228758178</v>
      </c>
      <c r="G234" s="5">
        <v>132</v>
      </c>
      <c r="H234" s="127">
        <f t="shared" ref="H234:H235" si="160">F234/G234</f>
        <v>31.977125173301651</v>
      </c>
      <c r="I234" s="146"/>
      <c r="J234" s="35" t="s">
        <v>45</v>
      </c>
      <c r="K234" s="5" t="s">
        <v>70</v>
      </c>
      <c r="L234" s="5" t="s">
        <v>70</v>
      </c>
      <c r="M234" s="5" t="s">
        <v>70</v>
      </c>
      <c r="N234" s="38">
        <f t="shared" ref="N234:N238" si="161">N233</f>
        <v>7290.5486928104565</v>
      </c>
      <c r="O234" s="5">
        <v>101</v>
      </c>
      <c r="P234" s="30">
        <f t="shared" ref="P234:P238" si="162">N234/O234</f>
        <v>72.183650423865899</v>
      </c>
      <c r="Q234" t="s">
        <v>69</v>
      </c>
      <c r="R234" s="47">
        <f>R232-R233</f>
        <v>27.986296520093205</v>
      </c>
      <c r="S234" s="120"/>
      <c r="T234" s="35" t="s">
        <v>45</v>
      </c>
      <c r="U234" s="5"/>
      <c r="V234" s="5"/>
      <c r="W234" s="5"/>
      <c r="X234" s="29">
        <f t="shared" si="159"/>
        <v>3165.8066666666664</v>
      </c>
      <c r="Y234" s="6">
        <v>102</v>
      </c>
      <c r="Z234" s="30">
        <f t="shared" si="152"/>
        <v>31.037320261437905</v>
      </c>
      <c r="AB234" s="47"/>
    </row>
    <row r="235" spans="1:28" x14ac:dyDescent="0.35">
      <c r="A235" s="35"/>
      <c r="B235" s="5" t="s">
        <v>67</v>
      </c>
      <c r="C235" s="5" t="s">
        <v>70</v>
      </c>
      <c r="D235" s="5" t="s">
        <v>70</v>
      </c>
      <c r="E235" s="5"/>
      <c r="F235" s="59">
        <f t="shared" si="158"/>
        <v>4220.9805228758178</v>
      </c>
      <c r="G235" s="5">
        <v>132</v>
      </c>
      <c r="H235" s="127">
        <f t="shared" si="160"/>
        <v>31.977125173301651</v>
      </c>
      <c r="I235" s="146"/>
      <c r="J235" s="35" t="s">
        <v>67</v>
      </c>
      <c r="K235" s="5" t="s">
        <v>70</v>
      </c>
      <c r="L235" s="5" t="s">
        <v>70</v>
      </c>
      <c r="M235" s="5" t="s">
        <v>70</v>
      </c>
      <c r="N235" s="38">
        <f t="shared" si="161"/>
        <v>7290.5486928104565</v>
      </c>
      <c r="O235" s="5">
        <v>100</v>
      </c>
      <c r="P235" s="30">
        <f t="shared" si="162"/>
        <v>72.905486928104565</v>
      </c>
      <c r="Q235" t="s">
        <v>136</v>
      </c>
      <c r="R235" s="50">
        <f>R234*106</f>
        <v>2966.5474311298799</v>
      </c>
      <c r="S235" s="120"/>
      <c r="T235" s="35" t="s">
        <v>67</v>
      </c>
      <c r="U235" s="5"/>
      <c r="V235" s="5"/>
      <c r="W235" s="5"/>
      <c r="X235" s="29">
        <f t="shared" si="159"/>
        <v>3165.8066666666664</v>
      </c>
      <c r="Y235" s="6">
        <v>102</v>
      </c>
      <c r="Z235" s="30">
        <f t="shared" si="152"/>
        <v>31.037320261437905</v>
      </c>
      <c r="AB235" s="50"/>
    </row>
    <row r="236" spans="1:28" x14ac:dyDescent="0.35">
      <c r="A236" s="35"/>
      <c r="B236" s="5"/>
      <c r="C236" s="5"/>
      <c r="D236" s="5"/>
      <c r="E236" s="5"/>
      <c r="F236" s="59"/>
      <c r="G236" s="5"/>
      <c r="H236" s="127"/>
      <c r="I236" s="146"/>
      <c r="J236" s="35" t="s">
        <v>133</v>
      </c>
      <c r="K236" s="5"/>
      <c r="L236" s="5"/>
      <c r="M236" s="5"/>
      <c r="N236" s="38">
        <f t="shared" si="161"/>
        <v>7290.5486928104565</v>
      </c>
      <c r="O236" s="5">
        <v>100</v>
      </c>
      <c r="P236" s="30">
        <f t="shared" si="162"/>
        <v>72.905486928104565</v>
      </c>
      <c r="Q236" t="s">
        <v>423</v>
      </c>
      <c r="R236" s="48">
        <f>R235*7</f>
        <v>20765.832017909161</v>
      </c>
      <c r="S236" s="120"/>
      <c r="T236" s="35" t="s">
        <v>133</v>
      </c>
      <c r="U236" s="5"/>
      <c r="V236" s="5"/>
      <c r="W236" s="5"/>
      <c r="X236" s="29">
        <f t="shared" si="159"/>
        <v>3165.8066666666664</v>
      </c>
      <c r="Y236" s="6">
        <v>102</v>
      </c>
      <c r="Z236" s="30">
        <f t="shared" si="152"/>
        <v>31.037320261437905</v>
      </c>
      <c r="AB236" s="48"/>
    </row>
    <row r="237" spans="1:28" x14ac:dyDescent="0.35">
      <c r="A237" s="35"/>
      <c r="B237" s="5"/>
      <c r="C237" s="5"/>
      <c r="D237" s="5"/>
      <c r="E237" s="5"/>
      <c r="F237" s="59"/>
      <c r="G237" s="5"/>
      <c r="H237" s="127"/>
      <c r="I237" s="146"/>
      <c r="J237" s="35" t="s">
        <v>134</v>
      </c>
      <c r="K237" s="5"/>
      <c r="L237" s="5"/>
      <c r="M237" s="5"/>
      <c r="N237" s="38">
        <f t="shared" si="161"/>
        <v>7290.5486928104565</v>
      </c>
      <c r="O237" s="5">
        <v>100</v>
      </c>
      <c r="P237" s="30">
        <f t="shared" si="162"/>
        <v>72.905486928104565</v>
      </c>
      <c r="Q237">
        <f>80/7</f>
        <v>11.428571428571429</v>
      </c>
      <c r="R237" s="48"/>
      <c r="S237" s="120"/>
      <c r="T237" s="35" t="s">
        <v>134</v>
      </c>
      <c r="U237" s="5"/>
      <c r="V237" s="5"/>
      <c r="W237" s="5"/>
      <c r="X237" s="29">
        <f t="shared" si="159"/>
        <v>3165.8066666666664</v>
      </c>
      <c r="Y237" s="6">
        <v>102</v>
      </c>
      <c r="Z237" s="30">
        <f t="shared" si="152"/>
        <v>31.037320261437905</v>
      </c>
      <c r="AB237" s="48"/>
    </row>
    <row r="238" spans="1:28" x14ac:dyDescent="0.35">
      <c r="A238" s="35"/>
      <c r="B238" s="5"/>
      <c r="C238" s="5"/>
      <c r="D238" s="5"/>
      <c r="E238" s="5"/>
      <c r="F238" s="59"/>
      <c r="G238" s="5"/>
      <c r="H238" s="127"/>
      <c r="I238" s="146"/>
      <c r="J238" s="35" t="s">
        <v>252</v>
      </c>
      <c r="K238" s="5" t="s">
        <v>70</v>
      </c>
      <c r="L238" s="5" t="s">
        <v>70</v>
      </c>
      <c r="M238" s="5" t="s">
        <v>70</v>
      </c>
      <c r="N238" s="38">
        <f t="shared" si="161"/>
        <v>7290.5486928104565</v>
      </c>
      <c r="O238" s="5">
        <v>100</v>
      </c>
      <c r="P238" s="30">
        <f t="shared" si="162"/>
        <v>72.905486928104565</v>
      </c>
      <c r="R238" s="48"/>
      <c r="S238" s="120"/>
      <c r="T238" s="9"/>
      <c r="U238" s="1"/>
      <c r="V238" s="1"/>
      <c r="W238" s="1"/>
      <c r="X238" s="29"/>
      <c r="Y238" s="6"/>
      <c r="Z238" s="30"/>
      <c r="AB238" s="48"/>
    </row>
    <row r="239" spans="1:28" x14ac:dyDescent="0.35">
      <c r="A239" s="35"/>
      <c r="B239" s="5"/>
      <c r="C239" s="5"/>
      <c r="D239" s="5"/>
      <c r="E239" s="5"/>
      <c r="F239" s="59"/>
      <c r="G239" s="5"/>
      <c r="H239" s="127"/>
      <c r="I239" s="146"/>
      <c r="J239" s="35"/>
      <c r="K239" s="5"/>
      <c r="L239" s="5"/>
      <c r="M239" s="5"/>
      <c r="N239" s="38"/>
      <c r="O239" s="5"/>
      <c r="P239" s="30"/>
      <c r="R239" s="48"/>
      <c r="S239" s="120"/>
      <c r="T239" s="9"/>
      <c r="U239" s="1"/>
      <c r="V239" s="1"/>
      <c r="W239" s="1"/>
      <c r="X239" s="29"/>
      <c r="Y239" s="6"/>
      <c r="Z239" s="30"/>
      <c r="AB239" s="48"/>
    </row>
    <row r="240" spans="1:28" x14ac:dyDescent="0.35">
      <c r="A240" s="35"/>
      <c r="B240" s="5"/>
      <c r="C240" s="5"/>
      <c r="D240" s="5"/>
      <c r="E240" s="5"/>
      <c r="F240" s="59"/>
      <c r="G240" s="5"/>
      <c r="H240" s="127"/>
      <c r="I240" s="146"/>
      <c r="J240" s="35"/>
      <c r="K240" s="5"/>
      <c r="L240" s="5"/>
      <c r="M240" s="5"/>
      <c r="N240" s="38"/>
      <c r="O240" s="5"/>
      <c r="P240" s="30"/>
      <c r="R240" s="48"/>
      <c r="S240" s="120"/>
      <c r="T240" s="35"/>
      <c r="U240" s="5"/>
      <c r="V240" s="5"/>
      <c r="W240" s="5"/>
      <c r="X240" s="38"/>
      <c r="Y240" s="90"/>
      <c r="Z240" s="91"/>
      <c r="AB240" s="48"/>
    </row>
    <row r="241" spans="1:28" ht="15" thickBot="1" x14ac:dyDescent="0.4">
      <c r="A241" s="11"/>
      <c r="B241" s="12"/>
      <c r="C241" s="12"/>
      <c r="D241" s="12"/>
      <c r="E241" s="12"/>
      <c r="F241" s="114">
        <f>SUM(F232:F239)</f>
        <v>16883.922091503271</v>
      </c>
      <c r="G241" s="114">
        <f>SUM(G232:G239)</f>
        <v>528</v>
      </c>
      <c r="H241" s="13"/>
      <c r="I241" s="148"/>
      <c r="J241" s="11"/>
      <c r="K241" s="12"/>
      <c r="L241" s="12"/>
      <c r="M241" s="12"/>
      <c r="N241" s="77">
        <f>SUM(N232:N240)</f>
        <v>51033.840849673201</v>
      </c>
      <c r="O241" s="115">
        <f>SUM(O232:O240)</f>
        <v>705</v>
      </c>
      <c r="P241" s="13"/>
      <c r="Q241" s="46" t="s">
        <v>71</v>
      </c>
      <c r="R241" s="52">
        <f>R230+R236</f>
        <v>35561.90992640589</v>
      </c>
      <c r="S241" s="121"/>
      <c r="T241" s="11"/>
      <c r="U241" s="12"/>
      <c r="V241" s="12"/>
      <c r="W241" s="12"/>
      <c r="X241" s="77">
        <f>SUM(X232:X237)</f>
        <v>18994.84</v>
      </c>
      <c r="Y241" s="115">
        <f>SUM(Y232:Y239)</f>
        <v>612</v>
      </c>
      <c r="Z241" s="13"/>
      <c r="AA241" s="46"/>
      <c r="AB241" s="52"/>
    </row>
    <row r="242" spans="1:28" x14ac:dyDescent="0.35">
      <c r="A242" s="39" t="s">
        <v>481</v>
      </c>
      <c r="B242" s="40" t="s">
        <v>43</v>
      </c>
      <c r="C242" s="41" t="s">
        <v>2</v>
      </c>
      <c r="D242" s="41" t="s">
        <v>86</v>
      </c>
      <c r="E242" s="41">
        <f>3650/50</f>
        <v>73</v>
      </c>
      <c r="F242" s="41">
        <f t="shared" ref="F242:F248" si="163">E242*0</f>
        <v>0</v>
      </c>
      <c r="G242" s="41">
        <v>0</v>
      </c>
      <c r="H242" s="113">
        <v>0</v>
      </c>
      <c r="I242" s="147"/>
      <c r="J242" s="80" t="s">
        <v>43</v>
      </c>
      <c r="K242" s="41" t="s">
        <v>2</v>
      </c>
      <c r="L242" s="41" t="s">
        <v>49</v>
      </c>
      <c r="M242" s="41">
        <f>3650/50</f>
        <v>73</v>
      </c>
      <c r="N242" s="41">
        <f t="shared" ref="N242:N248" si="164">M242*0</f>
        <v>0</v>
      </c>
      <c r="O242" s="41">
        <v>0</v>
      </c>
      <c r="P242" s="113">
        <v>0</v>
      </c>
      <c r="Q242" s="43" t="s">
        <v>0</v>
      </c>
      <c r="R242" s="44"/>
      <c r="S242" s="119"/>
      <c r="T242" s="39" t="s">
        <v>43</v>
      </c>
      <c r="U242" s="41" t="s">
        <v>2</v>
      </c>
      <c r="V242" s="41" t="s">
        <v>317</v>
      </c>
      <c r="W242" s="139">
        <f>3600/50</f>
        <v>72</v>
      </c>
      <c r="X242" s="41">
        <f t="shared" ref="X242:X248" si="165">W242*0</f>
        <v>0</v>
      </c>
      <c r="Y242" s="41">
        <v>0</v>
      </c>
      <c r="Z242" s="113">
        <v>0</v>
      </c>
      <c r="AA242" s="43" t="s">
        <v>196</v>
      </c>
      <c r="AB242" s="44"/>
    </row>
    <row r="243" spans="1:28" x14ac:dyDescent="0.35">
      <c r="A243" s="35"/>
      <c r="B243" s="5"/>
      <c r="C243" s="6" t="s">
        <v>4</v>
      </c>
      <c r="D243" s="6" t="s">
        <v>50</v>
      </c>
      <c r="E243" s="28">
        <f>7200/50</f>
        <v>144</v>
      </c>
      <c r="F243" s="6">
        <f t="shared" si="163"/>
        <v>0</v>
      </c>
      <c r="G243" s="1">
        <f>G242</f>
        <v>0</v>
      </c>
      <c r="H243" s="126">
        <v>0</v>
      </c>
      <c r="I243" s="146"/>
      <c r="J243" s="9"/>
      <c r="K243" s="1" t="s">
        <v>4</v>
      </c>
      <c r="L243" s="1" t="s">
        <v>353</v>
      </c>
      <c r="M243" s="28">
        <f>7200/50</f>
        <v>144</v>
      </c>
      <c r="N243" s="6">
        <f t="shared" si="164"/>
        <v>0</v>
      </c>
      <c r="O243" s="1">
        <f>O242</f>
        <v>0</v>
      </c>
      <c r="P243" s="126">
        <v>0</v>
      </c>
      <c r="Q243" t="s">
        <v>68</v>
      </c>
      <c r="R243" s="45">
        <v>60</v>
      </c>
      <c r="T243" s="35"/>
      <c r="U243" s="6" t="s">
        <v>4</v>
      </c>
      <c r="V243" s="6" t="s">
        <v>324</v>
      </c>
      <c r="W243" s="28">
        <f>7200/50</f>
        <v>144</v>
      </c>
      <c r="X243" s="29">
        <f t="shared" si="165"/>
        <v>0</v>
      </c>
      <c r="Y243" s="1">
        <f t="shared" ref="Y243:Y249" si="166">Y242</f>
        <v>0</v>
      </c>
      <c r="Z243" s="126">
        <v>0</v>
      </c>
      <c r="AA243" t="s">
        <v>68</v>
      </c>
      <c r="AB243" s="45">
        <v>50</v>
      </c>
    </row>
    <row r="244" spans="1:28" x14ac:dyDescent="0.35">
      <c r="A244" s="35"/>
      <c r="B244" s="5"/>
      <c r="C244" s="6" t="s">
        <v>54</v>
      </c>
      <c r="D244" s="6" t="s">
        <v>419</v>
      </c>
      <c r="E244" s="28">
        <f>600/1000</f>
        <v>0.6</v>
      </c>
      <c r="F244" s="6">
        <f t="shared" si="163"/>
        <v>0</v>
      </c>
      <c r="G244" s="1">
        <f t="shared" ref="G244:G249" si="167">G243</f>
        <v>0</v>
      </c>
      <c r="H244" s="126">
        <v>0</v>
      </c>
      <c r="I244" s="146"/>
      <c r="J244" s="9"/>
      <c r="K244" s="1" t="s">
        <v>5</v>
      </c>
      <c r="L244" s="1" t="s">
        <v>421</v>
      </c>
      <c r="M244" s="233">
        <f>400/450</f>
        <v>0.88888888888888884</v>
      </c>
      <c r="N244" s="6">
        <f t="shared" si="164"/>
        <v>0</v>
      </c>
      <c r="O244" s="1">
        <f t="shared" ref="O244:O249" si="168">O243</f>
        <v>0</v>
      </c>
      <c r="P244" s="126">
        <v>0</v>
      </c>
      <c r="Q244" t="s">
        <v>32</v>
      </c>
      <c r="R244" s="47">
        <f>H249</f>
        <v>0</v>
      </c>
      <c r="S244" s="120"/>
      <c r="T244" s="35"/>
      <c r="U244" s="6" t="s">
        <v>5</v>
      </c>
      <c r="V244" s="6" t="s">
        <v>420</v>
      </c>
      <c r="W244" s="28">
        <f>255/450</f>
        <v>0.56666666666666665</v>
      </c>
      <c r="X244" s="29">
        <f t="shared" si="165"/>
        <v>0</v>
      </c>
      <c r="Y244" s="1">
        <f t="shared" si="166"/>
        <v>0</v>
      </c>
      <c r="Z244" s="126">
        <v>0</v>
      </c>
      <c r="AA244" t="s">
        <v>32</v>
      </c>
      <c r="AB244" s="47">
        <f>Z249</f>
        <v>0</v>
      </c>
    </row>
    <row r="245" spans="1:28" x14ac:dyDescent="0.35">
      <c r="A245" s="35"/>
      <c r="B245" s="5"/>
      <c r="C245" s="6" t="s">
        <v>55</v>
      </c>
      <c r="D245" s="6" t="s">
        <v>318</v>
      </c>
      <c r="E245" s="28">
        <f>35.5/1000</f>
        <v>3.5499999999999997E-2</v>
      </c>
      <c r="F245" s="6">
        <f t="shared" si="163"/>
        <v>0</v>
      </c>
      <c r="G245" s="1">
        <f t="shared" si="167"/>
        <v>0</v>
      </c>
      <c r="H245" s="126">
        <v>0</v>
      </c>
      <c r="I245" s="146"/>
      <c r="J245" s="9"/>
      <c r="K245" s="1" t="s">
        <v>51</v>
      </c>
      <c r="L245" s="1" t="s">
        <v>52</v>
      </c>
      <c r="M245" s="232">
        <f>35.5/1000</f>
        <v>3.5499999999999997E-2</v>
      </c>
      <c r="N245" s="6">
        <f t="shared" si="164"/>
        <v>0</v>
      </c>
      <c r="O245" s="1">
        <f t="shared" si="168"/>
        <v>0</v>
      </c>
      <c r="P245" s="126">
        <v>0</v>
      </c>
      <c r="Q245" t="s">
        <v>62</v>
      </c>
      <c r="R245" s="47">
        <f>R243-R244</f>
        <v>60</v>
      </c>
      <c r="S245" s="120"/>
      <c r="T245" s="35"/>
      <c r="U245" s="6" t="s">
        <v>51</v>
      </c>
      <c r="V245" s="6" t="s">
        <v>318</v>
      </c>
      <c r="W245" s="205">
        <f>35.5/1000</f>
        <v>3.5499999999999997E-2</v>
      </c>
      <c r="X245" s="6">
        <f t="shared" si="165"/>
        <v>0</v>
      </c>
      <c r="Y245" s="1">
        <f t="shared" si="166"/>
        <v>0</v>
      </c>
      <c r="Z245" s="126">
        <v>0</v>
      </c>
      <c r="AA245" t="s">
        <v>69</v>
      </c>
      <c r="AB245" s="47">
        <f>AB243-AB244</f>
        <v>50</v>
      </c>
    </row>
    <row r="246" spans="1:28" x14ac:dyDescent="0.35">
      <c r="A246" s="35"/>
      <c r="B246" s="5"/>
      <c r="C246" s="6" t="s">
        <v>56</v>
      </c>
      <c r="D246" s="6" t="s">
        <v>419</v>
      </c>
      <c r="E246" s="6">
        <f>340/1000</f>
        <v>0.34</v>
      </c>
      <c r="F246" s="6">
        <f t="shared" si="163"/>
        <v>0</v>
      </c>
      <c r="G246" s="1">
        <f t="shared" si="167"/>
        <v>0</v>
      </c>
      <c r="H246" s="126">
        <v>0</v>
      </c>
      <c r="I246" s="146"/>
      <c r="J246" s="9"/>
      <c r="K246" s="1" t="s">
        <v>26</v>
      </c>
      <c r="L246" s="1" t="s">
        <v>419</v>
      </c>
      <c r="M246" s="1">
        <f>340/1000</f>
        <v>0.34</v>
      </c>
      <c r="N246" s="6">
        <f t="shared" si="164"/>
        <v>0</v>
      </c>
      <c r="O246" s="1">
        <f t="shared" si="168"/>
        <v>0</v>
      </c>
      <c r="P246" s="126">
        <v>0</v>
      </c>
      <c r="Q246" t="s">
        <v>72</v>
      </c>
      <c r="R246" s="50">
        <f>G249*R245</f>
        <v>0</v>
      </c>
      <c r="S246" s="120"/>
      <c r="T246" s="35"/>
      <c r="U246" s="6" t="s">
        <v>26</v>
      </c>
      <c r="V246" s="6" t="s">
        <v>53</v>
      </c>
      <c r="W246" s="6">
        <f>340/1000</f>
        <v>0.34</v>
      </c>
      <c r="X246" s="6">
        <f t="shared" si="165"/>
        <v>0</v>
      </c>
      <c r="Y246" s="1">
        <f t="shared" si="166"/>
        <v>0</v>
      </c>
      <c r="Z246" s="126">
        <v>0</v>
      </c>
      <c r="AA246" t="s">
        <v>205</v>
      </c>
      <c r="AB246" s="50">
        <f>AB245*0</f>
        <v>0</v>
      </c>
    </row>
    <row r="247" spans="1:28" x14ac:dyDescent="0.35">
      <c r="A247" s="35"/>
      <c r="B247" s="5"/>
      <c r="C247" s="6" t="s">
        <v>57</v>
      </c>
      <c r="D247" s="6" t="s">
        <v>6</v>
      </c>
      <c r="E247" s="28">
        <f>250/450</f>
        <v>0.55555555555555558</v>
      </c>
      <c r="F247" s="6">
        <f t="shared" si="163"/>
        <v>0</v>
      </c>
      <c r="G247" s="1">
        <f t="shared" si="167"/>
        <v>0</v>
      </c>
      <c r="H247" s="126">
        <v>0</v>
      </c>
      <c r="I247" s="146"/>
      <c r="J247" s="9"/>
      <c r="K247" s="1" t="s">
        <v>3</v>
      </c>
      <c r="L247" s="1" t="s">
        <v>382</v>
      </c>
      <c r="M247" s="57">
        <f>4660/17</f>
        <v>274.11764705882354</v>
      </c>
      <c r="N247" s="6">
        <f t="shared" si="164"/>
        <v>0</v>
      </c>
      <c r="O247" s="1">
        <f t="shared" si="168"/>
        <v>0</v>
      </c>
      <c r="P247" s="126">
        <v>0</v>
      </c>
      <c r="Q247" t="s">
        <v>81</v>
      </c>
      <c r="R247" s="48">
        <f>R246*2</f>
        <v>0</v>
      </c>
      <c r="S247" s="120"/>
      <c r="T247" s="35"/>
      <c r="U247" s="6" t="s">
        <v>3</v>
      </c>
      <c r="V247" s="6" t="s">
        <v>325</v>
      </c>
      <c r="W247" s="29">
        <f>260</f>
        <v>260</v>
      </c>
      <c r="X247" s="29">
        <f t="shared" si="165"/>
        <v>0</v>
      </c>
      <c r="Y247" s="1">
        <f t="shared" si="166"/>
        <v>0</v>
      </c>
      <c r="Z247" s="126">
        <v>0</v>
      </c>
      <c r="AA247" t="s">
        <v>204</v>
      </c>
      <c r="AB247" s="48">
        <f>AB246*1</f>
        <v>0</v>
      </c>
    </row>
    <row r="248" spans="1:28" x14ac:dyDescent="0.35">
      <c r="A248" s="35"/>
      <c r="B248" s="5"/>
      <c r="C248" s="6" t="s">
        <v>58</v>
      </c>
      <c r="D248" s="6" t="s">
        <v>319</v>
      </c>
      <c r="E248" s="29">
        <f>4660/17</f>
        <v>274.11764705882354</v>
      </c>
      <c r="F248" s="29">
        <f t="shared" si="163"/>
        <v>0</v>
      </c>
      <c r="G248" s="6">
        <f t="shared" si="167"/>
        <v>0</v>
      </c>
      <c r="H248" s="126">
        <v>0</v>
      </c>
      <c r="I248" s="146"/>
      <c r="J248" s="9"/>
      <c r="K248" s="1" t="s">
        <v>7</v>
      </c>
      <c r="L248" s="234" t="s">
        <v>316</v>
      </c>
      <c r="M248" s="57">
        <f>4730/20</f>
        <v>236.5</v>
      </c>
      <c r="N248" s="29">
        <f t="shared" si="164"/>
        <v>0</v>
      </c>
      <c r="O248" s="6">
        <f t="shared" si="168"/>
        <v>0</v>
      </c>
      <c r="P248" s="126">
        <v>0</v>
      </c>
      <c r="Q248" t="s">
        <v>1</v>
      </c>
      <c r="R248" s="45"/>
      <c r="T248" s="35"/>
      <c r="U248" s="6" t="s">
        <v>151</v>
      </c>
      <c r="V248" s="53" t="s">
        <v>53</v>
      </c>
      <c r="W248" s="28">
        <f>280/1000</f>
        <v>0.28000000000000003</v>
      </c>
      <c r="X248" s="6">
        <f t="shared" si="165"/>
        <v>0</v>
      </c>
      <c r="Y248" s="1">
        <f t="shared" si="166"/>
        <v>0</v>
      </c>
      <c r="Z248" s="126">
        <v>0</v>
      </c>
      <c r="AB248" s="45"/>
    </row>
    <row r="249" spans="1:28" x14ac:dyDescent="0.35">
      <c r="A249" s="35"/>
      <c r="B249" s="5"/>
      <c r="C249" s="6"/>
      <c r="D249" s="6"/>
      <c r="E249" s="29"/>
      <c r="F249" s="51">
        <f>SUM(F242:F248)</f>
        <v>0</v>
      </c>
      <c r="G249" s="32">
        <f t="shared" si="167"/>
        <v>0</v>
      </c>
      <c r="H249" s="33">
        <f>SUM(H242:H248)</f>
        <v>0</v>
      </c>
      <c r="I249" s="146"/>
      <c r="J249" s="35"/>
      <c r="K249" s="6"/>
      <c r="L249" s="6"/>
      <c r="M249" s="6"/>
      <c r="N249" s="51">
        <f>SUM(N242:N248)</f>
        <v>0</v>
      </c>
      <c r="O249" s="32">
        <f t="shared" si="168"/>
        <v>0</v>
      </c>
      <c r="P249" s="33">
        <f>SUM(P242:P248)</f>
        <v>0</v>
      </c>
      <c r="Q249" t="s">
        <v>68</v>
      </c>
      <c r="R249" s="45">
        <v>100</v>
      </c>
      <c r="T249" s="35"/>
      <c r="U249" s="6"/>
      <c r="V249" s="6"/>
      <c r="W249" s="6"/>
      <c r="X249" s="31">
        <f>SUM(X242:X248)</f>
        <v>0</v>
      </c>
      <c r="Y249" s="32">
        <f t="shared" si="166"/>
        <v>0</v>
      </c>
      <c r="Z249" s="33">
        <v>0</v>
      </c>
      <c r="AB249" s="45"/>
    </row>
    <row r="250" spans="1:28" x14ac:dyDescent="0.35">
      <c r="A250" s="35"/>
      <c r="B250" s="5"/>
      <c r="C250" s="5"/>
      <c r="D250" s="5"/>
      <c r="E250" s="5"/>
      <c r="F250" s="59"/>
      <c r="G250" s="5"/>
      <c r="H250" s="127"/>
      <c r="I250" s="146"/>
      <c r="J250" s="35"/>
      <c r="K250" s="5"/>
      <c r="L250" s="5"/>
      <c r="M250" s="5"/>
      <c r="N250" s="38"/>
      <c r="O250" s="5"/>
      <c r="P250" s="30"/>
      <c r="Q250" t="s">
        <v>32</v>
      </c>
      <c r="R250" s="47">
        <f>AVERAGE(P249,P250,P251,P252,P253)</f>
        <v>0</v>
      </c>
      <c r="S250" s="120"/>
      <c r="T250" s="35"/>
      <c r="U250" s="5"/>
      <c r="V250" s="5"/>
      <c r="W250" s="5"/>
      <c r="X250" s="29"/>
      <c r="Y250" s="6"/>
      <c r="Z250" s="30"/>
      <c r="AB250" s="47"/>
    </row>
    <row r="251" spans="1:28" x14ac:dyDescent="0.35">
      <c r="A251" s="35"/>
      <c r="B251" s="5"/>
      <c r="C251" s="5"/>
      <c r="D251" s="5"/>
      <c r="E251" s="5"/>
      <c r="F251" s="59"/>
      <c r="G251" s="5"/>
      <c r="H251" s="127"/>
      <c r="I251" s="146"/>
      <c r="J251" s="35"/>
      <c r="K251" s="5"/>
      <c r="L251" s="5"/>
      <c r="M251" s="5"/>
      <c r="N251" s="38"/>
      <c r="O251" s="5"/>
      <c r="P251" s="30"/>
      <c r="Q251" t="s">
        <v>69</v>
      </c>
      <c r="R251" s="47">
        <f>R249-R250</f>
        <v>100</v>
      </c>
      <c r="S251" s="120"/>
      <c r="T251" s="35"/>
      <c r="U251" s="5"/>
      <c r="V251" s="5"/>
      <c r="W251" s="5"/>
      <c r="X251" s="29"/>
      <c r="Y251" s="6"/>
      <c r="Z251" s="30"/>
      <c r="AB251" s="47"/>
    </row>
    <row r="252" spans="1:28" x14ac:dyDescent="0.35">
      <c r="A252" s="35"/>
      <c r="B252" s="5"/>
      <c r="C252" s="5"/>
      <c r="D252" s="5"/>
      <c r="E252" s="5"/>
      <c r="F252" s="59"/>
      <c r="G252" s="5"/>
      <c r="H252" s="127"/>
      <c r="I252" s="146"/>
      <c r="J252" s="35"/>
      <c r="K252" s="5"/>
      <c r="L252" s="5"/>
      <c r="M252" s="5"/>
      <c r="N252" s="38"/>
      <c r="O252" s="5"/>
      <c r="P252" s="30"/>
      <c r="Q252" t="s">
        <v>136</v>
      </c>
      <c r="R252" s="50">
        <f>R251*0</f>
        <v>0</v>
      </c>
      <c r="S252" s="120"/>
      <c r="T252" s="35"/>
      <c r="U252" s="5"/>
      <c r="V252" s="5"/>
      <c r="W252" s="5"/>
      <c r="X252" s="29"/>
      <c r="Y252" s="6"/>
      <c r="Z252" s="30"/>
      <c r="AB252" s="50"/>
    </row>
    <row r="253" spans="1:28" x14ac:dyDescent="0.35">
      <c r="A253" s="35"/>
      <c r="B253" s="5"/>
      <c r="C253" s="5"/>
      <c r="D253" s="5"/>
      <c r="E253" s="5"/>
      <c r="F253" s="59"/>
      <c r="G253" s="5"/>
      <c r="H253" s="127"/>
      <c r="I253" s="146"/>
      <c r="J253" s="35"/>
      <c r="K253" s="5"/>
      <c r="L253" s="5"/>
      <c r="M253" s="5"/>
      <c r="N253" s="38"/>
      <c r="O253" s="5"/>
      <c r="P253" s="30"/>
      <c r="Q253" t="s">
        <v>194</v>
      </c>
      <c r="R253" s="48">
        <f>R252*6</f>
        <v>0</v>
      </c>
      <c r="S253" s="120"/>
      <c r="T253" s="35"/>
      <c r="U253" s="5"/>
      <c r="V253" s="5"/>
      <c r="W253" s="5"/>
      <c r="X253" s="29"/>
      <c r="Y253" s="6"/>
      <c r="Z253" s="30"/>
      <c r="AB253" s="48"/>
    </row>
    <row r="254" spans="1:28" x14ac:dyDescent="0.35">
      <c r="A254" s="35"/>
      <c r="B254" s="5"/>
      <c r="C254" s="5"/>
      <c r="D254" s="5"/>
      <c r="E254" s="5"/>
      <c r="F254" s="59"/>
      <c r="G254" s="5"/>
      <c r="H254" s="127"/>
      <c r="I254" s="146"/>
      <c r="J254" s="35"/>
      <c r="K254" s="5"/>
      <c r="L254" s="5"/>
      <c r="M254" s="5"/>
      <c r="N254" s="38"/>
      <c r="O254" s="5"/>
      <c r="P254" s="30"/>
      <c r="Q254">
        <f>60/6</f>
        <v>10</v>
      </c>
      <c r="R254" s="48"/>
      <c r="S254" s="120"/>
      <c r="T254" s="35"/>
      <c r="U254" s="5"/>
      <c r="V254" s="5"/>
      <c r="W254" s="5"/>
      <c r="X254" s="29"/>
      <c r="Y254" s="6"/>
      <c r="Z254" s="30"/>
      <c r="AB254" s="48"/>
    </row>
    <row r="255" spans="1:28" x14ac:dyDescent="0.35">
      <c r="A255" s="35"/>
      <c r="B255" s="5"/>
      <c r="C255" s="5"/>
      <c r="D255" s="5"/>
      <c r="E255" s="5"/>
      <c r="F255" s="59"/>
      <c r="G255" s="5"/>
      <c r="H255" s="127"/>
      <c r="I255" s="146"/>
      <c r="J255" s="35"/>
      <c r="K255" s="5"/>
      <c r="L255" s="5"/>
      <c r="M255" s="5"/>
      <c r="N255" s="38"/>
      <c r="O255" s="5"/>
      <c r="P255" s="30"/>
      <c r="R255" s="48"/>
      <c r="S255" s="120"/>
      <c r="T255" s="9"/>
      <c r="U255" s="1"/>
      <c r="V255" s="1"/>
      <c r="W255" s="1"/>
      <c r="X255" s="29"/>
      <c r="Y255" s="6"/>
      <c r="Z255" s="30"/>
      <c r="AB255" s="48"/>
    </row>
    <row r="256" spans="1:28" x14ac:dyDescent="0.35">
      <c r="A256" s="35"/>
      <c r="B256" s="5"/>
      <c r="C256" s="5"/>
      <c r="D256" s="5"/>
      <c r="E256" s="5"/>
      <c r="F256" s="59"/>
      <c r="G256" s="5"/>
      <c r="H256" s="127"/>
      <c r="I256" s="146"/>
      <c r="J256" s="9"/>
      <c r="K256" s="1"/>
      <c r="L256" s="1"/>
      <c r="M256" s="1"/>
      <c r="N256" s="57"/>
      <c r="O256" s="1"/>
      <c r="P256" s="126"/>
      <c r="R256" s="48"/>
      <c r="S256" s="120"/>
      <c r="T256" s="9"/>
      <c r="U256" s="1"/>
      <c r="V256" s="1"/>
      <c r="W256" s="1"/>
      <c r="X256" s="29"/>
      <c r="Y256" s="6"/>
      <c r="Z256" s="30"/>
      <c r="AB256" s="48"/>
    </row>
    <row r="257" spans="1:28" x14ac:dyDescent="0.35">
      <c r="A257" s="35"/>
      <c r="B257" s="5"/>
      <c r="C257" s="5"/>
      <c r="D257" s="5"/>
      <c r="E257" s="5"/>
      <c r="F257" s="59"/>
      <c r="G257" s="5"/>
      <c r="H257" s="127"/>
      <c r="I257" s="146"/>
      <c r="J257" s="9"/>
      <c r="K257" s="1"/>
      <c r="L257" s="1"/>
      <c r="M257" s="1"/>
      <c r="N257" s="57"/>
      <c r="O257" s="1"/>
      <c r="P257" s="126"/>
      <c r="R257" s="48"/>
      <c r="S257" s="120"/>
      <c r="T257" s="35"/>
      <c r="U257" s="5"/>
      <c r="V257" s="5"/>
      <c r="W257" s="5"/>
      <c r="X257" s="29"/>
      <c r="Y257" s="6"/>
      <c r="Z257" s="30"/>
      <c r="AB257" s="48"/>
    </row>
    <row r="258" spans="1:28" x14ac:dyDescent="0.35">
      <c r="A258" s="35"/>
      <c r="B258" s="5"/>
      <c r="C258" s="5"/>
      <c r="D258" s="5"/>
      <c r="E258" s="5"/>
      <c r="F258" s="59"/>
      <c r="G258" s="5"/>
      <c r="H258" s="127"/>
      <c r="I258" s="146"/>
      <c r="J258" s="35"/>
      <c r="K258" s="5"/>
      <c r="L258" s="5"/>
      <c r="M258" s="5"/>
      <c r="N258" s="38"/>
      <c r="O258" s="1"/>
      <c r="P258" s="30"/>
      <c r="R258" s="48"/>
      <c r="S258" s="120"/>
      <c r="T258" s="35"/>
      <c r="U258" s="5"/>
      <c r="V258" s="5"/>
      <c r="W258" s="5"/>
      <c r="X258" s="29"/>
      <c r="Y258" s="6"/>
      <c r="Z258" s="30"/>
      <c r="AB258" s="48"/>
    </row>
    <row r="259" spans="1:28" ht="15" thickBot="1" x14ac:dyDescent="0.4">
      <c r="A259" s="11"/>
      <c r="B259" s="12"/>
      <c r="C259" s="12"/>
      <c r="D259" s="12"/>
      <c r="E259" s="12"/>
      <c r="F259" s="114">
        <f>SUM(F249:F258)</f>
        <v>0</v>
      </c>
      <c r="G259" s="114">
        <f>SUM(G249:G258)</f>
        <v>0</v>
      </c>
      <c r="H259" s="13"/>
      <c r="I259" s="148"/>
      <c r="J259" s="11"/>
      <c r="K259" s="12"/>
      <c r="L259" s="12"/>
      <c r="M259" s="12"/>
      <c r="N259" s="77">
        <f>SUM(N249:N258)</f>
        <v>0</v>
      </c>
      <c r="O259" s="115">
        <f>SUM(O249:O258)</f>
        <v>0</v>
      </c>
      <c r="P259" s="13"/>
      <c r="Q259" s="46" t="s">
        <v>71</v>
      </c>
      <c r="R259" s="52">
        <f>R247+R253</f>
        <v>0</v>
      </c>
      <c r="S259" s="121"/>
      <c r="T259" s="11"/>
      <c r="U259" s="12"/>
      <c r="V259" s="12"/>
      <c r="W259" s="12"/>
      <c r="X259" s="77">
        <f>SUM(X249:X254)</f>
        <v>0</v>
      </c>
      <c r="Y259" s="115">
        <f>SUM(Y249:Y258)</f>
        <v>0</v>
      </c>
      <c r="Z259" s="13"/>
      <c r="AA259" s="46"/>
      <c r="AB259" s="52"/>
    </row>
    <row r="260" spans="1:28" x14ac:dyDescent="0.35">
      <c r="A260" s="39" t="s">
        <v>482</v>
      </c>
      <c r="B260" s="40" t="s">
        <v>43</v>
      </c>
      <c r="C260" s="41" t="s">
        <v>2</v>
      </c>
      <c r="D260" s="41" t="s">
        <v>86</v>
      </c>
      <c r="E260" s="41">
        <f>3650/50</f>
        <v>73</v>
      </c>
      <c r="F260" s="41">
        <f>E260*36</f>
        <v>2628</v>
      </c>
      <c r="G260" s="41">
        <v>132</v>
      </c>
      <c r="H260" s="113">
        <f>F260/G260</f>
        <v>19.90909090909091</v>
      </c>
      <c r="I260" s="147"/>
      <c r="J260" s="80" t="s">
        <v>43</v>
      </c>
      <c r="K260" s="41" t="s">
        <v>2</v>
      </c>
      <c r="L260" s="41" t="s">
        <v>49</v>
      </c>
      <c r="M260" s="41">
        <f>3650/50</f>
        <v>73</v>
      </c>
      <c r="N260" s="41">
        <f>M260*50</f>
        <v>3650</v>
      </c>
      <c r="O260" s="41">
        <v>106</v>
      </c>
      <c r="P260" s="113">
        <f>N260/O260</f>
        <v>34.433962264150942</v>
      </c>
      <c r="Q260" s="43" t="s">
        <v>0</v>
      </c>
      <c r="R260" s="44"/>
      <c r="S260" s="119"/>
      <c r="T260" s="39" t="s">
        <v>43</v>
      </c>
      <c r="U260" s="41" t="s">
        <v>2</v>
      </c>
      <c r="V260" s="41" t="s">
        <v>317</v>
      </c>
      <c r="W260" s="139">
        <f>3600/50</f>
        <v>72</v>
      </c>
      <c r="X260" s="41">
        <f>W260*26</f>
        <v>1872</v>
      </c>
      <c r="Y260" s="41">
        <v>102</v>
      </c>
      <c r="Z260" s="113">
        <f t="shared" ref="Z260:Z272" si="169">X260/Y260</f>
        <v>18.352941176470587</v>
      </c>
      <c r="AA260" s="43" t="s">
        <v>196</v>
      </c>
      <c r="AB260" s="44"/>
    </row>
    <row r="261" spans="1:28" x14ac:dyDescent="0.35">
      <c r="A261" s="35"/>
      <c r="B261" s="5"/>
      <c r="C261" s="6" t="s">
        <v>4</v>
      </c>
      <c r="D261" s="6" t="s">
        <v>50</v>
      </c>
      <c r="E261" s="28">
        <f>7200/50</f>
        <v>144</v>
      </c>
      <c r="F261" s="6">
        <f>E261*4.5</f>
        <v>648</v>
      </c>
      <c r="G261" s="1">
        <f>G260</f>
        <v>132</v>
      </c>
      <c r="H261" s="126">
        <f t="shared" ref="H261:H266" si="170">F261/G261</f>
        <v>4.9090909090909092</v>
      </c>
      <c r="I261" s="146"/>
      <c r="J261" s="9"/>
      <c r="K261" s="1" t="s">
        <v>4</v>
      </c>
      <c r="L261" s="1" t="s">
        <v>353</v>
      </c>
      <c r="M261" s="28">
        <f>7200/50</f>
        <v>144</v>
      </c>
      <c r="N261" s="57">
        <f>M261*2.5</f>
        <v>360</v>
      </c>
      <c r="O261" s="1">
        <f t="shared" ref="O261:O267" si="171">O260</f>
        <v>106</v>
      </c>
      <c r="P261" s="126">
        <f t="shared" ref="P261:P267" si="172">N261/O261</f>
        <v>3.3962264150943398</v>
      </c>
      <c r="Q261" t="s">
        <v>68</v>
      </c>
      <c r="R261" s="45">
        <v>60</v>
      </c>
      <c r="T261" s="35"/>
      <c r="U261" s="6" t="s">
        <v>4</v>
      </c>
      <c r="V261" s="6" t="s">
        <v>324</v>
      </c>
      <c r="W261" s="28">
        <f>7200/50</f>
        <v>144</v>
      </c>
      <c r="X261" s="29">
        <f>W261*3.8</f>
        <v>547.19999999999993</v>
      </c>
      <c r="Y261" s="1">
        <f t="shared" ref="Y261:Y267" si="173">Y260</f>
        <v>102</v>
      </c>
      <c r="Z261" s="126">
        <f t="shared" si="169"/>
        <v>5.3647058823529408</v>
      </c>
      <c r="AA261" t="s">
        <v>68</v>
      </c>
      <c r="AB261" s="45">
        <v>50</v>
      </c>
    </row>
    <row r="262" spans="1:28" x14ac:dyDescent="0.35">
      <c r="A262" s="35"/>
      <c r="B262" s="5"/>
      <c r="C262" s="6" t="s">
        <v>54</v>
      </c>
      <c r="D262" s="6" t="s">
        <v>419</v>
      </c>
      <c r="E262" s="28">
        <f>600/1000</f>
        <v>0.6</v>
      </c>
      <c r="F262" s="6">
        <f>E262*60</f>
        <v>36</v>
      </c>
      <c r="G262" s="1">
        <f t="shared" ref="G262:G267" si="174">G261</f>
        <v>132</v>
      </c>
      <c r="H262" s="126">
        <f t="shared" si="170"/>
        <v>0.27272727272727271</v>
      </c>
      <c r="I262" s="146"/>
      <c r="J262" s="9"/>
      <c r="K262" s="1" t="s">
        <v>5</v>
      </c>
      <c r="L262" s="1" t="s">
        <v>421</v>
      </c>
      <c r="M262" s="233">
        <f>400/450</f>
        <v>0.88888888888888884</v>
      </c>
      <c r="N262" s="57">
        <f>M262*160</f>
        <v>142.22222222222223</v>
      </c>
      <c r="O262" s="1">
        <f t="shared" si="171"/>
        <v>106</v>
      </c>
      <c r="P262" s="126">
        <f t="shared" si="172"/>
        <v>1.3417190775681342</v>
      </c>
      <c r="Q262" t="s">
        <v>32</v>
      </c>
      <c r="R262" s="47">
        <f>H267</f>
        <v>31.977125173301644</v>
      </c>
      <c r="S262" s="120"/>
      <c r="T262" s="35"/>
      <c r="U262" s="6" t="s">
        <v>5</v>
      </c>
      <c r="V262" s="6" t="s">
        <v>420</v>
      </c>
      <c r="W262" s="28">
        <f>255/450</f>
        <v>0.56666666666666665</v>
      </c>
      <c r="X262" s="29">
        <f>W262*190</f>
        <v>107.66666666666666</v>
      </c>
      <c r="Y262" s="1">
        <f t="shared" si="173"/>
        <v>102</v>
      </c>
      <c r="Z262" s="126">
        <f t="shared" si="169"/>
        <v>1.0555555555555554</v>
      </c>
      <c r="AA262" t="s">
        <v>32</v>
      </c>
      <c r="AB262" s="47">
        <f>Z267</f>
        <v>31.037320261437905</v>
      </c>
    </row>
    <row r="263" spans="1:28" x14ac:dyDescent="0.35">
      <c r="A263" s="35"/>
      <c r="B263" s="5"/>
      <c r="C263" s="6" t="s">
        <v>55</v>
      </c>
      <c r="D263" s="6" t="s">
        <v>318</v>
      </c>
      <c r="E263" s="28">
        <f>35.5/1000</f>
        <v>3.5499999999999997E-2</v>
      </c>
      <c r="F263" s="6">
        <f>E263*280</f>
        <v>9.94</v>
      </c>
      <c r="G263" s="1">
        <f t="shared" si="174"/>
        <v>132</v>
      </c>
      <c r="H263" s="126">
        <f t="shared" si="170"/>
        <v>7.5303030303030302E-2</v>
      </c>
      <c r="I263" s="146"/>
      <c r="J263" s="9"/>
      <c r="K263" s="1" t="s">
        <v>51</v>
      </c>
      <c r="L263" s="1" t="s">
        <v>52</v>
      </c>
      <c r="M263" s="232">
        <f>35.5/1000</f>
        <v>3.5499999999999997E-2</v>
      </c>
      <c r="N263" s="1">
        <f>M263*300</f>
        <v>10.649999999999999</v>
      </c>
      <c r="O263" s="1">
        <f t="shared" si="171"/>
        <v>106</v>
      </c>
      <c r="P263" s="126">
        <f t="shared" si="172"/>
        <v>0.10047169811320754</v>
      </c>
      <c r="Q263" t="s">
        <v>62</v>
      </c>
      <c r="R263" s="47">
        <f>R261-R262</f>
        <v>28.022874826698356</v>
      </c>
      <c r="S263" s="120"/>
      <c r="T263" s="35"/>
      <c r="U263" s="6" t="s">
        <v>51</v>
      </c>
      <c r="V263" s="6" t="s">
        <v>318</v>
      </c>
      <c r="W263" s="205">
        <f>35.5/1000</f>
        <v>3.5499999999999997E-2</v>
      </c>
      <c r="X263" s="6">
        <f>W263*280</f>
        <v>9.94</v>
      </c>
      <c r="Y263" s="1">
        <f t="shared" si="173"/>
        <v>102</v>
      </c>
      <c r="Z263" s="126">
        <f t="shared" si="169"/>
        <v>9.7450980392156855E-2</v>
      </c>
      <c r="AA263" t="s">
        <v>69</v>
      </c>
      <c r="AB263" s="47">
        <f>AB261-AB262</f>
        <v>18.962679738562095</v>
      </c>
    </row>
    <row r="264" spans="1:28" x14ac:dyDescent="0.35">
      <c r="A264" s="35"/>
      <c r="B264" s="5"/>
      <c r="C264" s="6" t="s">
        <v>56</v>
      </c>
      <c r="D264" s="6" t="s">
        <v>419</v>
      </c>
      <c r="E264" s="6">
        <f>340/1000</f>
        <v>0.34</v>
      </c>
      <c r="F264" s="6">
        <f>E264*60</f>
        <v>20.400000000000002</v>
      </c>
      <c r="G264" s="1">
        <f t="shared" si="174"/>
        <v>132</v>
      </c>
      <c r="H264" s="126">
        <f t="shared" si="170"/>
        <v>0.15454545454545457</v>
      </c>
      <c r="I264" s="146"/>
      <c r="J264" s="9"/>
      <c r="K264" s="1" t="s">
        <v>26</v>
      </c>
      <c r="L264" s="1" t="s">
        <v>419</v>
      </c>
      <c r="M264" s="1">
        <f>340/1000</f>
        <v>0.34</v>
      </c>
      <c r="N264" s="1">
        <f>M264*60</f>
        <v>20.400000000000002</v>
      </c>
      <c r="O264" s="1">
        <f t="shared" si="171"/>
        <v>106</v>
      </c>
      <c r="P264" s="126">
        <f t="shared" si="172"/>
        <v>0.19245283018867926</v>
      </c>
      <c r="Q264" t="s">
        <v>72</v>
      </c>
      <c r="R264" s="50">
        <f>G267*R263</f>
        <v>3699.0194771241831</v>
      </c>
      <c r="S264" s="120"/>
      <c r="T264" s="35"/>
      <c r="U264" s="6" t="s">
        <v>26</v>
      </c>
      <c r="V264" s="6" t="s">
        <v>53</v>
      </c>
      <c r="W264" s="6">
        <f>340/1000</f>
        <v>0.34</v>
      </c>
      <c r="X264" s="6">
        <f>W264*50</f>
        <v>17</v>
      </c>
      <c r="Y264" s="1">
        <f t="shared" si="173"/>
        <v>102</v>
      </c>
      <c r="Z264" s="126">
        <f t="shared" si="169"/>
        <v>0.16666666666666666</v>
      </c>
      <c r="AA264" t="s">
        <v>205</v>
      </c>
      <c r="AB264" s="50">
        <f>AB263*102</f>
        <v>1934.1933333333336</v>
      </c>
    </row>
    <row r="265" spans="1:28" x14ac:dyDescent="0.35">
      <c r="A265" s="35"/>
      <c r="B265" s="5"/>
      <c r="C265" s="6" t="s">
        <v>57</v>
      </c>
      <c r="D265" s="6" t="s">
        <v>6</v>
      </c>
      <c r="E265" s="28">
        <f>250/450</f>
        <v>0.55555555555555558</v>
      </c>
      <c r="F265" s="28">
        <f>E265*200</f>
        <v>111.11111111111111</v>
      </c>
      <c r="G265" s="1">
        <f t="shared" si="174"/>
        <v>132</v>
      </c>
      <c r="H265" s="126">
        <f t="shared" si="170"/>
        <v>0.84175084175084181</v>
      </c>
      <c r="I265" s="146"/>
      <c r="J265" s="9"/>
      <c r="K265" s="1" t="s">
        <v>3</v>
      </c>
      <c r="L265" s="1" t="s">
        <v>382</v>
      </c>
      <c r="M265" s="57">
        <f>4660/17</f>
        <v>274.11764705882354</v>
      </c>
      <c r="N265" s="57">
        <f>M265*1.5</f>
        <v>411.1764705882353</v>
      </c>
      <c r="O265" s="1">
        <f t="shared" si="171"/>
        <v>106</v>
      </c>
      <c r="P265" s="126">
        <f t="shared" si="172"/>
        <v>3.879023307436182</v>
      </c>
      <c r="Q265" t="s">
        <v>431</v>
      </c>
      <c r="R265" s="48">
        <f>R264*5</f>
        <v>18495.097385620917</v>
      </c>
      <c r="S265" s="120"/>
      <c r="T265" s="35"/>
      <c r="U265" s="6" t="s">
        <v>3</v>
      </c>
      <c r="V265" s="6" t="s">
        <v>325</v>
      </c>
      <c r="W265" s="29">
        <f>260</f>
        <v>260</v>
      </c>
      <c r="X265" s="29">
        <f>W265*2.3</f>
        <v>598</v>
      </c>
      <c r="Y265" s="1">
        <f t="shared" si="173"/>
        <v>102</v>
      </c>
      <c r="Z265" s="126">
        <f t="shared" si="169"/>
        <v>5.8627450980392153</v>
      </c>
      <c r="AA265" t="s">
        <v>389</v>
      </c>
      <c r="AB265" s="48">
        <f>AB264*6</f>
        <v>11605.160000000002</v>
      </c>
    </row>
    <row r="266" spans="1:28" x14ac:dyDescent="0.35">
      <c r="A266" s="35"/>
      <c r="B266" s="5"/>
      <c r="C266" s="6" t="s">
        <v>58</v>
      </c>
      <c r="D266" s="6" t="s">
        <v>319</v>
      </c>
      <c r="E266" s="29">
        <f>4660/17</f>
        <v>274.11764705882354</v>
      </c>
      <c r="F266" s="29">
        <f>E266*2.8</f>
        <v>767.52941176470586</v>
      </c>
      <c r="G266" s="6">
        <f t="shared" si="174"/>
        <v>132</v>
      </c>
      <c r="H266" s="126">
        <f t="shared" si="170"/>
        <v>5.8146167557932262</v>
      </c>
      <c r="I266" s="146"/>
      <c r="J266" s="9"/>
      <c r="K266" s="1" t="s">
        <v>7</v>
      </c>
      <c r="L266" s="234" t="s">
        <v>483</v>
      </c>
      <c r="M266" s="57">
        <f>4730/20</f>
        <v>236.5</v>
      </c>
      <c r="N266" s="57">
        <f>M266*8.5</f>
        <v>2010.25</v>
      </c>
      <c r="O266" s="1">
        <f t="shared" si="171"/>
        <v>106</v>
      </c>
      <c r="P266" s="126">
        <f t="shared" si="172"/>
        <v>18.964622641509433</v>
      </c>
      <c r="Q266" t="s">
        <v>1</v>
      </c>
      <c r="R266" s="45"/>
      <c r="T266" s="35"/>
      <c r="U266" s="6" t="s">
        <v>151</v>
      </c>
      <c r="V266" s="53" t="s">
        <v>53</v>
      </c>
      <c r="W266" s="28">
        <f>280/1000</f>
        <v>0.28000000000000003</v>
      </c>
      <c r="X266" s="6">
        <f>W266*50</f>
        <v>14.000000000000002</v>
      </c>
      <c r="Y266" s="1">
        <f t="shared" si="173"/>
        <v>102</v>
      </c>
      <c r="Z266" s="126">
        <f t="shared" si="169"/>
        <v>0.13725490196078433</v>
      </c>
      <c r="AB266" s="45"/>
    </row>
    <row r="267" spans="1:28" x14ac:dyDescent="0.35">
      <c r="A267" s="35"/>
      <c r="B267" s="5"/>
      <c r="C267" s="6"/>
      <c r="D267" s="6"/>
      <c r="E267" s="29"/>
      <c r="F267" s="51">
        <f>SUM(F260:F266)</f>
        <v>4220.9805228758178</v>
      </c>
      <c r="G267" s="32">
        <f t="shared" si="174"/>
        <v>132</v>
      </c>
      <c r="H267" s="33">
        <f>SUM(H260:H266)</f>
        <v>31.977125173301644</v>
      </c>
      <c r="I267" s="146"/>
      <c r="J267" s="35"/>
      <c r="K267" s="6"/>
      <c r="L267" s="6"/>
      <c r="M267" s="6"/>
      <c r="N267" s="235">
        <f>SUM(N260:N266)</f>
        <v>6604.698692810457</v>
      </c>
      <c r="O267" s="32">
        <f t="shared" si="171"/>
        <v>106</v>
      </c>
      <c r="P267" s="236">
        <f t="shared" si="172"/>
        <v>62.308478234060914</v>
      </c>
      <c r="Q267" t="s">
        <v>68</v>
      </c>
      <c r="R267" s="45">
        <v>100</v>
      </c>
      <c r="T267" s="35"/>
      <c r="U267" s="6"/>
      <c r="V267" s="6"/>
      <c r="W267" s="6"/>
      <c r="X267" s="31">
        <f>SUM(X260:X266)</f>
        <v>3165.8066666666664</v>
      </c>
      <c r="Y267" s="32">
        <f t="shared" si="173"/>
        <v>102</v>
      </c>
      <c r="Z267" s="33">
        <f t="shared" si="169"/>
        <v>31.037320261437905</v>
      </c>
      <c r="AB267" s="45"/>
    </row>
    <row r="268" spans="1:28" x14ac:dyDescent="0.35">
      <c r="A268" s="35"/>
      <c r="B268" s="5" t="s">
        <v>44</v>
      </c>
      <c r="C268" s="5" t="s">
        <v>70</v>
      </c>
      <c r="D268" s="5" t="s">
        <v>70</v>
      </c>
      <c r="E268" s="5"/>
      <c r="F268" s="59">
        <f t="shared" ref="F268:F271" si="175">F267</f>
        <v>4220.9805228758178</v>
      </c>
      <c r="G268" s="5">
        <v>132</v>
      </c>
      <c r="H268" s="127">
        <f>F268/G268</f>
        <v>31.977125173301651</v>
      </c>
      <c r="I268" s="146"/>
      <c r="J268" s="35" t="s">
        <v>44</v>
      </c>
      <c r="K268" s="5" t="s">
        <v>70</v>
      </c>
      <c r="L268" s="5" t="s">
        <v>70</v>
      </c>
      <c r="M268" s="5" t="s">
        <v>70</v>
      </c>
      <c r="N268" s="38">
        <f>N267</f>
        <v>6604.698692810457</v>
      </c>
      <c r="O268" s="5">
        <v>105</v>
      </c>
      <c r="P268" s="30">
        <f>N268/O268</f>
        <v>62.901892312480541</v>
      </c>
      <c r="Q268" t="s">
        <v>32</v>
      </c>
      <c r="R268" s="47">
        <f>AVERAGE(P267,P268,P269,P270,P271)</f>
        <v>63.392733061213661</v>
      </c>
      <c r="S268" s="120"/>
      <c r="T268" s="35" t="s">
        <v>44</v>
      </c>
      <c r="U268" s="5"/>
      <c r="V268" s="5"/>
      <c r="W268" s="5"/>
      <c r="X268" s="29">
        <f t="shared" ref="X268:X273" si="176">X267</f>
        <v>3165.8066666666664</v>
      </c>
      <c r="Y268" s="6">
        <v>102</v>
      </c>
      <c r="Z268" s="30">
        <f t="shared" si="169"/>
        <v>31.037320261437905</v>
      </c>
      <c r="AB268" s="47"/>
    </row>
    <row r="269" spans="1:28" x14ac:dyDescent="0.35">
      <c r="A269" s="35"/>
      <c r="B269" s="5" t="s">
        <v>45</v>
      </c>
      <c r="C269" s="5" t="s">
        <v>70</v>
      </c>
      <c r="D269" s="5" t="s">
        <v>70</v>
      </c>
      <c r="E269" s="5"/>
      <c r="F269" s="59">
        <f t="shared" si="175"/>
        <v>4220.9805228758178</v>
      </c>
      <c r="G269" s="5">
        <v>132</v>
      </c>
      <c r="H269" s="127">
        <f t="shared" ref="H269:H271" si="177">F269/G269</f>
        <v>31.977125173301651</v>
      </c>
      <c r="I269" s="146"/>
      <c r="J269" s="35" t="s">
        <v>45</v>
      </c>
      <c r="K269" s="5" t="s">
        <v>70</v>
      </c>
      <c r="L269" s="5" t="s">
        <v>70</v>
      </c>
      <c r="M269" s="5" t="s">
        <v>70</v>
      </c>
      <c r="N269" s="38">
        <f t="shared" ref="N269:N273" si="178">N268</f>
        <v>6604.698692810457</v>
      </c>
      <c r="O269" s="5">
        <v>104</v>
      </c>
      <c r="P269" s="30">
        <f t="shared" ref="P269:P273" si="179">N269/O269</f>
        <v>63.506718200100551</v>
      </c>
      <c r="Q269" t="s">
        <v>69</v>
      </c>
      <c r="R269" s="47">
        <f>R267-R268</f>
        <v>36.607266938786339</v>
      </c>
      <c r="S269" s="120"/>
      <c r="T269" s="35" t="s">
        <v>45</v>
      </c>
      <c r="U269" s="5"/>
      <c r="V269" s="5"/>
      <c r="W269" s="5"/>
      <c r="X269" s="29">
        <f t="shared" si="176"/>
        <v>3165.8066666666664</v>
      </c>
      <c r="Y269" s="6">
        <v>102</v>
      </c>
      <c r="Z269" s="30">
        <f t="shared" si="169"/>
        <v>31.037320261437905</v>
      </c>
      <c r="AB269" s="47"/>
    </row>
    <row r="270" spans="1:28" x14ac:dyDescent="0.35">
      <c r="A270" s="35"/>
      <c r="B270" s="5" t="s">
        <v>67</v>
      </c>
      <c r="C270" s="5" t="s">
        <v>70</v>
      </c>
      <c r="D270" s="5" t="s">
        <v>70</v>
      </c>
      <c r="E270" s="5"/>
      <c r="F270" s="59">
        <f t="shared" si="175"/>
        <v>4220.9805228758178</v>
      </c>
      <c r="G270" s="5">
        <v>132</v>
      </c>
      <c r="H270" s="127">
        <f t="shared" si="177"/>
        <v>31.977125173301651</v>
      </c>
      <c r="I270" s="146"/>
      <c r="J270" s="35" t="s">
        <v>67</v>
      </c>
      <c r="K270" s="5" t="s">
        <v>70</v>
      </c>
      <c r="L270" s="5" t="s">
        <v>70</v>
      </c>
      <c r="M270" s="5" t="s">
        <v>70</v>
      </c>
      <c r="N270" s="38">
        <f t="shared" si="178"/>
        <v>6604.698692810457</v>
      </c>
      <c r="O270" s="5">
        <v>103</v>
      </c>
      <c r="P270" s="30">
        <f t="shared" si="179"/>
        <v>64.123288279713179</v>
      </c>
      <c r="Q270" t="s">
        <v>136</v>
      </c>
      <c r="R270" s="50">
        <f>R269*103</f>
        <v>3770.5484946949928</v>
      </c>
      <c r="S270" s="120"/>
      <c r="T270" s="35" t="s">
        <v>67</v>
      </c>
      <c r="U270" s="5"/>
      <c r="V270" s="5"/>
      <c r="W270" s="5"/>
      <c r="X270" s="29">
        <f t="shared" si="176"/>
        <v>3165.8066666666664</v>
      </c>
      <c r="Y270" s="6">
        <v>102</v>
      </c>
      <c r="Z270" s="30">
        <f t="shared" si="169"/>
        <v>31.037320261437905</v>
      </c>
      <c r="AB270" s="50"/>
    </row>
    <row r="271" spans="1:28" x14ac:dyDescent="0.35">
      <c r="A271" s="35"/>
      <c r="B271" s="5" t="s">
        <v>133</v>
      </c>
      <c r="C271" s="5" t="s">
        <v>70</v>
      </c>
      <c r="D271" s="5" t="s">
        <v>70</v>
      </c>
      <c r="E271" s="5"/>
      <c r="F271" s="59">
        <f t="shared" si="175"/>
        <v>4220.9805228758178</v>
      </c>
      <c r="G271" s="5">
        <v>132</v>
      </c>
      <c r="H271" s="127">
        <f t="shared" si="177"/>
        <v>31.977125173301651</v>
      </c>
      <c r="I271" s="146"/>
      <c r="J271" s="35" t="s">
        <v>133</v>
      </c>
      <c r="K271" s="5"/>
      <c r="L271" s="5"/>
      <c r="M271" s="5"/>
      <c r="N271" s="38">
        <f t="shared" si="178"/>
        <v>6604.698692810457</v>
      </c>
      <c r="O271" s="5">
        <v>103</v>
      </c>
      <c r="P271" s="30">
        <f t="shared" si="179"/>
        <v>64.123288279713179</v>
      </c>
      <c r="Q271" t="s">
        <v>423</v>
      </c>
      <c r="R271" s="48">
        <f>R270*7</f>
        <v>26393.839462864948</v>
      </c>
      <c r="S271" s="120"/>
      <c r="T271" s="35" t="s">
        <v>133</v>
      </c>
      <c r="U271" s="5"/>
      <c r="V271" s="5"/>
      <c r="W271" s="5"/>
      <c r="X271" s="29">
        <f t="shared" si="176"/>
        <v>3165.8066666666664</v>
      </c>
      <c r="Y271" s="6">
        <v>102</v>
      </c>
      <c r="Z271" s="30">
        <f t="shared" si="169"/>
        <v>31.037320261437905</v>
      </c>
      <c r="AB271" s="48"/>
    </row>
    <row r="272" spans="1:28" x14ac:dyDescent="0.35">
      <c r="A272" s="35"/>
      <c r="B272" s="5"/>
      <c r="C272" s="5"/>
      <c r="D272" s="5"/>
      <c r="E272" s="5"/>
      <c r="F272" s="59"/>
      <c r="G272" s="5"/>
      <c r="H272" s="127"/>
      <c r="I272" s="146"/>
      <c r="J272" s="35" t="s">
        <v>134</v>
      </c>
      <c r="K272" s="5"/>
      <c r="L272" s="5"/>
      <c r="M272" s="5"/>
      <c r="N272" s="38">
        <f t="shared" si="178"/>
        <v>6604.698692810457</v>
      </c>
      <c r="O272" s="5">
        <v>102</v>
      </c>
      <c r="P272" s="30">
        <f t="shared" si="179"/>
        <v>64.751947968729965</v>
      </c>
      <c r="R272" s="48"/>
      <c r="S272" s="120"/>
      <c r="T272" s="35" t="s">
        <v>134</v>
      </c>
      <c r="U272" s="5"/>
      <c r="V272" s="5"/>
      <c r="W272" s="5"/>
      <c r="X272" s="29">
        <f t="shared" si="176"/>
        <v>3165.8066666666664</v>
      </c>
      <c r="Y272" s="6">
        <v>102</v>
      </c>
      <c r="Z272" s="30">
        <f t="shared" si="169"/>
        <v>31.037320261437905</v>
      </c>
      <c r="AB272" s="48"/>
    </row>
    <row r="273" spans="1:28" x14ac:dyDescent="0.35">
      <c r="A273" s="35"/>
      <c r="B273" s="5"/>
      <c r="C273" s="5"/>
      <c r="D273" s="5"/>
      <c r="E273" s="5"/>
      <c r="F273" s="59"/>
      <c r="G273" s="5"/>
      <c r="H273" s="127"/>
      <c r="I273" s="146"/>
      <c r="J273" s="35" t="s">
        <v>252</v>
      </c>
      <c r="K273" s="5" t="s">
        <v>70</v>
      </c>
      <c r="L273" s="5" t="s">
        <v>70</v>
      </c>
      <c r="M273" s="5" t="s">
        <v>70</v>
      </c>
      <c r="N273" s="38">
        <f t="shared" si="178"/>
        <v>6604.698692810457</v>
      </c>
      <c r="O273" s="5">
        <v>100</v>
      </c>
      <c r="P273" s="30">
        <f t="shared" si="179"/>
        <v>66.046986928104573</v>
      </c>
      <c r="Q273">
        <f>60/7</f>
        <v>8.5714285714285712</v>
      </c>
      <c r="R273" s="48"/>
      <c r="S273" s="120"/>
      <c r="T273" s="35" t="s">
        <v>252</v>
      </c>
      <c r="U273" s="5"/>
      <c r="V273" s="5"/>
      <c r="W273" s="5"/>
      <c r="X273" s="29">
        <f t="shared" si="176"/>
        <v>3165.8066666666664</v>
      </c>
      <c r="Y273" s="6">
        <v>102</v>
      </c>
      <c r="Z273" s="30">
        <f t="shared" ref="Z273" si="180">X273/Y273</f>
        <v>31.037320261437905</v>
      </c>
      <c r="AB273" s="48"/>
    </row>
    <row r="274" spans="1:28" x14ac:dyDescent="0.35">
      <c r="A274" s="35"/>
      <c r="B274" s="5"/>
      <c r="C274" s="5"/>
      <c r="D274" s="5"/>
      <c r="E274" s="5"/>
      <c r="F274" s="59"/>
      <c r="G274" s="5"/>
      <c r="H274" s="127"/>
      <c r="I274" s="146"/>
      <c r="J274" s="35"/>
      <c r="K274" s="5"/>
      <c r="L274" s="5"/>
      <c r="M274" s="5"/>
      <c r="N274" s="38"/>
      <c r="O274" s="5"/>
      <c r="P274" s="30"/>
      <c r="R274" s="48"/>
      <c r="S274" s="120"/>
      <c r="T274" s="9"/>
      <c r="U274" s="1"/>
      <c r="V274" s="1"/>
      <c r="W274" s="1"/>
      <c r="X274" s="29"/>
      <c r="Y274" s="6"/>
      <c r="Z274" s="30"/>
      <c r="AB274" s="48"/>
    </row>
    <row r="275" spans="1:28" x14ac:dyDescent="0.35">
      <c r="A275" s="35"/>
      <c r="B275" s="5"/>
      <c r="C275" s="5"/>
      <c r="D275" s="5"/>
      <c r="E275" s="5"/>
      <c r="F275" s="59"/>
      <c r="G275" s="5"/>
      <c r="H275" s="127"/>
      <c r="I275" s="146"/>
      <c r="J275" s="9"/>
      <c r="K275" s="1"/>
      <c r="L275" s="1"/>
      <c r="M275" s="1"/>
      <c r="N275" s="57"/>
      <c r="O275" s="1"/>
      <c r="P275" s="126"/>
      <c r="R275" s="48"/>
      <c r="S275" s="120"/>
      <c r="T275" s="35"/>
      <c r="U275" s="5"/>
      <c r="V275" s="5"/>
      <c r="W275" s="5"/>
      <c r="X275" s="29"/>
      <c r="Y275" s="6"/>
      <c r="Z275" s="30"/>
      <c r="AB275" s="48"/>
    </row>
    <row r="276" spans="1:28" x14ac:dyDescent="0.35">
      <c r="A276" s="35"/>
      <c r="B276" s="5"/>
      <c r="C276" s="5"/>
      <c r="D276" s="5"/>
      <c r="E276" s="5"/>
      <c r="F276" s="59"/>
      <c r="G276" s="5"/>
      <c r="H276" s="127"/>
      <c r="I276" s="146"/>
      <c r="J276" s="35"/>
      <c r="K276" s="5"/>
      <c r="L276" s="5"/>
      <c r="M276" s="5"/>
      <c r="N276" s="38"/>
      <c r="O276" s="1"/>
      <c r="P276" s="30"/>
      <c r="R276" s="48"/>
      <c r="S276" s="120"/>
      <c r="T276" s="35"/>
      <c r="U276" s="5"/>
      <c r="V276" s="5"/>
      <c r="W276" s="5"/>
      <c r="X276" s="29"/>
      <c r="Y276" s="6"/>
      <c r="Z276" s="30"/>
      <c r="AB276" s="48"/>
    </row>
    <row r="277" spans="1:28" ht="15" thickBot="1" x14ac:dyDescent="0.4">
      <c r="A277" s="11"/>
      <c r="B277" s="12"/>
      <c r="C277" s="12"/>
      <c r="D277" s="12"/>
      <c r="E277" s="12"/>
      <c r="F277" s="114">
        <f>SUM(F267:F276)</f>
        <v>21104.902614379091</v>
      </c>
      <c r="G277" s="114">
        <f>SUM(G267:G276)</f>
        <v>660</v>
      </c>
      <c r="H277" s="13"/>
      <c r="I277" s="148"/>
      <c r="J277" s="11"/>
      <c r="K277" s="12"/>
      <c r="L277" s="12"/>
      <c r="M277" s="12"/>
      <c r="N277" s="77">
        <f>SUM(N267:N276)</f>
        <v>46232.890849673204</v>
      </c>
      <c r="O277" s="115">
        <f>SUM(O267:O276)</f>
        <v>723</v>
      </c>
      <c r="P277" s="13"/>
      <c r="Q277" s="46" t="s">
        <v>71</v>
      </c>
      <c r="R277" s="52">
        <f>R265+R271</f>
        <v>44888.936848485864</v>
      </c>
      <c r="S277" s="121"/>
      <c r="T277" s="11"/>
      <c r="U277" s="12"/>
      <c r="V277" s="12"/>
      <c r="W277" s="12"/>
      <c r="X277" s="77">
        <f>SUM(X267:X272)</f>
        <v>18994.84</v>
      </c>
      <c r="Y277" s="115">
        <f>SUM(Y267:Y276)</f>
        <v>714</v>
      </c>
      <c r="Z277" s="13"/>
      <c r="AA277" s="46"/>
      <c r="AB277" s="52"/>
    </row>
    <row r="278" spans="1:28" x14ac:dyDescent="0.35">
      <c r="A278" s="39" t="s">
        <v>484</v>
      </c>
      <c r="B278" s="40" t="s">
        <v>43</v>
      </c>
      <c r="C278" s="41" t="s">
        <v>2</v>
      </c>
      <c r="D278" s="41" t="s">
        <v>86</v>
      </c>
      <c r="E278" s="41">
        <f>3650/50</f>
        <v>73</v>
      </c>
      <c r="F278" s="41">
        <f>E278*36</f>
        <v>2628</v>
      </c>
      <c r="G278" s="41">
        <v>132</v>
      </c>
      <c r="H278" s="113">
        <f>F278/G278</f>
        <v>19.90909090909091</v>
      </c>
      <c r="I278" s="147"/>
      <c r="J278" s="80" t="s">
        <v>43</v>
      </c>
      <c r="K278" s="41" t="s">
        <v>2</v>
      </c>
      <c r="L278" s="41" t="s">
        <v>49</v>
      </c>
      <c r="M278" s="41">
        <f>3650/50</f>
        <v>73</v>
      </c>
      <c r="N278" s="41">
        <f>M278*50</f>
        <v>3650</v>
      </c>
      <c r="O278" s="41">
        <v>105</v>
      </c>
      <c r="P278" s="113">
        <f>N278/O278</f>
        <v>34.761904761904759</v>
      </c>
      <c r="Q278" s="43" t="s">
        <v>0</v>
      </c>
      <c r="R278" s="44"/>
      <c r="S278" s="119"/>
      <c r="T278" s="39" t="s">
        <v>43</v>
      </c>
      <c r="U278" s="41" t="s">
        <v>2</v>
      </c>
      <c r="V278" s="41" t="s">
        <v>317</v>
      </c>
      <c r="W278" s="139">
        <f>3600/50</f>
        <v>72</v>
      </c>
      <c r="X278" s="41">
        <f>W278*26</f>
        <v>1872</v>
      </c>
      <c r="Y278" s="41">
        <v>102</v>
      </c>
      <c r="Z278" s="113">
        <f t="shared" ref="Z278:Z291" si="181">X278/Y278</f>
        <v>18.352941176470587</v>
      </c>
      <c r="AA278" s="43" t="s">
        <v>196</v>
      </c>
      <c r="AB278" s="44"/>
    </row>
    <row r="279" spans="1:28" x14ac:dyDescent="0.35">
      <c r="A279" s="35"/>
      <c r="B279" s="5"/>
      <c r="C279" s="6" t="s">
        <v>4</v>
      </c>
      <c r="D279" s="6" t="s">
        <v>485</v>
      </c>
      <c r="E279" s="28">
        <f>7200/50</f>
        <v>144</v>
      </c>
      <c r="F279" s="6">
        <f>E279*4.8</f>
        <v>691.19999999999993</v>
      </c>
      <c r="G279" s="1">
        <f>G278</f>
        <v>132</v>
      </c>
      <c r="H279" s="126">
        <f t="shared" ref="H279:H284" si="182">F279/G279</f>
        <v>5.2363636363636354</v>
      </c>
      <c r="I279" s="146"/>
      <c r="J279" s="9"/>
      <c r="K279" s="1" t="s">
        <v>4</v>
      </c>
      <c r="L279" s="1" t="s">
        <v>353</v>
      </c>
      <c r="M279" s="28">
        <f>7200/50</f>
        <v>144</v>
      </c>
      <c r="N279" s="57">
        <f>M279*2.5</f>
        <v>360</v>
      </c>
      <c r="O279" s="1">
        <f t="shared" ref="O279:O285" si="183">O278</f>
        <v>105</v>
      </c>
      <c r="P279" s="126">
        <f t="shared" ref="P279:P285" si="184">N279/O279</f>
        <v>3.4285714285714284</v>
      </c>
      <c r="Q279" t="s">
        <v>68</v>
      </c>
      <c r="R279" s="45">
        <v>60</v>
      </c>
      <c r="T279" s="35"/>
      <c r="U279" s="6" t="s">
        <v>4</v>
      </c>
      <c r="V279" s="6" t="s">
        <v>324</v>
      </c>
      <c r="W279" s="28">
        <f>7200/50</f>
        <v>144</v>
      </c>
      <c r="X279" s="29">
        <f>W279*3.8</f>
        <v>547.19999999999993</v>
      </c>
      <c r="Y279" s="1">
        <f t="shared" ref="Y279:Y285" si="185">Y278</f>
        <v>102</v>
      </c>
      <c r="Z279" s="126">
        <f t="shared" si="181"/>
        <v>5.3647058823529408</v>
      </c>
      <c r="AA279" t="s">
        <v>68</v>
      </c>
      <c r="AB279" s="45">
        <v>50</v>
      </c>
    </row>
    <row r="280" spans="1:28" x14ac:dyDescent="0.35">
      <c r="A280" s="35"/>
      <c r="B280" s="5"/>
      <c r="C280" s="6" t="s">
        <v>54</v>
      </c>
      <c r="D280" s="6" t="s">
        <v>419</v>
      </c>
      <c r="E280" s="28">
        <f>600/1000</f>
        <v>0.6</v>
      </c>
      <c r="F280" s="6">
        <f>E280*60</f>
        <v>36</v>
      </c>
      <c r="G280" s="1">
        <f t="shared" ref="G280:G285" si="186">G279</f>
        <v>132</v>
      </c>
      <c r="H280" s="126">
        <f t="shared" si="182"/>
        <v>0.27272727272727271</v>
      </c>
      <c r="I280" s="146"/>
      <c r="J280" s="9"/>
      <c r="K280" s="1" t="s">
        <v>5</v>
      </c>
      <c r="L280" s="1" t="s">
        <v>421</v>
      </c>
      <c r="M280" s="233">
        <f>400/450</f>
        <v>0.88888888888888884</v>
      </c>
      <c r="N280" s="57">
        <f>M280*160</f>
        <v>142.22222222222223</v>
      </c>
      <c r="O280" s="1">
        <f t="shared" si="183"/>
        <v>105</v>
      </c>
      <c r="P280" s="126">
        <f t="shared" si="184"/>
        <v>1.3544973544973546</v>
      </c>
      <c r="Q280" t="s">
        <v>32</v>
      </c>
      <c r="R280" s="47">
        <f>H285</f>
        <v>32.304397900574372</v>
      </c>
      <c r="S280" s="120"/>
      <c r="T280" s="35"/>
      <c r="U280" s="6" t="s">
        <v>5</v>
      </c>
      <c r="V280" s="6" t="s">
        <v>420</v>
      </c>
      <c r="W280" s="28">
        <f>255/450</f>
        <v>0.56666666666666665</v>
      </c>
      <c r="X280" s="29">
        <f>W280*190</f>
        <v>107.66666666666666</v>
      </c>
      <c r="Y280" s="1">
        <f t="shared" si="185"/>
        <v>102</v>
      </c>
      <c r="Z280" s="126">
        <f t="shared" si="181"/>
        <v>1.0555555555555554</v>
      </c>
      <c r="AA280" t="s">
        <v>32</v>
      </c>
      <c r="AB280" s="47">
        <f>Z285</f>
        <v>31.037320261437905</v>
      </c>
    </row>
    <row r="281" spans="1:28" x14ac:dyDescent="0.35">
      <c r="A281" s="35"/>
      <c r="B281" s="5"/>
      <c r="C281" s="6" t="s">
        <v>55</v>
      </c>
      <c r="D281" s="6" t="s">
        <v>318</v>
      </c>
      <c r="E281" s="28">
        <f>35.5/1000</f>
        <v>3.5499999999999997E-2</v>
      </c>
      <c r="F281" s="6">
        <f>E281*280</f>
        <v>9.94</v>
      </c>
      <c r="G281" s="1">
        <f t="shared" si="186"/>
        <v>132</v>
      </c>
      <c r="H281" s="126">
        <f t="shared" si="182"/>
        <v>7.5303030303030302E-2</v>
      </c>
      <c r="I281" s="146"/>
      <c r="J281" s="9"/>
      <c r="K281" s="1" t="s">
        <v>51</v>
      </c>
      <c r="L281" s="1" t="s">
        <v>52</v>
      </c>
      <c r="M281" s="232">
        <f>35.5/1000</f>
        <v>3.5499999999999997E-2</v>
      </c>
      <c r="N281" s="1">
        <f>M281*300</f>
        <v>10.649999999999999</v>
      </c>
      <c r="O281" s="1">
        <f t="shared" si="183"/>
        <v>105</v>
      </c>
      <c r="P281" s="126">
        <f t="shared" si="184"/>
        <v>0.10142857142857141</v>
      </c>
      <c r="Q281" t="s">
        <v>62</v>
      </c>
      <c r="R281" s="47">
        <f>R279-R280</f>
        <v>27.695602099425628</v>
      </c>
      <c r="S281" s="120"/>
      <c r="T281" s="35"/>
      <c r="U281" s="6" t="s">
        <v>51</v>
      </c>
      <c r="V281" s="6" t="s">
        <v>318</v>
      </c>
      <c r="W281" s="205">
        <f>35.5/1000</f>
        <v>3.5499999999999997E-2</v>
      </c>
      <c r="X281" s="6">
        <f>W281*280</f>
        <v>9.94</v>
      </c>
      <c r="Y281" s="1">
        <f t="shared" si="185"/>
        <v>102</v>
      </c>
      <c r="Z281" s="126">
        <f t="shared" si="181"/>
        <v>9.7450980392156855E-2</v>
      </c>
      <c r="AA281" t="s">
        <v>69</v>
      </c>
      <c r="AB281" s="47">
        <f>AB279-AB280</f>
        <v>18.962679738562095</v>
      </c>
    </row>
    <row r="282" spans="1:28" x14ac:dyDescent="0.35">
      <c r="A282" s="35"/>
      <c r="B282" s="5"/>
      <c r="C282" s="6" t="s">
        <v>56</v>
      </c>
      <c r="D282" s="6" t="s">
        <v>419</v>
      </c>
      <c r="E282" s="6">
        <f>340/1000</f>
        <v>0.34</v>
      </c>
      <c r="F282" s="6">
        <f>E282*60</f>
        <v>20.400000000000002</v>
      </c>
      <c r="G282" s="1">
        <f t="shared" si="186"/>
        <v>132</v>
      </c>
      <c r="H282" s="126">
        <f t="shared" si="182"/>
        <v>0.15454545454545457</v>
      </c>
      <c r="I282" s="146"/>
      <c r="J282" s="9"/>
      <c r="K282" s="1" t="s">
        <v>26</v>
      </c>
      <c r="L282" s="1" t="s">
        <v>419</v>
      </c>
      <c r="M282" s="1">
        <f>340/1000</f>
        <v>0.34</v>
      </c>
      <c r="N282" s="1">
        <f>M282*60</f>
        <v>20.400000000000002</v>
      </c>
      <c r="O282" s="1">
        <f t="shared" si="183"/>
        <v>105</v>
      </c>
      <c r="P282" s="126">
        <f t="shared" si="184"/>
        <v>0.19428571428571431</v>
      </c>
      <c r="Q282" t="s">
        <v>72</v>
      </c>
      <c r="R282" s="50">
        <f>G285*R281</f>
        <v>3655.8194771241829</v>
      </c>
      <c r="S282" s="120"/>
      <c r="T282" s="35"/>
      <c r="U282" s="6" t="s">
        <v>26</v>
      </c>
      <c r="V282" s="6" t="s">
        <v>53</v>
      </c>
      <c r="W282" s="6">
        <f>340/1000</f>
        <v>0.34</v>
      </c>
      <c r="X282" s="6">
        <f>W282*50</f>
        <v>17</v>
      </c>
      <c r="Y282" s="1">
        <f t="shared" si="185"/>
        <v>102</v>
      </c>
      <c r="Z282" s="126">
        <f t="shared" si="181"/>
        <v>0.16666666666666666</v>
      </c>
      <c r="AA282" t="s">
        <v>205</v>
      </c>
      <c r="AB282" s="50">
        <f>AB281*102</f>
        <v>1934.1933333333336</v>
      </c>
    </row>
    <row r="283" spans="1:28" x14ac:dyDescent="0.35">
      <c r="A283" s="35"/>
      <c r="B283" s="5"/>
      <c r="C283" s="6" t="s">
        <v>57</v>
      </c>
      <c r="D283" s="6" t="s">
        <v>6</v>
      </c>
      <c r="E283" s="28">
        <f>250/450</f>
        <v>0.55555555555555558</v>
      </c>
      <c r="F283" s="28">
        <f>E283*200</f>
        <v>111.11111111111111</v>
      </c>
      <c r="G283" s="1">
        <f t="shared" si="186"/>
        <v>132</v>
      </c>
      <c r="H283" s="126">
        <f t="shared" si="182"/>
        <v>0.84175084175084181</v>
      </c>
      <c r="I283" s="146"/>
      <c r="J283" s="9"/>
      <c r="K283" s="1" t="s">
        <v>3</v>
      </c>
      <c r="L283" s="1" t="s">
        <v>382</v>
      </c>
      <c r="M283" s="57">
        <f>4660/17</f>
        <v>274.11764705882354</v>
      </c>
      <c r="N283" s="57">
        <f>M283*1.5</f>
        <v>411.1764705882353</v>
      </c>
      <c r="O283" s="1">
        <f t="shared" si="183"/>
        <v>105</v>
      </c>
      <c r="P283" s="126">
        <f t="shared" si="184"/>
        <v>3.9159663865546221</v>
      </c>
      <c r="Q283" t="s">
        <v>431</v>
      </c>
      <c r="R283" s="48">
        <f>R282*5</f>
        <v>18279.097385620913</v>
      </c>
      <c r="S283" s="120"/>
      <c r="T283" s="35"/>
      <c r="U283" s="6" t="s">
        <v>3</v>
      </c>
      <c r="V283" s="6" t="s">
        <v>325</v>
      </c>
      <c r="W283" s="29">
        <f>260</f>
        <v>260</v>
      </c>
      <c r="X283" s="29">
        <f>W283*2.3</f>
        <v>598</v>
      </c>
      <c r="Y283" s="1">
        <f t="shared" si="185"/>
        <v>102</v>
      </c>
      <c r="Z283" s="126">
        <f t="shared" si="181"/>
        <v>5.8627450980392153</v>
      </c>
      <c r="AA283" t="s">
        <v>426</v>
      </c>
      <c r="AB283" s="48">
        <f>AB282*7</f>
        <v>13539.353333333336</v>
      </c>
    </row>
    <row r="284" spans="1:28" x14ac:dyDescent="0.35">
      <c r="A284" s="35"/>
      <c r="B284" s="5"/>
      <c r="C284" s="6" t="s">
        <v>58</v>
      </c>
      <c r="D284" s="6" t="s">
        <v>319</v>
      </c>
      <c r="E284" s="29">
        <f>4660/17</f>
        <v>274.11764705882354</v>
      </c>
      <c r="F284" s="29">
        <f>E284*2.8</f>
        <v>767.52941176470586</v>
      </c>
      <c r="G284" s="6">
        <f t="shared" si="186"/>
        <v>132</v>
      </c>
      <c r="H284" s="126">
        <f t="shared" si="182"/>
        <v>5.8146167557932262</v>
      </c>
      <c r="I284" s="146"/>
      <c r="J284" s="9"/>
      <c r="K284" s="1" t="s">
        <v>7</v>
      </c>
      <c r="L284" s="234" t="s">
        <v>388</v>
      </c>
      <c r="M284" s="57">
        <f>4730/20</f>
        <v>236.5</v>
      </c>
      <c r="N284" s="57">
        <f>M284*12.5</f>
        <v>2956.25</v>
      </c>
      <c r="O284" s="1">
        <f t="shared" si="183"/>
        <v>105</v>
      </c>
      <c r="P284" s="126">
        <f t="shared" si="184"/>
        <v>28.154761904761905</v>
      </c>
      <c r="Q284" t="s">
        <v>1</v>
      </c>
      <c r="R284" s="45"/>
      <c r="T284" s="35"/>
      <c r="U284" s="6" t="s">
        <v>151</v>
      </c>
      <c r="V284" s="53" t="s">
        <v>53</v>
      </c>
      <c r="W284" s="28">
        <f>280/1000</f>
        <v>0.28000000000000003</v>
      </c>
      <c r="X284" s="6">
        <f>W284*50</f>
        <v>14.000000000000002</v>
      </c>
      <c r="Y284" s="1">
        <f t="shared" si="185"/>
        <v>102</v>
      </c>
      <c r="Z284" s="126">
        <f t="shared" si="181"/>
        <v>0.13725490196078433</v>
      </c>
      <c r="AB284" s="45"/>
    </row>
    <row r="285" spans="1:28" x14ac:dyDescent="0.35">
      <c r="A285" s="35"/>
      <c r="B285" s="5"/>
      <c r="C285" s="6"/>
      <c r="D285" s="6"/>
      <c r="E285" s="29"/>
      <c r="F285" s="51">
        <f>SUM(F278:F284)</f>
        <v>4264.1805228758167</v>
      </c>
      <c r="G285" s="32">
        <f t="shared" si="186"/>
        <v>132</v>
      </c>
      <c r="H285" s="33">
        <f>SUM(H278:H284)</f>
        <v>32.304397900574372</v>
      </c>
      <c r="I285" s="146"/>
      <c r="J285" s="35"/>
      <c r="K285" s="6"/>
      <c r="L285" s="6"/>
      <c r="M285" s="6"/>
      <c r="N285" s="235">
        <f>SUM(N278:N284)</f>
        <v>7550.698692810457</v>
      </c>
      <c r="O285" s="32">
        <f t="shared" si="183"/>
        <v>105</v>
      </c>
      <c r="P285" s="236">
        <f t="shared" si="184"/>
        <v>71.911416122004354</v>
      </c>
      <c r="Q285" t="s">
        <v>68</v>
      </c>
      <c r="R285" s="45">
        <v>100</v>
      </c>
      <c r="T285" s="35"/>
      <c r="U285" s="6"/>
      <c r="V285" s="6"/>
      <c r="W285" s="6"/>
      <c r="X285" s="31">
        <f>SUM(X278:X284)</f>
        <v>3165.8066666666664</v>
      </c>
      <c r="Y285" s="32">
        <f t="shared" si="185"/>
        <v>102</v>
      </c>
      <c r="Z285" s="33">
        <f t="shared" si="181"/>
        <v>31.037320261437905</v>
      </c>
      <c r="AB285" s="45"/>
    </row>
    <row r="286" spans="1:28" x14ac:dyDescent="0.35">
      <c r="A286" s="35"/>
      <c r="B286" s="5" t="s">
        <v>44</v>
      </c>
      <c r="C286" s="5" t="s">
        <v>70</v>
      </c>
      <c r="D286" s="5" t="s">
        <v>70</v>
      </c>
      <c r="E286" s="5"/>
      <c r="F286" s="59">
        <f t="shared" ref="F286:F289" si="187">F285</f>
        <v>4264.1805228758167</v>
      </c>
      <c r="G286" s="5">
        <v>132</v>
      </c>
      <c r="H286" s="127">
        <f>F286/G286</f>
        <v>32.304397900574372</v>
      </c>
      <c r="I286" s="146"/>
      <c r="J286" s="35" t="s">
        <v>44</v>
      </c>
      <c r="K286" s="5" t="s">
        <v>70</v>
      </c>
      <c r="L286" s="5" t="s">
        <v>70</v>
      </c>
      <c r="M286" s="5" t="s">
        <v>70</v>
      </c>
      <c r="N286" s="38">
        <f>N285</f>
        <v>7550.698692810457</v>
      </c>
      <c r="O286" s="5">
        <v>104</v>
      </c>
      <c r="P286" s="30">
        <f>N286/O286</f>
        <v>72.60287204625439</v>
      </c>
      <c r="Q286" t="s">
        <v>32</v>
      </c>
      <c r="R286" s="47">
        <f>AVERAGE(P285,P286,P287,P288,P289)</f>
        <v>73.03125090783432</v>
      </c>
      <c r="S286" s="120"/>
      <c r="T286" s="35" t="s">
        <v>44</v>
      </c>
      <c r="U286" s="5"/>
      <c r="V286" s="5"/>
      <c r="W286" s="5"/>
      <c r="X286" s="29">
        <f t="shared" ref="X286:X291" si="188">X285</f>
        <v>3165.8066666666664</v>
      </c>
      <c r="Y286" s="6">
        <v>102</v>
      </c>
      <c r="Z286" s="30">
        <f t="shared" si="181"/>
        <v>31.037320261437905</v>
      </c>
      <c r="AB286" s="47"/>
    </row>
    <row r="287" spans="1:28" x14ac:dyDescent="0.35">
      <c r="A287" s="35"/>
      <c r="B287" s="5" t="s">
        <v>45</v>
      </c>
      <c r="C287" s="5" t="s">
        <v>70</v>
      </c>
      <c r="D287" s="5" t="s">
        <v>70</v>
      </c>
      <c r="E287" s="5"/>
      <c r="F287" s="59">
        <f t="shared" si="187"/>
        <v>4264.1805228758167</v>
      </c>
      <c r="G287" s="5">
        <v>132</v>
      </c>
      <c r="H287" s="127">
        <f t="shared" ref="H287:H289" si="189">F287/G287</f>
        <v>32.304397900574372</v>
      </c>
      <c r="I287" s="146"/>
      <c r="J287" s="35" t="s">
        <v>45</v>
      </c>
      <c r="K287" s="5" t="s">
        <v>70</v>
      </c>
      <c r="L287" s="5" t="s">
        <v>70</v>
      </c>
      <c r="M287" s="5" t="s">
        <v>70</v>
      </c>
      <c r="N287" s="38">
        <f t="shared" ref="N287:N292" si="190">N286</f>
        <v>7550.698692810457</v>
      </c>
      <c r="O287" s="5">
        <v>103</v>
      </c>
      <c r="P287" s="30">
        <f t="shared" ref="P287:P291" si="191">N287/O287</f>
        <v>73.30775429913065</v>
      </c>
      <c r="Q287" t="s">
        <v>69</v>
      </c>
      <c r="R287" s="47">
        <f>R285-R286</f>
        <v>26.96874909216568</v>
      </c>
      <c r="S287" s="120"/>
      <c r="T287" s="35" t="s">
        <v>45</v>
      </c>
      <c r="U287" s="5"/>
      <c r="V287" s="5"/>
      <c r="W287" s="5"/>
      <c r="X287" s="29">
        <f t="shared" si="188"/>
        <v>3165.8066666666664</v>
      </c>
      <c r="Y287" s="6">
        <v>102</v>
      </c>
      <c r="Z287" s="30">
        <f t="shared" si="181"/>
        <v>31.037320261437905</v>
      </c>
      <c r="AB287" s="47"/>
    </row>
    <row r="288" spans="1:28" x14ac:dyDescent="0.35">
      <c r="A288" s="35"/>
      <c r="B288" s="5" t="s">
        <v>67</v>
      </c>
      <c r="C288" s="5" t="s">
        <v>70</v>
      </c>
      <c r="D288" s="5" t="s">
        <v>70</v>
      </c>
      <c r="E288" s="5"/>
      <c r="F288" s="59">
        <f t="shared" si="187"/>
        <v>4264.1805228758167</v>
      </c>
      <c r="G288" s="5">
        <v>132</v>
      </c>
      <c r="H288" s="127">
        <f t="shared" si="189"/>
        <v>32.304397900574372</v>
      </c>
      <c r="I288" s="146"/>
      <c r="J288" s="35" t="s">
        <v>67</v>
      </c>
      <c r="K288" s="5" t="s">
        <v>70</v>
      </c>
      <c r="L288" s="5" t="s">
        <v>70</v>
      </c>
      <c r="M288" s="5" t="s">
        <v>70</v>
      </c>
      <c r="N288" s="38">
        <f t="shared" si="190"/>
        <v>7550.698692810457</v>
      </c>
      <c r="O288" s="5">
        <v>103</v>
      </c>
      <c r="P288" s="30">
        <f t="shared" si="191"/>
        <v>73.30775429913065</v>
      </c>
      <c r="Q288" t="s">
        <v>136</v>
      </c>
      <c r="R288" s="50">
        <f>R287*103</f>
        <v>2777.7811564930653</v>
      </c>
      <c r="S288" s="120"/>
      <c r="T288" s="35" t="s">
        <v>67</v>
      </c>
      <c r="U288" s="5"/>
      <c r="V288" s="5"/>
      <c r="W288" s="5"/>
      <c r="X288" s="29">
        <f t="shared" si="188"/>
        <v>3165.8066666666664</v>
      </c>
      <c r="Y288" s="6">
        <v>102</v>
      </c>
      <c r="Z288" s="30">
        <f t="shared" si="181"/>
        <v>31.037320261437905</v>
      </c>
      <c r="AB288" s="50"/>
    </row>
    <row r="289" spans="1:28" x14ac:dyDescent="0.35">
      <c r="A289" s="35"/>
      <c r="B289" s="5" t="s">
        <v>133</v>
      </c>
      <c r="C289" s="5" t="s">
        <v>70</v>
      </c>
      <c r="D289" s="5" t="s">
        <v>70</v>
      </c>
      <c r="E289" s="5"/>
      <c r="F289" s="59">
        <f t="shared" si="187"/>
        <v>4264.1805228758167</v>
      </c>
      <c r="G289" s="5">
        <v>132</v>
      </c>
      <c r="H289" s="127">
        <f t="shared" si="189"/>
        <v>32.304397900574372</v>
      </c>
      <c r="I289" s="146"/>
      <c r="J289" s="35" t="s">
        <v>133</v>
      </c>
      <c r="K289" s="5"/>
      <c r="L289" s="5"/>
      <c r="M289" s="5"/>
      <c r="N289" s="38">
        <f t="shared" si="190"/>
        <v>7550.698692810457</v>
      </c>
      <c r="O289" s="5">
        <v>102</v>
      </c>
      <c r="P289" s="30">
        <f t="shared" si="191"/>
        <v>74.02645777265154</v>
      </c>
      <c r="Q289" t="s">
        <v>433</v>
      </c>
      <c r="R289" s="48">
        <f>R288*8</f>
        <v>22222.249251944522</v>
      </c>
      <c r="S289" s="120"/>
      <c r="T289" s="35" t="s">
        <v>133</v>
      </c>
      <c r="U289" s="5"/>
      <c r="V289" s="5"/>
      <c r="W289" s="5"/>
      <c r="X289" s="29">
        <f t="shared" si="188"/>
        <v>3165.8066666666664</v>
      </c>
      <c r="Y289" s="6">
        <v>102</v>
      </c>
      <c r="Z289" s="30">
        <f t="shared" si="181"/>
        <v>31.037320261437905</v>
      </c>
      <c r="AB289" s="48"/>
    </row>
    <row r="290" spans="1:28" x14ac:dyDescent="0.35">
      <c r="A290" s="35"/>
      <c r="B290" s="5"/>
      <c r="C290" s="5"/>
      <c r="D290" s="5"/>
      <c r="E290" s="5"/>
      <c r="F290" s="59"/>
      <c r="G290" s="5"/>
      <c r="H290" s="127"/>
      <c r="I290" s="146"/>
      <c r="J290" s="35" t="s">
        <v>134</v>
      </c>
      <c r="K290" s="5"/>
      <c r="L290" s="5"/>
      <c r="M290" s="5"/>
      <c r="N290" s="38">
        <f t="shared" si="190"/>
        <v>7550.698692810457</v>
      </c>
      <c r="O290" s="5">
        <v>102</v>
      </c>
      <c r="P290" s="30">
        <f t="shared" si="191"/>
        <v>74.02645777265154</v>
      </c>
      <c r="Q290">
        <f>100/8</f>
        <v>12.5</v>
      </c>
      <c r="R290" s="48"/>
      <c r="S290" s="120"/>
      <c r="T290" s="35" t="s">
        <v>134</v>
      </c>
      <c r="U290" s="5"/>
      <c r="V290" s="5"/>
      <c r="W290" s="5"/>
      <c r="X290" s="29">
        <f t="shared" si="188"/>
        <v>3165.8066666666664</v>
      </c>
      <c r="Y290" s="6">
        <v>102</v>
      </c>
      <c r="Z290" s="30">
        <f t="shared" si="181"/>
        <v>31.037320261437905</v>
      </c>
      <c r="AB290" s="48"/>
    </row>
    <row r="291" spans="1:28" x14ac:dyDescent="0.35">
      <c r="A291" s="35"/>
      <c r="B291" s="5"/>
      <c r="C291" s="5"/>
      <c r="D291" s="5"/>
      <c r="E291" s="5"/>
      <c r="F291" s="59"/>
      <c r="G291" s="5"/>
      <c r="H291" s="127"/>
      <c r="I291" s="146"/>
      <c r="J291" s="35" t="s">
        <v>252</v>
      </c>
      <c r="K291" s="5" t="s">
        <v>70</v>
      </c>
      <c r="L291" s="5" t="s">
        <v>70</v>
      </c>
      <c r="M291" s="5" t="s">
        <v>70</v>
      </c>
      <c r="N291" s="38">
        <f t="shared" si="190"/>
        <v>7550.698692810457</v>
      </c>
      <c r="O291" s="5">
        <v>102</v>
      </c>
      <c r="P291" s="30">
        <f t="shared" si="191"/>
        <v>74.02645777265154</v>
      </c>
      <c r="R291" s="48"/>
      <c r="S291" s="120"/>
      <c r="T291" s="35" t="s">
        <v>252</v>
      </c>
      <c r="U291" s="5"/>
      <c r="V291" s="5"/>
      <c r="W291" s="5"/>
      <c r="X291" s="29">
        <f t="shared" si="188"/>
        <v>3165.8066666666664</v>
      </c>
      <c r="Y291" s="6">
        <v>102</v>
      </c>
      <c r="Z291" s="30">
        <f t="shared" si="181"/>
        <v>31.037320261437905</v>
      </c>
      <c r="AB291" s="48"/>
    </row>
    <row r="292" spans="1:28" x14ac:dyDescent="0.35">
      <c r="A292" s="35"/>
      <c r="B292" s="5"/>
      <c r="C292" s="5"/>
      <c r="D292" s="5"/>
      <c r="E292" s="5"/>
      <c r="F292" s="59"/>
      <c r="G292" s="5"/>
      <c r="H292" s="127"/>
      <c r="I292" s="146"/>
      <c r="J292" s="35" t="s">
        <v>253</v>
      </c>
      <c r="K292" s="5" t="s">
        <v>70</v>
      </c>
      <c r="L292" s="5" t="s">
        <v>70</v>
      </c>
      <c r="M292" s="5" t="s">
        <v>70</v>
      </c>
      <c r="N292" s="38">
        <f t="shared" si="190"/>
        <v>7550.698692810457</v>
      </c>
      <c r="O292" s="5">
        <v>100</v>
      </c>
      <c r="P292" s="30">
        <f t="shared" ref="P292" si="192">N292/O292</f>
        <v>75.506986928104567</v>
      </c>
      <c r="R292" s="48"/>
      <c r="S292" s="120"/>
      <c r="T292" s="35"/>
      <c r="U292" s="5"/>
      <c r="V292" s="5"/>
      <c r="W292" s="5"/>
      <c r="X292" s="29"/>
      <c r="Y292" s="6"/>
      <c r="Z292" s="30"/>
      <c r="AB292" s="48"/>
    </row>
    <row r="293" spans="1:28" x14ac:dyDescent="0.35">
      <c r="A293" s="35"/>
      <c r="B293" s="5"/>
      <c r="C293" s="5"/>
      <c r="D293" s="5"/>
      <c r="E293" s="5"/>
      <c r="F293" s="59"/>
      <c r="G293" s="5"/>
      <c r="H293" s="127"/>
      <c r="I293" s="146"/>
      <c r="J293" s="9"/>
      <c r="K293" s="1"/>
      <c r="L293" s="1"/>
      <c r="M293" s="1"/>
      <c r="N293" s="57"/>
      <c r="O293" s="1"/>
      <c r="P293" s="126"/>
      <c r="R293" s="48"/>
      <c r="S293" s="120"/>
      <c r="T293" s="35"/>
      <c r="U293" s="5"/>
      <c r="V293" s="5"/>
      <c r="W293" s="5"/>
      <c r="X293" s="29"/>
      <c r="Y293" s="6"/>
      <c r="Z293" s="30"/>
      <c r="AB293" s="48"/>
    </row>
    <row r="294" spans="1:28" x14ac:dyDescent="0.35">
      <c r="A294" s="35"/>
      <c r="B294" s="5"/>
      <c r="C294" s="5"/>
      <c r="D294" s="5"/>
      <c r="E294" s="5"/>
      <c r="F294" s="59"/>
      <c r="G294" s="5">
        <v>0</v>
      </c>
      <c r="H294" s="37"/>
      <c r="I294" s="146"/>
      <c r="J294" s="35"/>
      <c r="K294" s="5"/>
      <c r="L294" s="5"/>
      <c r="M294" s="5"/>
      <c r="N294" s="38"/>
      <c r="O294" s="1"/>
      <c r="P294" s="30"/>
      <c r="R294" s="48"/>
      <c r="S294" s="120"/>
      <c r="T294" s="35"/>
      <c r="U294" s="5"/>
      <c r="V294" s="5"/>
      <c r="W294" s="5"/>
      <c r="X294" s="29"/>
      <c r="Y294" s="6"/>
      <c r="Z294" s="30"/>
      <c r="AB294" s="48"/>
    </row>
    <row r="295" spans="1:28" ht="15" thickBot="1" x14ac:dyDescent="0.4">
      <c r="A295" s="11"/>
      <c r="B295" s="12"/>
      <c r="C295" s="12"/>
      <c r="D295" s="12"/>
      <c r="E295" s="12"/>
      <c r="F295" s="114">
        <f>SUM(F285:F294)</f>
        <v>21320.902614379083</v>
      </c>
      <c r="G295" s="114">
        <f>SUM(G285:G294)</f>
        <v>660</v>
      </c>
      <c r="H295" s="13"/>
      <c r="I295" s="148"/>
      <c r="J295" s="11"/>
      <c r="K295" s="12"/>
      <c r="L295" s="12"/>
      <c r="M295" s="12"/>
      <c r="N295" s="77">
        <f>SUM(N285:N294)</f>
        <v>60405.589542483664</v>
      </c>
      <c r="O295" s="115">
        <f>SUM(O285:O294)</f>
        <v>821</v>
      </c>
      <c r="P295" s="13"/>
      <c r="Q295" s="46" t="s">
        <v>71</v>
      </c>
      <c r="R295" s="52">
        <f>R283+R289</f>
        <v>40501.346637565439</v>
      </c>
      <c r="S295" s="121"/>
      <c r="T295" s="11"/>
      <c r="U295" s="12"/>
      <c r="V295" s="12"/>
      <c r="W295" s="12"/>
      <c r="X295" s="77">
        <f>SUM(X285:X290)</f>
        <v>18994.84</v>
      </c>
      <c r="Y295" s="115">
        <f>SUM(Y285:Y294)</f>
        <v>714</v>
      </c>
      <c r="Z295" s="13"/>
      <c r="AA295" s="46"/>
      <c r="AB295" s="52"/>
    </row>
    <row r="296" spans="1:28" x14ac:dyDescent="0.35">
      <c r="A296" s="39" t="s">
        <v>490</v>
      </c>
      <c r="B296" s="40" t="s">
        <v>43</v>
      </c>
      <c r="C296" s="41" t="s">
        <v>2</v>
      </c>
      <c r="D296" s="41" t="s">
        <v>86</v>
      </c>
      <c r="E296" s="41">
        <f>3650/50</f>
        <v>73</v>
      </c>
      <c r="F296" s="41">
        <f>E296*36</f>
        <v>2628</v>
      </c>
      <c r="G296" s="41">
        <v>132</v>
      </c>
      <c r="H296" s="113">
        <f>F296/G296</f>
        <v>19.90909090909091</v>
      </c>
      <c r="I296" s="147"/>
      <c r="J296" s="80" t="s">
        <v>43</v>
      </c>
      <c r="K296" s="41" t="s">
        <v>2</v>
      </c>
      <c r="L296" s="41" t="s">
        <v>49</v>
      </c>
      <c r="M296" s="41">
        <f>3650/50</f>
        <v>73</v>
      </c>
      <c r="N296" s="41">
        <f>M296*50</f>
        <v>3650</v>
      </c>
      <c r="O296" s="41">
        <v>101</v>
      </c>
      <c r="P296" s="113">
        <f>N296/O296</f>
        <v>36.138613861386141</v>
      </c>
      <c r="Q296" s="43" t="s">
        <v>0</v>
      </c>
      <c r="R296" s="44"/>
      <c r="S296" s="119"/>
      <c r="T296" s="39" t="s">
        <v>43</v>
      </c>
      <c r="U296" s="41" t="s">
        <v>2</v>
      </c>
      <c r="V296" s="41" t="s">
        <v>317</v>
      </c>
      <c r="W296" s="139">
        <f>3600/50</f>
        <v>72</v>
      </c>
      <c r="X296" s="41">
        <f>W296*26</f>
        <v>1872</v>
      </c>
      <c r="Y296" s="41">
        <v>102</v>
      </c>
      <c r="Z296" s="113">
        <f t="shared" ref="Z296:Z308" si="193">X296/Y296</f>
        <v>18.352941176470587</v>
      </c>
      <c r="AA296" s="43" t="s">
        <v>196</v>
      </c>
      <c r="AB296" s="44"/>
    </row>
    <row r="297" spans="1:28" x14ac:dyDescent="0.35">
      <c r="A297" s="35"/>
      <c r="B297" s="5"/>
      <c r="C297" s="6" t="s">
        <v>4</v>
      </c>
      <c r="D297" s="6" t="s">
        <v>485</v>
      </c>
      <c r="E297" s="28">
        <f>7200/50</f>
        <v>144</v>
      </c>
      <c r="F297" s="6">
        <f>E297*4.8</f>
        <v>691.19999999999993</v>
      </c>
      <c r="G297" s="1">
        <f>G296</f>
        <v>132</v>
      </c>
      <c r="H297" s="126">
        <f t="shared" ref="H297:H302" si="194">F297/G297</f>
        <v>5.2363636363636354</v>
      </c>
      <c r="I297" s="146"/>
      <c r="J297" s="9"/>
      <c r="K297" s="1" t="s">
        <v>4</v>
      </c>
      <c r="L297" s="1" t="s">
        <v>353</v>
      </c>
      <c r="M297" s="28">
        <f>7200/50</f>
        <v>144</v>
      </c>
      <c r="N297" s="57">
        <f>M297*2.5</f>
        <v>360</v>
      </c>
      <c r="O297" s="1">
        <f t="shared" ref="O297:O303" si="195">O296</f>
        <v>101</v>
      </c>
      <c r="P297" s="126">
        <f t="shared" ref="P297:P303" si="196">N297/O297</f>
        <v>3.5643564356435644</v>
      </c>
      <c r="Q297" t="s">
        <v>68</v>
      </c>
      <c r="R297" s="45">
        <v>60</v>
      </c>
      <c r="T297" s="35"/>
      <c r="U297" s="6" t="s">
        <v>4</v>
      </c>
      <c r="V297" s="6" t="s">
        <v>324</v>
      </c>
      <c r="W297" s="28">
        <f>7200/50</f>
        <v>144</v>
      </c>
      <c r="X297" s="29">
        <f>W297*3.8</f>
        <v>547.19999999999993</v>
      </c>
      <c r="Y297" s="1">
        <f t="shared" ref="Y297:Y303" si="197">Y296</f>
        <v>102</v>
      </c>
      <c r="Z297" s="126">
        <f t="shared" si="193"/>
        <v>5.3647058823529408</v>
      </c>
      <c r="AA297" t="s">
        <v>68</v>
      </c>
      <c r="AB297" s="45">
        <v>50</v>
      </c>
    </row>
    <row r="298" spans="1:28" x14ac:dyDescent="0.35">
      <c r="A298" s="35"/>
      <c r="B298" s="5"/>
      <c r="C298" s="6" t="s">
        <v>54</v>
      </c>
      <c r="D298" s="6" t="s">
        <v>419</v>
      </c>
      <c r="E298" s="28">
        <f>600/1000</f>
        <v>0.6</v>
      </c>
      <c r="F298" s="6">
        <f>E298*60</f>
        <v>36</v>
      </c>
      <c r="G298" s="1">
        <f t="shared" ref="G298:G303" si="198">G297</f>
        <v>132</v>
      </c>
      <c r="H298" s="126">
        <f t="shared" si="194"/>
        <v>0.27272727272727271</v>
      </c>
      <c r="I298" s="146"/>
      <c r="J298" s="9"/>
      <c r="K298" s="1" t="s">
        <v>5</v>
      </c>
      <c r="L298" s="1" t="s">
        <v>421</v>
      </c>
      <c r="M298" s="233">
        <f>400/450</f>
        <v>0.88888888888888884</v>
      </c>
      <c r="N298" s="57">
        <f>M298*160</f>
        <v>142.22222222222223</v>
      </c>
      <c r="O298" s="1">
        <f t="shared" si="195"/>
        <v>101</v>
      </c>
      <c r="P298" s="126">
        <f t="shared" si="196"/>
        <v>1.4081408140814082</v>
      </c>
      <c r="Q298" t="s">
        <v>32</v>
      </c>
      <c r="R298" s="47">
        <f>H303</f>
        <v>32.304397900574372</v>
      </c>
      <c r="S298" s="120"/>
      <c r="T298" s="35"/>
      <c r="U298" s="6" t="s">
        <v>5</v>
      </c>
      <c r="V298" s="6" t="s">
        <v>420</v>
      </c>
      <c r="W298" s="28">
        <f>255/450</f>
        <v>0.56666666666666665</v>
      </c>
      <c r="X298" s="29">
        <f>W298*190</f>
        <v>107.66666666666666</v>
      </c>
      <c r="Y298" s="1">
        <f t="shared" si="197"/>
        <v>102</v>
      </c>
      <c r="Z298" s="126">
        <f t="shared" si="193"/>
        <v>1.0555555555555554</v>
      </c>
      <c r="AA298" t="s">
        <v>32</v>
      </c>
      <c r="AB298" s="47">
        <f>Z303</f>
        <v>31.037320261437905</v>
      </c>
    </row>
    <row r="299" spans="1:28" x14ac:dyDescent="0.35">
      <c r="A299" s="35"/>
      <c r="B299" s="5"/>
      <c r="C299" s="6" t="s">
        <v>55</v>
      </c>
      <c r="D299" s="6" t="s">
        <v>318</v>
      </c>
      <c r="E299" s="28">
        <f>35.5/1000</f>
        <v>3.5499999999999997E-2</v>
      </c>
      <c r="F299" s="6">
        <f>E299*280</f>
        <v>9.94</v>
      </c>
      <c r="G299" s="1">
        <f t="shared" si="198"/>
        <v>132</v>
      </c>
      <c r="H299" s="126">
        <f t="shared" si="194"/>
        <v>7.5303030303030302E-2</v>
      </c>
      <c r="I299" s="146"/>
      <c r="J299" s="9"/>
      <c r="K299" s="1" t="s">
        <v>51</v>
      </c>
      <c r="L299" s="1" t="s">
        <v>52</v>
      </c>
      <c r="M299" s="232">
        <f>35.5/1000</f>
        <v>3.5499999999999997E-2</v>
      </c>
      <c r="N299" s="1">
        <f>M299*300</f>
        <v>10.649999999999999</v>
      </c>
      <c r="O299" s="1">
        <f t="shared" si="195"/>
        <v>101</v>
      </c>
      <c r="P299" s="126">
        <f t="shared" si="196"/>
        <v>0.10544554455445543</v>
      </c>
      <c r="Q299" t="s">
        <v>62</v>
      </c>
      <c r="R299" s="47">
        <f>R297-R298</f>
        <v>27.695602099425628</v>
      </c>
      <c r="S299" s="120"/>
      <c r="T299" s="35"/>
      <c r="U299" s="6" t="s">
        <v>51</v>
      </c>
      <c r="V299" s="6" t="s">
        <v>318</v>
      </c>
      <c r="W299" s="205">
        <f>35.5/1000</f>
        <v>3.5499999999999997E-2</v>
      </c>
      <c r="X299" s="6">
        <f>W299*280</f>
        <v>9.94</v>
      </c>
      <c r="Y299" s="1">
        <f t="shared" si="197"/>
        <v>102</v>
      </c>
      <c r="Z299" s="126">
        <f t="shared" si="193"/>
        <v>9.7450980392156855E-2</v>
      </c>
      <c r="AA299" t="s">
        <v>69</v>
      </c>
      <c r="AB299" s="47">
        <f>AB297-AB298</f>
        <v>18.962679738562095</v>
      </c>
    </row>
    <row r="300" spans="1:28" x14ac:dyDescent="0.35">
      <c r="A300" s="35"/>
      <c r="B300" s="5"/>
      <c r="C300" s="6" t="s">
        <v>56</v>
      </c>
      <c r="D300" s="6" t="s">
        <v>419</v>
      </c>
      <c r="E300" s="6">
        <f>340/1000</f>
        <v>0.34</v>
      </c>
      <c r="F300" s="6">
        <f>E300*60</f>
        <v>20.400000000000002</v>
      </c>
      <c r="G300" s="1">
        <f t="shared" si="198"/>
        <v>132</v>
      </c>
      <c r="H300" s="126">
        <f t="shared" si="194"/>
        <v>0.15454545454545457</v>
      </c>
      <c r="I300" s="146"/>
      <c r="J300" s="9"/>
      <c r="K300" s="1" t="s">
        <v>26</v>
      </c>
      <c r="L300" s="1" t="s">
        <v>419</v>
      </c>
      <c r="M300" s="1">
        <f>340/1000</f>
        <v>0.34</v>
      </c>
      <c r="N300" s="1">
        <f>M300*60</f>
        <v>20.400000000000002</v>
      </c>
      <c r="O300" s="1">
        <f t="shared" si="195"/>
        <v>101</v>
      </c>
      <c r="P300" s="126">
        <f t="shared" si="196"/>
        <v>0.20198019801980199</v>
      </c>
      <c r="Q300" t="s">
        <v>72</v>
      </c>
      <c r="R300" s="50">
        <f>G303*R299</f>
        <v>3655.8194771241829</v>
      </c>
      <c r="S300" s="120"/>
      <c r="T300" s="35"/>
      <c r="U300" s="6" t="s">
        <v>26</v>
      </c>
      <c r="V300" s="6" t="s">
        <v>53</v>
      </c>
      <c r="W300" s="6">
        <f>340/1000</f>
        <v>0.34</v>
      </c>
      <c r="X300" s="6">
        <f>W300*50</f>
        <v>17</v>
      </c>
      <c r="Y300" s="1">
        <f t="shared" si="197"/>
        <v>102</v>
      </c>
      <c r="Z300" s="126">
        <f t="shared" si="193"/>
        <v>0.16666666666666666</v>
      </c>
      <c r="AA300" t="s">
        <v>205</v>
      </c>
      <c r="AB300" s="50">
        <f>AB299*102</f>
        <v>1934.1933333333336</v>
      </c>
    </row>
    <row r="301" spans="1:28" x14ac:dyDescent="0.35">
      <c r="A301" s="35"/>
      <c r="B301" s="5"/>
      <c r="C301" s="6" t="s">
        <v>57</v>
      </c>
      <c r="D301" s="6" t="s">
        <v>6</v>
      </c>
      <c r="E301" s="28">
        <f>250/450</f>
        <v>0.55555555555555558</v>
      </c>
      <c r="F301" s="28">
        <f>E301*200</f>
        <v>111.11111111111111</v>
      </c>
      <c r="G301" s="1">
        <f t="shared" si="198"/>
        <v>132</v>
      </c>
      <c r="H301" s="126">
        <f t="shared" si="194"/>
        <v>0.84175084175084181</v>
      </c>
      <c r="I301" s="146"/>
      <c r="J301" s="9"/>
      <c r="K301" s="1" t="s">
        <v>3</v>
      </c>
      <c r="L301" s="1" t="s">
        <v>382</v>
      </c>
      <c r="M301" s="57">
        <f>4660/17</f>
        <v>274.11764705882354</v>
      </c>
      <c r="N301" s="57">
        <f>M301*1.5</f>
        <v>411.1764705882353</v>
      </c>
      <c r="O301" s="1">
        <f t="shared" si="195"/>
        <v>101</v>
      </c>
      <c r="P301" s="126">
        <f t="shared" si="196"/>
        <v>4.0710541642399534</v>
      </c>
      <c r="Q301" t="s">
        <v>424</v>
      </c>
      <c r="R301" s="48">
        <f>R300*4</f>
        <v>14623.277908496731</v>
      </c>
      <c r="S301" s="120"/>
      <c r="T301" s="35"/>
      <c r="U301" s="6" t="s">
        <v>3</v>
      </c>
      <c r="V301" s="6" t="s">
        <v>325</v>
      </c>
      <c r="W301" s="29">
        <f>260</f>
        <v>260</v>
      </c>
      <c r="X301" s="29">
        <f>W301*2.3</f>
        <v>598</v>
      </c>
      <c r="Y301" s="1">
        <f t="shared" si="197"/>
        <v>102</v>
      </c>
      <c r="Z301" s="126">
        <f t="shared" si="193"/>
        <v>5.8627450980392153</v>
      </c>
      <c r="AA301" t="s">
        <v>204</v>
      </c>
      <c r="AB301" s="48">
        <f>AB300*6</f>
        <v>11605.160000000002</v>
      </c>
    </row>
    <row r="302" spans="1:28" x14ac:dyDescent="0.35">
      <c r="A302" s="35"/>
      <c r="B302" s="5"/>
      <c r="C302" s="6" t="s">
        <v>58</v>
      </c>
      <c r="D302" s="6" t="s">
        <v>319</v>
      </c>
      <c r="E302" s="29">
        <f>4660/17</f>
        <v>274.11764705882354</v>
      </c>
      <c r="F302" s="29">
        <f>E302*2.8</f>
        <v>767.52941176470586</v>
      </c>
      <c r="G302" s="6">
        <f t="shared" si="198"/>
        <v>132</v>
      </c>
      <c r="H302" s="126">
        <f t="shared" si="194"/>
        <v>5.8146167557932262</v>
      </c>
      <c r="I302" s="146"/>
      <c r="J302" s="9"/>
      <c r="K302" s="1" t="s">
        <v>7</v>
      </c>
      <c r="L302" s="234" t="s">
        <v>491</v>
      </c>
      <c r="M302" s="57">
        <f>4730/20</f>
        <v>236.5</v>
      </c>
      <c r="N302" s="57">
        <f>M302*11</f>
        <v>2601.5</v>
      </c>
      <c r="O302" s="1">
        <f t="shared" si="195"/>
        <v>101</v>
      </c>
      <c r="P302" s="126">
        <f t="shared" si="196"/>
        <v>25.757425742574256</v>
      </c>
      <c r="Q302" t="s">
        <v>1</v>
      </c>
      <c r="R302" s="45"/>
      <c r="T302" s="35"/>
      <c r="U302" s="6" t="s">
        <v>151</v>
      </c>
      <c r="V302" s="53" t="s">
        <v>53</v>
      </c>
      <c r="W302" s="28">
        <f>280/1000</f>
        <v>0.28000000000000003</v>
      </c>
      <c r="X302" s="6">
        <f>W302*50</f>
        <v>14.000000000000002</v>
      </c>
      <c r="Y302" s="1">
        <f t="shared" si="197"/>
        <v>102</v>
      </c>
      <c r="Z302" s="126">
        <f t="shared" si="193"/>
        <v>0.13725490196078433</v>
      </c>
      <c r="AB302" s="45"/>
    </row>
    <row r="303" spans="1:28" x14ac:dyDescent="0.35">
      <c r="A303" s="35"/>
      <c r="B303" s="5"/>
      <c r="C303" s="6"/>
      <c r="D303" s="6"/>
      <c r="E303" s="29"/>
      <c r="F303" s="51">
        <f>SUM(F296:F302)</f>
        <v>4264.1805228758167</v>
      </c>
      <c r="G303" s="32">
        <f t="shared" si="198"/>
        <v>132</v>
      </c>
      <c r="H303" s="33">
        <f>SUM(H296:H302)</f>
        <v>32.304397900574372</v>
      </c>
      <c r="I303" s="146"/>
      <c r="J303" s="35"/>
      <c r="K303" s="6"/>
      <c r="L303" s="6"/>
      <c r="M303" s="6"/>
      <c r="N303" s="235">
        <f>SUM(N296:N302)</f>
        <v>7195.948692810457</v>
      </c>
      <c r="O303" s="32">
        <f t="shared" si="195"/>
        <v>101</v>
      </c>
      <c r="P303" s="236">
        <f t="shared" si="196"/>
        <v>71.247016760499577</v>
      </c>
      <c r="Q303" t="s">
        <v>68</v>
      </c>
      <c r="R303" s="45">
        <v>100</v>
      </c>
      <c r="T303" s="35"/>
      <c r="U303" s="6"/>
      <c r="V303" s="6"/>
      <c r="W303" s="6"/>
      <c r="X303" s="31">
        <f>SUM(X296:X302)</f>
        <v>3165.8066666666664</v>
      </c>
      <c r="Y303" s="32">
        <f t="shared" si="197"/>
        <v>102</v>
      </c>
      <c r="Z303" s="33">
        <f t="shared" si="193"/>
        <v>31.037320261437905</v>
      </c>
      <c r="AB303" s="45"/>
    </row>
    <row r="304" spans="1:28" x14ac:dyDescent="0.35">
      <c r="A304" s="35"/>
      <c r="B304" s="5" t="s">
        <v>44</v>
      </c>
      <c r="C304" s="5" t="s">
        <v>70</v>
      </c>
      <c r="D304" s="5" t="s">
        <v>70</v>
      </c>
      <c r="E304" s="5"/>
      <c r="F304" s="59">
        <f t="shared" ref="F304:F306" si="199">F303</f>
        <v>4264.1805228758167</v>
      </c>
      <c r="G304" s="5">
        <v>132</v>
      </c>
      <c r="H304" s="127">
        <f>F304/G304</f>
        <v>32.304397900574372</v>
      </c>
      <c r="I304" s="146"/>
      <c r="J304" s="35" t="s">
        <v>44</v>
      </c>
      <c r="K304" s="5" t="s">
        <v>70</v>
      </c>
      <c r="L304" s="5" t="s">
        <v>70</v>
      </c>
      <c r="M304" s="5" t="s">
        <v>70</v>
      </c>
      <c r="N304" s="38">
        <f>N303</f>
        <v>7195.948692810457</v>
      </c>
      <c r="O304" s="5">
        <v>100</v>
      </c>
      <c r="P304" s="30">
        <f>N304/O304</f>
        <v>71.959486928104567</v>
      </c>
      <c r="Q304" t="s">
        <v>32</v>
      </c>
      <c r="R304" s="47">
        <f>AVERAGE(P303,P304,P305,P306,P307)</f>
        <v>71.816992894583578</v>
      </c>
      <c r="S304" s="120"/>
      <c r="T304" s="35" t="s">
        <v>44</v>
      </c>
      <c r="U304" s="5"/>
      <c r="V304" s="5"/>
      <c r="W304" s="5"/>
      <c r="X304" s="29">
        <f t="shared" ref="X304:X308" si="200">X303</f>
        <v>3165.8066666666664</v>
      </c>
      <c r="Y304" s="6">
        <v>102</v>
      </c>
      <c r="Z304" s="30">
        <f t="shared" si="193"/>
        <v>31.037320261437905</v>
      </c>
      <c r="AB304" s="47"/>
    </row>
    <row r="305" spans="1:28" x14ac:dyDescent="0.35">
      <c r="A305" s="35"/>
      <c r="B305" s="5" t="s">
        <v>45</v>
      </c>
      <c r="C305" s="5" t="s">
        <v>70</v>
      </c>
      <c r="D305" s="5" t="s">
        <v>70</v>
      </c>
      <c r="E305" s="5"/>
      <c r="F305" s="59">
        <f t="shared" si="199"/>
        <v>4264.1805228758167</v>
      </c>
      <c r="G305" s="5">
        <v>132</v>
      </c>
      <c r="H305" s="127">
        <f t="shared" ref="H305:H306" si="201">F305/G305</f>
        <v>32.304397900574372</v>
      </c>
      <c r="I305" s="146"/>
      <c r="J305" s="35" t="s">
        <v>45</v>
      </c>
      <c r="K305" s="5" t="s">
        <v>70</v>
      </c>
      <c r="L305" s="5" t="s">
        <v>70</v>
      </c>
      <c r="M305" s="5" t="s">
        <v>70</v>
      </c>
      <c r="N305" s="38">
        <f t="shared" ref="N305:N311" si="202">N304</f>
        <v>7195.948692810457</v>
      </c>
      <c r="O305" s="5">
        <v>100</v>
      </c>
      <c r="P305" s="30">
        <f t="shared" ref="P305:P310" si="203">N305/O305</f>
        <v>71.959486928104567</v>
      </c>
      <c r="Q305" t="s">
        <v>69</v>
      </c>
      <c r="R305" s="47">
        <f>R303-R304</f>
        <v>28.183007105416422</v>
      </c>
      <c r="S305" s="120"/>
      <c r="T305" s="35" t="s">
        <v>45</v>
      </c>
      <c r="U305" s="5"/>
      <c r="V305" s="5"/>
      <c r="W305" s="5"/>
      <c r="X305" s="29">
        <f t="shared" si="200"/>
        <v>3165.8066666666664</v>
      </c>
      <c r="Y305" s="6">
        <v>102</v>
      </c>
      <c r="Z305" s="30">
        <f t="shared" si="193"/>
        <v>31.037320261437905</v>
      </c>
      <c r="AB305" s="47"/>
    </row>
    <row r="306" spans="1:28" x14ac:dyDescent="0.35">
      <c r="A306" s="35"/>
      <c r="B306" s="5" t="s">
        <v>67</v>
      </c>
      <c r="C306" s="5" t="s">
        <v>70</v>
      </c>
      <c r="D306" s="5" t="s">
        <v>70</v>
      </c>
      <c r="E306" s="5"/>
      <c r="F306" s="59">
        <f t="shared" si="199"/>
        <v>4264.1805228758167</v>
      </c>
      <c r="G306" s="5">
        <v>132</v>
      </c>
      <c r="H306" s="127">
        <f t="shared" si="201"/>
        <v>32.304397900574372</v>
      </c>
      <c r="I306" s="146"/>
      <c r="J306" s="35" t="s">
        <v>67</v>
      </c>
      <c r="K306" s="5" t="s">
        <v>70</v>
      </c>
      <c r="L306" s="5" t="s">
        <v>70</v>
      </c>
      <c r="M306" s="5" t="s">
        <v>70</v>
      </c>
      <c r="N306" s="38">
        <f t="shared" si="202"/>
        <v>7195.948692810457</v>
      </c>
      <c r="O306" s="5">
        <v>100</v>
      </c>
      <c r="P306" s="30">
        <f t="shared" si="203"/>
        <v>71.959486928104567</v>
      </c>
      <c r="Q306" t="s">
        <v>136</v>
      </c>
      <c r="R306" s="50">
        <f>R305*100</f>
        <v>2818.3007105416423</v>
      </c>
      <c r="S306" s="120"/>
      <c r="T306" s="35" t="s">
        <v>67</v>
      </c>
      <c r="U306" s="5"/>
      <c r="V306" s="5"/>
      <c r="W306" s="5"/>
      <c r="X306" s="29">
        <f t="shared" si="200"/>
        <v>3165.8066666666664</v>
      </c>
      <c r="Y306" s="6">
        <v>102</v>
      </c>
      <c r="Z306" s="30">
        <f t="shared" si="193"/>
        <v>31.037320261437905</v>
      </c>
      <c r="AB306" s="50"/>
    </row>
    <row r="307" spans="1:28" x14ac:dyDescent="0.35">
      <c r="A307" s="35"/>
      <c r="B307" s="5"/>
      <c r="C307" s="5"/>
      <c r="D307" s="5"/>
      <c r="E307" s="5"/>
      <c r="F307" s="59"/>
      <c r="G307" s="5"/>
      <c r="H307" s="127"/>
      <c r="I307" s="146"/>
      <c r="J307" s="35" t="s">
        <v>133</v>
      </c>
      <c r="K307" s="5"/>
      <c r="L307" s="5"/>
      <c r="M307" s="5"/>
      <c r="N307" s="38">
        <f t="shared" si="202"/>
        <v>7195.948692810457</v>
      </c>
      <c r="O307" s="5">
        <v>100</v>
      </c>
      <c r="P307" s="30">
        <f t="shared" si="203"/>
        <v>71.959486928104567</v>
      </c>
      <c r="Q307" t="s">
        <v>456</v>
      </c>
      <c r="R307" s="48">
        <f>R306*9</f>
        <v>25364.706394874782</v>
      </c>
      <c r="S307" s="120"/>
      <c r="T307" s="35" t="s">
        <v>133</v>
      </c>
      <c r="U307" s="5"/>
      <c r="V307" s="5"/>
      <c r="W307" s="5"/>
      <c r="X307" s="29">
        <f t="shared" si="200"/>
        <v>3165.8066666666664</v>
      </c>
      <c r="Y307" s="6">
        <v>102</v>
      </c>
      <c r="Z307" s="30">
        <f t="shared" si="193"/>
        <v>31.037320261437905</v>
      </c>
      <c r="AB307" s="48"/>
    </row>
    <row r="308" spans="1:28" x14ac:dyDescent="0.35">
      <c r="A308" s="35"/>
      <c r="B308" s="5"/>
      <c r="C308" s="5"/>
      <c r="D308" s="5"/>
      <c r="E308" s="5"/>
      <c r="F308" s="59"/>
      <c r="G308" s="5"/>
      <c r="H308" s="127"/>
      <c r="I308" s="146"/>
      <c r="J308" s="35" t="s">
        <v>134</v>
      </c>
      <c r="K308" s="5"/>
      <c r="L308" s="5"/>
      <c r="M308" s="5"/>
      <c r="N308" s="38">
        <f t="shared" si="202"/>
        <v>7195.948692810457</v>
      </c>
      <c r="O308" s="5">
        <v>100</v>
      </c>
      <c r="P308" s="30">
        <f t="shared" si="203"/>
        <v>71.959486928104567</v>
      </c>
      <c r="Q308">
        <f>100/9</f>
        <v>11.111111111111111</v>
      </c>
      <c r="R308" s="48"/>
      <c r="S308" s="120"/>
      <c r="T308" s="35" t="s">
        <v>134</v>
      </c>
      <c r="U308" s="5"/>
      <c r="V308" s="5"/>
      <c r="W308" s="5"/>
      <c r="X308" s="29">
        <f t="shared" si="200"/>
        <v>3165.8066666666664</v>
      </c>
      <c r="Y308" s="6">
        <v>102</v>
      </c>
      <c r="Z308" s="30">
        <f t="shared" si="193"/>
        <v>31.037320261437905</v>
      </c>
      <c r="AB308" s="48"/>
    </row>
    <row r="309" spans="1:28" x14ac:dyDescent="0.35">
      <c r="A309" s="35"/>
      <c r="B309" s="5"/>
      <c r="C309" s="5"/>
      <c r="D309" s="5"/>
      <c r="E309" s="5"/>
      <c r="F309" s="59"/>
      <c r="G309" s="5"/>
      <c r="H309" s="127"/>
      <c r="I309" s="146"/>
      <c r="J309" s="35" t="s">
        <v>252</v>
      </c>
      <c r="K309" s="5" t="s">
        <v>70</v>
      </c>
      <c r="L309" s="5" t="s">
        <v>70</v>
      </c>
      <c r="M309" s="5" t="s">
        <v>70</v>
      </c>
      <c r="N309" s="38">
        <f t="shared" si="202"/>
        <v>7195.948692810457</v>
      </c>
      <c r="O309" s="5">
        <v>100</v>
      </c>
      <c r="P309" s="30">
        <f t="shared" si="203"/>
        <v>71.959486928104567</v>
      </c>
      <c r="R309" s="48"/>
      <c r="S309" s="120"/>
      <c r="T309" s="35"/>
      <c r="U309" s="5"/>
      <c r="V309" s="5"/>
      <c r="W309" s="5"/>
      <c r="X309" s="29"/>
      <c r="Y309" s="6"/>
      <c r="Z309" s="30"/>
      <c r="AB309" s="48"/>
    </row>
    <row r="310" spans="1:28" x14ac:dyDescent="0.35">
      <c r="A310" s="35"/>
      <c r="B310" s="5"/>
      <c r="C310" s="5"/>
      <c r="D310" s="5"/>
      <c r="E310" s="5"/>
      <c r="F310" s="59"/>
      <c r="G310" s="5"/>
      <c r="H310" s="37"/>
      <c r="I310" s="146"/>
      <c r="J310" s="35" t="s">
        <v>253</v>
      </c>
      <c r="K310" s="5" t="s">
        <v>70</v>
      </c>
      <c r="L310" s="5" t="s">
        <v>70</v>
      </c>
      <c r="M310" s="5" t="s">
        <v>70</v>
      </c>
      <c r="N310" s="38">
        <f t="shared" si="202"/>
        <v>7195.948692810457</v>
      </c>
      <c r="O310" s="5">
        <v>99</v>
      </c>
      <c r="P310" s="30">
        <f t="shared" si="203"/>
        <v>72.686350432428853</v>
      </c>
      <c r="R310" s="48"/>
      <c r="S310" s="120"/>
      <c r="T310" s="35"/>
      <c r="U310" s="5"/>
      <c r="V310" s="5"/>
      <c r="W310" s="5"/>
      <c r="X310" s="29"/>
      <c r="Y310" s="6"/>
      <c r="Z310" s="30"/>
      <c r="AB310" s="48"/>
    </row>
    <row r="311" spans="1:28" x14ac:dyDescent="0.35">
      <c r="A311" s="35"/>
      <c r="B311" s="5"/>
      <c r="C311" s="5"/>
      <c r="D311" s="5"/>
      <c r="E311" s="5"/>
      <c r="F311" s="59"/>
      <c r="G311" s="5"/>
      <c r="H311" s="37"/>
      <c r="I311" s="146"/>
      <c r="J311" s="35" t="s">
        <v>455</v>
      </c>
      <c r="K311" s="5" t="s">
        <v>70</v>
      </c>
      <c r="L311" s="5" t="s">
        <v>70</v>
      </c>
      <c r="M311" s="5" t="s">
        <v>70</v>
      </c>
      <c r="N311" s="57">
        <f t="shared" si="202"/>
        <v>7195.948692810457</v>
      </c>
      <c r="O311" s="1">
        <v>98</v>
      </c>
      <c r="P311" s="30">
        <f t="shared" ref="P311" si="204">N311/O311</f>
        <v>73.428047885820988</v>
      </c>
      <c r="R311" s="48"/>
      <c r="S311" s="120"/>
      <c r="T311" s="35"/>
      <c r="U311" s="5"/>
      <c r="V311" s="5"/>
      <c r="W311" s="5"/>
      <c r="X311" s="29"/>
      <c r="Y311" s="6"/>
      <c r="Z311" s="30"/>
      <c r="AB311" s="48"/>
    </row>
    <row r="312" spans="1:28" x14ac:dyDescent="0.35">
      <c r="A312" s="35"/>
      <c r="B312" s="5"/>
      <c r="C312" s="5"/>
      <c r="D312" s="5"/>
      <c r="E312" s="5"/>
      <c r="F312" s="59"/>
      <c r="G312" s="5"/>
      <c r="H312" s="37"/>
      <c r="I312" s="146"/>
      <c r="J312" s="35"/>
      <c r="K312" s="5"/>
      <c r="L312" s="5"/>
      <c r="M312" s="5"/>
      <c r="N312" s="206"/>
      <c r="O312" s="90"/>
      <c r="P312" s="91"/>
      <c r="R312" s="48"/>
      <c r="S312" s="120"/>
      <c r="T312" s="35"/>
      <c r="U312" s="5"/>
      <c r="V312" s="5"/>
      <c r="W312" s="5"/>
      <c r="X312" s="29"/>
      <c r="Y312" s="6"/>
      <c r="Z312" s="30"/>
      <c r="AB312" s="48"/>
    </row>
    <row r="313" spans="1:28" ht="15" thickBot="1" x14ac:dyDescent="0.4">
      <c r="A313" s="11"/>
      <c r="B313" s="12"/>
      <c r="C313" s="12"/>
      <c r="D313" s="12"/>
      <c r="E313" s="12"/>
      <c r="F313" s="114">
        <f>SUM(F303:F310)</f>
        <v>17056.722091503267</v>
      </c>
      <c r="G313" s="114">
        <f>SUM(G303:G310)</f>
        <v>528</v>
      </c>
      <c r="H313" s="13"/>
      <c r="I313" s="148"/>
      <c r="J313" s="11"/>
      <c r="K313" s="12"/>
      <c r="L313" s="12"/>
      <c r="M313" s="12"/>
      <c r="N313" s="77">
        <f>SUM(N303:N310)</f>
        <v>57567.589542483664</v>
      </c>
      <c r="O313" s="115">
        <f>SUM(O303:O311)</f>
        <v>898</v>
      </c>
      <c r="P313" s="13"/>
      <c r="Q313" s="46" t="s">
        <v>71</v>
      </c>
      <c r="R313" s="52">
        <f>R301+R307</f>
        <v>39987.984303371515</v>
      </c>
      <c r="S313" s="121"/>
      <c r="T313" s="11"/>
      <c r="U313" s="12"/>
      <c r="V313" s="12"/>
      <c r="W313" s="12"/>
      <c r="X313" s="77">
        <f>SUM(X303:X308)</f>
        <v>18994.84</v>
      </c>
      <c r="Y313" s="115">
        <f>SUM(Y303:Y312)</f>
        <v>612</v>
      </c>
      <c r="Z313" s="13"/>
      <c r="AA313" s="46"/>
      <c r="AB313" s="52"/>
    </row>
    <row r="314" spans="1:28" x14ac:dyDescent="0.35">
      <c r="A314" s="39" t="s">
        <v>492</v>
      </c>
      <c r="B314" s="40" t="s">
        <v>43</v>
      </c>
      <c r="C314" s="41" t="s">
        <v>2</v>
      </c>
      <c r="D314" s="41" t="s">
        <v>86</v>
      </c>
      <c r="E314" s="41">
        <f>3650/50</f>
        <v>73</v>
      </c>
      <c r="F314" s="41">
        <f>E314*36</f>
        <v>2628</v>
      </c>
      <c r="G314" s="41">
        <v>132</v>
      </c>
      <c r="H314" s="113">
        <f>F314/G314</f>
        <v>19.90909090909091</v>
      </c>
      <c r="I314" s="147"/>
      <c r="J314" s="80" t="s">
        <v>43</v>
      </c>
      <c r="K314" s="41" t="s">
        <v>2</v>
      </c>
      <c r="L314" s="41" t="s">
        <v>49</v>
      </c>
      <c r="M314" s="41">
        <f>3650/50</f>
        <v>73</v>
      </c>
      <c r="N314" s="41">
        <f>M314*50</f>
        <v>3650</v>
      </c>
      <c r="O314" s="41">
        <v>100</v>
      </c>
      <c r="P314" s="113">
        <f>N314/O314</f>
        <v>36.5</v>
      </c>
      <c r="Q314" s="43" t="s">
        <v>0</v>
      </c>
      <c r="R314" s="44"/>
      <c r="S314" s="119"/>
      <c r="T314" s="39" t="s">
        <v>43</v>
      </c>
      <c r="U314" s="41" t="s">
        <v>2</v>
      </c>
      <c r="V314" s="41" t="s">
        <v>317</v>
      </c>
      <c r="W314" s="139">
        <f>3600/50</f>
        <v>72</v>
      </c>
      <c r="X314" s="41">
        <f>W314*26</f>
        <v>1872</v>
      </c>
      <c r="Y314" s="41">
        <v>102</v>
      </c>
      <c r="Z314" s="113">
        <f t="shared" ref="Z314:Z325" si="205">X314/Y314</f>
        <v>18.352941176470587</v>
      </c>
      <c r="AA314" s="43" t="s">
        <v>196</v>
      </c>
      <c r="AB314" s="44"/>
    </row>
    <row r="315" spans="1:28" x14ac:dyDescent="0.35">
      <c r="A315" s="35"/>
      <c r="B315" s="5"/>
      <c r="C315" s="6" t="s">
        <v>4</v>
      </c>
      <c r="D315" s="6" t="s">
        <v>485</v>
      </c>
      <c r="E315" s="28">
        <f>7200/50</f>
        <v>144</v>
      </c>
      <c r="F315" s="6">
        <f>E315*4.8</f>
        <v>691.19999999999993</v>
      </c>
      <c r="G315" s="1">
        <f>G314</f>
        <v>132</v>
      </c>
      <c r="H315" s="126">
        <f t="shared" ref="H315:H320" si="206">F315/G315</f>
        <v>5.2363636363636354</v>
      </c>
      <c r="I315" s="146"/>
      <c r="J315" s="9"/>
      <c r="K315" s="1" t="s">
        <v>4</v>
      </c>
      <c r="L315" s="1" t="s">
        <v>353</v>
      </c>
      <c r="M315" s="28">
        <f>7200/50</f>
        <v>144</v>
      </c>
      <c r="N315" s="57">
        <f>M315*2.5</f>
        <v>360</v>
      </c>
      <c r="O315" s="1">
        <f t="shared" ref="O315:O321" si="207">O314</f>
        <v>100</v>
      </c>
      <c r="P315" s="126">
        <f t="shared" ref="P315:P321" si="208">N315/O315</f>
        <v>3.6</v>
      </c>
      <c r="Q315" t="s">
        <v>68</v>
      </c>
      <c r="R315" s="45">
        <v>60</v>
      </c>
      <c r="T315" s="35"/>
      <c r="U315" s="6" t="s">
        <v>4</v>
      </c>
      <c r="V315" s="6" t="s">
        <v>324</v>
      </c>
      <c r="W315" s="28">
        <f>7200/50</f>
        <v>144</v>
      </c>
      <c r="X315" s="29">
        <f>W315*3.8</f>
        <v>547.19999999999993</v>
      </c>
      <c r="Y315" s="1">
        <f t="shared" ref="Y315:Y321" si="209">Y314</f>
        <v>102</v>
      </c>
      <c r="Z315" s="126">
        <f t="shared" si="205"/>
        <v>5.3647058823529408</v>
      </c>
      <c r="AA315" t="s">
        <v>68</v>
      </c>
      <c r="AB315" s="45">
        <v>50</v>
      </c>
    </row>
    <row r="316" spans="1:28" x14ac:dyDescent="0.35">
      <c r="A316" s="35"/>
      <c r="B316" s="5"/>
      <c r="C316" s="6" t="s">
        <v>54</v>
      </c>
      <c r="D316" s="6" t="s">
        <v>419</v>
      </c>
      <c r="E316" s="28">
        <f>600/1000</f>
        <v>0.6</v>
      </c>
      <c r="F316" s="6">
        <f>E316*60</f>
        <v>36</v>
      </c>
      <c r="G316" s="1">
        <f t="shared" ref="G316:G321" si="210">G315</f>
        <v>132</v>
      </c>
      <c r="H316" s="126">
        <f t="shared" si="206"/>
        <v>0.27272727272727271</v>
      </c>
      <c r="I316" s="146"/>
      <c r="J316" s="9"/>
      <c r="K316" s="1" t="s">
        <v>5</v>
      </c>
      <c r="L316" s="1" t="s">
        <v>421</v>
      </c>
      <c r="M316" s="233">
        <f>400/450</f>
        <v>0.88888888888888884</v>
      </c>
      <c r="N316" s="57">
        <f>M316*160</f>
        <v>142.22222222222223</v>
      </c>
      <c r="O316" s="1">
        <f t="shared" si="207"/>
        <v>100</v>
      </c>
      <c r="P316" s="126">
        <f t="shared" si="208"/>
        <v>1.4222222222222223</v>
      </c>
      <c r="Q316" t="s">
        <v>32</v>
      </c>
      <c r="R316" s="47">
        <f>H321</f>
        <v>32.304397900574372</v>
      </c>
      <c r="S316" s="120"/>
      <c r="T316" s="35"/>
      <c r="U316" s="6" t="s">
        <v>5</v>
      </c>
      <c r="V316" s="6" t="s">
        <v>420</v>
      </c>
      <c r="W316" s="28">
        <f>255/450</f>
        <v>0.56666666666666665</v>
      </c>
      <c r="X316" s="29">
        <f>W316*190</f>
        <v>107.66666666666666</v>
      </c>
      <c r="Y316" s="1">
        <f t="shared" si="209"/>
        <v>102</v>
      </c>
      <c r="Z316" s="126">
        <f t="shared" si="205"/>
        <v>1.0555555555555554</v>
      </c>
      <c r="AA316" t="s">
        <v>32</v>
      </c>
      <c r="AB316" s="47">
        <f>Z321</f>
        <v>31.037320261437905</v>
      </c>
    </row>
    <row r="317" spans="1:28" x14ac:dyDescent="0.35">
      <c r="A317" s="35"/>
      <c r="B317" s="5"/>
      <c r="C317" s="6" t="s">
        <v>55</v>
      </c>
      <c r="D317" s="6" t="s">
        <v>318</v>
      </c>
      <c r="E317" s="28">
        <f>35.5/1000</f>
        <v>3.5499999999999997E-2</v>
      </c>
      <c r="F317" s="6">
        <f>E317*280</f>
        <v>9.94</v>
      </c>
      <c r="G317" s="1">
        <f t="shared" si="210"/>
        <v>132</v>
      </c>
      <c r="H317" s="126">
        <f t="shared" si="206"/>
        <v>7.5303030303030302E-2</v>
      </c>
      <c r="I317" s="146"/>
      <c r="J317" s="9"/>
      <c r="K317" s="1" t="s">
        <v>51</v>
      </c>
      <c r="L317" s="1" t="s">
        <v>52</v>
      </c>
      <c r="M317" s="232">
        <f>35.5/1000</f>
        <v>3.5499999999999997E-2</v>
      </c>
      <c r="N317" s="1">
        <f>M317*300</f>
        <v>10.649999999999999</v>
      </c>
      <c r="O317" s="1">
        <f t="shared" si="207"/>
        <v>100</v>
      </c>
      <c r="P317" s="126">
        <f t="shared" si="208"/>
        <v>0.10649999999999998</v>
      </c>
      <c r="Q317" t="s">
        <v>62</v>
      </c>
      <c r="R317" s="47">
        <f>R315-R316</f>
        <v>27.695602099425628</v>
      </c>
      <c r="S317" s="120"/>
      <c r="T317" s="35"/>
      <c r="U317" s="6" t="s">
        <v>51</v>
      </c>
      <c r="V317" s="6" t="s">
        <v>318</v>
      </c>
      <c r="W317" s="205">
        <f>35.5/1000</f>
        <v>3.5499999999999997E-2</v>
      </c>
      <c r="X317" s="6">
        <f>W317*280</f>
        <v>9.94</v>
      </c>
      <c r="Y317" s="1">
        <f t="shared" si="209"/>
        <v>102</v>
      </c>
      <c r="Z317" s="126">
        <f t="shared" si="205"/>
        <v>9.7450980392156855E-2</v>
      </c>
      <c r="AA317" t="s">
        <v>69</v>
      </c>
      <c r="AB317" s="47">
        <f>AB315-AB316</f>
        <v>18.962679738562095</v>
      </c>
    </row>
    <row r="318" spans="1:28" x14ac:dyDescent="0.35">
      <c r="A318" s="35"/>
      <c r="B318" s="5"/>
      <c r="C318" s="6" t="s">
        <v>56</v>
      </c>
      <c r="D318" s="6" t="s">
        <v>419</v>
      </c>
      <c r="E318" s="6">
        <f>340/1000</f>
        <v>0.34</v>
      </c>
      <c r="F318" s="6">
        <f>E318*60</f>
        <v>20.400000000000002</v>
      </c>
      <c r="G318" s="1">
        <f t="shared" si="210"/>
        <v>132</v>
      </c>
      <c r="H318" s="126">
        <f t="shared" si="206"/>
        <v>0.15454545454545457</v>
      </c>
      <c r="I318" s="146"/>
      <c r="J318" s="9"/>
      <c r="K318" s="1" t="s">
        <v>26</v>
      </c>
      <c r="L318" s="1" t="s">
        <v>419</v>
      </c>
      <c r="M318" s="1">
        <f>340/1000</f>
        <v>0.34</v>
      </c>
      <c r="N318" s="1">
        <f>M318*60</f>
        <v>20.400000000000002</v>
      </c>
      <c r="O318" s="1">
        <f t="shared" si="207"/>
        <v>100</v>
      </c>
      <c r="P318" s="126">
        <f t="shared" si="208"/>
        <v>0.20400000000000001</v>
      </c>
      <c r="Q318" t="s">
        <v>72</v>
      </c>
      <c r="R318" s="50">
        <f>G321*R317</f>
        <v>3655.8194771241829</v>
      </c>
      <c r="S318" s="120"/>
      <c r="T318" s="35"/>
      <c r="U318" s="6" t="s">
        <v>26</v>
      </c>
      <c r="V318" s="6" t="s">
        <v>53</v>
      </c>
      <c r="W318" s="6">
        <f>340/1000</f>
        <v>0.34</v>
      </c>
      <c r="X318" s="6">
        <f>W318*50</f>
        <v>17</v>
      </c>
      <c r="Y318" s="1">
        <f t="shared" si="209"/>
        <v>102</v>
      </c>
      <c r="Z318" s="126">
        <f t="shared" si="205"/>
        <v>0.16666666666666666</v>
      </c>
      <c r="AA318" t="s">
        <v>205</v>
      </c>
      <c r="AB318" s="50">
        <f>AB317*102</f>
        <v>1934.1933333333336</v>
      </c>
    </row>
    <row r="319" spans="1:28" x14ac:dyDescent="0.35">
      <c r="A319" s="35"/>
      <c r="B319" s="5"/>
      <c r="C319" s="6" t="s">
        <v>57</v>
      </c>
      <c r="D319" s="6" t="s">
        <v>6</v>
      </c>
      <c r="E319" s="28">
        <f>250/450</f>
        <v>0.55555555555555558</v>
      </c>
      <c r="F319" s="28">
        <f>E319*200</f>
        <v>111.11111111111111</v>
      </c>
      <c r="G319" s="1">
        <f t="shared" si="210"/>
        <v>132</v>
      </c>
      <c r="H319" s="126">
        <f t="shared" si="206"/>
        <v>0.84175084175084181</v>
      </c>
      <c r="I319" s="146"/>
      <c r="J319" s="9"/>
      <c r="K319" s="1" t="s">
        <v>3</v>
      </c>
      <c r="L319" s="1" t="s">
        <v>382</v>
      </c>
      <c r="M319" s="57">
        <f>4660/17</f>
        <v>274.11764705882354</v>
      </c>
      <c r="N319" s="57">
        <f>M319*1.5</f>
        <v>411.1764705882353</v>
      </c>
      <c r="O319" s="1">
        <f t="shared" si="207"/>
        <v>100</v>
      </c>
      <c r="P319" s="126">
        <f t="shared" si="208"/>
        <v>4.1117647058823534</v>
      </c>
      <c r="Q319" t="s">
        <v>81</v>
      </c>
      <c r="R319" s="48">
        <f>R318*3</f>
        <v>10967.458431372548</v>
      </c>
      <c r="S319" s="120"/>
      <c r="T319" s="35"/>
      <c r="U319" s="6" t="s">
        <v>3</v>
      </c>
      <c r="V319" s="6" t="s">
        <v>325</v>
      </c>
      <c r="W319" s="29">
        <f>260</f>
        <v>260</v>
      </c>
      <c r="X319" s="29">
        <f>W319*2.3</f>
        <v>598</v>
      </c>
      <c r="Y319" s="1">
        <f t="shared" si="209"/>
        <v>102</v>
      </c>
      <c r="Z319" s="126">
        <f t="shared" si="205"/>
        <v>5.8627450980392153</v>
      </c>
      <c r="AA319" t="s">
        <v>204</v>
      </c>
      <c r="AB319" s="48">
        <f>AB318*5</f>
        <v>9670.9666666666672</v>
      </c>
    </row>
    <row r="320" spans="1:28" x14ac:dyDescent="0.35">
      <c r="A320" s="35"/>
      <c r="B320" s="5"/>
      <c r="C320" s="6" t="s">
        <v>58</v>
      </c>
      <c r="D320" s="6" t="s">
        <v>319</v>
      </c>
      <c r="E320" s="29">
        <f>4660/17</f>
        <v>274.11764705882354</v>
      </c>
      <c r="F320" s="29">
        <f>E320*2.8</f>
        <v>767.52941176470586</v>
      </c>
      <c r="G320" s="6">
        <f t="shared" si="210"/>
        <v>132</v>
      </c>
      <c r="H320" s="126">
        <f t="shared" si="206"/>
        <v>5.8146167557932262</v>
      </c>
      <c r="I320" s="146"/>
      <c r="J320" s="9"/>
      <c r="K320" s="1" t="s">
        <v>7</v>
      </c>
      <c r="L320" s="234" t="s">
        <v>316</v>
      </c>
      <c r="M320" s="57">
        <f>4730/20</f>
        <v>236.5</v>
      </c>
      <c r="N320" s="57">
        <f>M320*10</f>
        <v>2365</v>
      </c>
      <c r="O320" s="1">
        <f t="shared" si="207"/>
        <v>100</v>
      </c>
      <c r="P320" s="126">
        <f t="shared" si="208"/>
        <v>23.65</v>
      </c>
      <c r="Q320" t="s">
        <v>1</v>
      </c>
      <c r="R320" s="45"/>
      <c r="T320" s="35"/>
      <c r="U320" s="6" t="s">
        <v>151</v>
      </c>
      <c r="V320" s="53" t="s">
        <v>53</v>
      </c>
      <c r="W320" s="28">
        <f>280/1000</f>
        <v>0.28000000000000003</v>
      </c>
      <c r="X320" s="6">
        <f>W320*50</f>
        <v>14.000000000000002</v>
      </c>
      <c r="Y320" s="1">
        <f t="shared" si="209"/>
        <v>102</v>
      </c>
      <c r="Z320" s="126">
        <f t="shared" si="205"/>
        <v>0.13725490196078433</v>
      </c>
      <c r="AB320" s="45"/>
    </row>
    <row r="321" spans="1:28" x14ac:dyDescent="0.35">
      <c r="A321" s="35"/>
      <c r="B321" s="5"/>
      <c r="C321" s="6"/>
      <c r="D321" s="6"/>
      <c r="E321" s="29"/>
      <c r="F321" s="51">
        <f>SUM(F314:F320)</f>
        <v>4264.1805228758167</v>
      </c>
      <c r="G321" s="32">
        <f t="shared" si="210"/>
        <v>132</v>
      </c>
      <c r="H321" s="33">
        <f>SUM(H314:H320)</f>
        <v>32.304397900574372</v>
      </c>
      <c r="I321" s="146"/>
      <c r="J321" s="35"/>
      <c r="K321" s="6"/>
      <c r="L321" s="6"/>
      <c r="M321" s="6"/>
      <c r="N321" s="235">
        <f>SUM(N314:N320)</f>
        <v>6959.448692810457</v>
      </c>
      <c r="O321" s="32">
        <f t="shared" si="207"/>
        <v>100</v>
      </c>
      <c r="P321" s="236">
        <f t="shared" si="208"/>
        <v>69.594486928104573</v>
      </c>
      <c r="Q321" t="s">
        <v>68</v>
      </c>
      <c r="R321" s="45">
        <v>100</v>
      </c>
      <c r="T321" s="35"/>
      <c r="U321" s="6"/>
      <c r="V321" s="6"/>
      <c r="W321" s="6"/>
      <c r="X321" s="31">
        <f>SUM(X314:X320)</f>
        <v>3165.8066666666664</v>
      </c>
      <c r="Y321" s="32">
        <f t="shared" si="209"/>
        <v>102</v>
      </c>
      <c r="Z321" s="33">
        <f t="shared" si="205"/>
        <v>31.037320261437905</v>
      </c>
      <c r="AB321" s="45"/>
    </row>
    <row r="322" spans="1:28" x14ac:dyDescent="0.35">
      <c r="A322" s="35"/>
      <c r="B322" s="5" t="s">
        <v>44</v>
      </c>
      <c r="C322" s="5" t="s">
        <v>70</v>
      </c>
      <c r="D322" s="5" t="s">
        <v>70</v>
      </c>
      <c r="E322" s="5"/>
      <c r="F322" s="59">
        <f t="shared" ref="F322:F323" si="211">F321</f>
        <v>4264.1805228758167</v>
      </c>
      <c r="G322" s="5">
        <v>132</v>
      </c>
      <c r="H322" s="127">
        <f>F322/G322</f>
        <v>32.304397900574372</v>
      </c>
      <c r="I322" s="146"/>
      <c r="J322" s="35" t="s">
        <v>44</v>
      </c>
      <c r="K322" s="5" t="s">
        <v>70</v>
      </c>
      <c r="L322" s="5" t="s">
        <v>70</v>
      </c>
      <c r="M322" s="5" t="s">
        <v>70</v>
      </c>
      <c r="N322" s="38">
        <f>N321</f>
        <v>6959.448692810457</v>
      </c>
      <c r="O322" s="5">
        <v>100</v>
      </c>
      <c r="P322" s="30">
        <f>N322/O322</f>
        <v>69.594486928104573</v>
      </c>
      <c r="Q322" t="s">
        <v>32</v>
      </c>
      <c r="R322" s="47">
        <f>AVERAGE(P322,P323,P324,P325,P326,P327,P328,P321)</f>
        <v>69.594486928104573</v>
      </c>
      <c r="S322" s="120"/>
      <c r="T322" s="35" t="s">
        <v>44</v>
      </c>
      <c r="U322" s="5"/>
      <c r="V322" s="5"/>
      <c r="W322" s="5"/>
      <c r="X322" s="29">
        <f t="shared" ref="X322:X325" si="212">X321</f>
        <v>3165.8066666666664</v>
      </c>
      <c r="Y322" s="6">
        <v>102</v>
      </c>
      <c r="Z322" s="30">
        <f t="shared" si="205"/>
        <v>31.037320261437905</v>
      </c>
      <c r="AB322" s="47"/>
    </row>
    <row r="323" spans="1:28" x14ac:dyDescent="0.35">
      <c r="A323" s="35"/>
      <c r="B323" s="5" t="s">
        <v>45</v>
      </c>
      <c r="C323" s="5" t="s">
        <v>70</v>
      </c>
      <c r="D323" s="5" t="s">
        <v>70</v>
      </c>
      <c r="E323" s="5"/>
      <c r="F323" s="59">
        <f t="shared" si="211"/>
        <v>4264.1805228758167</v>
      </c>
      <c r="G323" s="5">
        <v>132</v>
      </c>
      <c r="H323" s="127">
        <f t="shared" ref="H323" si="213">F323/G323</f>
        <v>32.304397900574372</v>
      </c>
      <c r="I323" s="146"/>
      <c r="J323" s="35" t="s">
        <v>45</v>
      </c>
      <c r="K323" s="5" t="s">
        <v>70</v>
      </c>
      <c r="L323" s="5" t="s">
        <v>70</v>
      </c>
      <c r="M323" s="5" t="s">
        <v>70</v>
      </c>
      <c r="N323" s="38">
        <f t="shared" ref="N323:N328" si="214">N322</f>
        <v>6959.448692810457</v>
      </c>
      <c r="O323" s="5">
        <v>100</v>
      </c>
      <c r="P323" s="30">
        <f t="shared" ref="P323:P328" si="215">N323/O323</f>
        <v>69.594486928104573</v>
      </c>
      <c r="Q323" t="s">
        <v>69</v>
      </c>
      <c r="R323" s="47">
        <f>R321-R322</f>
        <v>30.405513071895427</v>
      </c>
      <c r="S323" s="120"/>
      <c r="T323" s="35" t="s">
        <v>45</v>
      </c>
      <c r="U323" s="5"/>
      <c r="V323" s="5"/>
      <c r="W323" s="5"/>
      <c r="X323" s="29">
        <f t="shared" si="212"/>
        <v>3165.8066666666664</v>
      </c>
      <c r="Y323" s="6">
        <v>102</v>
      </c>
      <c r="Z323" s="30">
        <f t="shared" si="205"/>
        <v>31.037320261437905</v>
      </c>
      <c r="AB323" s="47"/>
    </row>
    <row r="324" spans="1:28" x14ac:dyDescent="0.35">
      <c r="A324" s="35"/>
      <c r="B324" s="5"/>
      <c r="C324" s="5"/>
      <c r="D324" s="5"/>
      <c r="E324" s="5"/>
      <c r="F324" s="59"/>
      <c r="G324" s="5"/>
      <c r="H324" s="127"/>
      <c r="I324" s="146"/>
      <c r="J324" s="35" t="s">
        <v>67</v>
      </c>
      <c r="K324" s="5" t="s">
        <v>70</v>
      </c>
      <c r="L324" s="5" t="s">
        <v>70</v>
      </c>
      <c r="M324" s="5" t="s">
        <v>70</v>
      </c>
      <c r="N324" s="38">
        <f t="shared" si="214"/>
        <v>6959.448692810457</v>
      </c>
      <c r="O324" s="5">
        <v>100</v>
      </c>
      <c r="P324" s="30">
        <f t="shared" si="215"/>
        <v>69.594486928104573</v>
      </c>
      <c r="Q324" t="s">
        <v>136</v>
      </c>
      <c r="R324" s="50">
        <f>R323*100</f>
        <v>3040.551307189543</v>
      </c>
      <c r="S324" s="120"/>
      <c r="T324" s="35" t="s">
        <v>67</v>
      </c>
      <c r="U324" s="5"/>
      <c r="V324" s="5"/>
      <c r="W324" s="5"/>
      <c r="X324" s="29">
        <f t="shared" si="212"/>
        <v>3165.8066666666664</v>
      </c>
      <c r="Y324" s="6">
        <v>102</v>
      </c>
      <c r="Z324" s="30">
        <f t="shared" si="205"/>
        <v>31.037320261437905</v>
      </c>
      <c r="AB324" s="50"/>
    </row>
    <row r="325" spans="1:28" x14ac:dyDescent="0.35">
      <c r="A325" s="35"/>
      <c r="B325" s="5"/>
      <c r="C325" s="5"/>
      <c r="D325" s="5"/>
      <c r="E325" s="5"/>
      <c r="F325" s="59"/>
      <c r="G325" s="5"/>
      <c r="H325" s="127"/>
      <c r="I325" s="146"/>
      <c r="J325" s="35" t="s">
        <v>133</v>
      </c>
      <c r="K325" s="5"/>
      <c r="L325" s="5"/>
      <c r="M325" s="5"/>
      <c r="N325" s="38">
        <f t="shared" si="214"/>
        <v>6959.448692810457</v>
      </c>
      <c r="O325" s="5">
        <v>100</v>
      </c>
      <c r="P325" s="30">
        <f t="shared" si="215"/>
        <v>69.594486928104573</v>
      </c>
      <c r="Q325" t="s">
        <v>433</v>
      </c>
      <c r="R325" s="48">
        <f>R324*8</f>
        <v>24324.410457516344</v>
      </c>
      <c r="S325" s="120"/>
      <c r="T325" s="35" t="s">
        <v>133</v>
      </c>
      <c r="U325" s="5"/>
      <c r="V325" s="5"/>
      <c r="W325" s="5"/>
      <c r="X325" s="29">
        <f t="shared" si="212"/>
        <v>3165.8066666666664</v>
      </c>
      <c r="Y325" s="6">
        <v>102</v>
      </c>
      <c r="Z325" s="30">
        <f t="shared" si="205"/>
        <v>31.037320261437905</v>
      </c>
      <c r="AB325" s="48"/>
    </row>
    <row r="326" spans="1:28" x14ac:dyDescent="0.35">
      <c r="A326" s="35"/>
      <c r="B326" s="5"/>
      <c r="C326" s="5"/>
      <c r="D326" s="5"/>
      <c r="E326" s="5"/>
      <c r="F326" s="59"/>
      <c r="G326" s="5"/>
      <c r="H326" s="127"/>
      <c r="I326" s="146"/>
      <c r="J326" s="35" t="s">
        <v>134</v>
      </c>
      <c r="K326" s="5"/>
      <c r="L326" s="5"/>
      <c r="M326" s="5"/>
      <c r="N326" s="38">
        <f t="shared" si="214"/>
        <v>6959.448692810457</v>
      </c>
      <c r="O326" s="5">
        <v>100</v>
      </c>
      <c r="P326" s="30">
        <f t="shared" si="215"/>
        <v>69.594486928104573</v>
      </c>
      <c r="Q326">
        <f>80/8</f>
        <v>10</v>
      </c>
      <c r="R326" s="48"/>
      <c r="S326" s="120"/>
      <c r="T326" s="35"/>
      <c r="U326" s="5"/>
      <c r="V326" s="5"/>
      <c r="W326" s="5"/>
      <c r="X326" s="29"/>
      <c r="Y326" s="6"/>
      <c r="Z326" s="30"/>
      <c r="AB326" s="48"/>
    </row>
    <row r="327" spans="1:28" x14ac:dyDescent="0.35">
      <c r="A327" s="35"/>
      <c r="B327" s="5"/>
      <c r="C327" s="5"/>
      <c r="D327" s="5"/>
      <c r="E327" s="5"/>
      <c r="F327" s="59"/>
      <c r="G327" s="5"/>
      <c r="H327" s="127"/>
      <c r="I327" s="146"/>
      <c r="J327" s="35" t="s">
        <v>252</v>
      </c>
      <c r="K327" s="5" t="s">
        <v>70</v>
      </c>
      <c r="L327" s="5" t="s">
        <v>70</v>
      </c>
      <c r="M327" s="5" t="s">
        <v>70</v>
      </c>
      <c r="N327" s="38">
        <f t="shared" si="214"/>
        <v>6959.448692810457</v>
      </c>
      <c r="O327" s="5">
        <v>100</v>
      </c>
      <c r="P327" s="30">
        <f t="shared" si="215"/>
        <v>69.594486928104573</v>
      </c>
      <c r="R327" s="48"/>
      <c r="S327" s="120"/>
      <c r="T327" s="35"/>
      <c r="U327" s="5"/>
      <c r="V327" s="5"/>
      <c r="W327" s="5"/>
      <c r="X327" s="29"/>
      <c r="Y327" s="6"/>
      <c r="Z327" s="30"/>
      <c r="AB327" s="48"/>
    </row>
    <row r="328" spans="1:28" x14ac:dyDescent="0.35">
      <c r="A328" s="35"/>
      <c r="B328" s="5"/>
      <c r="C328" s="5"/>
      <c r="D328" s="5"/>
      <c r="E328" s="5"/>
      <c r="F328" s="59"/>
      <c r="G328" s="5"/>
      <c r="H328" s="127"/>
      <c r="I328" s="146"/>
      <c r="J328" s="35" t="s">
        <v>253</v>
      </c>
      <c r="K328" s="5" t="s">
        <v>70</v>
      </c>
      <c r="L328" s="5" t="s">
        <v>70</v>
      </c>
      <c r="M328" s="5" t="s">
        <v>70</v>
      </c>
      <c r="N328" s="38">
        <f t="shared" si="214"/>
        <v>6959.448692810457</v>
      </c>
      <c r="O328" s="5">
        <v>100</v>
      </c>
      <c r="P328" s="30">
        <f t="shared" si="215"/>
        <v>69.594486928104573</v>
      </c>
      <c r="R328" s="48"/>
      <c r="S328" s="120"/>
      <c r="T328" s="35"/>
      <c r="U328" s="5"/>
      <c r="V328" s="5"/>
      <c r="W328" s="5"/>
      <c r="X328" s="29"/>
      <c r="Y328" s="6"/>
      <c r="Z328" s="30"/>
      <c r="AB328" s="48"/>
    </row>
    <row r="329" spans="1:28" x14ac:dyDescent="0.35">
      <c r="A329" s="35"/>
      <c r="B329" s="5"/>
      <c r="C329" s="5"/>
      <c r="D329" s="5"/>
      <c r="E329" s="5"/>
      <c r="F329" s="59"/>
      <c r="G329" s="5">
        <v>0</v>
      </c>
      <c r="H329" s="37"/>
      <c r="I329" s="146"/>
      <c r="J329" s="35"/>
      <c r="K329" s="5"/>
      <c r="L329" s="5"/>
      <c r="M329" s="5"/>
      <c r="N329" s="38"/>
      <c r="O329" s="5"/>
      <c r="P329" s="30"/>
      <c r="R329" s="48"/>
      <c r="S329" s="120"/>
      <c r="T329" s="35"/>
      <c r="U329" s="5"/>
      <c r="V329" s="5"/>
      <c r="W329" s="5"/>
      <c r="X329" s="38"/>
      <c r="Y329" s="90"/>
      <c r="Z329" s="91"/>
      <c r="AB329" s="48"/>
    </row>
    <row r="330" spans="1:28" ht="15" thickBot="1" x14ac:dyDescent="0.4">
      <c r="A330" s="11"/>
      <c r="B330" s="12"/>
      <c r="C330" s="12"/>
      <c r="D330" s="12"/>
      <c r="E330" s="12"/>
      <c r="F330" s="114">
        <f>SUM(F321:F329)</f>
        <v>12792.54156862745</v>
      </c>
      <c r="G330" s="114">
        <f>SUM(G321:G329)</f>
        <v>396</v>
      </c>
      <c r="H330" s="13"/>
      <c r="I330" s="148"/>
      <c r="J330" s="11"/>
      <c r="K330" s="12"/>
      <c r="L330" s="12"/>
      <c r="M330" s="12"/>
      <c r="N330" s="77">
        <f>SUM(N322:N329)</f>
        <v>48716.140849673204</v>
      </c>
      <c r="O330" s="115">
        <f>SUM(O321:O329)</f>
        <v>800</v>
      </c>
      <c r="P330" s="13"/>
      <c r="Q330" s="46" t="s">
        <v>71</v>
      </c>
      <c r="R330" s="52">
        <f>R319+R325</f>
        <v>35291.868888888894</v>
      </c>
      <c r="S330" s="121"/>
      <c r="T330" s="11"/>
      <c r="U330" s="12"/>
      <c r="V330" s="12"/>
      <c r="W330" s="12"/>
      <c r="X330" s="77">
        <f>SUM(X321:X326)</f>
        <v>15829.033333333333</v>
      </c>
      <c r="Y330" s="115">
        <f>SUM(Y321:Y329)</f>
        <v>510</v>
      </c>
      <c r="Z330" s="13"/>
      <c r="AA330" s="46"/>
      <c r="AB330" s="52"/>
    </row>
    <row r="331" spans="1:28" x14ac:dyDescent="0.35">
      <c r="A331" s="39" t="s">
        <v>495</v>
      </c>
      <c r="B331" s="40" t="s">
        <v>43</v>
      </c>
      <c r="C331" s="41" t="s">
        <v>2</v>
      </c>
      <c r="D331" s="41" t="s">
        <v>86</v>
      </c>
      <c r="E331" s="41">
        <f>3650/50</f>
        <v>73</v>
      </c>
      <c r="F331" s="41">
        <f>E331*36</f>
        <v>2628</v>
      </c>
      <c r="G331" s="41">
        <v>132</v>
      </c>
      <c r="H331" s="113">
        <f>F331/G331</f>
        <v>19.90909090909091</v>
      </c>
      <c r="I331" s="147"/>
      <c r="J331" s="80" t="s">
        <v>43</v>
      </c>
      <c r="K331" s="41" t="s">
        <v>2</v>
      </c>
      <c r="L331" s="41" t="s">
        <v>49</v>
      </c>
      <c r="M331" s="41">
        <f>3650/50</f>
        <v>73</v>
      </c>
      <c r="N331" s="41">
        <f>M331*50</f>
        <v>3650</v>
      </c>
      <c r="O331" s="41">
        <v>103</v>
      </c>
      <c r="P331" s="113">
        <f>N331/O331</f>
        <v>35.436893203883493</v>
      </c>
      <c r="Q331" s="43" t="s">
        <v>0</v>
      </c>
      <c r="R331" s="44"/>
      <c r="S331" s="119"/>
      <c r="T331" s="39" t="s">
        <v>43</v>
      </c>
      <c r="U331" s="41" t="s">
        <v>2</v>
      </c>
      <c r="V331" s="41" t="s">
        <v>317</v>
      </c>
      <c r="W331" s="139">
        <f>3600/50</f>
        <v>72</v>
      </c>
      <c r="X331" s="41">
        <f>W331*26</f>
        <v>1872</v>
      </c>
      <c r="Y331" s="41">
        <v>102</v>
      </c>
      <c r="Z331" s="113">
        <f t="shared" ref="Z331:Z339" si="216">X331/Y331</f>
        <v>18.352941176470587</v>
      </c>
      <c r="AA331" s="43" t="s">
        <v>196</v>
      </c>
      <c r="AB331" s="44"/>
    </row>
    <row r="332" spans="1:28" x14ac:dyDescent="0.35">
      <c r="A332" s="35"/>
      <c r="B332" s="5"/>
      <c r="C332" s="6" t="s">
        <v>4</v>
      </c>
      <c r="D332" s="6" t="s">
        <v>485</v>
      </c>
      <c r="E332" s="28">
        <f>7200/50</f>
        <v>144</v>
      </c>
      <c r="F332" s="6">
        <f>E332*4.8</f>
        <v>691.19999999999993</v>
      </c>
      <c r="G332" s="1">
        <f>G331</f>
        <v>132</v>
      </c>
      <c r="H332" s="126">
        <f t="shared" ref="H332:H337" si="217">F332/G332</f>
        <v>5.2363636363636354</v>
      </c>
      <c r="I332" s="146"/>
      <c r="J332" s="9"/>
      <c r="K332" s="1" t="s">
        <v>4</v>
      </c>
      <c r="L332" s="1" t="s">
        <v>353</v>
      </c>
      <c r="M332" s="28">
        <f>7200/50</f>
        <v>144</v>
      </c>
      <c r="N332" s="57">
        <f>M332*2.5</f>
        <v>360</v>
      </c>
      <c r="O332" s="1">
        <f t="shared" ref="O332:O338" si="218">O331</f>
        <v>103</v>
      </c>
      <c r="P332" s="126">
        <f t="shared" ref="P332:P338" si="219">N332/O332</f>
        <v>3.4951456310679609</v>
      </c>
      <c r="Q332" t="s">
        <v>68</v>
      </c>
      <c r="R332" s="45">
        <v>60</v>
      </c>
      <c r="T332" s="35"/>
      <c r="U332" s="6" t="s">
        <v>4</v>
      </c>
      <c r="V332" s="6" t="s">
        <v>324</v>
      </c>
      <c r="W332" s="28">
        <f>7200/50</f>
        <v>144</v>
      </c>
      <c r="X332" s="29">
        <f>W332*3.8</f>
        <v>547.19999999999993</v>
      </c>
      <c r="Y332" s="1">
        <f t="shared" ref="Y332:Y338" si="220">Y331</f>
        <v>102</v>
      </c>
      <c r="Z332" s="126">
        <f t="shared" si="216"/>
        <v>5.3647058823529408</v>
      </c>
      <c r="AA332" t="s">
        <v>68</v>
      </c>
      <c r="AB332" s="45">
        <v>50</v>
      </c>
    </row>
    <row r="333" spans="1:28" x14ac:dyDescent="0.35">
      <c r="A333" s="35"/>
      <c r="B333" s="5"/>
      <c r="C333" s="6" t="s">
        <v>54</v>
      </c>
      <c r="D333" s="6" t="s">
        <v>419</v>
      </c>
      <c r="E333" s="28">
        <f>600/1000</f>
        <v>0.6</v>
      </c>
      <c r="F333" s="6">
        <f>E333*60</f>
        <v>36</v>
      </c>
      <c r="G333" s="1">
        <f t="shared" ref="G333:G338" si="221">G332</f>
        <v>132</v>
      </c>
      <c r="H333" s="126">
        <f t="shared" si="217"/>
        <v>0.27272727272727271</v>
      </c>
      <c r="I333" s="146"/>
      <c r="J333" s="9"/>
      <c r="K333" s="1" t="s">
        <v>5</v>
      </c>
      <c r="L333" s="1" t="s">
        <v>421</v>
      </c>
      <c r="M333" s="233">
        <f>400/450</f>
        <v>0.88888888888888884</v>
      </c>
      <c r="N333" s="57">
        <f>M333*160</f>
        <v>142.22222222222223</v>
      </c>
      <c r="O333" s="1">
        <f t="shared" si="218"/>
        <v>103</v>
      </c>
      <c r="P333" s="126">
        <f t="shared" si="219"/>
        <v>1.3807982740021576</v>
      </c>
      <c r="Q333" t="s">
        <v>32</v>
      </c>
      <c r="R333" s="47">
        <f>H338</f>
        <v>32.304397900574372</v>
      </c>
      <c r="S333" s="120"/>
      <c r="T333" s="35"/>
      <c r="U333" s="6" t="s">
        <v>5</v>
      </c>
      <c r="V333" s="6" t="s">
        <v>420</v>
      </c>
      <c r="W333" s="28">
        <f>255/450</f>
        <v>0.56666666666666665</v>
      </c>
      <c r="X333" s="29">
        <f>W333*190</f>
        <v>107.66666666666666</v>
      </c>
      <c r="Y333" s="1">
        <f t="shared" si="220"/>
        <v>102</v>
      </c>
      <c r="Z333" s="126">
        <f t="shared" si="216"/>
        <v>1.0555555555555554</v>
      </c>
      <c r="AA333" t="s">
        <v>32</v>
      </c>
      <c r="AB333" s="47">
        <f>Z338</f>
        <v>31.037320261437905</v>
      </c>
    </row>
    <row r="334" spans="1:28" x14ac:dyDescent="0.35">
      <c r="A334" s="35"/>
      <c r="B334" s="5"/>
      <c r="C334" s="6" t="s">
        <v>55</v>
      </c>
      <c r="D334" s="6" t="s">
        <v>318</v>
      </c>
      <c r="E334" s="28">
        <f>35.5/1000</f>
        <v>3.5499999999999997E-2</v>
      </c>
      <c r="F334" s="6">
        <f>E334*280</f>
        <v>9.94</v>
      </c>
      <c r="G334" s="1">
        <f t="shared" si="221"/>
        <v>132</v>
      </c>
      <c r="H334" s="126">
        <f t="shared" si="217"/>
        <v>7.5303030303030302E-2</v>
      </c>
      <c r="I334" s="146"/>
      <c r="J334" s="9"/>
      <c r="K334" s="1" t="s">
        <v>51</v>
      </c>
      <c r="L334" s="1" t="s">
        <v>52</v>
      </c>
      <c r="M334" s="232">
        <f>35.5/1000</f>
        <v>3.5499999999999997E-2</v>
      </c>
      <c r="N334" s="1">
        <f>M334*300</f>
        <v>10.649999999999999</v>
      </c>
      <c r="O334" s="1">
        <f t="shared" si="218"/>
        <v>103</v>
      </c>
      <c r="P334" s="126">
        <f t="shared" si="219"/>
        <v>0.10339805825242718</v>
      </c>
      <c r="Q334" t="s">
        <v>62</v>
      </c>
      <c r="R334" s="47">
        <f>R332-R333</f>
        <v>27.695602099425628</v>
      </c>
      <c r="S334" s="120"/>
      <c r="T334" s="35"/>
      <c r="U334" s="6" t="s">
        <v>51</v>
      </c>
      <c r="V334" s="6" t="s">
        <v>318</v>
      </c>
      <c r="W334" s="205">
        <f>35.5/1000</f>
        <v>3.5499999999999997E-2</v>
      </c>
      <c r="X334" s="6">
        <f>W334*280</f>
        <v>9.94</v>
      </c>
      <c r="Y334" s="1">
        <f t="shared" si="220"/>
        <v>102</v>
      </c>
      <c r="Z334" s="126">
        <f t="shared" si="216"/>
        <v>9.7450980392156855E-2</v>
      </c>
      <c r="AA334" t="s">
        <v>69</v>
      </c>
      <c r="AB334" s="47">
        <f>AB332-AB333</f>
        <v>18.962679738562095</v>
      </c>
    </row>
    <row r="335" spans="1:28" x14ac:dyDescent="0.35">
      <c r="A335" s="35"/>
      <c r="B335" s="5"/>
      <c r="C335" s="6" t="s">
        <v>56</v>
      </c>
      <c r="D335" s="6" t="s">
        <v>419</v>
      </c>
      <c r="E335" s="6">
        <f>340/1000</f>
        <v>0.34</v>
      </c>
      <c r="F335" s="6">
        <f>E335*60</f>
        <v>20.400000000000002</v>
      </c>
      <c r="G335" s="1">
        <f t="shared" si="221"/>
        <v>132</v>
      </c>
      <c r="H335" s="126">
        <f t="shared" si="217"/>
        <v>0.15454545454545457</v>
      </c>
      <c r="I335" s="146"/>
      <c r="J335" s="9"/>
      <c r="K335" s="1" t="s">
        <v>26</v>
      </c>
      <c r="L335" s="1" t="s">
        <v>419</v>
      </c>
      <c r="M335" s="1">
        <f>340/1000</f>
        <v>0.34</v>
      </c>
      <c r="N335" s="1">
        <f>M335*60</f>
        <v>20.400000000000002</v>
      </c>
      <c r="O335" s="1">
        <f t="shared" si="218"/>
        <v>103</v>
      </c>
      <c r="P335" s="126">
        <f t="shared" si="219"/>
        <v>0.1980582524271845</v>
      </c>
      <c r="Q335" t="s">
        <v>72</v>
      </c>
      <c r="R335" s="50">
        <f>G338*R334</f>
        <v>3655.8194771241829</v>
      </c>
      <c r="S335" s="120"/>
      <c r="T335" s="35"/>
      <c r="U335" s="6" t="s">
        <v>26</v>
      </c>
      <c r="V335" s="6" t="s">
        <v>53</v>
      </c>
      <c r="W335" s="6">
        <f>340/1000</f>
        <v>0.34</v>
      </c>
      <c r="X335" s="6">
        <f>W335*50</f>
        <v>17</v>
      </c>
      <c r="Y335" s="1">
        <f t="shared" si="220"/>
        <v>102</v>
      </c>
      <c r="Z335" s="126">
        <f t="shared" si="216"/>
        <v>0.16666666666666666</v>
      </c>
      <c r="AA335" t="s">
        <v>205</v>
      </c>
      <c r="AB335" s="50">
        <f>AB334*68</f>
        <v>1289.4622222222224</v>
      </c>
    </row>
    <row r="336" spans="1:28" x14ac:dyDescent="0.35">
      <c r="A336" s="35"/>
      <c r="B336" s="5"/>
      <c r="C336" s="6" t="s">
        <v>57</v>
      </c>
      <c r="D336" s="6" t="s">
        <v>6</v>
      </c>
      <c r="E336" s="28">
        <f>250/450</f>
        <v>0.55555555555555558</v>
      </c>
      <c r="F336" s="28">
        <f>E336*200</f>
        <v>111.11111111111111</v>
      </c>
      <c r="G336" s="1">
        <f t="shared" si="221"/>
        <v>132</v>
      </c>
      <c r="H336" s="126">
        <f t="shared" si="217"/>
        <v>0.84175084175084181</v>
      </c>
      <c r="I336" s="146"/>
      <c r="J336" s="9"/>
      <c r="K336" s="1" t="s">
        <v>3</v>
      </c>
      <c r="L336" s="1" t="s">
        <v>382</v>
      </c>
      <c r="M336" s="57">
        <f>4660/17</f>
        <v>274.11764705882354</v>
      </c>
      <c r="N336" s="57">
        <f>M336*1.5</f>
        <v>411.1764705882353</v>
      </c>
      <c r="O336" s="1">
        <f t="shared" si="218"/>
        <v>103</v>
      </c>
      <c r="P336" s="126">
        <f t="shared" si="219"/>
        <v>3.9920045688178183</v>
      </c>
      <c r="Q336" t="s">
        <v>81</v>
      </c>
      <c r="R336" s="48">
        <f>R335*2</f>
        <v>7311.6389542483657</v>
      </c>
      <c r="S336" s="120"/>
      <c r="T336" s="35"/>
      <c r="U336" s="6" t="s">
        <v>3</v>
      </c>
      <c r="V336" s="6" t="s">
        <v>325</v>
      </c>
      <c r="W336" s="29">
        <f>260</f>
        <v>260</v>
      </c>
      <c r="X336" s="29">
        <f>W336*2.3</f>
        <v>598</v>
      </c>
      <c r="Y336" s="1">
        <f t="shared" si="220"/>
        <v>102</v>
      </c>
      <c r="Z336" s="126">
        <f t="shared" si="216"/>
        <v>5.8627450980392153</v>
      </c>
      <c r="AA336" t="s">
        <v>429</v>
      </c>
      <c r="AB336" s="48">
        <f>AB335*2</f>
        <v>2578.9244444444448</v>
      </c>
    </row>
    <row r="337" spans="1:28" x14ac:dyDescent="0.35">
      <c r="A337" s="35"/>
      <c r="B337" s="5"/>
      <c r="C337" s="6" t="s">
        <v>58</v>
      </c>
      <c r="D337" s="6" t="s">
        <v>319</v>
      </c>
      <c r="E337" s="29">
        <f>4660/17</f>
        <v>274.11764705882354</v>
      </c>
      <c r="F337" s="29">
        <f>E337*2.8</f>
        <v>767.52941176470586</v>
      </c>
      <c r="G337" s="6">
        <f t="shared" si="221"/>
        <v>132</v>
      </c>
      <c r="H337" s="126">
        <f t="shared" si="217"/>
        <v>5.8146167557932262</v>
      </c>
      <c r="I337" s="146"/>
      <c r="J337" s="9"/>
      <c r="K337" s="1" t="s">
        <v>7</v>
      </c>
      <c r="L337" s="234" t="s">
        <v>496</v>
      </c>
      <c r="M337" s="57">
        <f>4730/20</f>
        <v>236.5</v>
      </c>
      <c r="N337" s="57">
        <f>M337*15</f>
        <v>3547.5</v>
      </c>
      <c r="O337" s="1">
        <f t="shared" si="218"/>
        <v>103</v>
      </c>
      <c r="P337" s="126">
        <f t="shared" si="219"/>
        <v>34.441747572815537</v>
      </c>
      <c r="Q337" t="s">
        <v>1</v>
      </c>
      <c r="R337" s="45"/>
      <c r="T337" s="35"/>
      <c r="U337" s="6" t="s">
        <v>151</v>
      </c>
      <c r="V337" s="53" t="s">
        <v>53</v>
      </c>
      <c r="W337" s="28">
        <f>280/1000</f>
        <v>0.28000000000000003</v>
      </c>
      <c r="X337" s="6">
        <f>W337*50</f>
        <v>14.000000000000002</v>
      </c>
      <c r="Y337" s="1">
        <f t="shared" si="220"/>
        <v>102</v>
      </c>
      <c r="Z337" s="126">
        <f t="shared" si="216"/>
        <v>0.13725490196078433</v>
      </c>
      <c r="AB337" s="45"/>
    </row>
    <row r="338" spans="1:28" x14ac:dyDescent="0.35">
      <c r="A338" s="35"/>
      <c r="B338" s="5"/>
      <c r="C338" s="6"/>
      <c r="D338" s="6"/>
      <c r="E338" s="29"/>
      <c r="F338" s="51">
        <f>SUM(F331:F337)</f>
        <v>4264.1805228758167</v>
      </c>
      <c r="G338" s="32">
        <f t="shared" si="221"/>
        <v>132</v>
      </c>
      <c r="H338" s="33">
        <f>SUM(H331:H337)</f>
        <v>32.304397900574372</v>
      </c>
      <c r="I338" s="146"/>
      <c r="J338" s="35"/>
      <c r="K338" s="6"/>
      <c r="L338" s="6"/>
      <c r="M338" s="6"/>
      <c r="N338" s="235">
        <f>SUM(N331:N337)</f>
        <v>8141.948692810457</v>
      </c>
      <c r="O338" s="32">
        <f t="shared" si="218"/>
        <v>103</v>
      </c>
      <c r="P338" s="236">
        <f t="shared" si="219"/>
        <v>79.048045561266576</v>
      </c>
      <c r="Q338" t="s">
        <v>68</v>
      </c>
      <c r="R338" s="45">
        <v>100</v>
      </c>
      <c r="T338" s="35"/>
      <c r="U338" s="6"/>
      <c r="V338" s="6"/>
      <c r="W338" s="6"/>
      <c r="X338" s="31">
        <f>SUM(X331:X337)</f>
        <v>3165.8066666666664</v>
      </c>
      <c r="Y338" s="32">
        <f t="shared" si="220"/>
        <v>102</v>
      </c>
      <c r="Z338" s="33">
        <f t="shared" si="216"/>
        <v>31.037320261437905</v>
      </c>
      <c r="AB338" s="45"/>
    </row>
    <row r="339" spans="1:28" x14ac:dyDescent="0.35">
      <c r="A339" s="35"/>
      <c r="B339" s="5" t="s">
        <v>44</v>
      </c>
      <c r="C339" s="5" t="s">
        <v>70</v>
      </c>
      <c r="D339" s="5" t="s">
        <v>70</v>
      </c>
      <c r="E339" s="5"/>
      <c r="F339" s="59">
        <f t="shared" ref="F339:F340" si="222">F338</f>
        <v>4264.1805228758167</v>
      </c>
      <c r="G339" s="5">
        <v>132</v>
      </c>
      <c r="H339" s="127">
        <f>F339/G339</f>
        <v>32.304397900574372</v>
      </c>
      <c r="I339" s="146"/>
      <c r="J339" s="35" t="s">
        <v>44</v>
      </c>
      <c r="K339" s="5" t="s">
        <v>70</v>
      </c>
      <c r="L339" s="5" t="s">
        <v>70</v>
      </c>
      <c r="M339" s="5" t="s">
        <v>70</v>
      </c>
      <c r="N339" s="38">
        <f>N338</f>
        <v>8141.948692810457</v>
      </c>
      <c r="O339" s="5">
        <v>103</v>
      </c>
      <c r="P339" s="30">
        <f>N339/O339</f>
        <v>79.048045561266576</v>
      </c>
      <c r="Q339" t="s">
        <v>32</v>
      </c>
      <c r="R339" s="47">
        <f>AVERAGE(P338,P339,P340,P341,P342)</f>
        <v>79.048045561266576</v>
      </c>
      <c r="S339" s="120"/>
      <c r="T339" s="35" t="s">
        <v>44</v>
      </c>
      <c r="U339" s="5"/>
      <c r="V339" s="5"/>
      <c r="W339" s="5"/>
      <c r="X339" s="29">
        <f t="shared" ref="X339" si="223">X338</f>
        <v>3165.8066666666664</v>
      </c>
      <c r="Y339" s="6">
        <v>102</v>
      </c>
      <c r="Z339" s="30">
        <f t="shared" si="216"/>
        <v>31.037320261437905</v>
      </c>
      <c r="AB339" s="47"/>
    </row>
    <row r="340" spans="1:28" x14ac:dyDescent="0.35">
      <c r="A340" s="35"/>
      <c r="B340" s="5" t="s">
        <v>45</v>
      </c>
      <c r="C340" s="5" t="s">
        <v>70</v>
      </c>
      <c r="D340" s="5" t="s">
        <v>70</v>
      </c>
      <c r="E340" s="5"/>
      <c r="F340" s="59">
        <f t="shared" si="222"/>
        <v>4264.1805228758167</v>
      </c>
      <c r="G340" s="5">
        <v>132</v>
      </c>
      <c r="H340" s="127">
        <f t="shared" ref="H340" si="224">F340/G340</f>
        <v>32.304397900574372</v>
      </c>
      <c r="I340" s="146"/>
      <c r="J340" s="35" t="s">
        <v>45</v>
      </c>
      <c r="K340" s="5" t="s">
        <v>70</v>
      </c>
      <c r="L340" s="5" t="s">
        <v>70</v>
      </c>
      <c r="M340" s="5" t="s">
        <v>70</v>
      </c>
      <c r="N340" s="38">
        <f t="shared" ref="N340:N345" si="225">N339</f>
        <v>8141.948692810457</v>
      </c>
      <c r="O340" s="5">
        <v>103</v>
      </c>
      <c r="P340" s="30">
        <f t="shared" ref="P340:P345" si="226">N340/O340</f>
        <v>79.048045561266576</v>
      </c>
      <c r="Q340" t="s">
        <v>69</v>
      </c>
      <c r="R340" s="47">
        <f>R338-R339</f>
        <v>20.951954438733424</v>
      </c>
      <c r="S340" s="120"/>
      <c r="T340" s="9"/>
      <c r="U340" s="1"/>
      <c r="V340" s="1"/>
      <c r="W340" s="1"/>
      <c r="X340" s="29"/>
      <c r="Y340" s="6"/>
      <c r="Z340" s="30"/>
      <c r="AB340" s="47"/>
    </row>
    <row r="341" spans="1:28" x14ac:dyDescent="0.35">
      <c r="A341" s="35"/>
      <c r="B341" s="5"/>
      <c r="C341" s="5"/>
      <c r="D341" s="5"/>
      <c r="E341" s="5"/>
      <c r="F341" s="59"/>
      <c r="G341" s="5"/>
      <c r="H341" s="127"/>
      <c r="I341" s="146"/>
      <c r="J341" s="35" t="s">
        <v>67</v>
      </c>
      <c r="K341" s="5" t="s">
        <v>70</v>
      </c>
      <c r="L341" s="5" t="s">
        <v>70</v>
      </c>
      <c r="M341" s="5" t="s">
        <v>70</v>
      </c>
      <c r="N341" s="38">
        <f t="shared" si="225"/>
        <v>8141.948692810457</v>
      </c>
      <c r="O341" s="5">
        <v>103</v>
      </c>
      <c r="P341" s="30">
        <f t="shared" si="226"/>
        <v>79.048045561266576</v>
      </c>
      <c r="Q341" t="s">
        <v>136</v>
      </c>
      <c r="R341" s="50">
        <f>R340*103</f>
        <v>2158.0513071895425</v>
      </c>
      <c r="S341" s="120"/>
      <c r="T341" s="9"/>
      <c r="U341" s="1"/>
      <c r="V341" s="1"/>
      <c r="W341" s="1"/>
      <c r="X341" s="29"/>
      <c r="Y341" s="6"/>
      <c r="Z341" s="30"/>
      <c r="AB341" s="50"/>
    </row>
    <row r="342" spans="1:28" x14ac:dyDescent="0.35">
      <c r="A342" s="35"/>
      <c r="B342" s="5"/>
      <c r="C342" s="5"/>
      <c r="D342" s="5"/>
      <c r="E342" s="5"/>
      <c r="F342" s="59"/>
      <c r="G342" s="5"/>
      <c r="H342" s="127"/>
      <c r="I342" s="146"/>
      <c r="J342" s="35" t="s">
        <v>133</v>
      </c>
      <c r="K342" s="5"/>
      <c r="L342" s="5"/>
      <c r="M342" s="5"/>
      <c r="N342" s="38">
        <f t="shared" si="225"/>
        <v>8141.948692810457</v>
      </c>
      <c r="O342" s="5">
        <v>103</v>
      </c>
      <c r="P342" s="30">
        <f t="shared" si="226"/>
        <v>79.048045561266576</v>
      </c>
      <c r="Q342" t="s">
        <v>497</v>
      </c>
      <c r="R342" s="48">
        <f>R341*8</f>
        <v>17264.41045751634</v>
      </c>
      <c r="S342" s="120"/>
      <c r="T342" s="9"/>
      <c r="U342" s="1"/>
      <c r="V342" s="1"/>
      <c r="W342" s="1"/>
      <c r="X342" s="29"/>
      <c r="Y342" s="6"/>
      <c r="Z342" s="30"/>
      <c r="AB342" s="48"/>
    </row>
    <row r="343" spans="1:28" x14ac:dyDescent="0.35">
      <c r="A343" s="35"/>
      <c r="B343" s="5"/>
      <c r="C343" s="5"/>
      <c r="D343" s="5"/>
      <c r="E343" s="5"/>
      <c r="F343" s="59"/>
      <c r="G343" s="5"/>
      <c r="H343" s="127"/>
      <c r="I343" s="146"/>
      <c r="J343" s="35" t="s">
        <v>134</v>
      </c>
      <c r="K343" s="5"/>
      <c r="L343" s="5"/>
      <c r="M343" s="5"/>
      <c r="N343" s="38">
        <f t="shared" si="225"/>
        <v>8141.948692810457</v>
      </c>
      <c r="O343" s="5">
        <v>103</v>
      </c>
      <c r="P343" s="30">
        <f t="shared" si="226"/>
        <v>79.048045561266576</v>
      </c>
      <c r="Q343">
        <f>60/6</f>
        <v>10</v>
      </c>
      <c r="R343" s="48"/>
      <c r="S343" s="120"/>
      <c r="T343" s="35"/>
      <c r="U343" s="5"/>
      <c r="V343" s="5"/>
      <c r="W343" s="5"/>
      <c r="X343" s="29"/>
      <c r="Y343" s="6"/>
      <c r="Z343" s="30"/>
      <c r="AB343" s="48"/>
    </row>
    <row r="344" spans="1:28" x14ac:dyDescent="0.35">
      <c r="A344" s="35"/>
      <c r="B344" s="5"/>
      <c r="C344" s="5"/>
      <c r="D344" s="5"/>
      <c r="E344" s="5"/>
      <c r="F344" s="59"/>
      <c r="G344" s="5"/>
      <c r="H344" s="127"/>
      <c r="I344" s="146"/>
      <c r="J344" s="35" t="s">
        <v>252</v>
      </c>
      <c r="K344" s="5" t="s">
        <v>70</v>
      </c>
      <c r="L344" s="5" t="s">
        <v>70</v>
      </c>
      <c r="M344" s="5" t="s">
        <v>70</v>
      </c>
      <c r="N344" s="38">
        <f t="shared" si="225"/>
        <v>8141.948692810457</v>
      </c>
      <c r="O344" s="5">
        <v>100</v>
      </c>
      <c r="P344" s="30">
        <f t="shared" si="226"/>
        <v>81.419486928104575</v>
      </c>
      <c r="Q344">
        <f>120/8</f>
        <v>15</v>
      </c>
      <c r="R344" s="48"/>
      <c r="S344" s="120"/>
      <c r="T344" s="35"/>
      <c r="U344" s="5"/>
      <c r="V344" s="5"/>
      <c r="W344" s="5"/>
      <c r="X344" s="29"/>
      <c r="Y344" s="6"/>
      <c r="Z344" s="30"/>
      <c r="AB344" s="48"/>
    </row>
    <row r="345" spans="1:28" x14ac:dyDescent="0.35">
      <c r="A345" s="35"/>
      <c r="B345" s="5"/>
      <c r="C345" s="5"/>
      <c r="D345" s="5"/>
      <c r="E345" s="5"/>
      <c r="F345" s="59"/>
      <c r="G345" s="5"/>
      <c r="H345" s="127"/>
      <c r="I345" s="146"/>
      <c r="J345" s="35" t="s">
        <v>253</v>
      </c>
      <c r="K345" s="5" t="s">
        <v>70</v>
      </c>
      <c r="L345" s="5" t="s">
        <v>70</v>
      </c>
      <c r="M345" s="5" t="s">
        <v>70</v>
      </c>
      <c r="N345" s="38">
        <f t="shared" si="225"/>
        <v>8141.948692810457</v>
      </c>
      <c r="O345" s="5">
        <v>100</v>
      </c>
      <c r="P345" s="30">
        <f t="shared" si="226"/>
        <v>81.419486928104575</v>
      </c>
      <c r="R345" s="48"/>
      <c r="S345" s="120"/>
      <c r="T345" s="35"/>
      <c r="U345" s="5"/>
      <c r="V345" s="5"/>
      <c r="W345" s="5"/>
      <c r="X345" s="29"/>
      <c r="Y345" s="6"/>
      <c r="Z345" s="30"/>
      <c r="AB345" s="48"/>
    </row>
    <row r="346" spans="1:28" x14ac:dyDescent="0.35">
      <c r="A346" s="35"/>
      <c r="B346" s="5"/>
      <c r="C346" s="5"/>
      <c r="D346" s="5"/>
      <c r="E346" s="5"/>
      <c r="F346" s="59"/>
      <c r="G346" s="5"/>
      <c r="H346" s="127"/>
      <c r="I346" s="146"/>
      <c r="J346" s="35"/>
      <c r="K346" s="5"/>
      <c r="L346" s="5"/>
      <c r="M346" s="5"/>
      <c r="N346" s="38"/>
      <c r="O346" s="1"/>
      <c r="P346" s="30"/>
      <c r="R346" s="48"/>
      <c r="S346" s="120"/>
      <c r="T346" s="35"/>
      <c r="U346" s="5"/>
      <c r="V346" s="5"/>
      <c r="W346" s="5"/>
      <c r="X346" s="206"/>
      <c r="Y346" s="90"/>
      <c r="Z346" s="91"/>
      <c r="AB346" s="48"/>
    </row>
    <row r="347" spans="1:28" x14ac:dyDescent="0.35">
      <c r="A347" s="35"/>
      <c r="B347" s="5"/>
      <c r="C347" s="5"/>
      <c r="D347" s="5"/>
      <c r="E347" s="5"/>
      <c r="F347" s="59"/>
      <c r="G347" s="5"/>
      <c r="H347" s="127"/>
      <c r="I347" s="146"/>
      <c r="J347" s="35"/>
      <c r="K347" s="5"/>
      <c r="L347" s="5"/>
      <c r="M347" s="5"/>
      <c r="N347" s="38"/>
      <c r="O347" s="5"/>
      <c r="P347" s="30"/>
      <c r="R347" s="48"/>
      <c r="S347" s="120"/>
      <c r="T347" s="35"/>
      <c r="U347" s="5"/>
      <c r="V347" s="5"/>
      <c r="W347" s="5"/>
      <c r="X347" s="206"/>
      <c r="Y347" s="90"/>
      <c r="Z347" s="91"/>
      <c r="AB347" s="48"/>
    </row>
    <row r="348" spans="1:28" ht="15" thickBot="1" x14ac:dyDescent="0.4">
      <c r="A348" s="11"/>
      <c r="B348" s="12"/>
      <c r="C348" s="12"/>
      <c r="D348" s="12"/>
      <c r="E348" s="12"/>
      <c r="F348" s="114">
        <f>SUM(F338:F345)</f>
        <v>12792.54156862745</v>
      </c>
      <c r="G348" s="114">
        <f>SUM(G338:G345)</f>
        <v>396</v>
      </c>
      <c r="H348" s="13"/>
      <c r="I348" s="148"/>
      <c r="J348" s="11"/>
      <c r="K348" s="12"/>
      <c r="L348" s="12"/>
      <c r="M348" s="12"/>
      <c r="N348" s="77">
        <f>SUM(N338:N347)</f>
        <v>65135.589542483664</v>
      </c>
      <c r="O348" s="115">
        <f>SUM(O338:O347)</f>
        <v>818</v>
      </c>
      <c r="P348" s="13"/>
      <c r="Q348" s="46" t="s">
        <v>71</v>
      </c>
      <c r="R348" s="52">
        <f>R336+R342</f>
        <v>24576.049411764707</v>
      </c>
      <c r="S348" s="121"/>
      <c r="T348" s="11"/>
      <c r="U348" s="12"/>
      <c r="V348" s="12"/>
      <c r="W348" s="12"/>
      <c r="X348" s="77">
        <f>SUM(X338:X343)</f>
        <v>6331.6133333333328</v>
      </c>
      <c r="Y348" s="115">
        <f>SUM(Y338:Y345)</f>
        <v>204</v>
      </c>
      <c r="Z348" s="13"/>
      <c r="AA348" s="46"/>
      <c r="AB348" s="52"/>
    </row>
    <row r="349" spans="1:28" x14ac:dyDescent="0.35">
      <c r="A349" s="39" t="s">
        <v>498</v>
      </c>
      <c r="B349" s="40" t="s">
        <v>43</v>
      </c>
      <c r="C349" s="41" t="s">
        <v>2</v>
      </c>
      <c r="D349" s="41" t="s">
        <v>86</v>
      </c>
      <c r="E349" s="41">
        <f>3650/50</f>
        <v>73</v>
      </c>
      <c r="F349" s="41">
        <f>E349*36</f>
        <v>2628</v>
      </c>
      <c r="G349" s="41">
        <v>132</v>
      </c>
      <c r="H349" s="113">
        <f>F349/G349</f>
        <v>19.90909090909091</v>
      </c>
      <c r="I349" s="147"/>
      <c r="J349" s="80" t="s">
        <v>43</v>
      </c>
      <c r="K349" s="41" t="s">
        <v>2</v>
      </c>
      <c r="L349" s="41" t="s">
        <v>49</v>
      </c>
      <c r="M349" s="41">
        <f>3650/50</f>
        <v>73</v>
      </c>
      <c r="N349" s="41">
        <f>M349*50</f>
        <v>3650</v>
      </c>
      <c r="O349" s="41">
        <v>103</v>
      </c>
      <c r="P349" s="113">
        <f>N349/O349</f>
        <v>35.436893203883493</v>
      </c>
      <c r="Q349" s="43" t="s">
        <v>0</v>
      </c>
      <c r="R349" s="44"/>
      <c r="S349" s="119"/>
      <c r="T349" s="39" t="s">
        <v>43</v>
      </c>
      <c r="U349" s="41" t="s">
        <v>2</v>
      </c>
      <c r="V349" s="41" t="s">
        <v>317</v>
      </c>
      <c r="W349" s="139">
        <f>3600/50</f>
        <v>72</v>
      </c>
      <c r="X349" s="41">
        <f>W349*26</f>
        <v>1872</v>
      </c>
      <c r="Y349" s="41">
        <v>102</v>
      </c>
      <c r="Z349" s="113">
        <f t="shared" ref="Z349:Z357" si="227">X349/Y349</f>
        <v>18.352941176470587</v>
      </c>
      <c r="AA349" s="43" t="s">
        <v>196</v>
      </c>
      <c r="AB349" s="44"/>
    </row>
    <row r="350" spans="1:28" x14ac:dyDescent="0.35">
      <c r="A350" s="35"/>
      <c r="B350" s="5"/>
      <c r="C350" s="6" t="s">
        <v>4</v>
      </c>
      <c r="D350" s="6" t="s">
        <v>485</v>
      </c>
      <c r="E350" s="28">
        <f>7200/50</f>
        <v>144</v>
      </c>
      <c r="F350" s="6">
        <f>E350*4.8</f>
        <v>691.19999999999993</v>
      </c>
      <c r="G350" s="1">
        <f>G349</f>
        <v>132</v>
      </c>
      <c r="H350" s="126">
        <f t="shared" ref="H350:H355" si="228">F350/G350</f>
        <v>5.2363636363636354</v>
      </c>
      <c r="I350" s="146"/>
      <c r="J350" s="9"/>
      <c r="K350" s="1" t="s">
        <v>4</v>
      </c>
      <c r="L350" s="1" t="s">
        <v>353</v>
      </c>
      <c r="M350" s="28">
        <f>7200/50</f>
        <v>144</v>
      </c>
      <c r="N350" s="57">
        <f>M350*2.5</f>
        <v>360</v>
      </c>
      <c r="O350" s="1">
        <f t="shared" ref="O350:O356" si="229">O349</f>
        <v>103</v>
      </c>
      <c r="P350" s="126">
        <f t="shared" ref="P350:P356" si="230">N350/O350</f>
        <v>3.4951456310679609</v>
      </c>
      <c r="Q350" t="s">
        <v>68</v>
      </c>
      <c r="R350" s="45">
        <v>60</v>
      </c>
      <c r="T350" s="35"/>
      <c r="U350" s="6" t="s">
        <v>4</v>
      </c>
      <c r="V350" s="6" t="s">
        <v>324</v>
      </c>
      <c r="W350" s="28">
        <f>7200/50</f>
        <v>144</v>
      </c>
      <c r="X350" s="29">
        <f>W350*3.8</f>
        <v>547.19999999999993</v>
      </c>
      <c r="Y350" s="1">
        <f t="shared" ref="Y350:Y356" si="231">Y349</f>
        <v>102</v>
      </c>
      <c r="Z350" s="126">
        <f t="shared" si="227"/>
        <v>5.3647058823529408</v>
      </c>
      <c r="AA350" t="s">
        <v>68</v>
      </c>
      <c r="AB350" s="45">
        <v>50</v>
      </c>
    </row>
    <row r="351" spans="1:28" x14ac:dyDescent="0.35">
      <c r="A351" s="35"/>
      <c r="B351" s="5"/>
      <c r="C351" s="6" t="s">
        <v>54</v>
      </c>
      <c r="D351" s="6" t="s">
        <v>419</v>
      </c>
      <c r="E351" s="28">
        <f>600/1000</f>
        <v>0.6</v>
      </c>
      <c r="F351" s="6">
        <f>E351*60</f>
        <v>36</v>
      </c>
      <c r="G351" s="1">
        <f t="shared" ref="G351:G356" si="232">G350</f>
        <v>132</v>
      </c>
      <c r="H351" s="126">
        <f t="shared" si="228"/>
        <v>0.27272727272727271</v>
      </c>
      <c r="I351" s="146"/>
      <c r="J351" s="9"/>
      <c r="K351" s="1" t="s">
        <v>5</v>
      </c>
      <c r="L351" s="1" t="s">
        <v>421</v>
      </c>
      <c r="M351" s="233">
        <f>400/450</f>
        <v>0.88888888888888884</v>
      </c>
      <c r="N351" s="57">
        <f>M351*160</f>
        <v>142.22222222222223</v>
      </c>
      <c r="O351" s="1">
        <f t="shared" si="229"/>
        <v>103</v>
      </c>
      <c r="P351" s="126">
        <f t="shared" si="230"/>
        <v>1.3807982740021576</v>
      </c>
      <c r="Q351" t="s">
        <v>32</v>
      </c>
      <c r="R351" s="47">
        <f>H356</f>
        <v>32.304397900574372</v>
      </c>
      <c r="S351" s="120"/>
      <c r="T351" s="35"/>
      <c r="U351" s="6" t="s">
        <v>5</v>
      </c>
      <c r="V351" s="6" t="s">
        <v>420</v>
      </c>
      <c r="W351" s="28">
        <f>255/450</f>
        <v>0.56666666666666665</v>
      </c>
      <c r="X351" s="29">
        <f>W351*190</f>
        <v>107.66666666666666</v>
      </c>
      <c r="Y351" s="1">
        <f t="shared" si="231"/>
        <v>102</v>
      </c>
      <c r="Z351" s="126">
        <f t="shared" si="227"/>
        <v>1.0555555555555554</v>
      </c>
      <c r="AA351" t="s">
        <v>32</v>
      </c>
      <c r="AB351" s="47">
        <f>Z356</f>
        <v>31.037320261437905</v>
      </c>
    </row>
    <row r="352" spans="1:28" x14ac:dyDescent="0.35">
      <c r="A352" s="35"/>
      <c r="B352" s="5"/>
      <c r="C352" s="6" t="s">
        <v>55</v>
      </c>
      <c r="D352" s="6" t="s">
        <v>318</v>
      </c>
      <c r="E352" s="28">
        <f>35.5/1000</f>
        <v>3.5499999999999997E-2</v>
      </c>
      <c r="F352" s="6">
        <f>E352*280</f>
        <v>9.94</v>
      </c>
      <c r="G352" s="1">
        <f t="shared" si="232"/>
        <v>132</v>
      </c>
      <c r="H352" s="126">
        <f t="shared" si="228"/>
        <v>7.5303030303030302E-2</v>
      </c>
      <c r="I352" s="146"/>
      <c r="J352" s="9"/>
      <c r="K352" s="1" t="s">
        <v>51</v>
      </c>
      <c r="L352" s="1" t="s">
        <v>52</v>
      </c>
      <c r="M352" s="232">
        <f>35.5/1000</f>
        <v>3.5499999999999997E-2</v>
      </c>
      <c r="N352" s="1">
        <f>M352*300</f>
        <v>10.649999999999999</v>
      </c>
      <c r="O352" s="1">
        <f t="shared" si="229"/>
        <v>103</v>
      </c>
      <c r="P352" s="126">
        <f t="shared" si="230"/>
        <v>0.10339805825242718</v>
      </c>
      <c r="Q352" t="s">
        <v>62</v>
      </c>
      <c r="R352" s="47">
        <f>R350-R351</f>
        <v>27.695602099425628</v>
      </c>
      <c r="S352" s="120"/>
      <c r="T352" s="35"/>
      <c r="U352" s="6" t="s">
        <v>51</v>
      </c>
      <c r="V352" s="6" t="s">
        <v>318</v>
      </c>
      <c r="W352" s="205">
        <f>35.5/1000</f>
        <v>3.5499999999999997E-2</v>
      </c>
      <c r="X352" s="6">
        <f>W352*280</f>
        <v>9.94</v>
      </c>
      <c r="Y352" s="1">
        <f t="shared" si="231"/>
        <v>102</v>
      </c>
      <c r="Z352" s="126">
        <f t="shared" si="227"/>
        <v>9.7450980392156855E-2</v>
      </c>
      <c r="AA352" t="s">
        <v>69</v>
      </c>
      <c r="AB352" s="47">
        <f>AB350-AB351</f>
        <v>18.962679738562095</v>
      </c>
    </row>
    <row r="353" spans="1:28" x14ac:dyDescent="0.35">
      <c r="A353" s="35"/>
      <c r="B353" s="5"/>
      <c r="C353" s="6" t="s">
        <v>56</v>
      </c>
      <c r="D353" s="6" t="s">
        <v>419</v>
      </c>
      <c r="E353" s="6">
        <f>340/1000</f>
        <v>0.34</v>
      </c>
      <c r="F353" s="6">
        <f>E353*60</f>
        <v>20.400000000000002</v>
      </c>
      <c r="G353" s="1">
        <f t="shared" si="232"/>
        <v>132</v>
      </c>
      <c r="H353" s="126">
        <f t="shared" si="228"/>
        <v>0.15454545454545457</v>
      </c>
      <c r="I353" s="146"/>
      <c r="J353" s="9"/>
      <c r="K353" s="1" t="s">
        <v>26</v>
      </c>
      <c r="L353" s="1" t="s">
        <v>419</v>
      </c>
      <c r="M353" s="1">
        <f>340/1000</f>
        <v>0.34</v>
      </c>
      <c r="N353" s="1">
        <f>M353*60</f>
        <v>20.400000000000002</v>
      </c>
      <c r="O353" s="1">
        <f t="shared" si="229"/>
        <v>103</v>
      </c>
      <c r="P353" s="126">
        <f t="shared" si="230"/>
        <v>0.1980582524271845</v>
      </c>
      <c r="Q353" t="s">
        <v>72</v>
      </c>
      <c r="R353" s="50">
        <f>G356*R352</f>
        <v>3655.8194771241829</v>
      </c>
      <c r="S353" s="120"/>
      <c r="T353" s="35"/>
      <c r="U353" s="6" t="s">
        <v>26</v>
      </c>
      <c r="V353" s="6" t="s">
        <v>53</v>
      </c>
      <c r="W353" s="6">
        <f>340/1000</f>
        <v>0.34</v>
      </c>
      <c r="X353" s="6">
        <f>W353*50</f>
        <v>17</v>
      </c>
      <c r="Y353" s="1">
        <f t="shared" si="231"/>
        <v>102</v>
      </c>
      <c r="Z353" s="126">
        <f t="shared" si="227"/>
        <v>0.16666666666666666</v>
      </c>
      <c r="AA353" t="s">
        <v>205</v>
      </c>
      <c r="AB353" s="50">
        <f>AB352*102</f>
        <v>1934.1933333333336</v>
      </c>
    </row>
    <row r="354" spans="1:28" x14ac:dyDescent="0.35">
      <c r="A354" s="35"/>
      <c r="B354" s="5"/>
      <c r="C354" s="6" t="s">
        <v>57</v>
      </c>
      <c r="D354" s="6" t="s">
        <v>6</v>
      </c>
      <c r="E354" s="28">
        <f>250/450</f>
        <v>0.55555555555555558</v>
      </c>
      <c r="F354" s="28">
        <f>E354*200</f>
        <v>111.11111111111111</v>
      </c>
      <c r="G354" s="1">
        <f t="shared" si="232"/>
        <v>132</v>
      </c>
      <c r="H354" s="126">
        <f t="shared" si="228"/>
        <v>0.84175084175084181</v>
      </c>
      <c r="I354" s="146"/>
      <c r="J354" s="9"/>
      <c r="K354" s="1" t="s">
        <v>3</v>
      </c>
      <c r="L354" s="1" t="s">
        <v>382</v>
      </c>
      <c r="M354" s="57">
        <f>4660/17</f>
        <v>274.11764705882354</v>
      </c>
      <c r="N354" s="57">
        <f>M354*1.5</f>
        <v>411.1764705882353</v>
      </c>
      <c r="O354" s="1">
        <f t="shared" si="229"/>
        <v>103</v>
      </c>
      <c r="P354" s="126">
        <f t="shared" si="230"/>
        <v>3.9920045688178183</v>
      </c>
      <c r="Q354" t="s">
        <v>424</v>
      </c>
      <c r="R354" s="48">
        <f>R353*4</f>
        <v>14623.277908496731</v>
      </c>
      <c r="S354" s="120"/>
      <c r="T354" s="35"/>
      <c r="U354" s="6" t="s">
        <v>3</v>
      </c>
      <c r="V354" s="6" t="s">
        <v>325</v>
      </c>
      <c r="W354" s="29">
        <f>260</f>
        <v>260</v>
      </c>
      <c r="X354" s="29">
        <f>W354*2.3</f>
        <v>598</v>
      </c>
      <c r="Y354" s="1">
        <f t="shared" si="231"/>
        <v>102</v>
      </c>
      <c r="Z354" s="126">
        <f t="shared" si="227"/>
        <v>5.8627450980392153</v>
      </c>
      <c r="AA354" t="s">
        <v>427</v>
      </c>
      <c r="AB354" s="48">
        <f>AB353*4</f>
        <v>7736.7733333333344</v>
      </c>
    </row>
    <row r="355" spans="1:28" x14ac:dyDescent="0.35">
      <c r="A355" s="35"/>
      <c r="B355" s="5"/>
      <c r="C355" s="6" t="s">
        <v>58</v>
      </c>
      <c r="D355" s="6" t="s">
        <v>319</v>
      </c>
      <c r="E355" s="29">
        <f>4660/17</f>
        <v>274.11764705882354</v>
      </c>
      <c r="F355" s="29">
        <f>E355*2.8</f>
        <v>767.52941176470586</v>
      </c>
      <c r="G355" s="6">
        <f t="shared" si="232"/>
        <v>132</v>
      </c>
      <c r="H355" s="126">
        <f t="shared" si="228"/>
        <v>5.8146167557932262</v>
      </c>
      <c r="I355" s="146"/>
      <c r="J355" s="9"/>
      <c r="K355" s="1" t="s">
        <v>7</v>
      </c>
      <c r="L355" s="234" t="s">
        <v>388</v>
      </c>
      <c r="M355" s="57">
        <f>4730/20</f>
        <v>236.5</v>
      </c>
      <c r="N355" s="57">
        <f>M355*12.5</f>
        <v>2956.25</v>
      </c>
      <c r="O355" s="1">
        <f t="shared" si="229"/>
        <v>103</v>
      </c>
      <c r="P355" s="126">
        <f t="shared" si="230"/>
        <v>28.70145631067961</v>
      </c>
      <c r="Q355" t="s">
        <v>1</v>
      </c>
      <c r="R355" s="45"/>
      <c r="T355" s="35"/>
      <c r="U355" s="6" t="s">
        <v>151</v>
      </c>
      <c r="V355" s="53" t="s">
        <v>53</v>
      </c>
      <c r="W355" s="28">
        <f>280/1000</f>
        <v>0.28000000000000003</v>
      </c>
      <c r="X355" s="6">
        <f>W355*50</f>
        <v>14.000000000000002</v>
      </c>
      <c r="Y355" s="1">
        <f t="shared" si="231"/>
        <v>102</v>
      </c>
      <c r="Z355" s="126">
        <f t="shared" si="227"/>
        <v>0.13725490196078433</v>
      </c>
      <c r="AB355" s="45"/>
    </row>
    <row r="356" spans="1:28" x14ac:dyDescent="0.35">
      <c r="A356" s="35"/>
      <c r="B356" s="5"/>
      <c r="C356" s="6"/>
      <c r="D356" s="6"/>
      <c r="E356" s="29"/>
      <c r="F356" s="51">
        <f>SUM(F349:F355)</f>
        <v>4264.1805228758167</v>
      </c>
      <c r="G356" s="32">
        <f t="shared" si="232"/>
        <v>132</v>
      </c>
      <c r="H356" s="33">
        <f>SUM(H349:H355)</f>
        <v>32.304397900574372</v>
      </c>
      <c r="I356" s="146"/>
      <c r="J356" s="35"/>
      <c r="K356" s="6"/>
      <c r="L356" s="6"/>
      <c r="M356" s="6"/>
      <c r="N356" s="235">
        <f>SUM(N349:N355)</f>
        <v>7550.698692810457</v>
      </c>
      <c r="O356" s="32">
        <f t="shared" si="229"/>
        <v>103</v>
      </c>
      <c r="P356" s="236">
        <f t="shared" si="230"/>
        <v>73.30775429913065</v>
      </c>
      <c r="Q356" t="s">
        <v>68</v>
      </c>
      <c r="R356" s="45">
        <v>100</v>
      </c>
      <c r="T356" s="35"/>
      <c r="U356" s="6"/>
      <c r="V356" s="6"/>
      <c r="W356" s="6"/>
      <c r="X356" s="31">
        <f>SUM(X349:X355)</f>
        <v>3165.8066666666664</v>
      </c>
      <c r="Y356" s="32">
        <f t="shared" si="231"/>
        <v>102</v>
      </c>
      <c r="Z356" s="33">
        <f t="shared" si="227"/>
        <v>31.037320261437905</v>
      </c>
      <c r="AB356" s="45"/>
    </row>
    <row r="357" spans="1:28" x14ac:dyDescent="0.35">
      <c r="A357" s="35"/>
      <c r="B357" s="5" t="s">
        <v>44</v>
      </c>
      <c r="C357" s="5" t="s">
        <v>70</v>
      </c>
      <c r="D357" s="5" t="s">
        <v>70</v>
      </c>
      <c r="E357" s="5"/>
      <c r="F357" s="59">
        <f t="shared" ref="F357:F358" si="233">F356</f>
        <v>4264.1805228758167</v>
      </c>
      <c r="G357" s="5">
        <v>132</v>
      </c>
      <c r="H357" s="127">
        <f>F357/G357</f>
        <v>32.304397900574372</v>
      </c>
      <c r="I357" s="146"/>
      <c r="J357" s="35" t="s">
        <v>44</v>
      </c>
      <c r="K357" s="5" t="s">
        <v>70</v>
      </c>
      <c r="L357" s="5" t="s">
        <v>70</v>
      </c>
      <c r="M357" s="5" t="s">
        <v>70</v>
      </c>
      <c r="N357" s="38">
        <f>N356</f>
        <v>7550.698692810457</v>
      </c>
      <c r="O357" s="5">
        <v>102</v>
      </c>
      <c r="P357" s="30">
        <f>N357/O357</f>
        <v>74.02645777265154</v>
      </c>
      <c r="Q357" t="s">
        <v>32</v>
      </c>
      <c r="R357" s="47">
        <f>AVERAGE(P356,P357,P358,P359,P360,P361,P362)</f>
        <v>74.7677084074775</v>
      </c>
      <c r="S357" s="120"/>
      <c r="T357" s="35" t="s">
        <v>44</v>
      </c>
      <c r="U357" s="5"/>
      <c r="V357" s="5"/>
      <c r="W357" s="5"/>
      <c r="X357" s="29">
        <f t="shared" ref="X357" si="234">X356</f>
        <v>3165.8066666666664</v>
      </c>
      <c r="Y357" s="6">
        <v>102</v>
      </c>
      <c r="Z357" s="30">
        <f t="shared" si="227"/>
        <v>31.037320261437905</v>
      </c>
      <c r="AB357" s="47"/>
    </row>
    <row r="358" spans="1:28" x14ac:dyDescent="0.35">
      <c r="A358" s="35"/>
      <c r="B358" s="5" t="s">
        <v>45</v>
      </c>
      <c r="C358" s="5" t="s">
        <v>70</v>
      </c>
      <c r="D358" s="5" t="s">
        <v>70</v>
      </c>
      <c r="E358" s="5"/>
      <c r="F358" s="59">
        <f t="shared" si="233"/>
        <v>4264.1805228758167</v>
      </c>
      <c r="G358" s="5">
        <v>132</v>
      </c>
      <c r="H358" s="127">
        <f t="shared" ref="H358" si="235">F358/G358</f>
        <v>32.304397900574372</v>
      </c>
      <c r="I358" s="146"/>
      <c r="J358" s="35" t="s">
        <v>45</v>
      </c>
      <c r="K358" s="5" t="s">
        <v>70</v>
      </c>
      <c r="L358" s="5" t="s">
        <v>70</v>
      </c>
      <c r="M358" s="5" t="s">
        <v>70</v>
      </c>
      <c r="N358" s="38">
        <f t="shared" ref="N358:N363" si="236">N357</f>
        <v>7550.698692810457</v>
      </c>
      <c r="O358" s="5">
        <v>101</v>
      </c>
      <c r="P358" s="30">
        <f t="shared" ref="P358:P363" si="237">N358/O358</f>
        <v>74.759392998123332</v>
      </c>
      <c r="Q358" t="s">
        <v>69</v>
      </c>
      <c r="R358" s="47">
        <f>R356-R357</f>
        <v>25.2322915925225</v>
      </c>
      <c r="S358" s="120"/>
      <c r="T358" s="35" t="s">
        <v>45</v>
      </c>
      <c r="U358" s="5"/>
      <c r="V358" s="5"/>
      <c r="W358" s="5"/>
      <c r="X358" s="29">
        <f>X357</f>
        <v>3165.8066666666664</v>
      </c>
      <c r="Y358" s="6">
        <v>102</v>
      </c>
      <c r="Z358" s="30">
        <f t="shared" ref="Z358:Z359" si="238">X358/Y358</f>
        <v>31.037320261437905</v>
      </c>
      <c r="AB358" s="47"/>
    </row>
    <row r="359" spans="1:28" x14ac:dyDescent="0.35">
      <c r="A359" s="35"/>
      <c r="B359" s="5" t="s">
        <v>67</v>
      </c>
      <c r="C359" s="5" t="s">
        <v>70</v>
      </c>
      <c r="D359" s="5" t="s">
        <v>70</v>
      </c>
      <c r="E359" s="5"/>
      <c r="F359" s="59">
        <f t="shared" ref="F359" si="239">F358</f>
        <v>4264.1805228758167</v>
      </c>
      <c r="G359" s="5">
        <v>128</v>
      </c>
      <c r="H359" s="127">
        <f t="shared" ref="H359" si="240">F359/G359</f>
        <v>33.313910334967318</v>
      </c>
      <c r="I359" s="146"/>
      <c r="J359" s="35" t="s">
        <v>67</v>
      </c>
      <c r="K359" s="5" t="s">
        <v>70</v>
      </c>
      <c r="L359" s="5" t="s">
        <v>70</v>
      </c>
      <c r="M359" s="5" t="s">
        <v>70</v>
      </c>
      <c r="N359" s="38">
        <f t="shared" si="236"/>
        <v>7550.698692810457</v>
      </c>
      <c r="O359" s="5">
        <v>101</v>
      </c>
      <c r="P359" s="30">
        <f t="shared" si="237"/>
        <v>74.759392998123332</v>
      </c>
      <c r="Q359" t="s">
        <v>136</v>
      </c>
      <c r="R359" s="50">
        <f>R358*106</f>
        <v>2674.6229088073851</v>
      </c>
      <c r="S359" s="120"/>
      <c r="T359" s="35" t="s">
        <v>67</v>
      </c>
      <c r="U359" s="5"/>
      <c r="V359" s="5"/>
      <c r="W359" s="5"/>
      <c r="X359" s="29">
        <f>X358</f>
        <v>3165.8066666666664</v>
      </c>
      <c r="Y359" s="6">
        <v>102</v>
      </c>
      <c r="Z359" s="30">
        <f t="shared" si="238"/>
        <v>31.037320261437905</v>
      </c>
      <c r="AB359" s="50"/>
    </row>
    <row r="360" spans="1:28" x14ac:dyDescent="0.35">
      <c r="A360" s="35"/>
      <c r="B360" s="5"/>
      <c r="C360" s="5"/>
      <c r="D360" s="5"/>
      <c r="E360" s="5"/>
      <c r="F360" s="59"/>
      <c r="G360" s="5"/>
      <c r="H360" s="127"/>
      <c r="I360" s="146"/>
      <c r="J360" s="35" t="s">
        <v>133</v>
      </c>
      <c r="K360" s="5"/>
      <c r="L360" s="5"/>
      <c r="M360" s="5"/>
      <c r="N360" s="38">
        <f t="shared" si="236"/>
        <v>7550.698692810457</v>
      </c>
      <c r="O360" s="5">
        <v>100</v>
      </c>
      <c r="P360" s="30">
        <f t="shared" si="237"/>
        <v>75.506986928104567</v>
      </c>
      <c r="Q360" t="s">
        <v>433</v>
      </c>
      <c r="R360" s="48">
        <f>R359*8</f>
        <v>21396.983270459081</v>
      </c>
      <c r="S360" s="120"/>
      <c r="T360" s="35"/>
      <c r="U360" s="5"/>
      <c r="V360" s="5"/>
      <c r="W360" s="5"/>
      <c r="X360" s="29"/>
      <c r="Y360" s="6"/>
      <c r="Z360" s="30"/>
      <c r="AB360" s="48"/>
    </row>
    <row r="361" spans="1:28" x14ac:dyDescent="0.35">
      <c r="A361" s="35"/>
      <c r="B361" s="5"/>
      <c r="C361" s="5"/>
      <c r="D361" s="5"/>
      <c r="E361" s="5"/>
      <c r="F361" s="59"/>
      <c r="G361" s="5"/>
      <c r="H361" s="127"/>
      <c r="I361" s="146"/>
      <c r="J361" s="35" t="s">
        <v>134</v>
      </c>
      <c r="K361" s="5"/>
      <c r="L361" s="5"/>
      <c r="M361" s="5"/>
      <c r="N361" s="38">
        <f t="shared" si="236"/>
        <v>7550.698692810457</v>
      </c>
      <c r="O361" s="5">
        <v>100</v>
      </c>
      <c r="P361" s="30">
        <f t="shared" si="237"/>
        <v>75.506986928104567</v>
      </c>
      <c r="Q361">
        <f>100/8</f>
        <v>12.5</v>
      </c>
      <c r="R361" s="48"/>
      <c r="S361" s="120"/>
      <c r="T361" s="35"/>
      <c r="U361" s="5"/>
      <c r="V361" s="5"/>
      <c r="W361" s="5"/>
      <c r="X361" s="29"/>
      <c r="Y361" s="6"/>
      <c r="Z361" s="30"/>
      <c r="AB361" s="48"/>
    </row>
    <row r="362" spans="1:28" x14ac:dyDescent="0.35">
      <c r="A362" s="35"/>
      <c r="B362" s="5"/>
      <c r="C362" s="5"/>
      <c r="D362" s="5"/>
      <c r="E362" s="5"/>
      <c r="F362" s="59"/>
      <c r="G362" s="5"/>
      <c r="H362" s="127"/>
      <c r="I362" s="146"/>
      <c r="J362" s="35" t="s">
        <v>252</v>
      </c>
      <c r="K362" s="5" t="s">
        <v>70</v>
      </c>
      <c r="L362" s="5" t="s">
        <v>70</v>
      </c>
      <c r="M362" s="5" t="s">
        <v>70</v>
      </c>
      <c r="N362" s="38">
        <f t="shared" si="236"/>
        <v>7550.698692810457</v>
      </c>
      <c r="O362" s="5">
        <v>100</v>
      </c>
      <c r="P362" s="30">
        <f t="shared" si="237"/>
        <v>75.506986928104567</v>
      </c>
      <c r="R362" s="48"/>
      <c r="S362" s="120"/>
      <c r="T362" s="35"/>
      <c r="U362" s="5"/>
      <c r="V362" s="5"/>
      <c r="W362" s="5"/>
      <c r="X362" s="29"/>
      <c r="Y362" s="6"/>
      <c r="Z362" s="30"/>
      <c r="AB362" s="48"/>
    </row>
    <row r="363" spans="1:28" x14ac:dyDescent="0.35">
      <c r="A363" s="35"/>
      <c r="B363" s="5"/>
      <c r="C363" s="5"/>
      <c r="D363" s="5"/>
      <c r="E363" s="5"/>
      <c r="F363" s="59"/>
      <c r="G363" s="5"/>
      <c r="H363" s="127"/>
      <c r="I363" s="146"/>
      <c r="J363" s="35" t="s">
        <v>253</v>
      </c>
      <c r="K363" s="5" t="s">
        <v>70</v>
      </c>
      <c r="L363" s="5" t="s">
        <v>70</v>
      </c>
      <c r="M363" s="5" t="s">
        <v>70</v>
      </c>
      <c r="N363" s="38">
        <f t="shared" si="236"/>
        <v>7550.698692810457</v>
      </c>
      <c r="O363" s="5">
        <v>100</v>
      </c>
      <c r="P363" s="30">
        <f t="shared" si="237"/>
        <v>75.506986928104567</v>
      </c>
      <c r="R363" s="48"/>
      <c r="S363" s="120"/>
      <c r="T363" s="35"/>
      <c r="U363" s="5"/>
      <c r="V363" s="5"/>
      <c r="W363" s="5"/>
      <c r="X363" s="29"/>
      <c r="Y363" s="6"/>
      <c r="Z363" s="30"/>
      <c r="AB363" s="48"/>
    </row>
    <row r="364" spans="1:28" ht="15" thickBot="1" x14ac:dyDescent="0.4">
      <c r="A364" s="35"/>
      <c r="B364" s="5"/>
      <c r="C364" s="5"/>
      <c r="D364" s="5"/>
      <c r="E364" s="5"/>
      <c r="F364" s="59"/>
      <c r="G364" s="5"/>
      <c r="H364" s="37"/>
      <c r="I364" s="146"/>
      <c r="J364" s="35"/>
      <c r="K364" s="5"/>
      <c r="L364" s="5"/>
      <c r="M364" s="5"/>
      <c r="N364" s="38"/>
      <c r="O364" s="1"/>
      <c r="P364" s="30"/>
      <c r="R364" s="48"/>
      <c r="S364" s="120"/>
      <c r="T364" s="11"/>
      <c r="U364" s="12"/>
      <c r="V364" s="12"/>
      <c r="W364" s="12"/>
      <c r="X364" s="225"/>
      <c r="Y364" s="12"/>
      <c r="Z364" s="226"/>
      <c r="AB364" s="48"/>
    </row>
    <row r="365" spans="1:28" ht="15" thickBot="1" x14ac:dyDescent="0.4">
      <c r="A365" s="11"/>
      <c r="B365" s="12"/>
      <c r="C365" s="12"/>
      <c r="D365" s="12"/>
      <c r="E365" s="12"/>
      <c r="F365" s="114">
        <f>SUM(F356:F363)</f>
        <v>17056.722091503267</v>
      </c>
      <c r="G365" s="114">
        <f>SUM(G356:G363)</f>
        <v>524</v>
      </c>
      <c r="H365" s="13"/>
      <c r="I365" s="148"/>
      <c r="J365" s="11"/>
      <c r="K365" s="12"/>
      <c r="L365" s="12"/>
      <c r="M365" s="12"/>
      <c r="N365" s="77">
        <f>SUM(N356:N363)</f>
        <v>60405.589542483664</v>
      </c>
      <c r="O365" s="115">
        <f>SUM(O356:O364)</f>
        <v>807</v>
      </c>
      <c r="P365" s="13"/>
      <c r="Q365" s="46" t="s">
        <v>71</v>
      </c>
      <c r="R365" s="52">
        <f>R354+R360</f>
        <v>36020.261178955814</v>
      </c>
      <c r="S365" s="121"/>
      <c r="T365" s="222"/>
      <c r="U365" s="207"/>
      <c r="V365" s="207"/>
      <c r="W365" s="207"/>
      <c r="X365" s="223">
        <f>SUM(X356:X361)</f>
        <v>12663.226666666666</v>
      </c>
      <c r="Y365" s="115">
        <f>SUM(Y356:Y363)</f>
        <v>408</v>
      </c>
      <c r="Z365" s="224"/>
      <c r="AA365" s="46"/>
      <c r="AB365" s="52"/>
    </row>
    <row r="366" spans="1:28" x14ac:dyDescent="0.35">
      <c r="A366" s="39" t="s">
        <v>499</v>
      </c>
      <c r="B366" s="40" t="s">
        <v>43</v>
      </c>
      <c r="C366" s="41" t="s">
        <v>2</v>
      </c>
      <c r="D366" s="41" t="s">
        <v>86</v>
      </c>
      <c r="E366" s="41">
        <f>3650/50</f>
        <v>73</v>
      </c>
      <c r="F366" s="41">
        <f t="shared" ref="F366:F372" si="241">E366*0</f>
        <v>0</v>
      </c>
      <c r="G366" s="41">
        <v>0</v>
      </c>
      <c r="H366" s="113">
        <v>0</v>
      </c>
      <c r="I366" s="147"/>
      <c r="J366" s="80" t="s">
        <v>43</v>
      </c>
      <c r="K366" s="41" t="s">
        <v>2</v>
      </c>
      <c r="L366" s="41" t="s">
        <v>49</v>
      </c>
      <c r="M366" s="41">
        <f>3650/50</f>
        <v>73</v>
      </c>
      <c r="N366" s="41">
        <f t="shared" ref="N366:N372" si="242">M366*0</f>
        <v>0</v>
      </c>
      <c r="O366" s="41">
        <v>0</v>
      </c>
      <c r="P366" s="113">
        <v>0</v>
      </c>
      <c r="Q366" s="43" t="s">
        <v>0</v>
      </c>
      <c r="R366" s="44"/>
      <c r="S366" s="119"/>
      <c r="T366" s="39" t="s">
        <v>43</v>
      </c>
      <c r="U366" s="41" t="s">
        <v>2</v>
      </c>
      <c r="V366" s="41" t="s">
        <v>317</v>
      </c>
      <c r="W366" s="139">
        <f>3600/50</f>
        <v>72</v>
      </c>
      <c r="X366" s="41">
        <f t="shared" ref="X366:X372" si="243">W366*0</f>
        <v>0</v>
      </c>
      <c r="Y366" s="41">
        <v>0</v>
      </c>
      <c r="Z366" s="113">
        <v>0</v>
      </c>
      <c r="AA366" s="43" t="s">
        <v>196</v>
      </c>
      <c r="AB366" s="44"/>
    </row>
    <row r="367" spans="1:28" x14ac:dyDescent="0.35">
      <c r="A367" s="35"/>
      <c r="B367" s="5"/>
      <c r="C367" s="6" t="s">
        <v>4</v>
      </c>
      <c r="D367" s="6" t="s">
        <v>50</v>
      </c>
      <c r="E367" s="28">
        <f>7200/50</f>
        <v>144</v>
      </c>
      <c r="F367" s="6">
        <f t="shared" si="241"/>
        <v>0</v>
      </c>
      <c r="G367" s="1">
        <f>G366</f>
        <v>0</v>
      </c>
      <c r="H367" s="126">
        <v>0</v>
      </c>
      <c r="I367" s="146"/>
      <c r="J367" s="9"/>
      <c r="K367" s="1" t="s">
        <v>4</v>
      </c>
      <c r="L367" s="1" t="s">
        <v>353</v>
      </c>
      <c r="M367" s="28">
        <f>7200/50</f>
        <v>144</v>
      </c>
      <c r="N367" s="6">
        <f t="shared" si="242"/>
        <v>0</v>
      </c>
      <c r="O367" s="1">
        <f>O366</f>
        <v>0</v>
      </c>
      <c r="P367" s="126">
        <v>0</v>
      </c>
      <c r="Q367" t="s">
        <v>68</v>
      </c>
      <c r="R367" s="45">
        <v>60</v>
      </c>
      <c r="T367" s="35"/>
      <c r="U367" s="6" t="s">
        <v>4</v>
      </c>
      <c r="V367" s="6" t="s">
        <v>324</v>
      </c>
      <c r="W367" s="28">
        <f>7200/50</f>
        <v>144</v>
      </c>
      <c r="X367" s="29">
        <f t="shared" si="243"/>
        <v>0</v>
      </c>
      <c r="Y367" s="1">
        <f t="shared" ref="Y367:Y373" si="244">Y366</f>
        <v>0</v>
      </c>
      <c r="Z367" s="126">
        <v>0</v>
      </c>
      <c r="AA367" t="s">
        <v>68</v>
      </c>
      <c r="AB367" s="45">
        <v>50</v>
      </c>
    </row>
    <row r="368" spans="1:28" x14ac:dyDescent="0.35">
      <c r="A368" s="35"/>
      <c r="B368" s="5"/>
      <c r="C368" s="6" t="s">
        <v>54</v>
      </c>
      <c r="D368" s="6" t="s">
        <v>419</v>
      </c>
      <c r="E368" s="28">
        <f>600/1000</f>
        <v>0.6</v>
      </c>
      <c r="F368" s="6">
        <f t="shared" si="241"/>
        <v>0</v>
      </c>
      <c r="G368" s="1">
        <f t="shared" ref="G368:G373" si="245">G367</f>
        <v>0</v>
      </c>
      <c r="H368" s="126">
        <v>0</v>
      </c>
      <c r="I368" s="146"/>
      <c r="J368" s="9"/>
      <c r="K368" s="1" t="s">
        <v>5</v>
      </c>
      <c r="L368" s="1" t="s">
        <v>421</v>
      </c>
      <c r="M368" s="233">
        <f>400/450</f>
        <v>0.88888888888888884</v>
      </c>
      <c r="N368" s="6">
        <f t="shared" si="242"/>
        <v>0</v>
      </c>
      <c r="O368" s="1">
        <f t="shared" ref="O368:O373" si="246">O367</f>
        <v>0</v>
      </c>
      <c r="P368" s="126">
        <v>0</v>
      </c>
      <c r="Q368" t="s">
        <v>32</v>
      </c>
      <c r="R368" s="47">
        <f>H373</f>
        <v>0</v>
      </c>
      <c r="S368" s="120"/>
      <c r="T368" s="35"/>
      <c r="U368" s="6" t="s">
        <v>5</v>
      </c>
      <c r="V368" s="6" t="s">
        <v>420</v>
      </c>
      <c r="W368" s="28">
        <f>255/450</f>
        <v>0.56666666666666665</v>
      </c>
      <c r="X368" s="29">
        <f t="shared" si="243"/>
        <v>0</v>
      </c>
      <c r="Y368" s="1">
        <f t="shared" si="244"/>
        <v>0</v>
      </c>
      <c r="Z368" s="126">
        <v>0</v>
      </c>
      <c r="AA368" t="s">
        <v>32</v>
      </c>
      <c r="AB368" s="47">
        <f>Z373</f>
        <v>0</v>
      </c>
    </row>
    <row r="369" spans="1:28" x14ac:dyDescent="0.35">
      <c r="A369" s="35"/>
      <c r="B369" s="5"/>
      <c r="C369" s="6" t="s">
        <v>55</v>
      </c>
      <c r="D369" s="6" t="s">
        <v>318</v>
      </c>
      <c r="E369" s="28">
        <f>35.5/1000</f>
        <v>3.5499999999999997E-2</v>
      </c>
      <c r="F369" s="6">
        <f t="shared" si="241"/>
        <v>0</v>
      </c>
      <c r="G369" s="1">
        <f t="shared" si="245"/>
        <v>0</v>
      </c>
      <c r="H369" s="126">
        <v>0</v>
      </c>
      <c r="I369" s="146"/>
      <c r="J369" s="9"/>
      <c r="K369" s="1" t="s">
        <v>51</v>
      </c>
      <c r="L369" s="1" t="s">
        <v>52</v>
      </c>
      <c r="M369" s="232">
        <f>35.5/1000</f>
        <v>3.5499999999999997E-2</v>
      </c>
      <c r="N369" s="6">
        <f t="shared" si="242"/>
        <v>0</v>
      </c>
      <c r="O369" s="1">
        <f t="shared" si="246"/>
        <v>0</v>
      </c>
      <c r="P369" s="126">
        <v>0</v>
      </c>
      <c r="Q369" t="s">
        <v>62</v>
      </c>
      <c r="R369" s="47">
        <f>R367-R368</f>
        <v>60</v>
      </c>
      <c r="S369" s="120"/>
      <c r="T369" s="35"/>
      <c r="U369" s="6" t="s">
        <v>51</v>
      </c>
      <c r="V369" s="6" t="s">
        <v>318</v>
      </c>
      <c r="W369" s="205">
        <f>35.5/1000</f>
        <v>3.5499999999999997E-2</v>
      </c>
      <c r="X369" s="6">
        <f t="shared" si="243"/>
        <v>0</v>
      </c>
      <c r="Y369" s="1">
        <f t="shared" si="244"/>
        <v>0</v>
      </c>
      <c r="Z369" s="126">
        <v>0</v>
      </c>
      <c r="AA369" t="s">
        <v>69</v>
      </c>
      <c r="AB369" s="47">
        <f>AB367-AB368</f>
        <v>50</v>
      </c>
    </row>
    <row r="370" spans="1:28" x14ac:dyDescent="0.35">
      <c r="A370" s="35"/>
      <c r="B370" s="5"/>
      <c r="C370" s="6" t="s">
        <v>56</v>
      </c>
      <c r="D370" s="6" t="s">
        <v>419</v>
      </c>
      <c r="E370" s="6">
        <f>340/1000</f>
        <v>0.34</v>
      </c>
      <c r="F370" s="6">
        <f t="shared" si="241"/>
        <v>0</v>
      </c>
      <c r="G370" s="1">
        <f t="shared" si="245"/>
        <v>0</v>
      </c>
      <c r="H370" s="126">
        <v>0</v>
      </c>
      <c r="I370" s="146"/>
      <c r="J370" s="9"/>
      <c r="K370" s="1" t="s">
        <v>26</v>
      </c>
      <c r="L370" s="1" t="s">
        <v>419</v>
      </c>
      <c r="M370" s="1">
        <f>340/1000</f>
        <v>0.34</v>
      </c>
      <c r="N370" s="6">
        <f t="shared" si="242"/>
        <v>0</v>
      </c>
      <c r="O370" s="1">
        <f t="shared" si="246"/>
        <v>0</v>
      </c>
      <c r="P370" s="126">
        <v>0</v>
      </c>
      <c r="Q370" t="s">
        <v>72</v>
      </c>
      <c r="R370" s="50">
        <f>G373*R369</f>
        <v>0</v>
      </c>
      <c r="S370" s="120"/>
      <c r="T370" s="35"/>
      <c r="U370" s="6" t="s">
        <v>26</v>
      </c>
      <c r="V370" s="6" t="s">
        <v>53</v>
      </c>
      <c r="W370" s="6">
        <f>340/1000</f>
        <v>0.34</v>
      </c>
      <c r="X370" s="6">
        <f t="shared" si="243"/>
        <v>0</v>
      </c>
      <c r="Y370" s="1">
        <f t="shared" si="244"/>
        <v>0</v>
      </c>
      <c r="Z370" s="126">
        <v>0</v>
      </c>
      <c r="AA370" t="s">
        <v>205</v>
      </c>
      <c r="AB370" s="50">
        <f>AB369*0</f>
        <v>0</v>
      </c>
    </row>
    <row r="371" spans="1:28" x14ac:dyDescent="0.35">
      <c r="A371" s="35"/>
      <c r="B371" s="5"/>
      <c r="C371" s="6" t="s">
        <v>57</v>
      </c>
      <c r="D371" s="6" t="s">
        <v>6</v>
      </c>
      <c r="E371" s="28">
        <f>250/450</f>
        <v>0.55555555555555558</v>
      </c>
      <c r="F371" s="6">
        <f t="shared" si="241"/>
        <v>0</v>
      </c>
      <c r="G371" s="1">
        <f t="shared" si="245"/>
        <v>0</v>
      </c>
      <c r="H371" s="126">
        <v>0</v>
      </c>
      <c r="I371" s="146"/>
      <c r="J371" s="9"/>
      <c r="K371" s="1" t="s">
        <v>3</v>
      </c>
      <c r="L371" s="1" t="s">
        <v>382</v>
      </c>
      <c r="M371" s="57">
        <f>4660/17</f>
        <v>274.11764705882354</v>
      </c>
      <c r="N371" s="6">
        <f t="shared" si="242"/>
        <v>0</v>
      </c>
      <c r="O371" s="1">
        <f t="shared" si="246"/>
        <v>0</v>
      </c>
      <c r="P371" s="126">
        <v>0</v>
      </c>
      <c r="Q371" t="s">
        <v>431</v>
      </c>
      <c r="R371" s="48">
        <f>R370*5</f>
        <v>0</v>
      </c>
      <c r="S371" s="120"/>
      <c r="T371" s="35"/>
      <c r="U371" s="6" t="s">
        <v>3</v>
      </c>
      <c r="V371" s="6" t="s">
        <v>325</v>
      </c>
      <c r="W371" s="29">
        <f>260</f>
        <v>260</v>
      </c>
      <c r="X371" s="29">
        <f t="shared" si="243"/>
        <v>0</v>
      </c>
      <c r="Y371" s="1">
        <f t="shared" si="244"/>
        <v>0</v>
      </c>
      <c r="Z371" s="126">
        <v>0</v>
      </c>
      <c r="AA371" t="s">
        <v>389</v>
      </c>
      <c r="AB371" s="48">
        <f>AB370*6</f>
        <v>0</v>
      </c>
    </row>
    <row r="372" spans="1:28" x14ac:dyDescent="0.35">
      <c r="A372" s="35"/>
      <c r="B372" s="5"/>
      <c r="C372" s="6" t="s">
        <v>58</v>
      </c>
      <c r="D372" s="6" t="s">
        <v>319</v>
      </c>
      <c r="E372" s="29">
        <f>4660/17</f>
        <v>274.11764705882354</v>
      </c>
      <c r="F372" s="29">
        <f t="shared" si="241"/>
        <v>0</v>
      </c>
      <c r="G372" s="6">
        <f t="shared" si="245"/>
        <v>0</v>
      </c>
      <c r="H372" s="126">
        <v>0</v>
      </c>
      <c r="I372" s="146"/>
      <c r="J372" s="9"/>
      <c r="K372" s="1" t="s">
        <v>7</v>
      </c>
      <c r="L372" s="234" t="s">
        <v>316</v>
      </c>
      <c r="M372" s="57">
        <f>4730/20</f>
        <v>236.5</v>
      </c>
      <c r="N372" s="29">
        <f t="shared" si="242"/>
        <v>0</v>
      </c>
      <c r="O372" s="6">
        <f t="shared" si="246"/>
        <v>0</v>
      </c>
      <c r="P372" s="126">
        <v>0</v>
      </c>
      <c r="Q372" t="s">
        <v>1</v>
      </c>
      <c r="R372" s="45"/>
      <c r="T372" s="35"/>
      <c r="U372" s="6" t="s">
        <v>151</v>
      </c>
      <c r="V372" s="53" t="s">
        <v>53</v>
      </c>
      <c r="W372" s="28">
        <f>280/1000</f>
        <v>0.28000000000000003</v>
      </c>
      <c r="X372" s="6">
        <f t="shared" si="243"/>
        <v>0</v>
      </c>
      <c r="Y372" s="1">
        <f t="shared" si="244"/>
        <v>0</v>
      </c>
      <c r="Z372" s="126">
        <v>0</v>
      </c>
      <c r="AB372" s="45"/>
    </row>
    <row r="373" spans="1:28" x14ac:dyDescent="0.35">
      <c r="A373" s="35"/>
      <c r="B373" s="5"/>
      <c r="C373" s="6"/>
      <c r="D373" s="6"/>
      <c r="E373" s="29"/>
      <c r="F373" s="51">
        <f>SUM(F366:F372)</f>
        <v>0</v>
      </c>
      <c r="G373" s="32">
        <f t="shared" si="245"/>
        <v>0</v>
      </c>
      <c r="H373" s="33">
        <f>SUM(H366:H372)</f>
        <v>0</v>
      </c>
      <c r="I373" s="146"/>
      <c r="J373" s="35"/>
      <c r="K373" s="6"/>
      <c r="L373" s="6"/>
      <c r="M373" s="6"/>
      <c r="N373" s="51">
        <f>SUM(N366:N372)</f>
        <v>0</v>
      </c>
      <c r="O373" s="32">
        <f t="shared" si="246"/>
        <v>0</v>
      </c>
      <c r="P373" s="33">
        <f>SUM(P366:P372)</f>
        <v>0</v>
      </c>
      <c r="Q373" t="s">
        <v>68</v>
      </c>
      <c r="R373" s="45">
        <v>100</v>
      </c>
      <c r="T373" s="35"/>
      <c r="U373" s="6"/>
      <c r="V373" s="6"/>
      <c r="W373" s="6"/>
      <c r="X373" s="31">
        <f>SUM(X366:X372)</f>
        <v>0</v>
      </c>
      <c r="Y373" s="32">
        <f t="shared" si="244"/>
        <v>0</v>
      </c>
      <c r="Z373" s="33">
        <v>0</v>
      </c>
      <c r="AB373" s="45"/>
    </row>
    <row r="374" spans="1:28" x14ac:dyDescent="0.35">
      <c r="A374" s="35"/>
      <c r="B374" s="5"/>
      <c r="C374" s="5"/>
      <c r="D374" s="5"/>
      <c r="E374" s="5"/>
      <c r="F374" s="59"/>
      <c r="G374" s="5"/>
      <c r="H374" s="127"/>
      <c r="I374" s="146"/>
      <c r="J374" s="35"/>
      <c r="K374" s="5"/>
      <c r="L374" s="5"/>
      <c r="M374" s="5"/>
      <c r="N374" s="38"/>
      <c r="O374" s="5"/>
      <c r="P374" s="30"/>
      <c r="Q374" t="s">
        <v>32</v>
      </c>
      <c r="R374" s="47">
        <f>AVERAGE(P373,P374,P375,P376,P377,P378,P379,P380)</f>
        <v>0</v>
      </c>
      <c r="S374" s="120"/>
      <c r="T374" s="35"/>
      <c r="U374" s="5"/>
      <c r="V374" s="5"/>
      <c r="W374" s="5"/>
      <c r="X374" s="29"/>
      <c r="Y374" s="6"/>
      <c r="Z374" s="30"/>
      <c r="AB374" s="47"/>
    </row>
    <row r="375" spans="1:28" x14ac:dyDescent="0.35">
      <c r="A375" s="35"/>
      <c r="B375" s="5"/>
      <c r="C375" s="5"/>
      <c r="D375" s="5"/>
      <c r="E375" s="5"/>
      <c r="F375" s="59"/>
      <c r="G375" s="5"/>
      <c r="H375" s="127"/>
      <c r="I375" s="146"/>
      <c r="J375" s="35"/>
      <c r="K375" s="5"/>
      <c r="L375" s="5"/>
      <c r="M375" s="5"/>
      <c r="N375" s="38"/>
      <c r="O375" s="5"/>
      <c r="P375" s="30"/>
      <c r="Q375" t="s">
        <v>69</v>
      </c>
      <c r="R375" s="47">
        <f>R373-R374</f>
        <v>100</v>
      </c>
      <c r="S375" s="120"/>
      <c r="T375" s="35"/>
      <c r="U375" s="5"/>
      <c r="V375" s="5"/>
      <c r="W375" s="5"/>
      <c r="X375" s="29"/>
      <c r="Y375" s="6"/>
      <c r="Z375" s="30"/>
      <c r="AB375" s="47"/>
    </row>
    <row r="376" spans="1:28" x14ac:dyDescent="0.35">
      <c r="A376" s="35"/>
      <c r="B376" s="5"/>
      <c r="C376" s="5"/>
      <c r="D376" s="5"/>
      <c r="E376" s="5"/>
      <c r="F376" s="59"/>
      <c r="G376" s="5"/>
      <c r="H376" s="127"/>
      <c r="I376" s="146"/>
      <c r="J376" s="35"/>
      <c r="K376" s="5"/>
      <c r="L376" s="5"/>
      <c r="M376" s="5"/>
      <c r="N376" s="38"/>
      <c r="O376" s="5"/>
      <c r="P376" s="30"/>
      <c r="Q376" t="s">
        <v>136</v>
      </c>
      <c r="R376" s="50">
        <f>R375*0</f>
        <v>0</v>
      </c>
      <c r="S376" s="120"/>
      <c r="T376" s="35"/>
      <c r="U376" s="5"/>
      <c r="V376" s="5"/>
      <c r="W376" s="5"/>
      <c r="X376" s="29"/>
      <c r="Y376" s="6"/>
      <c r="Z376" s="30"/>
      <c r="AB376" s="50"/>
    </row>
    <row r="377" spans="1:28" x14ac:dyDescent="0.35">
      <c r="A377" s="35"/>
      <c r="B377" s="5"/>
      <c r="C377" s="5"/>
      <c r="D377" s="5"/>
      <c r="E377" s="5"/>
      <c r="F377" s="59"/>
      <c r="G377" s="5"/>
      <c r="H377" s="127"/>
      <c r="I377" s="146"/>
      <c r="J377" s="35"/>
      <c r="K377" s="5"/>
      <c r="L377" s="5"/>
      <c r="M377" s="5"/>
      <c r="N377" s="38"/>
      <c r="O377" s="5"/>
      <c r="P377" s="30"/>
      <c r="Q377" t="s">
        <v>425</v>
      </c>
      <c r="R377" s="48">
        <f>R376*8</f>
        <v>0</v>
      </c>
      <c r="S377" s="120"/>
      <c r="T377" s="35"/>
      <c r="U377" s="5"/>
      <c r="V377" s="5"/>
      <c r="W377" s="5"/>
      <c r="X377" s="29"/>
      <c r="Y377" s="6"/>
      <c r="Z377" s="30"/>
      <c r="AB377" s="48"/>
    </row>
    <row r="378" spans="1:28" x14ac:dyDescent="0.35">
      <c r="A378" s="35"/>
      <c r="B378" s="5"/>
      <c r="C378" s="5"/>
      <c r="D378" s="5"/>
      <c r="E378" s="5"/>
      <c r="F378" s="59"/>
      <c r="G378" s="5"/>
      <c r="H378" s="127"/>
      <c r="I378" s="146"/>
      <c r="J378" s="35"/>
      <c r="K378" s="5"/>
      <c r="L378" s="5"/>
      <c r="M378" s="5"/>
      <c r="N378" s="38"/>
      <c r="O378" s="5"/>
      <c r="P378" s="30"/>
      <c r="R378" s="48"/>
      <c r="S378" s="120"/>
      <c r="T378" s="35"/>
      <c r="U378" s="5"/>
      <c r="V378" s="5"/>
      <c r="W378" s="5"/>
      <c r="X378" s="29"/>
      <c r="Y378" s="6"/>
      <c r="Z378" s="30"/>
      <c r="AB378" s="48"/>
    </row>
    <row r="379" spans="1:28" x14ac:dyDescent="0.35">
      <c r="A379" s="35"/>
      <c r="B379" s="5"/>
      <c r="C379" s="5"/>
      <c r="D379" s="5"/>
      <c r="E379" s="5"/>
      <c r="F379" s="59"/>
      <c r="G379" s="5"/>
      <c r="H379" s="127"/>
      <c r="I379" s="146"/>
      <c r="J379" s="35"/>
      <c r="K379" s="5"/>
      <c r="L379" s="5"/>
      <c r="M379" s="5"/>
      <c r="N379" s="38"/>
      <c r="O379" s="5"/>
      <c r="P379" s="30"/>
      <c r="Q379">
        <f>80/8</f>
        <v>10</v>
      </c>
      <c r="R379" s="48"/>
      <c r="S379" s="120"/>
      <c r="T379" s="9"/>
      <c r="U379" s="1"/>
      <c r="V379" s="1"/>
      <c r="W379" s="1"/>
      <c r="X379" s="29"/>
      <c r="Y379" s="6"/>
      <c r="Z379" s="30"/>
      <c r="AB379" s="48"/>
    </row>
    <row r="380" spans="1:28" x14ac:dyDescent="0.35">
      <c r="A380" s="35"/>
      <c r="B380" s="5"/>
      <c r="C380" s="5"/>
      <c r="D380" s="5"/>
      <c r="E380" s="5"/>
      <c r="F380" s="59"/>
      <c r="G380" s="5"/>
      <c r="H380" s="127"/>
      <c r="I380" s="146"/>
      <c r="J380" s="35"/>
      <c r="K380" s="5"/>
      <c r="L380" s="5"/>
      <c r="M380" s="5"/>
      <c r="N380" s="38"/>
      <c r="O380" s="1"/>
      <c r="P380" s="30"/>
      <c r="R380" s="48"/>
      <c r="S380" s="120"/>
      <c r="T380" s="35"/>
      <c r="U380" s="5"/>
      <c r="V380" s="5"/>
      <c r="W380" s="5"/>
      <c r="X380" s="29"/>
      <c r="Y380" s="6"/>
      <c r="Z380" s="30"/>
      <c r="AB380" s="48"/>
    </row>
    <row r="381" spans="1:28" x14ac:dyDescent="0.35">
      <c r="A381" s="35"/>
      <c r="B381" s="5"/>
      <c r="C381" s="5"/>
      <c r="D381" s="5"/>
      <c r="E381" s="5"/>
      <c r="F381" s="59"/>
      <c r="G381" s="5">
        <v>0</v>
      </c>
      <c r="H381" s="37"/>
      <c r="I381" s="146"/>
      <c r="J381" s="35"/>
      <c r="K381" s="5"/>
      <c r="L381" s="5"/>
      <c r="M381" s="5"/>
      <c r="N381" s="38"/>
      <c r="O381" s="1"/>
      <c r="P381" s="30"/>
      <c r="R381" s="48"/>
      <c r="S381" s="120"/>
      <c r="T381" s="35"/>
      <c r="U381" s="5"/>
      <c r="V381" s="5"/>
      <c r="W381" s="5"/>
      <c r="X381" s="38"/>
      <c r="Y381" s="90"/>
      <c r="Z381" s="91"/>
      <c r="AB381" s="48"/>
    </row>
    <row r="382" spans="1:28" x14ac:dyDescent="0.35">
      <c r="A382" s="35"/>
      <c r="B382" s="5"/>
      <c r="C382" s="5"/>
      <c r="D382" s="5"/>
      <c r="E382" s="5"/>
      <c r="F382" s="59"/>
      <c r="G382" s="5"/>
      <c r="H382" s="37"/>
      <c r="I382" s="146"/>
      <c r="J382" s="35"/>
      <c r="K382" s="5"/>
      <c r="L382" s="5"/>
      <c r="M382" s="5"/>
      <c r="N382" s="38"/>
      <c r="O382" s="1"/>
      <c r="P382" s="30"/>
      <c r="R382" s="48"/>
      <c r="S382" s="120"/>
      <c r="T382" s="35"/>
      <c r="U382" s="5"/>
      <c r="V382" s="5"/>
      <c r="W382" s="5"/>
      <c r="X382" s="38"/>
      <c r="Y382" s="90"/>
      <c r="Z382" s="91"/>
      <c r="AB382" s="48"/>
    </row>
    <row r="383" spans="1:28" ht="15" thickBot="1" x14ac:dyDescent="0.4">
      <c r="A383" s="11"/>
      <c r="B383" s="12"/>
      <c r="C383" s="12"/>
      <c r="D383" s="12"/>
      <c r="E383" s="12"/>
      <c r="F383" s="114">
        <f>SUM(F373:F381)</f>
        <v>0</v>
      </c>
      <c r="G383" s="114">
        <f>SUM(G373:G381)</f>
        <v>0</v>
      </c>
      <c r="H383" s="13"/>
      <c r="I383" s="148"/>
      <c r="J383" s="11"/>
      <c r="K383" s="12"/>
      <c r="L383" s="12"/>
      <c r="M383" s="12"/>
      <c r="N383" s="115">
        <f>SUM(N373:N382)</f>
        <v>0</v>
      </c>
      <c r="O383" s="115">
        <f>SUM(O373:O382)</f>
        <v>0</v>
      </c>
      <c r="P383" s="13"/>
      <c r="Q383" s="46" t="s">
        <v>71</v>
      </c>
      <c r="R383" s="52">
        <f>R371+R377</f>
        <v>0</v>
      </c>
      <c r="S383" s="121"/>
      <c r="T383" s="11"/>
      <c r="U383" s="12"/>
      <c r="V383" s="12"/>
      <c r="W383" s="12"/>
      <c r="X383" s="77">
        <f>SUM(X373:X378)</f>
        <v>0</v>
      </c>
      <c r="Y383" s="115">
        <f>SUM(Y373:Y381)</f>
        <v>0</v>
      </c>
      <c r="Z383" s="13"/>
      <c r="AA383" s="46"/>
      <c r="AB383" s="52"/>
    </row>
    <row r="384" spans="1:28" x14ac:dyDescent="0.35">
      <c r="A384" s="39" t="s">
        <v>500</v>
      </c>
      <c r="B384" s="40" t="s">
        <v>43</v>
      </c>
      <c r="C384" s="41" t="s">
        <v>2</v>
      </c>
      <c r="D384" s="41" t="s">
        <v>86</v>
      </c>
      <c r="E384" s="41">
        <f>3650/50</f>
        <v>73</v>
      </c>
      <c r="F384" s="41">
        <f>E384*36</f>
        <v>2628</v>
      </c>
      <c r="G384" s="41">
        <v>132</v>
      </c>
      <c r="H384" s="113">
        <f>F384/G384</f>
        <v>19.90909090909091</v>
      </c>
      <c r="I384" s="147"/>
      <c r="J384" s="80" t="s">
        <v>43</v>
      </c>
      <c r="K384" s="41" t="s">
        <v>2</v>
      </c>
      <c r="L384" s="41" t="s">
        <v>49</v>
      </c>
      <c r="M384" s="41">
        <f>3650/50</f>
        <v>73</v>
      </c>
      <c r="N384" s="41">
        <f>M384*50</f>
        <v>3650</v>
      </c>
      <c r="O384" s="41">
        <v>103</v>
      </c>
      <c r="P384" s="113">
        <f>N384/O384</f>
        <v>35.436893203883493</v>
      </c>
      <c r="Q384" s="43" t="s">
        <v>0</v>
      </c>
      <c r="R384" s="44"/>
      <c r="S384" s="119"/>
      <c r="T384" s="39" t="s">
        <v>43</v>
      </c>
      <c r="U384" s="41" t="s">
        <v>2</v>
      </c>
      <c r="V384" s="41" t="s">
        <v>317</v>
      </c>
      <c r="W384" s="139">
        <f>3600/50</f>
        <v>72</v>
      </c>
      <c r="X384" s="41">
        <f>W384*26</f>
        <v>1872</v>
      </c>
      <c r="Y384" s="41">
        <v>102</v>
      </c>
      <c r="Z384" s="113">
        <f t="shared" ref="Z384:Z396" si="247">X384/Y384</f>
        <v>18.352941176470587</v>
      </c>
      <c r="AA384" s="43" t="s">
        <v>196</v>
      </c>
      <c r="AB384" s="44"/>
    </row>
    <row r="385" spans="1:28" x14ac:dyDescent="0.35">
      <c r="A385" s="35"/>
      <c r="B385" s="5"/>
      <c r="C385" s="6" t="s">
        <v>4</v>
      </c>
      <c r="D385" s="6" t="s">
        <v>485</v>
      </c>
      <c r="E385" s="28">
        <f>7200/50</f>
        <v>144</v>
      </c>
      <c r="F385" s="6">
        <f>E385*4.8</f>
        <v>691.19999999999993</v>
      </c>
      <c r="G385" s="1">
        <f>G384</f>
        <v>132</v>
      </c>
      <c r="H385" s="126">
        <f t="shared" ref="H385:H390" si="248">F385/G385</f>
        <v>5.2363636363636354</v>
      </c>
      <c r="I385" s="146"/>
      <c r="J385" s="9"/>
      <c r="K385" s="1" t="s">
        <v>4</v>
      </c>
      <c r="L385" s="1" t="s">
        <v>353</v>
      </c>
      <c r="M385" s="28">
        <f>7200/50</f>
        <v>144</v>
      </c>
      <c r="N385" s="57">
        <f>M385*2.5</f>
        <v>360</v>
      </c>
      <c r="O385" s="1">
        <f t="shared" ref="O385:O391" si="249">O384</f>
        <v>103</v>
      </c>
      <c r="P385" s="126">
        <f t="shared" ref="P385:P391" si="250">N385/O385</f>
        <v>3.4951456310679609</v>
      </c>
      <c r="Q385" t="s">
        <v>68</v>
      </c>
      <c r="R385" s="45">
        <v>60</v>
      </c>
      <c r="T385" s="35"/>
      <c r="U385" s="6" t="s">
        <v>4</v>
      </c>
      <c r="V385" s="6" t="s">
        <v>324</v>
      </c>
      <c r="W385" s="28">
        <f>7200/50</f>
        <v>144</v>
      </c>
      <c r="X385" s="29">
        <f>W385*3.8</f>
        <v>547.19999999999993</v>
      </c>
      <c r="Y385" s="1">
        <f t="shared" ref="Y385:Y391" si="251">Y384</f>
        <v>102</v>
      </c>
      <c r="Z385" s="126">
        <f t="shared" si="247"/>
        <v>5.3647058823529408</v>
      </c>
      <c r="AA385" t="s">
        <v>68</v>
      </c>
      <c r="AB385" s="45">
        <v>50</v>
      </c>
    </row>
    <row r="386" spans="1:28" x14ac:dyDescent="0.35">
      <c r="A386" s="35"/>
      <c r="B386" s="5"/>
      <c r="C386" s="6" t="s">
        <v>54</v>
      </c>
      <c r="D386" s="6" t="s">
        <v>419</v>
      </c>
      <c r="E386" s="28">
        <f>600/1000</f>
        <v>0.6</v>
      </c>
      <c r="F386" s="6">
        <f>E386*60</f>
        <v>36</v>
      </c>
      <c r="G386" s="1">
        <f t="shared" ref="G386:G391" si="252">G385</f>
        <v>132</v>
      </c>
      <c r="H386" s="126">
        <f t="shared" si="248"/>
        <v>0.27272727272727271</v>
      </c>
      <c r="I386" s="146"/>
      <c r="J386" s="9"/>
      <c r="K386" s="1" t="s">
        <v>5</v>
      </c>
      <c r="L386" s="1" t="s">
        <v>421</v>
      </c>
      <c r="M386" s="233">
        <f>400/450</f>
        <v>0.88888888888888884</v>
      </c>
      <c r="N386" s="57">
        <f>M386*160</f>
        <v>142.22222222222223</v>
      </c>
      <c r="O386" s="1">
        <f t="shared" si="249"/>
        <v>103</v>
      </c>
      <c r="P386" s="126">
        <f t="shared" si="250"/>
        <v>1.3807982740021576</v>
      </c>
      <c r="Q386" t="s">
        <v>32</v>
      </c>
      <c r="R386" s="47">
        <f>H391</f>
        <v>32.304397900574372</v>
      </c>
      <c r="S386" s="120"/>
      <c r="T386" s="35"/>
      <c r="U386" s="6" t="s">
        <v>5</v>
      </c>
      <c r="V386" s="6" t="s">
        <v>420</v>
      </c>
      <c r="W386" s="28">
        <f>255/450</f>
        <v>0.56666666666666665</v>
      </c>
      <c r="X386" s="29">
        <f>W386*190</f>
        <v>107.66666666666666</v>
      </c>
      <c r="Y386" s="1">
        <f t="shared" si="251"/>
        <v>102</v>
      </c>
      <c r="Z386" s="126">
        <f t="shared" si="247"/>
        <v>1.0555555555555554</v>
      </c>
      <c r="AA386" t="s">
        <v>32</v>
      </c>
      <c r="AB386" s="47">
        <f>Z391</f>
        <v>31.037320261437905</v>
      </c>
    </row>
    <row r="387" spans="1:28" x14ac:dyDescent="0.35">
      <c r="A387" s="35"/>
      <c r="B387" s="5"/>
      <c r="C387" s="6" t="s">
        <v>55</v>
      </c>
      <c r="D387" s="6" t="s">
        <v>318</v>
      </c>
      <c r="E387" s="28">
        <f>35.5/1000</f>
        <v>3.5499999999999997E-2</v>
      </c>
      <c r="F387" s="6">
        <f>E387*280</f>
        <v>9.94</v>
      </c>
      <c r="G387" s="1">
        <f t="shared" si="252"/>
        <v>132</v>
      </c>
      <c r="H387" s="126">
        <f t="shared" si="248"/>
        <v>7.5303030303030302E-2</v>
      </c>
      <c r="I387" s="146"/>
      <c r="J387" s="9"/>
      <c r="K387" s="1" t="s">
        <v>51</v>
      </c>
      <c r="L387" s="1" t="s">
        <v>52</v>
      </c>
      <c r="M387" s="232">
        <f>35.5/1000</f>
        <v>3.5499999999999997E-2</v>
      </c>
      <c r="N387" s="1">
        <f>M387*300</f>
        <v>10.649999999999999</v>
      </c>
      <c r="O387" s="1">
        <f t="shared" si="249"/>
        <v>103</v>
      </c>
      <c r="P387" s="126">
        <f t="shared" si="250"/>
        <v>0.10339805825242718</v>
      </c>
      <c r="Q387" t="s">
        <v>62</v>
      </c>
      <c r="R387" s="47">
        <f>R385-R386</f>
        <v>27.695602099425628</v>
      </c>
      <c r="S387" s="120"/>
      <c r="T387" s="35"/>
      <c r="U387" s="6" t="s">
        <v>51</v>
      </c>
      <c r="V387" s="6" t="s">
        <v>318</v>
      </c>
      <c r="W387" s="205">
        <f>35.5/1000</f>
        <v>3.5499999999999997E-2</v>
      </c>
      <c r="X387" s="6">
        <f>W387*280</f>
        <v>9.94</v>
      </c>
      <c r="Y387" s="1">
        <f t="shared" si="251"/>
        <v>102</v>
      </c>
      <c r="Z387" s="126">
        <f t="shared" si="247"/>
        <v>9.7450980392156855E-2</v>
      </c>
      <c r="AA387" t="s">
        <v>69</v>
      </c>
      <c r="AB387" s="47">
        <f>AB385-AB386</f>
        <v>18.962679738562095</v>
      </c>
    </row>
    <row r="388" spans="1:28" x14ac:dyDescent="0.35">
      <c r="A388" s="35"/>
      <c r="B388" s="5"/>
      <c r="C388" s="6" t="s">
        <v>56</v>
      </c>
      <c r="D388" s="6" t="s">
        <v>419</v>
      </c>
      <c r="E388" s="6">
        <f>340/1000</f>
        <v>0.34</v>
      </c>
      <c r="F388" s="6">
        <f>E388*60</f>
        <v>20.400000000000002</v>
      </c>
      <c r="G388" s="1">
        <f t="shared" si="252"/>
        <v>132</v>
      </c>
      <c r="H388" s="126">
        <f t="shared" si="248"/>
        <v>0.15454545454545457</v>
      </c>
      <c r="I388" s="146"/>
      <c r="J388" s="9"/>
      <c r="K388" s="1" t="s">
        <v>26</v>
      </c>
      <c r="L388" s="1" t="s">
        <v>419</v>
      </c>
      <c r="M388" s="1">
        <f>340/1000</f>
        <v>0.34</v>
      </c>
      <c r="N388" s="1">
        <f>M388*60</f>
        <v>20.400000000000002</v>
      </c>
      <c r="O388" s="1">
        <f t="shared" si="249"/>
        <v>103</v>
      </c>
      <c r="P388" s="126">
        <f t="shared" si="250"/>
        <v>0.1980582524271845</v>
      </c>
      <c r="Q388" t="s">
        <v>72</v>
      </c>
      <c r="R388" s="50">
        <f>G391*R387</f>
        <v>3655.8194771241829</v>
      </c>
      <c r="S388" s="120"/>
      <c r="T388" s="35"/>
      <c r="U388" s="6" t="s">
        <v>26</v>
      </c>
      <c r="V388" s="6" t="s">
        <v>53</v>
      </c>
      <c r="W388" s="6">
        <f>340/1000</f>
        <v>0.34</v>
      </c>
      <c r="X388" s="6">
        <f>W388*50</f>
        <v>17</v>
      </c>
      <c r="Y388" s="1">
        <f t="shared" si="251"/>
        <v>102</v>
      </c>
      <c r="Z388" s="126">
        <f t="shared" si="247"/>
        <v>0.16666666666666666</v>
      </c>
      <c r="AA388" t="s">
        <v>205</v>
      </c>
      <c r="AB388" s="50">
        <f>AB387*102</f>
        <v>1934.1933333333336</v>
      </c>
    </row>
    <row r="389" spans="1:28" x14ac:dyDescent="0.35">
      <c r="A389" s="35"/>
      <c r="B389" s="5"/>
      <c r="C389" s="6" t="s">
        <v>57</v>
      </c>
      <c r="D389" s="6" t="s">
        <v>6</v>
      </c>
      <c r="E389" s="28">
        <f>250/450</f>
        <v>0.55555555555555558</v>
      </c>
      <c r="F389" s="28">
        <f>E389*200</f>
        <v>111.11111111111111</v>
      </c>
      <c r="G389" s="1">
        <f t="shared" si="252"/>
        <v>132</v>
      </c>
      <c r="H389" s="126">
        <f t="shared" si="248"/>
        <v>0.84175084175084181</v>
      </c>
      <c r="I389" s="146"/>
      <c r="J389" s="9"/>
      <c r="K389" s="1" t="s">
        <v>3</v>
      </c>
      <c r="L389" s="1" t="s">
        <v>382</v>
      </c>
      <c r="M389" s="57">
        <f>4660/17</f>
        <v>274.11764705882354</v>
      </c>
      <c r="N389" s="57">
        <f>M389*1.5</f>
        <v>411.1764705882353</v>
      </c>
      <c r="O389" s="1">
        <f t="shared" si="249"/>
        <v>103</v>
      </c>
      <c r="P389" s="126">
        <f t="shared" si="250"/>
        <v>3.9920045688178183</v>
      </c>
      <c r="Q389" t="s">
        <v>81</v>
      </c>
      <c r="R389" s="48">
        <f>R388*3</f>
        <v>10967.458431372548</v>
      </c>
      <c r="S389" s="120"/>
      <c r="T389" s="35"/>
      <c r="U389" s="6" t="s">
        <v>3</v>
      </c>
      <c r="V389" s="6" t="s">
        <v>325</v>
      </c>
      <c r="W389" s="29">
        <f>260</f>
        <v>260</v>
      </c>
      <c r="X389" s="29">
        <f>W389*2.3</f>
        <v>598</v>
      </c>
      <c r="Y389" s="1">
        <f t="shared" si="251"/>
        <v>102</v>
      </c>
      <c r="Z389" s="126">
        <f t="shared" si="247"/>
        <v>5.8627450980392153</v>
      </c>
      <c r="AA389" t="s">
        <v>501</v>
      </c>
      <c r="AB389" s="48">
        <f>AB388*8</f>
        <v>15473.546666666669</v>
      </c>
    </row>
    <row r="390" spans="1:28" x14ac:dyDescent="0.35">
      <c r="A390" s="35"/>
      <c r="B390" s="5"/>
      <c r="C390" s="6" t="s">
        <v>58</v>
      </c>
      <c r="D390" s="6" t="s">
        <v>319</v>
      </c>
      <c r="E390" s="29">
        <f>4660/17</f>
        <v>274.11764705882354</v>
      </c>
      <c r="F390" s="29">
        <f>E390*2.8</f>
        <v>767.52941176470586</v>
      </c>
      <c r="G390" s="6">
        <f t="shared" si="252"/>
        <v>132</v>
      </c>
      <c r="H390" s="126">
        <f t="shared" si="248"/>
        <v>5.8146167557932262</v>
      </c>
      <c r="I390" s="146"/>
      <c r="J390" s="9"/>
      <c r="K390" s="1" t="s">
        <v>7</v>
      </c>
      <c r="L390" s="234" t="s">
        <v>259</v>
      </c>
      <c r="M390" s="57">
        <f>4730/20</f>
        <v>236.5</v>
      </c>
      <c r="N390" s="57">
        <f>M390*13.3</f>
        <v>3145.4500000000003</v>
      </c>
      <c r="O390" s="1">
        <f t="shared" si="249"/>
        <v>103</v>
      </c>
      <c r="P390" s="126">
        <f t="shared" si="250"/>
        <v>30.538349514563109</v>
      </c>
      <c r="Q390" t="s">
        <v>1</v>
      </c>
      <c r="R390" s="45"/>
      <c r="T390" s="35"/>
      <c r="U390" s="6" t="s">
        <v>151</v>
      </c>
      <c r="V390" s="53" t="s">
        <v>53</v>
      </c>
      <c r="W390" s="28">
        <f>280/1000</f>
        <v>0.28000000000000003</v>
      </c>
      <c r="X390" s="6">
        <f>W390*50</f>
        <v>14.000000000000002</v>
      </c>
      <c r="Y390" s="1">
        <f t="shared" si="251"/>
        <v>102</v>
      </c>
      <c r="Z390" s="126">
        <f t="shared" si="247"/>
        <v>0.13725490196078433</v>
      </c>
      <c r="AB390" s="45"/>
    </row>
    <row r="391" spans="1:28" x14ac:dyDescent="0.35">
      <c r="A391" s="35"/>
      <c r="B391" s="5"/>
      <c r="C391" s="6"/>
      <c r="D391" s="6"/>
      <c r="E391" s="29"/>
      <c r="F391" s="51">
        <f>SUM(F384:F390)</f>
        <v>4264.1805228758167</v>
      </c>
      <c r="G391" s="32">
        <f t="shared" si="252"/>
        <v>132</v>
      </c>
      <c r="H391" s="33">
        <f>SUM(H384:H390)</f>
        <v>32.304397900574372</v>
      </c>
      <c r="I391" s="146"/>
      <c r="J391" s="35"/>
      <c r="K391" s="6"/>
      <c r="L391" s="6"/>
      <c r="M391" s="6"/>
      <c r="N391" s="235">
        <f>SUM(N384:N390)</f>
        <v>7739.8986928104569</v>
      </c>
      <c r="O391" s="32">
        <f t="shared" si="249"/>
        <v>103</v>
      </c>
      <c r="P391" s="236">
        <f t="shared" si="250"/>
        <v>75.144647503014141</v>
      </c>
      <c r="Q391" t="s">
        <v>68</v>
      </c>
      <c r="R391" s="45">
        <v>100</v>
      </c>
      <c r="T391" s="35"/>
      <c r="U391" s="6"/>
      <c r="V391" s="6"/>
      <c r="W391" s="6"/>
      <c r="X391" s="31">
        <f>SUM(X384:X390)</f>
        <v>3165.8066666666664</v>
      </c>
      <c r="Y391" s="32">
        <f t="shared" si="251"/>
        <v>102</v>
      </c>
      <c r="Z391" s="33">
        <f t="shared" si="247"/>
        <v>31.037320261437905</v>
      </c>
      <c r="AB391" s="45"/>
    </row>
    <row r="392" spans="1:28" x14ac:dyDescent="0.35">
      <c r="A392" s="35"/>
      <c r="B392" s="5" t="s">
        <v>44</v>
      </c>
      <c r="C392" s="5" t="s">
        <v>70</v>
      </c>
      <c r="D392" s="5" t="s">
        <v>70</v>
      </c>
      <c r="E392" s="5"/>
      <c r="F392" s="59">
        <f t="shared" ref="F392:F396" si="253">F391</f>
        <v>4264.1805228758167</v>
      </c>
      <c r="G392" s="5">
        <v>132</v>
      </c>
      <c r="H392" s="127">
        <f>F392/G392</f>
        <v>32.304397900574372</v>
      </c>
      <c r="I392" s="146"/>
      <c r="J392" s="35" t="s">
        <v>44</v>
      </c>
      <c r="K392" s="5" t="s">
        <v>70</v>
      </c>
      <c r="L392" s="5" t="s">
        <v>70</v>
      </c>
      <c r="M392" s="5" t="s">
        <v>70</v>
      </c>
      <c r="N392" s="38">
        <f>N391</f>
        <v>7739.8986928104569</v>
      </c>
      <c r="O392" s="5">
        <v>103</v>
      </c>
      <c r="P392" s="30">
        <f>N392/O392</f>
        <v>75.144647503014141</v>
      </c>
      <c r="Q392" t="s">
        <v>32</v>
      </c>
      <c r="R392" s="47">
        <f>AVERAGE(P391,P392,P393,P394,P395,P396)</f>
        <v>75.886222520435339</v>
      </c>
      <c r="S392" s="120"/>
      <c r="T392" s="35" t="s">
        <v>44</v>
      </c>
      <c r="U392" s="5"/>
      <c r="V392" s="5"/>
      <c r="W392" s="5"/>
      <c r="X392" s="29">
        <f t="shared" ref="X392:X398" si="254">X391</f>
        <v>3165.8066666666664</v>
      </c>
      <c r="Y392" s="6">
        <v>102</v>
      </c>
      <c r="Z392" s="30">
        <f t="shared" si="247"/>
        <v>31.037320261437905</v>
      </c>
      <c r="AB392" s="47"/>
    </row>
    <row r="393" spans="1:28" x14ac:dyDescent="0.35">
      <c r="A393" s="35"/>
      <c r="B393" s="5" t="s">
        <v>45</v>
      </c>
      <c r="C393" s="5" t="s">
        <v>70</v>
      </c>
      <c r="D393" s="5" t="s">
        <v>70</v>
      </c>
      <c r="E393" s="5"/>
      <c r="F393" s="59">
        <f t="shared" si="253"/>
        <v>4264.1805228758167</v>
      </c>
      <c r="G393" s="5">
        <v>132</v>
      </c>
      <c r="H393" s="127">
        <f t="shared" ref="H393:H394" si="255">F393/G393</f>
        <v>32.304397900574372</v>
      </c>
      <c r="I393" s="146"/>
      <c r="J393" s="35" t="s">
        <v>45</v>
      </c>
      <c r="K393" s="5" t="s">
        <v>70</v>
      </c>
      <c r="L393" s="5" t="s">
        <v>70</v>
      </c>
      <c r="M393" s="5" t="s">
        <v>70</v>
      </c>
      <c r="N393" s="38">
        <f t="shared" ref="N393:N399" si="256">N392</f>
        <v>7739.8986928104569</v>
      </c>
      <c r="O393" s="5">
        <v>102</v>
      </c>
      <c r="P393" s="30">
        <f t="shared" ref="P393:P398" si="257">N393/O393</f>
        <v>75.881359733435858</v>
      </c>
      <c r="Q393" t="s">
        <v>69</v>
      </c>
      <c r="R393" s="47">
        <f>R391-R392</f>
        <v>24.113777479564661</v>
      </c>
      <c r="S393" s="120"/>
      <c r="T393" s="35" t="s">
        <v>45</v>
      </c>
      <c r="U393" s="5"/>
      <c r="V393" s="5"/>
      <c r="W393" s="5"/>
      <c r="X393" s="29">
        <f t="shared" si="254"/>
        <v>3165.8066666666664</v>
      </c>
      <c r="Y393" s="6">
        <v>102</v>
      </c>
      <c r="Z393" s="30">
        <f t="shared" si="247"/>
        <v>31.037320261437905</v>
      </c>
      <c r="AB393" s="47"/>
    </row>
    <row r="394" spans="1:28" x14ac:dyDescent="0.35">
      <c r="A394" s="35"/>
      <c r="B394" s="5" t="s">
        <v>67</v>
      </c>
      <c r="C394" s="5" t="s">
        <v>70</v>
      </c>
      <c r="D394" s="5" t="s">
        <v>70</v>
      </c>
      <c r="E394" s="5"/>
      <c r="F394" s="59">
        <f t="shared" si="253"/>
        <v>4264.1805228758167</v>
      </c>
      <c r="G394" s="5">
        <v>132</v>
      </c>
      <c r="H394" s="127">
        <f t="shared" si="255"/>
        <v>32.304397900574372</v>
      </c>
      <c r="I394" s="146"/>
      <c r="J394" s="35" t="s">
        <v>67</v>
      </c>
      <c r="K394" s="5" t="s">
        <v>70</v>
      </c>
      <c r="L394" s="5" t="s">
        <v>70</v>
      </c>
      <c r="M394" s="5" t="s">
        <v>70</v>
      </c>
      <c r="N394" s="38">
        <f t="shared" si="256"/>
        <v>7739.8986928104569</v>
      </c>
      <c r="O394" s="5">
        <v>102</v>
      </c>
      <c r="P394" s="30">
        <f t="shared" si="257"/>
        <v>75.881359733435858</v>
      </c>
      <c r="Q394" t="s">
        <v>136</v>
      </c>
      <c r="R394" s="50">
        <f>R393*102</f>
        <v>2459.6053029155955</v>
      </c>
      <c r="S394" s="120"/>
      <c r="T394" s="35" t="s">
        <v>67</v>
      </c>
      <c r="U394" s="5"/>
      <c r="V394" s="5"/>
      <c r="W394" s="5"/>
      <c r="X394" s="29">
        <f t="shared" si="254"/>
        <v>3165.8066666666664</v>
      </c>
      <c r="Y394" s="6">
        <v>102</v>
      </c>
      <c r="Z394" s="30">
        <f t="shared" si="247"/>
        <v>31.037320261437905</v>
      </c>
      <c r="AB394" s="50"/>
    </row>
    <row r="395" spans="1:28" x14ac:dyDescent="0.35">
      <c r="A395" s="35"/>
      <c r="B395" s="5" t="s">
        <v>133</v>
      </c>
      <c r="C395" s="5" t="s">
        <v>70</v>
      </c>
      <c r="D395" s="5" t="s">
        <v>70</v>
      </c>
      <c r="E395" s="5"/>
      <c r="F395" s="59">
        <f t="shared" si="253"/>
        <v>4264.1805228758167</v>
      </c>
      <c r="G395" s="5">
        <v>132</v>
      </c>
      <c r="H395" s="127">
        <f t="shared" ref="H395:H396" si="258">F395/G395</f>
        <v>32.304397900574372</v>
      </c>
      <c r="I395" s="146"/>
      <c r="J395" s="35" t="s">
        <v>133</v>
      </c>
      <c r="K395" s="5"/>
      <c r="L395" s="5"/>
      <c r="M395" s="5"/>
      <c r="N395" s="38">
        <f t="shared" si="256"/>
        <v>7739.8986928104569</v>
      </c>
      <c r="O395" s="5">
        <v>101</v>
      </c>
      <c r="P395" s="30">
        <f t="shared" si="257"/>
        <v>76.632660324856005</v>
      </c>
      <c r="Q395" t="s">
        <v>456</v>
      </c>
      <c r="R395" s="48">
        <f>R394*9</f>
        <v>22136.44772624036</v>
      </c>
      <c r="S395" s="120"/>
      <c r="T395" s="35" t="s">
        <v>133</v>
      </c>
      <c r="U395" s="5"/>
      <c r="V395" s="5"/>
      <c r="W395" s="5"/>
      <c r="X395" s="29">
        <f t="shared" si="254"/>
        <v>3165.8066666666664</v>
      </c>
      <c r="Y395" s="6">
        <v>102</v>
      </c>
      <c r="Z395" s="30">
        <f t="shared" si="247"/>
        <v>31.037320261437905</v>
      </c>
      <c r="AB395" s="48"/>
    </row>
    <row r="396" spans="1:28" x14ac:dyDescent="0.35">
      <c r="A396" s="35"/>
      <c r="B396" s="5" t="s">
        <v>134</v>
      </c>
      <c r="C396" s="5" t="s">
        <v>70</v>
      </c>
      <c r="D396" s="5" t="s">
        <v>70</v>
      </c>
      <c r="E396" s="5"/>
      <c r="F396" s="59">
        <f t="shared" si="253"/>
        <v>4264.1805228758167</v>
      </c>
      <c r="G396" s="5">
        <v>132</v>
      </c>
      <c r="H396" s="127">
        <f t="shared" si="258"/>
        <v>32.304397900574372</v>
      </c>
      <c r="I396" s="146"/>
      <c r="J396" s="35" t="s">
        <v>134</v>
      </c>
      <c r="K396" s="5"/>
      <c r="L396" s="5"/>
      <c r="M396" s="5"/>
      <c r="N396" s="38">
        <f t="shared" si="256"/>
        <v>7739.8986928104569</v>
      </c>
      <c r="O396" s="5">
        <v>101</v>
      </c>
      <c r="P396" s="30">
        <f t="shared" si="257"/>
        <v>76.632660324856005</v>
      </c>
      <c r="R396" s="48"/>
      <c r="S396" s="120"/>
      <c r="T396" s="35" t="s">
        <v>134</v>
      </c>
      <c r="U396" s="5"/>
      <c r="V396" s="5"/>
      <c r="W396" s="5"/>
      <c r="X396" s="29">
        <f t="shared" si="254"/>
        <v>3165.8066666666664</v>
      </c>
      <c r="Y396" s="6">
        <v>102</v>
      </c>
      <c r="Z396" s="30">
        <f t="shared" si="247"/>
        <v>31.037320261437905</v>
      </c>
      <c r="AB396" s="48"/>
    </row>
    <row r="397" spans="1:28" x14ac:dyDescent="0.35">
      <c r="A397" s="35"/>
      <c r="B397" s="5"/>
      <c r="C397" s="5"/>
      <c r="D397" s="5"/>
      <c r="E397" s="5"/>
      <c r="F397" s="59"/>
      <c r="G397" s="5"/>
      <c r="H397" s="127"/>
      <c r="I397" s="146"/>
      <c r="J397" s="35" t="s">
        <v>252</v>
      </c>
      <c r="K397" s="5" t="s">
        <v>70</v>
      </c>
      <c r="L397" s="5" t="s">
        <v>70</v>
      </c>
      <c r="M397" s="5" t="s">
        <v>70</v>
      </c>
      <c r="N397" s="38">
        <f t="shared" si="256"/>
        <v>7739.8986928104569</v>
      </c>
      <c r="O397" s="5">
        <v>100</v>
      </c>
      <c r="P397" s="30">
        <f t="shared" si="257"/>
        <v>77.398986928104563</v>
      </c>
      <c r="Q397">
        <f>120/9</f>
        <v>13.333333333333334</v>
      </c>
      <c r="R397" s="48"/>
      <c r="S397" s="120"/>
      <c r="T397" s="35" t="s">
        <v>252</v>
      </c>
      <c r="U397" s="5"/>
      <c r="V397" s="5"/>
      <c r="W397" s="5"/>
      <c r="X397" s="29">
        <f t="shared" si="254"/>
        <v>3165.8066666666664</v>
      </c>
      <c r="Y397" s="6">
        <v>102</v>
      </c>
      <c r="Z397" s="30">
        <f t="shared" ref="Z397:Z398" si="259">X397/Y397</f>
        <v>31.037320261437905</v>
      </c>
      <c r="AB397" s="48"/>
    </row>
    <row r="398" spans="1:28" x14ac:dyDescent="0.35">
      <c r="A398" s="35"/>
      <c r="B398" s="5"/>
      <c r="C398" s="5"/>
      <c r="D398" s="5"/>
      <c r="E398" s="5"/>
      <c r="F398" s="59"/>
      <c r="G398" s="5"/>
      <c r="H398" s="127"/>
      <c r="I398" s="146"/>
      <c r="J398" s="35" t="s">
        <v>253</v>
      </c>
      <c r="K398" s="5" t="s">
        <v>70</v>
      </c>
      <c r="L398" s="5" t="s">
        <v>70</v>
      </c>
      <c r="M398" s="5" t="s">
        <v>70</v>
      </c>
      <c r="N398" s="38">
        <f t="shared" si="256"/>
        <v>7739.8986928104569</v>
      </c>
      <c r="O398" s="5">
        <v>100</v>
      </c>
      <c r="P398" s="30">
        <f t="shared" si="257"/>
        <v>77.398986928104563</v>
      </c>
      <c r="R398" s="48"/>
      <c r="S398" s="120"/>
      <c r="T398" s="35" t="s">
        <v>253</v>
      </c>
      <c r="U398" s="5"/>
      <c r="V398" s="5"/>
      <c r="W398" s="5"/>
      <c r="X398" s="29">
        <f t="shared" si="254"/>
        <v>3165.8066666666664</v>
      </c>
      <c r="Y398" s="6">
        <v>102</v>
      </c>
      <c r="Z398" s="30">
        <f t="shared" si="259"/>
        <v>31.037320261437905</v>
      </c>
      <c r="AB398" s="48"/>
    </row>
    <row r="399" spans="1:28" x14ac:dyDescent="0.35">
      <c r="A399" s="35"/>
      <c r="B399" s="5"/>
      <c r="C399" s="5"/>
      <c r="D399" s="5"/>
      <c r="E399" s="5"/>
      <c r="F399" s="59"/>
      <c r="G399" s="5"/>
      <c r="H399" s="127"/>
      <c r="I399" s="146"/>
      <c r="J399" s="35" t="s">
        <v>455</v>
      </c>
      <c r="K399" s="5" t="s">
        <v>70</v>
      </c>
      <c r="L399" s="5" t="s">
        <v>70</v>
      </c>
      <c r="M399" s="5" t="s">
        <v>70</v>
      </c>
      <c r="N399" s="38">
        <f t="shared" si="256"/>
        <v>7739.8986928104569</v>
      </c>
      <c r="O399" s="5">
        <v>100</v>
      </c>
      <c r="P399" s="30">
        <f t="shared" ref="P399" si="260">N399/O399</f>
        <v>77.398986928104563</v>
      </c>
      <c r="R399" s="48"/>
      <c r="S399" s="120"/>
      <c r="T399" s="35"/>
      <c r="U399" s="5"/>
      <c r="V399" s="5"/>
      <c r="W399" s="5"/>
      <c r="X399" s="206"/>
      <c r="Y399" s="90"/>
      <c r="Z399" s="91"/>
      <c r="AB399" s="48"/>
    </row>
    <row r="400" spans="1:28" x14ac:dyDescent="0.35">
      <c r="A400" s="35"/>
      <c r="B400" s="5"/>
      <c r="C400" s="5"/>
      <c r="D400" s="5"/>
      <c r="E400" s="5"/>
      <c r="F400" s="59"/>
      <c r="G400" s="5"/>
      <c r="H400" s="127"/>
      <c r="I400" s="146"/>
      <c r="J400" s="35"/>
      <c r="K400" s="5"/>
      <c r="L400" s="5"/>
      <c r="M400" s="5"/>
      <c r="N400" s="38"/>
      <c r="O400" s="5"/>
      <c r="P400" s="30"/>
      <c r="R400" s="48"/>
      <c r="S400" s="120"/>
      <c r="T400" s="35"/>
      <c r="U400" s="5"/>
      <c r="V400" s="5"/>
      <c r="W400" s="5"/>
      <c r="X400" s="38"/>
      <c r="Y400" s="90"/>
      <c r="Z400" s="91"/>
      <c r="AB400" s="48"/>
    </row>
    <row r="401" spans="1:28" ht="15" thickBot="1" x14ac:dyDescent="0.4">
      <c r="A401" s="11"/>
      <c r="B401" s="12"/>
      <c r="C401" s="12"/>
      <c r="D401" s="12"/>
      <c r="E401" s="12"/>
      <c r="F401" s="114">
        <f>SUM(F391:F400)</f>
        <v>25585.0831372549</v>
      </c>
      <c r="G401" s="114">
        <f>SUM(G391:G400)</f>
        <v>792</v>
      </c>
      <c r="H401" s="13"/>
      <c r="I401" s="148"/>
      <c r="J401" s="11"/>
      <c r="K401" s="12"/>
      <c r="L401" s="12"/>
      <c r="M401" s="12"/>
      <c r="N401" s="77">
        <f>SUM(N391:N400)</f>
        <v>69659.088235294112</v>
      </c>
      <c r="O401" s="115">
        <f>SUM(O391:O400)</f>
        <v>912</v>
      </c>
      <c r="P401" s="13"/>
      <c r="Q401" s="46" t="s">
        <v>71</v>
      </c>
      <c r="R401" s="52">
        <f>R389+R395</f>
        <v>33103.90615761291</v>
      </c>
      <c r="S401" s="121"/>
      <c r="T401" s="11"/>
      <c r="U401" s="12"/>
      <c r="V401" s="12"/>
      <c r="W401" s="12"/>
      <c r="X401" s="77">
        <f>SUM(X391:X396)</f>
        <v>18994.84</v>
      </c>
      <c r="Y401" s="115">
        <f>SUM(Y391:Y400)</f>
        <v>816</v>
      </c>
      <c r="Z401" s="13"/>
      <c r="AA401" s="46"/>
      <c r="AB401" s="52"/>
    </row>
    <row r="402" spans="1:28" x14ac:dyDescent="0.35">
      <c r="A402" s="39" t="s">
        <v>502</v>
      </c>
      <c r="B402" s="40" t="s">
        <v>43</v>
      </c>
      <c r="C402" s="41" t="s">
        <v>2</v>
      </c>
      <c r="D402" s="41" t="s">
        <v>86</v>
      </c>
      <c r="E402" s="41">
        <f>3650/50</f>
        <v>73</v>
      </c>
      <c r="F402" s="41">
        <f>E402*36</f>
        <v>2628</v>
      </c>
      <c r="G402" s="41">
        <v>132</v>
      </c>
      <c r="H402" s="113">
        <f>F402/G402</f>
        <v>19.90909090909091</v>
      </c>
      <c r="I402" s="147"/>
      <c r="J402" s="80" t="s">
        <v>43</v>
      </c>
      <c r="K402" s="41" t="s">
        <v>2</v>
      </c>
      <c r="L402" s="41" t="s">
        <v>49</v>
      </c>
      <c r="M402" s="41">
        <f>3650/50</f>
        <v>73</v>
      </c>
      <c r="N402" s="41">
        <f>M402*50</f>
        <v>3650</v>
      </c>
      <c r="O402" s="41">
        <v>102</v>
      </c>
      <c r="P402" s="113">
        <f>N402/O402</f>
        <v>35.784313725490193</v>
      </c>
      <c r="Q402" s="43" t="s">
        <v>0</v>
      </c>
      <c r="R402" s="44"/>
      <c r="S402" s="119"/>
      <c r="T402" s="39" t="s">
        <v>43</v>
      </c>
      <c r="U402" s="41" t="s">
        <v>2</v>
      </c>
      <c r="V402" s="41" t="s">
        <v>317</v>
      </c>
      <c r="W402" s="139">
        <f>3600/50</f>
        <v>72</v>
      </c>
      <c r="X402" s="41">
        <f>W402*26</f>
        <v>1872</v>
      </c>
      <c r="Y402" s="41">
        <v>102</v>
      </c>
      <c r="Z402" s="113">
        <f t="shared" ref="Z402:Z416" si="261">X402/Y402</f>
        <v>18.352941176470587</v>
      </c>
      <c r="AA402" s="43" t="s">
        <v>196</v>
      </c>
      <c r="AB402" s="44"/>
    </row>
    <row r="403" spans="1:28" x14ac:dyDescent="0.35">
      <c r="A403" s="35"/>
      <c r="B403" s="5"/>
      <c r="C403" s="6" t="s">
        <v>4</v>
      </c>
      <c r="D403" s="6" t="s">
        <v>485</v>
      </c>
      <c r="E403" s="28">
        <f>7200/50</f>
        <v>144</v>
      </c>
      <c r="F403" s="6">
        <f>E403*4.8</f>
        <v>691.19999999999993</v>
      </c>
      <c r="G403" s="1">
        <f>G402</f>
        <v>132</v>
      </c>
      <c r="H403" s="126">
        <f t="shared" ref="H403:H408" si="262">F403/G403</f>
        <v>5.2363636363636354</v>
      </c>
      <c r="I403" s="146"/>
      <c r="J403" s="9"/>
      <c r="K403" s="1" t="s">
        <v>4</v>
      </c>
      <c r="L403" s="1" t="s">
        <v>353</v>
      </c>
      <c r="M403" s="28">
        <f>7200/50</f>
        <v>144</v>
      </c>
      <c r="N403" s="57">
        <f>M403*2.5</f>
        <v>360</v>
      </c>
      <c r="O403" s="1">
        <f t="shared" ref="O403:O409" si="263">O402</f>
        <v>102</v>
      </c>
      <c r="P403" s="126">
        <f t="shared" ref="P403:P409" si="264">N403/O403</f>
        <v>3.5294117647058822</v>
      </c>
      <c r="Q403" t="s">
        <v>68</v>
      </c>
      <c r="R403" s="45">
        <v>60</v>
      </c>
      <c r="T403" s="35"/>
      <c r="U403" s="6" t="s">
        <v>4</v>
      </c>
      <c r="V403" s="6" t="s">
        <v>324</v>
      </c>
      <c r="W403" s="28">
        <f>7200/50</f>
        <v>144</v>
      </c>
      <c r="X403" s="29">
        <f>W403*3.8</f>
        <v>547.19999999999993</v>
      </c>
      <c r="Y403" s="1">
        <f t="shared" ref="Y403:Y409" si="265">Y402</f>
        <v>102</v>
      </c>
      <c r="Z403" s="126">
        <f t="shared" si="261"/>
        <v>5.3647058823529408</v>
      </c>
      <c r="AA403" t="s">
        <v>68</v>
      </c>
      <c r="AB403" s="45">
        <v>50</v>
      </c>
    </row>
    <row r="404" spans="1:28" x14ac:dyDescent="0.35">
      <c r="A404" s="35"/>
      <c r="B404" s="5"/>
      <c r="C404" s="6" t="s">
        <v>54</v>
      </c>
      <c r="D404" s="6" t="s">
        <v>419</v>
      </c>
      <c r="E404" s="28">
        <f>600/1000</f>
        <v>0.6</v>
      </c>
      <c r="F404" s="6">
        <f>E404*60</f>
        <v>36</v>
      </c>
      <c r="G404" s="1">
        <f t="shared" ref="G404:G409" si="266">G403</f>
        <v>132</v>
      </c>
      <c r="H404" s="126">
        <f t="shared" si="262"/>
        <v>0.27272727272727271</v>
      </c>
      <c r="I404" s="146"/>
      <c r="J404" s="9"/>
      <c r="K404" s="1" t="s">
        <v>5</v>
      </c>
      <c r="L404" s="1" t="s">
        <v>421</v>
      </c>
      <c r="M404" s="233">
        <f>400/450</f>
        <v>0.88888888888888884</v>
      </c>
      <c r="N404" s="57">
        <f>M404*160</f>
        <v>142.22222222222223</v>
      </c>
      <c r="O404" s="1">
        <f t="shared" si="263"/>
        <v>102</v>
      </c>
      <c r="P404" s="126">
        <f t="shared" si="264"/>
        <v>1.3943355119825709</v>
      </c>
      <c r="Q404" t="s">
        <v>32</v>
      </c>
      <c r="R404" s="47">
        <f>H409</f>
        <v>32.304397900574372</v>
      </c>
      <c r="S404" s="120"/>
      <c r="T404" s="35"/>
      <c r="U404" s="6" t="s">
        <v>5</v>
      </c>
      <c r="V404" s="6" t="s">
        <v>420</v>
      </c>
      <c r="W404" s="28">
        <f>255/450</f>
        <v>0.56666666666666665</v>
      </c>
      <c r="X404" s="29">
        <f>W404*190</f>
        <v>107.66666666666666</v>
      </c>
      <c r="Y404" s="1">
        <f t="shared" si="265"/>
        <v>102</v>
      </c>
      <c r="Z404" s="126">
        <f t="shared" si="261"/>
        <v>1.0555555555555554</v>
      </c>
      <c r="AA404" t="s">
        <v>32</v>
      </c>
      <c r="AB404" s="47">
        <f>Z409</f>
        <v>31.037320261437905</v>
      </c>
    </row>
    <row r="405" spans="1:28" x14ac:dyDescent="0.35">
      <c r="A405" s="35"/>
      <c r="B405" s="5"/>
      <c r="C405" s="6" t="s">
        <v>55</v>
      </c>
      <c r="D405" s="6" t="s">
        <v>318</v>
      </c>
      <c r="E405" s="28">
        <f>35.5/1000</f>
        <v>3.5499999999999997E-2</v>
      </c>
      <c r="F405" s="6">
        <f>E405*280</f>
        <v>9.94</v>
      </c>
      <c r="G405" s="1">
        <f t="shared" si="266"/>
        <v>132</v>
      </c>
      <c r="H405" s="126">
        <f t="shared" si="262"/>
        <v>7.5303030303030302E-2</v>
      </c>
      <c r="I405" s="146"/>
      <c r="J405" s="9"/>
      <c r="K405" s="1" t="s">
        <v>51</v>
      </c>
      <c r="L405" s="1" t="s">
        <v>52</v>
      </c>
      <c r="M405" s="232">
        <f>35.5/1000</f>
        <v>3.5499999999999997E-2</v>
      </c>
      <c r="N405" s="1">
        <f>M405*300</f>
        <v>10.649999999999999</v>
      </c>
      <c r="O405" s="1">
        <f t="shared" si="263"/>
        <v>102</v>
      </c>
      <c r="P405" s="126">
        <f t="shared" si="264"/>
        <v>0.10441176470588234</v>
      </c>
      <c r="Q405" t="s">
        <v>62</v>
      </c>
      <c r="R405" s="47">
        <f>R403-R404</f>
        <v>27.695602099425628</v>
      </c>
      <c r="S405" s="120"/>
      <c r="T405" s="35"/>
      <c r="U405" s="6" t="s">
        <v>51</v>
      </c>
      <c r="V405" s="6" t="s">
        <v>318</v>
      </c>
      <c r="W405" s="205">
        <f>35.5/1000</f>
        <v>3.5499999999999997E-2</v>
      </c>
      <c r="X405" s="6">
        <f>W405*280</f>
        <v>9.94</v>
      </c>
      <c r="Y405" s="1">
        <f t="shared" si="265"/>
        <v>102</v>
      </c>
      <c r="Z405" s="126">
        <f t="shared" si="261"/>
        <v>9.7450980392156855E-2</v>
      </c>
      <c r="AA405" t="s">
        <v>69</v>
      </c>
      <c r="AB405" s="47">
        <f>AB403-AB404</f>
        <v>18.962679738562095</v>
      </c>
    </row>
    <row r="406" spans="1:28" x14ac:dyDescent="0.35">
      <c r="A406" s="35"/>
      <c r="B406" s="5"/>
      <c r="C406" s="6" t="s">
        <v>56</v>
      </c>
      <c r="D406" s="6" t="s">
        <v>419</v>
      </c>
      <c r="E406" s="6">
        <f>340/1000</f>
        <v>0.34</v>
      </c>
      <c r="F406" s="6">
        <f>E406*60</f>
        <v>20.400000000000002</v>
      </c>
      <c r="G406" s="1">
        <f t="shared" si="266"/>
        <v>132</v>
      </c>
      <c r="H406" s="126">
        <f t="shared" si="262"/>
        <v>0.15454545454545457</v>
      </c>
      <c r="I406" s="146"/>
      <c r="J406" s="9"/>
      <c r="K406" s="1" t="s">
        <v>26</v>
      </c>
      <c r="L406" s="1" t="s">
        <v>419</v>
      </c>
      <c r="M406" s="1">
        <f>340/1000</f>
        <v>0.34</v>
      </c>
      <c r="N406" s="1">
        <f>M406*60</f>
        <v>20.400000000000002</v>
      </c>
      <c r="O406" s="1">
        <f t="shared" si="263"/>
        <v>102</v>
      </c>
      <c r="P406" s="126">
        <f t="shared" si="264"/>
        <v>0.2</v>
      </c>
      <c r="Q406" t="s">
        <v>72</v>
      </c>
      <c r="R406" s="50">
        <f>G409*R405</f>
        <v>3655.8194771241829</v>
      </c>
      <c r="S406" s="120"/>
      <c r="T406" s="35"/>
      <c r="U406" s="6" t="s">
        <v>26</v>
      </c>
      <c r="V406" s="6" t="s">
        <v>53</v>
      </c>
      <c r="W406" s="6">
        <f>340/1000</f>
        <v>0.34</v>
      </c>
      <c r="X406" s="6">
        <f>W406*50</f>
        <v>17</v>
      </c>
      <c r="Y406" s="1">
        <f t="shared" si="265"/>
        <v>102</v>
      </c>
      <c r="Z406" s="126">
        <f t="shared" si="261"/>
        <v>0.16666666666666666</v>
      </c>
      <c r="AA406" t="s">
        <v>205</v>
      </c>
      <c r="AB406" s="50">
        <f>AB405*102</f>
        <v>1934.1933333333336</v>
      </c>
    </row>
    <row r="407" spans="1:28" x14ac:dyDescent="0.35">
      <c r="A407" s="35"/>
      <c r="B407" s="5"/>
      <c r="C407" s="6" t="s">
        <v>57</v>
      </c>
      <c r="D407" s="6" t="s">
        <v>6</v>
      </c>
      <c r="E407" s="28">
        <f>250/450</f>
        <v>0.55555555555555558</v>
      </c>
      <c r="F407" s="28">
        <f>E407*200</f>
        <v>111.11111111111111</v>
      </c>
      <c r="G407" s="1">
        <f t="shared" si="266"/>
        <v>132</v>
      </c>
      <c r="H407" s="126">
        <f t="shared" si="262"/>
        <v>0.84175084175084181</v>
      </c>
      <c r="I407" s="146"/>
      <c r="J407" s="9"/>
      <c r="K407" s="1" t="s">
        <v>3</v>
      </c>
      <c r="L407" s="1" t="s">
        <v>382</v>
      </c>
      <c r="M407" s="57">
        <f>4660/17</f>
        <v>274.11764705882354</v>
      </c>
      <c r="N407" s="57">
        <f>M407*1.5</f>
        <v>411.1764705882353</v>
      </c>
      <c r="O407" s="1">
        <f t="shared" si="263"/>
        <v>102</v>
      </c>
      <c r="P407" s="126">
        <f t="shared" si="264"/>
        <v>4.031141868512111</v>
      </c>
      <c r="Q407" t="s">
        <v>424</v>
      </c>
      <c r="R407" s="48">
        <f>R406*4</f>
        <v>14623.277908496731</v>
      </c>
      <c r="S407" s="120"/>
      <c r="T407" s="35"/>
      <c r="U407" s="6" t="s">
        <v>3</v>
      </c>
      <c r="V407" s="6" t="s">
        <v>325</v>
      </c>
      <c r="W407" s="29">
        <f>260</f>
        <v>260</v>
      </c>
      <c r="X407" s="29">
        <f>W407*2.3</f>
        <v>598</v>
      </c>
      <c r="Y407" s="1">
        <f t="shared" si="265"/>
        <v>102</v>
      </c>
      <c r="Z407" s="126">
        <f t="shared" si="261"/>
        <v>5.8627450980392153</v>
      </c>
      <c r="AA407" t="s">
        <v>501</v>
      </c>
      <c r="AB407" s="48">
        <f>AB406*8</f>
        <v>15473.546666666669</v>
      </c>
    </row>
    <row r="408" spans="1:28" x14ac:dyDescent="0.35">
      <c r="A408" s="35"/>
      <c r="B408" s="5"/>
      <c r="C408" s="6" t="s">
        <v>58</v>
      </c>
      <c r="D408" s="6" t="s">
        <v>319</v>
      </c>
      <c r="E408" s="29">
        <f>4660/17</f>
        <v>274.11764705882354</v>
      </c>
      <c r="F408" s="29">
        <f>E408*2.8</f>
        <v>767.52941176470586</v>
      </c>
      <c r="G408" s="6">
        <f t="shared" si="266"/>
        <v>132</v>
      </c>
      <c r="H408" s="126">
        <f t="shared" si="262"/>
        <v>5.8146167557932262</v>
      </c>
      <c r="I408" s="146"/>
      <c r="J408" s="9"/>
      <c r="K408" s="1" t="s">
        <v>7</v>
      </c>
      <c r="L408" s="234" t="s">
        <v>316</v>
      </c>
      <c r="M408" s="57">
        <f>4730/20</f>
        <v>236.5</v>
      </c>
      <c r="N408" s="57">
        <f>M408*10</f>
        <v>2365</v>
      </c>
      <c r="O408" s="1">
        <f t="shared" si="263"/>
        <v>102</v>
      </c>
      <c r="P408" s="126">
        <f t="shared" si="264"/>
        <v>23.186274509803923</v>
      </c>
      <c r="Q408" t="s">
        <v>1</v>
      </c>
      <c r="R408" s="45"/>
      <c r="T408" s="35"/>
      <c r="U408" s="6" t="s">
        <v>151</v>
      </c>
      <c r="V408" s="53" t="s">
        <v>53</v>
      </c>
      <c r="W408" s="28">
        <f>280/1000</f>
        <v>0.28000000000000003</v>
      </c>
      <c r="X408" s="6">
        <f>W408*50</f>
        <v>14.000000000000002</v>
      </c>
      <c r="Y408" s="1">
        <f t="shared" si="265"/>
        <v>102</v>
      </c>
      <c r="Z408" s="126">
        <f t="shared" si="261"/>
        <v>0.13725490196078433</v>
      </c>
      <c r="AB408" s="45"/>
    </row>
    <row r="409" spans="1:28" x14ac:dyDescent="0.35">
      <c r="A409" s="35"/>
      <c r="B409" s="5"/>
      <c r="C409" s="6"/>
      <c r="D409" s="6"/>
      <c r="E409" s="29"/>
      <c r="F409" s="51">
        <f>SUM(F402:F408)</f>
        <v>4264.1805228758167</v>
      </c>
      <c r="G409" s="32">
        <f t="shared" si="266"/>
        <v>132</v>
      </c>
      <c r="H409" s="33">
        <f>SUM(H402:H408)</f>
        <v>32.304397900574372</v>
      </c>
      <c r="I409" s="146"/>
      <c r="J409" s="35"/>
      <c r="K409" s="6"/>
      <c r="L409" s="6"/>
      <c r="M409" s="6"/>
      <c r="N409" s="235">
        <f>SUM(N402:N408)</f>
        <v>6959.448692810457</v>
      </c>
      <c r="O409" s="32">
        <f t="shared" si="263"/>
        <v>102</v>
      </c>
      <c r="P409" s="236">
        <f t="shared" si="264"/>
        <v>68.229889145200559</v>
      </c>
      <c r="Q409" t="s">
        <v>68</v>
      </c>
      <c r="R409" s="45">
        <v>100</v>
      </c>
      <c r="T409" s="35"/>
      <c r="U409" s="6"/>
      <c r="V409" s="6"/>
      <c r="W409" s="6"/>
      <c r="X409" s="31">
        <f>SUM(X402:X408)</f>
        <v>3165.8066666666664</v>
      </c>
      <c r="Y409" s="32">
        <f t="shared" si="265"/>
        <v>102</v>
      </c>
      <c r="Z409" s="33">
        <f t="shared" si="261"/>
        <v>31.037320261437905</v>
      </c>
      <c r="AB409" s="45"/>
    </row>
    <row r="410" spans="1:28" x14ac:dyDescent="0.35">
      <c r="A410" s="35"/>
      <c r="B410" s="5" t="s">
        <v>44</v>
      </c>
      <c r="C410" s="5" t="s">
        <v>70</v>
      </c>
      <c r="D410" s="5" t="s">
        <v>70</v>
      </c>
      <c r="E410" s="5"/>
      <c r="F410" s="59">
        <f t="shared" ref="F410:F412" si="267">F409</f>
        <v>4264.1805228758167</v>
      </c>
      <c r="G410" s="5">
        <v>132</v>
      </c>
      <c r="H410" s="127">
        <f>F410/G410</f>
        <v>32.304397900574372</v>
      </c>
      <c r="I410" s="146"/>
      <c r="J410" s="35" t="s">
        <v>44</v>
      </c>
      <c r="K410" s="5" t="s">
        <v>70</v>
      </c>
      <c r="L410" s="5" t="s">
        <v>70</v>
      </c>
      <c r="M410" s="5" t="s">
        <v>70</v>
      </c>
      <c r="N410" s="38">
        <f>N409</f>
        <v>6959.448692810457</v>
      </c>
      <c r="O410" s="5">
        <v>101</v>
      </c>
      <c r="P410" s="30">
        <f>N410/O410</f>
        <v>68.905432602083735</v>
      </c>
      <c r="Q410" t="s">
        <v>32</v>
      </c>
      <c r="R410" s="47">
        <f>AVERAGE(P409,P410)</f>
        <v>68.567660873642154</v>
      </c>
      <c r="S410" s="120"/>
      <c r="T410" s="35" t="s">
        <v>44</v>
      </c>
      <c r="U410" s="5"/>
      <c r="V410" s="5"/>
      <c r="W410" s="5"/>
      <c r="X410" s="29">
        <f t="shared" ref="X410:X416" si="268">X409</f>
        <v>3165.8066666666664</v>
      </c>
      <c r="Y410" s="6">
        <v>102</v>
      </c>
      <c r="Z410" s="30">
        <f t="shared" si="261"/>
        <v>31.037320261437905</v>
      </c>
      <c r="AB410" s="47"/>
    </row>
    <row r="411" spans="1:28" x14ac:dyDescent="0.35">
      <c r="A411" s="35"/>
      <c r="B411" s="5" t="s">
        <v>45</v>
      </c>
      <c r="C411" s="5" t="s">
        <v>70</v>
      </c>
      <c r="D411" s="5" t="s">
        <v>70</v>
      </c>
      <c r="E411" s="5"/>
      <c r="F411" s="59">
        <f t="shared" si="267"/>
        <v>4264.1805228758167</v>
      </c>
      <c r="G411" s="5">
        <v>132</v>
      </c>
      <c r="H411" s="127">
        <f t="shared" ref="H411:H412" si="269">F411/G411</f>
        <v>32.304397900574372</v>
      </c>
      <c r="I411" s="146"/>
      <c r="J411" s="35" t="s">
        <v>45</v>
      </c>
      <c r="K411" s="5" t="s">
        <v>70</v>
      </c>
      <c r="L411" s="5" t="s">
        <v>70</v>
      </c>
      <c r="M411" s="5" t="s">
        <v>70</v>
      </c>
      <c r="N411" s="38">
        <f t="shared" ref="N411:N416" si="270">N410</f>
        <v>6959.448692810457</v>
      </c>
      <c r="O411" s="5">
        <v>101</v>
      </c>
      <c r="P411" s="30">
        <f t="shared" ref="P411:P416" si="271">N411/O411</f>
        <v>68.905432602083735</v>
      </c>
      <c r="Q411" t="s">
        <v>69</v>
      </c>
      <c r="R411" s="47">
        <f>R409-R410</f>
        <v>31.432339126357846</v>
      </c>
      <c r="S411" s="120"/>
      <c r="T411" s="35" t="s">
        <v>45</v>
      </c>
      <c r="U411" s="5"/>
      <c r="V411" s="5"/>
      <c r="W411" s="5"/>
      <c r="X411" s="29">
        <f t="shared" si="268"/>
        <v>3165.8066666666664</v>
      </c>
      <c r="Y411" s="6">
        <v>102</v>
      </c>
      <c r="Z411" s="30">
        <f t="shared" si="261"/>
        <v>31.037320261437905</v>
      </c>
      <c r="AB411" s="47"/>
    </row>
    <row r="412" spans="1:28" x14ac:dyDescent="0.35">
      <c r="A412" s="35"/>
      <c r="B412" s="5" t="s">
        <v>67</v>
      </c>
      <c r="C412" s="5" t="s">
        <v>70</v>
      </c>
      <c r="D412" s="5" t="s">
        <v>70</v>
      </c>
      <c r="E412" s="5"/>
      <c r="F412" s="59">
        <f t="shared" si="267"/>
        <v>4264.1805228758167</v>
      </c>
      <c r="G412" s="5">
        <v>132</v>
      </c>
      <c r="H412" s="127">
        <f t="shared" si="269"/>
        <v>32.304397900574372</v>
      </c>
      <c r="I412" s="146"/>
      <c r="J412" s="35" t="s">
        <v>67</v>
      </c>
      <c r="K412" s="5" t="s">
        <v>70</v>
      </c>
      <c r="L412" s="5" t="s">
        <v>70</v>
      </c>
      <c r="M412" s="5" t="s">
        <v>70</v>
      </c>
      <c r="N412" s="38">
        <f t="shared" si="270"/>
        <v>6959.448692810457</v>
      </c>
      <c r="O412" s="5">
        <v>100</v>
      </c>
      <c r="P412" s="30">
        <f t="shared" si="271"/>
        <v>69.594486928104573</v>
      </c>
      <c r="Q412" t="s">
        <v>136</v>
      </c>
      <c r="R412" s="50">
        <f>R411*106</f>
        <v>3331.8279473939315</v>
      </c>
      <c r="S412" s="120"/>
      <c r="T412" s="35" t="s">
        <v>67</v>
      </c>
      <c r="U412" s="5"/>
      <c r="V412" s="5"/>
      <c r="W412" s="5"/>
      <c r="X412" s="29">
        <f t="shared" si="268"/>
        <v>3165.8066666666664</v>
      </c>
      <c r="Y412" s="6">
        <v>102</v>
      </c>
      <c r="Z412" s="30">
        <f t="shared" si="261"/>
        <v>31.037320261437905</v>
      </c>
      <c r="AB412" s="50"/>
    </row>
    <row r="413" spans="1:28" x14ac:dyDescent="0.35">
      <c r="A413" s="35"/>
      <c r="B413" s="5"/>
      <c r="C413" s="5"/>
      <c r="D413" s="5"/>
      <c r="E413" s="5"/>
      <c r="F413" s="59"/>
      <c r="G413" s="5"/>
      <c r="H413" s="127"/>
      <c r="I413" s="146"/>
      <c r="J413" s="35" t="s">
        <v>133</v>
      </c>
      <c r="K413" s="5"/>
      <c r="L413" s="5"/>
      <c r="M413" s="5"/>
      <c r="N413" s="38">
        <f t="shared" si="270"/>
        <v>6959.448692810457</v>
      </c>
      <c r="O413" s="5">
        <v>100</v>
      </c>
      <c r="P413" s="30">
        <f t="shared" si="271"/>
        <v>69.594486928104573</v>
      </c>
      <c r="Q413" t="s">
        <v>433</v>
      </c>
      <c r="R413" s="48">
        <f>R412*8</f>
        <v>26654.623579151452</v>
      </c>
      <c r="S413" s="120"/>
      <c r="T413" s="35" t="s">
        <v>133</v>
      </c>
      <c r="U413" s="5"/>
      <c r="V413" s="5"/>
      <c r="W413" s="5"/>
      <c r="X413" s="29">
        <f t="shared" si="268"/>
        <v>3165.8066666666664</v>
      </c>
      <c r="Y413" s="6">
        <v>102</v>
      </c>
      <c r="Z413" s="30">
        <f t="shared" si="261"/>
        <v>31.037320261437905</v>
      </c>
      <c r="AB413" s="48"/>
    </row>
    <row r="414" spans="1:28" x14ac:dyDescent="0.35">
      <c r="A414" s="35"/>
      <c r="B414" s="5"/>
      <c r="C414" s="5"/>
      <c r="D414" s="5"/>
      <c r="E414" s="5"/>
      <c r="F414" s="59"/>
      <c r="G414" s="5"/>
      <c r="H414" s="127"/>
      <c r="I414" s="146"/>
      <c r="J414" s="35" t="s">
        <v>134</v>
      </c>
      <c r="K414" s="5"/>
      <c r="L414" s="5"/>
      <c r="M414" s="5"/>
      <c r="N414" s="38">
        <f t="shared" si="270"/>
        <v>6959.448692810457</v>
      </c>
      <c r="O414" s="5">
        <v>100</v>
      </c>
      <c r="P414" s="30">
        <f t="shared" si="271"/>
        <v>69.594486928104573</v>
      </c>
      <c r="R414" s="48"/>
      <c r="S414" s="120"/>
      <c r="T414" s="35" t="s">
        <v>134</v>
      </c>
      <c r="U414" s="5"/>
      <c r="V414" s="5"/>
      <c r="W414" s="5"/>
      <c r="X414" s="29">
        <f t="shared" si="268"/>
        <v>3165.8066666666664</v>
      </c>
      <c r="Y414" s="6">
        <v>102</v>
      </c>
      <c r="Z414" s="30">
        <f t="shared" si="261"/>
        <v>31.037320261437905</v>
      </c>
      <c r="AB414" s="48"/>
    </row>
    <row r="415" spans="1:28" x14ac:dyDescent="0.35">
      <c r="A415" s="35"/>
      <c r="B415" s="5"/>
      <c r="C415" s="5"/>
      <c r="D415" s="5"/>
      <c r="E415" s="5"/>
      <c r="F415" s="59"/>
      <c r="G415" s="5"/>
      <c r="H415" s="127"/>
      <c r="I415" s="146"/>
      <c r="J415" s="35" t="s">
        <v>252</v>
      </c>
      <c r="K415" s="5" t="s">
        <v>70</v>
      </c>
      <c r="L415" s="5" t="s">
        <v>70</v>
      </c>
      <c r="M415" s="5" t="s">
        <v>70</v>
      </c>
      <c r="N415" s="38">
        <f t="shared" si="270"/>
        <v>6959.448692810457</v>
      </c>
      <c r="O415" s="5">
        <v>100</v>
      </c>
      <c r="P415" s="30">
        <f t="shared" si="271"/>
        <v>69.594486928104573</v>
      </c>
      <c r="Q415">
        <f>80/8</f>
        <v>10</v>
      </c>
      <c r="R415" s="48"/>
      <c r="S415" s="120"/>
      <c r="T415" s="35" t="s">
        <v>252</v>
      </c>
      <c r="U415" s="5"/>
      <c r="V415" s="5"/>
      <c r="W415" s="5"/>
      <c r="X415" s="29">
        <f t="shared" si="268"/>
        <v>3165.8066666666664</v>
      </c>
      <c r="Y415" s="6">
        <v>102</v>
      </c>
      <c r="Z415" s="30">
        <f t="shared" si="261"/>
        <v>31.037320261437905</v>
      </c>
      <c r="AB415" s="48"/>
    </row>
    <row r="416" spans="1:28" x14ac:dyDescent="0.35">
      <c r="A416" s="35"/>
      <c r="B416" s="5"/>
      <c r="C416" s="5"/>
      <c r="D416" s="5"/>
      <c r="E416" s="5"/>
      <c r="F416" s="59"/>
      <c r="G416" s="5"/>
      <c r="H416" s="127"/>
      <c r="I416" s="146"/>
      <c r="J416" s="35" t="s">
        <v>253</v>
      </c>
      <c r="K416" s="5" t="s">
        <v>70</v>
      </c>
      <c r="L416" s="5" t="s">
        <v>70</v>
      </c>
      <c r="M416" s="5" t="s">
        <v>70</v>
      </c>
      <c r="N416" s="38">
        <f t="shared" si="270"/>
        <v>6959.448692810457</v>
      </c>
      <c r="O416" s="5">
        <v>100</v>
      </c>
      <c r="P416" s="30">
        <f t="shared" si="271"/>
        <v>69.594486928104573</v>
      </c>
      <c r="R416" s="48"/>
      <c r="S416" s="120"/>
      <c r="T416" s="35" t="s">
        <v>253</v>
      </c>
      <c r="U416" s="5"/>
      <c r="V416" s="5"/>
      <c r="W416" s="5"/>
      <c r="X416" s="29">
        <f t="shared" si="268"/>
        <v>3165.8066666666664</v>
      </c>
      <c r="Y416" s="6">
        <v>102</v>
      </c>
      <c r="Z416" s="30">
        <f t="shared" si="261"/>
        <v>31.037320261437905</v>
      </c>
      <c r="AB416" s="48"/>
    </row>
    <row r="417" spans="1:28" x14ac:dyDescent="0.35">
      <c r="A417" s="35"/>
      <c r="B417" s="5"/>
      <c r="C417" s="5"/>
      <c r="D417" s="5"/>
      <c r="E417" s="5"/>
      <c r="F417" s="59"/>
      <c r="G417" s="5"/>
      <c r="H417" s="127"/>
      <c r="I417" s="146"/>
      <c r="J417" s="35"/>
      <c r="K417" s="5"/>
      <c r="L417" s="5"/>
      <c r="M417" s="5"/>
      <c r="N417" s="38"/>
      <c r="O417" s="1"/>
      <c r="P417" s="30"/>
      <c r="R417" s="48"/>
      <c r="S417" s="120"/>
      <c r="T417" s="35"/>
      <c r="U417" s="5"/>
      <c r="V417" s="5"/>
      <c r="W417" s="5"/>
      <c r="X417" s="38"/>
      <c r="Y417" s="90"/>
      <c r="Z417" s="91"/>
      <c r="AB417" s="48"/>
    </row>
    <row r="418" spans="1:28" ht="15" thickBot="1" x14ac:dyDescent="0.4">
      <c r="A418" s="11"/>
      <c r="B418" s="12"/>
      <c r="C418" s="12"/>
      <c r="D418" s="12"/>
      <c r="E418" s="12"/>
      <c r="F418" s="114">
        <f>SUM(F409:F417)</f>
        <v>17056.722091503267</v>
      </c>
      <c r="G418" s="114">
        <f>SUM(G409:G417)</f>
        <v>528</v>
      </c>
      <c r="H418" s="13"/>
      <c r="I418" s="148"/>
      <c r="J418" s="11"/>
      <c r="K418" s="12"/>
      <c r="L418" s="12"/>
      <c r="M418" s="12"/>
      <c r="N418" s="77">
        <f>SUM(N409:N417)</f>
        <v>55675.589542483664</v>
      </c>
      <c r="O418" s="115">
        <f>SUM(O409:O417)</f>
        <v>804</v>
      </c>
      <c r="P418" s="13"/>
      <c r="Q418" s="46" t="s">
        <v>71</v>
      </c>
      <c r="R418" s="52">
        <f>R407+R413</f>
        <v>41277.901487648182</v>
      </c>
      <c r="S418" s="121"/>
      <c r="T418" s="11"/>
      <c r="U418" s="12"/>
      <c r="V418" s="12"/>
      <c r="W418" s="12"/>
      <c r="X418" s="77">
        <f>SUM(X409:X414)</f>
        <v>18994.84</v>
      </c>
      <c r="Y418" s="115">
        <f>SUM(Y409:Y417)</f>
        <v>816</v>
      </c>
      <c r="Z418" s="13"/>
      <c r="AA418" s="46"/>
      <c r="AB418" s="52"/>
    </row>
    <row r="419" spans="1:28" x14ac:dyDescent="0.35">
      <c r="A419" s="39" t="s">
        <v>507</v>
      </c>
      <c r="B419" s="40" t="s">
        <v>43</v>
      </c>
      <c r="C419" s="41" t="s">
        <v>2</v>
      </c>
      <c r="D419" s="41" t="s">
        <v>86</v>
      </c>
      <c r="E419" s="41">
        <f>3650/50</f>
        <v>73</v>
      </c>
      <c r="F419" s="41">
        <f>E419*36</f>
        <v>2628</v>
      </c>
      <c r="G419" s="41">
        <v>132</v>
      </c>
      <c r="H419" s="113">
        <f>F419/G419</f>
        <v>19.90909090909091</v>
      </c>
      <c r="I419" s="147"/>
      <c r="J419" s="80" t="s">
        <v>43</v>
      </c>
      <c r="K419" s="41" t="s">
        <v>2</v>
      </c>
      <c r="L419" s="41" t="s">
        <v>49</v>
      </c>
      <c r="M419" s="41">
        <f>3650/50</f>
        <v>73</v>
      </c>
      <c r="N419" s="41">
        <f>M419*50</f>
        <v>3650</v>
      </c>
      <c r="O419" s="41">
        <v>102</v>
      </c>
      <c r="P419" s="113">
        <f>N419/O419</f>
        <v>35.784313725490193</v>
      </c>
      <c r="Q419" s="43" t="s">
        <v>0</v>
      </c>
      <c r="R419" s="44"/>
      <c r="S419" s="119"/>
      <c r="T419" s="39" t="s">
        <v>43</v>
      </c>
      <c r="U419" s="41" t="s">
        <v>2</v>
      </c>
      <c r="V419" s="41" t="s">
        <v>317</v>
      </c>
      <c r="W419" s="139">
        <f>3600/50</f>
        <v>72</v>
      </c>
      <c r="X419" s="41">
        <f>W419*26</f>
        <v>1872</v>
      </c>
      <c r="Y419" s="41">
        <v>102</v>
      </c>
      <c r="Z419" s="113">
        <f t="shared" ref="Z419:Z432" si="272">X419/Y419</f>
        <v>18.352941176470587</v>
      </c>
      <c r="AA419" s="43" t="s">
        <v>196</v>
      </c>
      <c r="AB419" s="44"/>
    </row>
    <row r="420" spans="1:28" x14ac:dyDescent="0.35">
      <c r="A420" s="35"/>
      <c r="B420" s="5"/>
      <c r="C420" s="6" t="s">
        <v>4</v>
      </c>
      <c r="D420" s="6" t="s">
        <v>485</v>
      </c>
      <c r="E420" s="28">
        <f>7200/50</f>
        <v>144</v>
      </c>
      <c r="F420" s="6">
        <f>E420*4.8</f>
        <v>691.19999999999993</v>
      </c>
      <c r="G420" s="1">
        <f>G419</f>
        <v>132</v>
      </c>
      <c r="H420" s="126">
        <f t="shared" ref="H420:H425" si="273">F420/G420</f>
        <v>5.2363636363636354</v>
      </c>
      <c r="I420" s="146"/>
      <c r="J420" s="9"/>
      <c r="K420" s="1" t="s">
        <v>4</v>
      </c>
      <c r="L420" s="1" t="s">
        <v>353</v>
      </c>
      <c r="M420" s="28">
        <f>7200/50</f>
        <v>144</v>
      </c>
      <c r="N420" s="57">
        <f>M420*2.5</f>
        <v>360</v>
      </c>
      <c r="O420" s="1">
        <f t="shared" ref="O420:O426" si="274">O419</f>
        <v>102</v>
      </c>
      <c r="P420" s="126">
        <f t="shared" ref="P420:P426" si="275">N420/O420</f>
        <v>3.5294117647058822</v>
      </c>
      <c r="Q420" t="s">
        <v>68</v>
      </c>
      <c r="R420" s="45">
        <v>60</v>
      </c>
      <c r="T420" s="35"/>
      <c r="U420" s="6" t="s">
        <v>4</v>
      </c>
      <c r="V420" s="6" t="s">
        <v>324</v>
      </c>
      <c r="W420" s="28">
        <f>7200/50</f>
        <v>144</v>
      </c>
      <c r="X420" s="29">
        <f>W420*3.8</f>
        <v>547.19999999999993</v>
      </c>
      <c r="Y420" s="1">
        <f t="shared" ref="Y420:Y426" si="276">Y419</f>
        <v>102</v>
      </c>
      <c r="Z420" s="126">
        <f t="shared" si="272"/>
        <v>5.3647058823529408</v>
      </c>
      <c r="AA420" t="s">
        <v>68</v>
      </c>
      <c r="AB420" s="45">
        <v>50</v>
      </c>
    </row>
    <row r="421" spans="1:28" x14ac:dyDescent="0.35">
      <c r="A421" s="35"/>
      <c r="B421" s="5"/>
      <c r="C421" s="6" t="s">
        <v>54</v>
      </c>
      <c r="D421" s="6" t="s">
        <v>419</v>
      </c>
      <c r="E421" s="28">
        <f>600/1000</f>
        <v>0.6</v>
      </c>
      <c r="F421" s="6">
        <f>E421*60</f>
        <v>36</v>
      </c>
      <c r="G421" s="1">
        <f t="shared" ref="G421:G426" si="277">G420</f>
        <v>132</v>
      </c>
      <c r="H421" s="126">
        <f t="shared" si="273"/>
        <v>0.27272727272727271</v>
      </c>
      <c r="I421" s="146"/>
      <c r="J421" s="9"/>
      <c r="K421" s="1" t="s">
        <v>5</v>
      </c>
      <c r="L421" s="1" t="s">
        <v>421</v>
      </c>
      <c r="M421" s="233">
        <f>400/450</f>
        <v>0.88888888888888884</v>
      </c>
      <c r="N421" s="57">
        <f>M421*160</f>
        <v>142.22222222222223</v>
      </c>
      <c r="O421" s="1">
        <f t="shared" si="274"/>
        <v>102</v>
      </c>
      <c r="P421" s="126">
        <f t="shared" si="275"/>
        <v>1.3943355119825709</v>
      </c>
      <c r="Q421" t="s">
        <v>32</v>
      </c>
      <c r="R421" s="47">
        <f>H426</f>
        <v>32.304397900574372</v>
      </c>
      <c r="S421" s="120"/>
      <c r="T421" s="35"/>
      <c r="U421" s="6" t="s">
        <v>5</v>
      </c>
      <c r="V421" s="6" t="s">
        <v>420</v>
      </c>
      <c r="W421" s="28">
        <f>255/450</f>
        <v>0.56666666666666665</v>
      </c>
      <c r="X421" s="29">
        <f>W421*190</f>
        <v>107.66666666666666</v>
      </c>
      <c r="Y421" s="1">
        <f t="shared" si="276"/>
        <v>102</v>
      </c>
      <c r="Z421" s="126">
        <f t="shared" si="272"/>
        <v>1.0555555555555554</v>
      </c>
      <c r="AA421" t="s">
        <v>32</v>
      </c>
      <c r="AB421" s="47">
        <f>Z426</f>
        <v>31.037320261437905</v>
      </c>
    </row>
    <row r="422" spans="1:28" x14ac:dyDescent="0.35">
      <c r="A422" s="35"/>
      <c r="B422" s="5"/>
      <c r="C422" s="6" t="s">
        <v>55</v>
      </c>
      <c r="D422" s="6" t="s">
        <v>318</v>
      </c>
      <c r="E422" s="28">
        <f>35.5/1000</f>
        <v>3.5499999999999997E-2</v>
      </c>
      <c r="F422" s="6">
        <f>E422*280</f>
        <v>9.94</v>
      </c>
      <c r="G422" s="1">
        <f t="shared" si="277"/>
        <v>132</v>
      </c>
      <c r="H422" s="126">
        <f t="shared" si="273"/>
        <v>7.5303030303030302E-2</v>
      </c>
      <c r="I422" s="146"/>
      <c r="J422" s="9"/>
      <c r="K422" s="1" t="s">
        <v>51</v>
      </c>
      <c r="L422" s="1" t="s">
        <v>52</v>
      </c>
      <c r="M422" s="232">
        <f>35.5/1000</f>
        <v>3.5499999999999997E-2</v>
      </c>
      <c r="N422" s="1">
        <f>M422*300</f>
        <v>10.649999999999999</v>
      </c>
      <c r="O422" s="1">
        <f t="shared" si="274"/>
        <v>102</v>
      </c>
      <c r="P422" s="126">
        <f t="shared" si="275"/>
        <v>0.10441176470588234</v>
      </c>
      <c r="Q422" t="s">
        <v>62</v>
      </c>
      <c r="R422" s="47">
        <f>R420-R421</f>
        <v>27.695602099425628</v>
      </c>
      <c r="S422" s="120"/>
      <c r="T422" s="35"/>
      <c r="U422" s="6" t="s">
        <v>51</v>
      </c>
      <c r="V422" s="6" t="s">
        <v>318</v>
      </c>
      <c r="W422" s="205">
        <f>35.5/1000</f>
        <v>3.5499999999999997E-2</v>
      </c>
      <c r="X422" s="6">
        <f>W422*280</f>
        <v>9.94</v>
      </c>
      <c r="Y422" s="1">
        <f t="shared" si="276"/>
        <v>102</v>
      </c>
      <c r="Z422" s="126">
        <f t="shared" si="272"/>
        <v>9.7450980392156855E-2</v>
      </c>
      <c r="AA422" t="s">
        <v>69</v>
      </c>
      <c r="AB422" s="47">
        <f>AB420-AB421</f>
        <v>18.962679738562095</v>
      </c>
    </row>
    <row r="423" spans="1:28" x14ac:dyDescent="0.35">
      <c r="A423" s="35"/>
      <c r="B423" s="5"/>
      <c r="C423" s="6" t="s">
        <v>56</v>
      </c>
      <c r="D423" s="6" t="s">
        <v>419</v>
      </c>
      <c r="E423" s="6">
        <f>340/1000</f>
        <v>0.34</v>
      </c>
      <c r="F423" s="6">
        <f>E423*60</f>
        <v>20.400000000000002</v>
      </c>
      <c r="G423" s="1">
        <f t="shared" si="277"/>
        <v>132</v>
      </c>
      <c r="H423" s="126">
        <f t="shared" si="273"/>
        <v>0.15454545454545457</v>
      </c>
      <c r="I423" s="146"/>
      <c r="J423" s="9"/>
      <c r="K423" s="1" t="s">
        <v>26</v>
      </c>
      <c r="L423" s="1" t="s">
        <v>419</v>
      </c>
      <c r="M423" s="1">
        <f>340/1000</f>
        <v>0.34</v>
      </c>
      <c r="N423" s="1">
        <f>M423*60</f>
        <v>20.400000000000002</v>
      </c>
      <c r="O423" s="1">
        <f t="shared" si="274"/>
        <v>102</v>
      </c>
      <c r="P423" s="126">
        <f t="shared" si="275"/>
        <v>0.2</v>
      </c>
      <c r="Q423" t="s">
        <v>72</v>
      </c>
      <c r="R423" s="50">
        <f>G426*R422</f>
        <v>3655.8194771241829</v>
      </c>
      <c r="S423" s="120"/>
      <c r="T423" s="35"/>
      <c r="U423" s="6" t="s">
        <v>26</v>
      </c>
      <c r="V423" s="6" t="s">
        <v>53</v>
      </c>
      <c r="W423" s="6">
        <f>340/1000</f>
        <v>0.34</v>
      </c>
      <c r="X423" s="6">
        <f>W423*50</f>
        <v>17</v>
      </c>
      <c r="Y423" s="1">
        <f t="shared" si="276"/>
        <v>102</v>
      </c>
      <c r="Z423" s="126">
        <f t="shared" si="272"/>
        <v>0.16666666666666666</v>
      </c>
      <c r="AA423" t="s">
        <v>205</v>
      </c>
      <c r="AB423" s="50">
        <f>AB422*102</f>
        <v>1934.1933333333336</v>
      </c>
    </row>
    <row r="424" spans="1:28" x14ac:dyDescent="0.35">
      <c r="A424" s="35"/>
      <c r="B424" s="5"/>
      <c r="C424" s="6" t="s">
        <v>57</v>
      </c>
      <c r="D424" s="6" t="s">
        <v>6</v>
      </c>
      <c r="E424" s="28">
        <f>250/450</f>
        <v>0.55555555555555558</v>
      </c>
      <c r="F424" s="28">
        <f>E424*200</f>
        <v>111.11111111111111</v>
      </c>
      <c r="G424" s="1">
        <f t="shared" si="277"/>
        <v>132</v>
      </c>
      <c r="H424" s="126">
        <f t="shared" si="273"/>
        <v>0.84175084175084181</v>
      </c>
      <c r="I424" s="146"/>
      <c r="J424" s="9"/>
      <c r="K424" s="1" t="s">
        <v>3</v>
      </c>
      <c r="L424" s="1" t="s">
        <v>382</v>
      </c>
      <c r="M424" s="57">
        <f>4660/17</f>
        <v>274.11764705882354</v>
      </c>
      <c r="N424" s="57">
        <f>M424*1.5</f>
        <v>411.1764705882353</v>
      </c>
      <c r="O424" s="1">
        <f t="shared" si="274"/>
        <v>102</v>
      </c>
      <c r="P424" s="126">
        <f t="shared" si="275"/>
        <v>4.031141868512111</v>
      </c>
      <c r="Q424" t="s">
        <v>432</v>
      </c>
      <c r="R424" s="48">
        <f>R423*2</f>
        <v>7311.6389542483657</v>
      </c>
      <c r="S424" s="120"/>
      <c r="T424" s="35"/>
      <c r="U424" s="6" t="s">
        <v>3</v>
      </c>
      <c r="V424" s="6" t="s">
        <v>325</v>
      </c>
      <c r="W424" s="29">
        <f>260</f>
        <v>260</v>
      </c>
      <c r="X424" s="29">
        <f>W424*2.3</f>
        <v>598</v>
      </c>
      <c r="Y424" s="1">
        <f t="shared" si="276"/>
        <v>102</v>
      </c>
      <c r="Z424" s="126">
        <f t="shared" si="272"/>
        <v>5.8627450980392153</v>
      </c>
      <c r="AA424" t="s">
        <v>426</v>
      </c>
      <c r="AB424" s="48">
        <f>AB423*7</f>
        <v>13539.353333333336</v>
      </c>
    </row>
    <row r="425" spans="1:28" x14ac:dyDescent="0.35">
      <c r="A425" s="35"/>
      <c r="B425" s="5"/>
      <c r="C425" s="6" t="s">
        <v>58</v>
      </c>
      <c r="D425" s="6" t="s">
        <v>319</v>
      </c>
      <c r="E425" s="29">
        <f>4660/17</f>
        <v>274.11764705882354</v>
      </c>
      <c r="F425" s="29">
        <f>E425*2.8</f>
        <v>767.52941176470586</v>
      </c>
      <c r="G425" s="6">
        <f t="shared" si="277"/>
        <v>132</v>
      </c>
      <c r="H425" s="126">
        <f t="shared" si="273"/>
        <v>5.8146167557932262</v>
      </c>
      <c r="I425" s="146"/>
      <c r="J425" s="9"/>
      <c r="K425" s="1" t="s">
        <v>7</v>
      </c>
      <c r="L425" s="234" t="s">
        <v>388</v>
      </c>
      <c r="M425" s="57">
        <f>4730/20</f>
        <v>236.5</v>
      </c>
      <c r="N425" s="57">
        <f>M425*12.5</f>
        <v>2956.25</v>
      </c>
      <c r="O425" s="1">
        <f t="shared" si="274"/>
        <v>102</v>
      </c>
      <c r="P425" s="126">
        <f t="shared" si="275"/>
        <v>28.982843137254903</v>
      </c>
      <c r="Q425" t="s">
        <v>1</v>
      </c>
      <c r="R425" s="45"/>
      <c r="T425" s="35"/>
      <c r="U425" s="6" t="s">
        <v>151</v>
      </c>
      <c r="V425" s="53" t="s">
        <v>53</v>
      </c>
      <c r="W425" s="28">
        <f>280/1000</f>
        <v>0.28000000000000003</v>
      </c>
      <c r="X425" s="6">
        <f>W425*50</f>
        <v>14.000000000000002</v>
      </c>
      <c r="Y425" s="1">
        <f t="shared" si="276"/>
        <v>102</v>
      </c>
      <c r="Z425" s="126">
        <f t="shared" si="272"/>
        <v>0.13725490196078433</v>
      </c>
      <c r="AB425" s="45"/>
    </row>
    <row r="426" spans="1:28" x14ac:dyDescent="0.35">
      <c r="A426" s="35"/>
      <c r="B426" s="5"/>
      <c r="C426" s="6"/>
      <c r="D426" s="6"/>
      <c r="E426" s="29"/>
      <c r="F426" s="51">
        <f>SUM(F419:F425)</f>
        <v>4264.1805228758167</v>
      </c>
      <c r="G426" s="32">
        <f t="shared" si="277"/>
        <v>132</v>
      </c>
      <c r="H426" s="33">
        <f>SUM(H419:H425)</f>
        <v>32.304397900574372</v>
      </c>
      <c r="I426" s="146"/>
      <c r="J426" s="35"/>
      <c r="K426" s="6"/>
      <c r="L426" s="6"/>
      <c r="M426" s="6"/>
      <c r="N426" s="235">
        <f>SUM(N419:N425)</f>
        <v>7550.698692810457</v>
      </c>
      <c r="O426" s="32">
        <f t="shared" si="274"/>
        <v>102</v>
      </c>
      <c r="P426" s="236">
        <f t="shared" si="275"/>
        <v>74.02645777265154</v>
      </c>
      <c r="Q426" t="s">
        <v>68</v>
      </c>
      <c r="R426" s="45">
        <v>100</v>
      </c>
      <c r="T426" s="35"/>
      <c r="U426" s="6"/>
      <c r="V426" s="6"/>
      <c r="W426" s="6"/>
      <c r="X426" s="31">
        <f>SUM(X419:X425)</f>
        <v>3165.8066666666664</v>
      </c>
      <c r="Y426" s="32">
        <f t="shared" si="276"/>
        <v>102</v>
      </c>
      <c r="Z426" s="33">
        <f t="shared" si="272"/>
        <v>31.037320261437905</v>
      </c>
      <c r="AB426" s="45"/>
    </row>
    <row r="427" spans="1:28" x14ac:dyDescent="0.35">
      <c r="A427" s="35"/>
      <c r="B427" s="5" t="s">
        <v>44</v>
      </c>
      <c r="C427" s="5" t="s">
        <v>70</v>
      </c>
      <c r="D427" s="5" t="s">
        <v>70</v>
      </c>
      <c r="E427" s="5"/>
      <c r="F427" s="59">
        <f t="shared" ref="F427" si="278">F426</f>
        <v>4264.1805228758167</v>
      </c>
      <c r="G427" s="5">
        <v>132</v>
      </c>
      <c r="H427" s="127">
        <f>F427/G427</f>
        <v>32.304397900574372</v>
      </c>
      <c r="I427" s="146"/>
      <c r="J427" s="35" t="s">
        <v>44</v>
      </c>
      <c r="K427" s="5" t="s">
        <v>70</v>
      </c>
      <c r="L427" s="5" t="s">
        <v>70</v>
      </c>
      <c r="M427" s="5" t="s">
        <v>70</v>
      </c>
      <c r="N427" s="38">
        <f>N426</f>
        <v>7550.698692810457</v>
      </c>
      <c r="O427" s="5">
        <v>102</v>
      </c>
      <c r="P427" s="30">
        <f>N427/O427</f>
        <v>74.02645777265154</v>
      </c>
      <c r="Q427" t="s">
        <v>32</v>
      </c>
      <c r="R427" s="47">
        <f>AVERAGE(P426,P427,P428,P429,P430)</f>
        <v>74.466218907934604</v>
      </c>
      <c r="S427" s="120"/>
      <c r="T427" s="35" t="s">
        <v>44</v>
      </c>
      <c r="U427" s="5"/>
      <c r="V427" s="5"/>
      <c r="W427" s="5"/>
      <c r="X427" s="29">
        <f t="shared" ref="X427:X432" si="279">X426</f>
        <v>3165.8066666666664</v>
      </c>
      <c r="Y427" s="6">
        <v>102</v>
      </c>
      <c r="Z427" s="30">
        <f t="shared" si="272"/>
        <v>31.037320261437905</v>
      </c>
      <c r="AB427" s="47"/>
    </row>
    <row r="428" spans="1:28" x14ac:dyDescent="0.35">
      <c r="A428" s="35"/>
      <c r="B428" s="5"/>
      <c r="C428" s="5"/>
      <c r="D428" s="5"/>
      <c r="E428" s="5"/>
      <c r="F428" s="59"/>
      <c r="G428" s="5"/>
      <c r="H428" s="127"/>
      <c r="I428" s="146"/>
      <c r="J428" s="35" t="s">
        <v>45</v>
      </c>
      <c r="K428" s="5" t="s">
        <v>70</v>
      </c>
      <c r="L428" s="5" t="s">
        <v>70</v>
      </c>
      <c r="M428" s="5" t="s">
        <v>70</v>
      </c>
      <c r="N428" s="38">
        <f t="shared" ref="N428:N433" si="280">N427</f>
        <v>7550.698692810457</v>
      </c>
      <c r="O428" s="5">
        <v>101</v>
      </c>
      <c r="P428" s="30">
        <f t="shared" ref="P428:P433" si="281">N428/O428</f>
        <v>74.759392998123332</v>
      </c>
      <c r="Q428" t="s">
        <v>69</v>
      </c>
      <c r="R428" s="47">
        <f>R426-R427</f>
        <v>25.533781092065396</v>
      </c>
      <c r="S428" s="120"/>
      <c r="T428" s="35" t="s">
        <v>45</v>
      </c>
      <c r="U428" s="5"/>
      <c r="V428" s="5"/>
      <c r="W428" s="5"/>
      <c r="X428" s="29">
        <f t="shared" si="279"/>
        <v>3165.8066666666664</v>
      </c>
      <c r="Y428" s="6">
        <v>102</v>
      </c>
      <c r="Z428" s="30">
        <f t="shared" si="272"/>
        <v>31.037320261437905</v>
      </c>
      <c r="AB428" s="47"/>
    </row>
    <row r="429" spans="1:28" x14ac:dyDescent="0.35">
      <c r="A429" s="35"/>
      <c r="B429" s="5"/>
      <c r="C429" s="5"/>
      <c r="D429" s="5"/>
      <c r="E429" s="5"/>
      <c r="F429" s="59"/>
      <c r="G429" s="5"/>
      <c r="H429" s="127"/>
      <c r="I429" s="146"/>
      <c r="J429" s="35" t="s">
        <v>67</v>
      </c>
      <c r="K429" s="5" t="s">
        <v>70</v>
      </c>
      <c r="L429" s="5" t="s">
        <v>70</v>
      </c>
      <c r="M429" s="5" t="s">
        <v>70</v>
      </c>
      <c r="N429" s="38">
        <f t="shared" si="280"/>
        <v>7550.698692810457</v>
      </c>
      <c r="O429" s="5">
        <v>101</v>
      </c>
      <c r="P429" s="30">
        <f t="shared" si="281"/>
        <v>74.759392998123332</v>
      </c>
      <c r="Q429" t="s">
        <v>136</v>
      </c>
      <c r="R429" s="50">
        <f>R428*101</f>
        <v>2578.9118902986052</v>
      </c>
      <c r="S429" s="120"/>
      <c r="T429" s="35" t="s">
        <v>67</v>
      </c>
      <c r="U429" s="5"/>
      <c r="V429" s="5"/>
      <c r="W429" s="5"/>
      <c r="X429" s="29">
        <f t="shared" si="279"/>
        <v>3165.8066666666664</v>
      </c>
      <c r="Y429" s="6">
        <v>102</v>
      </c>
      <c r="Z429" s="30">
        <f t="shared" si="272"/>
        <v>31.037320261437905</v>
      </c>
      <c r="AB429" s="50"/>
    </row>
    <row r="430" spans="1:28" x14ac:dyDescent="0.35">
      <c r="A430" s="35"/>
      <c r="B430" s="5"/>
      <c r="C430" s="5"/>
      <c r="D430" s="5"/>
      <c r="E430" s="5"/>
      <c r="F430" s="59"/>
      <c r="G430" s="5"/>
      <c r="H430" s="127"/>
      <c r="I430" s="146"/>
      <c r="J430" s="35" t="s">
        <v>133</v>
      </c>
      <c r="K430" s="5"/>
      <c r="L430" s="5"/>
      <c r="M430" s="5"/>
      <c r="N430" s="38">
        <f t="shared" si="280"/>
        <v>7550.698692810457</v>
      </c>
      <c r="O430" s="5">
        <v>101</v>
      </c>
      <c r="P430" s="30">
        <f t="shared" si="281"/>
        <v>74.759392998123332</v>
      </c>
      <c r="Q430" t="s">
        <v>433</v>
      </c>
      <c r="R430" s="48">
        <f>R429*8</f>
        <v>20631.295122388841</v>
      </c>
      <c r="S430" s="120"/>
      <c r="T430" s="35" t="s">
        <v>133</v>
      </c>
      <c r="U430" s="5"/>
      <c r="V430" s="5"/>
      <c r="W430" s="5"/>
      <c r="X430" s="29">
        <f t="shared" si="279"/>
        <v>3165.8066666666664</v>
      </c>
      <c r="Y430" s="6">
        <v>102</v>
      </c>
      <c r="Z430" s="30">
        <f t="shared" si="272"/>
        <v>31.037320261437905</v>
      </c>
      <c r="AB430" s="48"/>
    </row>
    <row r="431" spans="1:28" x14ac:dyDescent="0.35">
      <c r="A431" s="35"/>
      <c r="B431" s="5"/>
      <c r="C431" s="5"/>
      <c r="D431" s="5"/>
      <c r="E431" s="5"/>
      <c r="F431" s="59"/>
      <c r="G431" s="5"/>
      <c r="H431" s="127"/>
      <c r="I431" s="146"/>
      <c r="J431" s="35" t="s">
        <v>134</v>
      </c>
      <c r="K431" s="5"/>
      <c r="L431" s="5"/>
      <c r="M431" s="5"/>
      <c r="N431" s="38">
        <f t="shared" si="280"/>
        <v>7550.698692810457</v>
      </c>
      <c r="O431" s="5">
        <v>100</v>
      </c>
      <c r="P431" s="30">
        <f t="shared" si="281"/>
        <v>75.506986928104567</v>
      </c>
      <c r="R431" s="48"/>
      <c r="S431" s="120"/>
      <c r="T431" s="35" t="s">
        <v>134</v>
      </c>
      <c r="U431" s="5"/>
      <c r="V431" s="5"/>
      <c r="W431" s="5"/>
      <c r="X431" s="29">
        <f t="shared" si="279"/>
        <v>3165.8066666666664</v>
      </c>
      <c r="Y431" s="6">
        <v>102</v>
      </c>
      <c r="Z431" s="30">
        <f t="shared" si="272"/>
        <v>31.037320261437905</v>
      </c>
      <c r="AB431" s="48"/>
    </row>
    <row r="432" spans="1:28" x14ac:dyDescent="0.35">
      <c r="A432" s="35"/>
      <c r="B432" s="5"/>
      <c r="C432" s="5"/>
      <c r="D432" s="5"/>
      <c r="E432" s="5"/>
      <c r="F432" s="59"/>
      <c r="G432" s="5"/>
      <c r="H432" s="127"/>
      <c r="I432" s="146"/>
      <c r="J432" s="35" t="s">
        <v>252</v>
      </c>
      <c r="K432" s="5" t="s">
        <v>70</v>
      </c>
      <c r="L432" s="5" t="s">
        <v>70</v>
      </c>
      <c r="M432" s="5" t="s">
        <v>70</v>
      </c>
      <c r="N432" s="38">
        <f t="shared" si="280"/>
        <v>7550.698692810457</v>
      </c>
      <c r="O432" s="5">
        <v>100</v>
      </c>
      <c r="P432" s="30">
        <f t="shared" si="281"/>
        <v>75.506986928104567</v>
      </c>
      <c r="Q432">
        <f>100/8</f>
        <v>12.5</v>
      </c>
      <c r="R432" s="48"/>
      <c r="S432" s="120"/>
      <c r="T432" s="35" t="s">
        <v>252</v>
      </c>
      <c r="U432" s="5"/>
      <c r="V432" s="5"/>
      <c r="W432" s="5"/>
      <c r="X432" s="29">
        <f t="shared" si="279"/>
        <v>3165.8066666666664</v>
      </c>
      <c r="Y432" s="6">
        <v>102</v>
      </c>
      <c r="Z432" s="30">
        <f t="shared" si="272"/>
        <v>31.037320261437905</v>
      </c>
      <c r="AB432" s="48"/>
    </row>
    <row r="433" spans="1:28" x14ac:dyDescent="0.35">
      <c r="A433" s="35"/>
      <c r="B433" s="5"/>
      <c r="C433" s="5"/>
      <c r="D433" s="5"/>
      <c r="E433" s="5"/>
      <c r="F433" s="59"/>
      <c r="G433" s="5"/>
      <c r="H433" s="127"/>
      <c r="I433" s="146"/>
      <c r="J433" s="35" t="s">
        <v>253</v>
      </c>
      <c r="K433" s="5" t="s">
        <v>70</v>
      </c>
      <c r="L433" s="5" t="s">
        <v>70</v>
      </c>
      <c r="M433" s="5" t="s">
        <v>70</v>
      </c>
      <c r="N433" s="38">
        <f t="shared" si="280"/>
        <v>7550.698692810457</v>
      </c>
      <c r="O433" s="5">
        <v>100</v>
      </c>
      <c r="P433" s="30">
        <f t="shared" si="281"/>
        <v>75.506986928104567</v>
      </c>
      <c r="R433" s="48"/>
      <c r="S433" s="120"/>
      <c r="T433" s="35"/>
      <c r="U433" s="5"/>
      <c r="V433" s="5"/>
      <c r="W433" s="5"/>
      <c r="X433" s="29"/>
      <c r="Y433" s="6"/>
      <c r="Z433" s="30"/>
      <c r="AB433" s="48"/>
    </row>
    <row r="434" spans="1:28" x14ac:dyDescent="0.35">
      <c r="A434" s="35"/>
      <c r="B434" s="5"/>
      <c r="C434" s="5"/>
      <c r="D434" s="5"/>
      <c r="E434" s="5"/>
      <c r="F434" s="59"/>
      <c r="G434" s="5">
        <v>0</v>
      </c>
      <c r="H434" s="37"/>
      <c r="I434" s="146"/>
      <c r="J434" s="35"/>
      <c r="K434" s="5"/>
      <c r="L434" s="5"/>
      <c r="M434" s="5"/>
      <c r="N434" s="38"/>
      <c r="O434" s="1"/>
      <c r="P434" s="30"/>
      <c r="R434" s="48"/>
      <c r="S434" s="120"/>
      <c r="T434" s="35"/>
      <c r="U434" s="5"/>
      <c r="V434" s="5"/>
      <c r="W434" s="5"/>
      <c r="X434" s="29"/>
      <c r="Y434" s="6"/>
      <c r="Z434" s="30"/>
      <c r="AB434" s="48"/>
    </row>
    <row r="435" spans="1:28" ht="15" thickBot="1" x14ac:dyDescent="0.4">
      <c r="A435" s="11"/>
      <c r="B435" s="12"/>
      <c r="C435" s="12"/>
      <c r="D435" s="12"/>
      <c r="E435" s="12"/>
      <c r="F435" s="114">
        <f>SUM(F426:F434)</f>
        <v>8528.3610457516334</v>
      </c>
      <c r="G435" s="114">
        <f>SUM(G426:G434)</f>
        <v>264</v>
      </c>
      <c r="H435" s="13"/>
      <c r="I435" s="148"/>
      <c r="J435" s="11"/>
      <c r="K435" s="12"/>
      <c r="L435" s="12"/>
      <c r="M435" s="12"/>
      <c r="N435" s="77">
        <f>SUM(N426:N434)</f>
        <v>60405.589542483664</v>
      </c>
      <c r="O435" s="115">
        <f>SUM(O426:O434)</f>
        <v>807</v>
      </c>
      <c r="P435" s="13"/>
      <c r="Q435" s="46" t="s">
        <v>71</v>
      </c>
      <c r="R435" s="52">
        <f>R424+R430</f>
        <v>27942.934076637208</v>
      </c>
      <c r="S435" s="121"/>
      <c r="T435" s="11"/>
      <c r="U435" s="12"/>
      <c r="V435" s="12"/>
      <c r="W435" s="12"/>
      <c r="X435" s="77">
        <f>SUM(X426:X431)</f>
        <v>18994.84</v>
      </c>
      <c r="Y435" s="115">
        <f>SUM(Y426:Y434)</f>
        <v>714</v>
      </c>
      <c r="Z435" s="13"/>
      <c r="AA435" s="46"/>
      <c r="AB435" s="52"/>
    </row>
    <row r="436" spans="1:28" x14ac:dyDescent="0.35">
      <c r="A436" s="39" t="s">
        <v>509</v>
      </c>
      <c r="B436" s="40" t="s">
        <v>43</v>
      </c>
      <c r="C436" s="41" t="s">
        <v>2</v>
      </c>
      <c r="D436" s="41" t="s">
        <v>86</v>
      </c>
      <c r="E436" s="41">
        <f>3650/50</f>
        <v>73</v>
      </c>
      <c r="F436" s="41">
        <f>E436*36</f>
        <v>2628</v>
      </c>
      <c r="G436" s="41">
        <v>132</v>
      </c>
      <c r="H436" s="113">
        <f>F436/G436</f>
        <v>19.90909090909091</v>
      </c>
      <c r="I436" s="147"/>
      <c r="J436" s="80" t="s">
        <v>43</v>
      </c>
      <c r="K436" s="41" t="s">
        <v>2</v>
      </c>
      <c r="L436" s="41" t="s">
        <v>49</v>
      </c>
      <c r="M436" s="41">
        <f>3650/50</f>
        <v>73</v>
      </c>
      <c r="N436" s="41">
        <f>M436*50</f>
        <v>3650</v>
      </c>
      <c r="O436" s="41">
        <v>102</v>
      </c>
      <c r="P436" s="113">
        <f>N436/O436</f>
        <v>35.784313725490193</v>
      </c>
      <c r="Q436" s="43" t="s">
        <v>0</v>
      </c>
      <c r="R436" s="44"/>
      <c r="S436" s="119"/>
      <c r="T436" s="39" t="s">
        <v>43</v>
      </c>
      <c r="U436" s="41" t="s">
        <v>2</v>
      </c>
      <c r="V436" s="41" t="s">
        <v>317</v>
      </c>
      <c r="W436" s="139">
        <f>3600/50</f>
        <v>72</v>
      </c>
      <c r="X436" s="41">
        <f>W436*26</f>
        <v>1872</v>
      </c>
      <c r="Y436" s="41">
        <v>102</v>
      </c>
      <c r="Z436" s="113">
        <f t="shared" ref="Z436:Z447" si="282">X436/Y436</f>
        <v>18.352941176470587</v>
      </c>
      <c r="AA436" s="43" t="s">
        <v>196</v>
      </c>
      <c r="AB436" s="44"/>
    </row>
    <row r="437" spans="1:28" x14ac:dyDescent="0.35">
      <c r="A437" s="35"/>
      <c r="B437" s="5"/>
      <c r="C437" s="6" t="s">
        <v>4</v>
      </c>
      <c r="D437" s="6" t="s">
        <v>485</v>
      </c>
      <c r="E437" s="28">
        <f>7200/50</f>
        <v>144</v>
      </c>
      <c r="F437" s="6">
        <f>E437*4.8</f>
        <v>691.19999999999993</v>
      </c>
      <c r="G437" s="1">
        <f>G436</f>
        <v>132</v>
      </c>
      <c r="H437" s="126">
        <f t="shared" ref="H437:H442" si="283">F437/G437</f>
        <v>5.2363636363636354</v>
      </c>
      <c r="I437" s="146"/>
      <c r="J437" s="9"/>
      <c r="K437" s="1" t="s">
        <v>4</v>
      </c>
      <c r="L437" s="1" t="s">
        <v>353</v>
      </c>
      <c r="M437" s="28">
        <f>7200/50</f>
        <v>144</v>
      </c>
      <c r="N437" s="57">
        <f>M437*2.5</f>
        <v>360</v>
      </c>
      <c r="O437" s="1">
        <f t="shared" ref="O437:O443" si="284">O436</f>
        <v>102</v>
      </c>
      <c r="P437" s="126">
        <f t="shared" ref="P437:P443" si="285">N437/O437</f>
        <v>3.5294117647058822</v>
      </c>
      <c r="Q437" t="s">
        <v>68</v>
      </c>
      <c r="R437" s="45">
        <v>60</v>
      </c>
      <c r="T437" s="35"/>
      <c r="U437" s="6" t="s">
        <v>4</v>
      </c>
      <c r="V437" s="6" t="s">
        <v>324</v>
      </c>
      <c r="W437" s="28">
        <f>7200/50</f>
        <v>144</v>
      </c>
      <c r="X437" s="29">
        <f>W437*3.8</f>
        <v>547.19999999999993</v>
      </c>
      <c r="Y437" s="1">
        <f t="shared" ref="Y437:Y443" si="286">Y436</f>
        <v>102</v>
      </c>
      <c r="Z437" s="126">
        <f t="shared" si="282"/>
        <v>5.3647058823529408</v>
      </c>
      <c r="AA437" t="s">
        <v>68</v>
      </c>
      <c r="AB437" s="45">
        <v>50</v>
      </c>
    </row>
    <row r="438" spans="1:28" x14ac:dyDescent="0.35">
      <c r="A438" s="35"/>
      <c r="B438" s="5"/>
      <c r="C438" s="6" t="s">
        <v>54</v>
      </c>
      <c r="D438" s="6" t="s">
        <v>419</v>
      </c>
      <c r="E438" s="28">
        <f>600/1000</f>
        <v>0.6</v>
      </c>
      <c r="F438" s="6">
        <f>E438*60</f>
        <v>36</v>
      </c>
      <c r="G438" s="1">
        <f t="shared" ref="G438:G443" si="287">G437</f>
        <v>132</v>
      </c>
      <c r="H438" s="126">
        <f t="shared" si="283"/>
        <v>0.27272727272727271</v>
      </c>
      <c r="I438" s="146"/>
      <c r="J438" s="9"/>
      <c r="K438" s="1" t="s">
        <v>5</v>
      </c>
      <c r="L438" s="1" t="s">
        <v>421</v>
      </c>
      <c r="M438" s="233">
        <f>400/450</f>
        <v>0.88888888888888884</v>
      </c>
      <c r="N438" s="57">
        <f>M438*160</f>
        <v>142.22222222222223</v>
      </c>
      <c r="O438" s="1">
        <f t="shared" si="284"/>
        <v>102</v>
      </c>
      <c r="P438" s="126">
        <f t="shared" si="285"/>
        <v>1.3943355119825709</v>
      </c>
      <c r="Q438" t="s">
        <v>32</v>
      </c>
      <c r="R438" s="47">
        <f>H443</f>
        <v>32.304397900574372</v>
      </c>
      <c r="S438" s="120"/>
      <c r="T438" s="35"/>
      <c r="U438" s="6" t="s">
        <v>5</v>
      </c>
      <c r="V438" s="6" t="s">
        <v>420</v>
      </c>
      <c r="W438" s="28">
        <f>255/450</f>
        <v>0.56666666666666665</v>
      </c>
      <c r="X438" s="29">
        <f>W438*190</f>
        <v>107.66666666666666</v>
      </c>
      <c r="Y438" s="1">
        <f t="shared" si="286"/>
        <v>102</v>
      </c>
      <c r="Z438" s="126">
        <f t="shared" si="282"/>
        <v>1.0555555555555554</v>
      </c>
      <c r="AA438" t="s">
        <v>32</v>
      </c>
      <c r="AB438" s="47">
        <f>Z443</f>
        <v>31.037320261437905</v>
      </c>
    </row>
    <row r="439" spans="1:28" x14ac:dyDescent="0.35">
      <c r="A439" s="35"/>
      <c r="B439" s="5"/>
      <c r="C439" s="6" t="s">
        <v>55</v>
      </c>
      <c r="D439" s="6" t="s">
        <v>318</v>
      </c>
      <c r="E439" s="28">
        <f>35.5/1000</f>
        <v>3.5499999999999997E-2</v>
      </c>
      <c r="F439" s="6">
        <f>E439*280</f>
        <v>9.94</v>
      </c>
      <c r="G439" s="1">
        <f t="shared" si="287"/>
        <v>132</v>
      </c>
      <c r="H439" s="126">
        <f t="shared" si="283"/>
        <v>7.5303030303030302E-2</v>
      </c>
      <c r="I439" s="146"/>
      <c r="J439" s="9"/>
      <c r="K439" s="1" t="s">
        <v>51</v>
      </c>
      <c r="L439" s="1" t="s">
        <v>52</v>
      </c>
      <c r="M439" s="232">
        <f>35.5/1000</f>
        <v>3.5499999999999997E-2</v>
      </c>
      <c r="N439" s="1">
        <f>M439*300</f>
        <v>10.649999999999999</v>
      </c>
      <c r="O439" s="1">
        <f t="shared" si="284"/>
        <v>102</v>
      </c>
      <c r="P439" s="126">
        <f t="shared" si="285"/>
        <v>0.10441176470588234</v>
      </c>
      <c r="Q439" t="s">
        <v>62</v>
      </c>
      <c r="R439" s="47">
        <f>R437-R438</f>
        <v>27.695602099425628</v>
      </c>
      <c r="S439" s="120"/>
      <c r="T439" s="35"/>
      <c r="U439" s="6" t="s">
        <v>51</v>
      </c>
      <c r="V439" s="6" t="s">
        <v>318</v>
      </c>
      <c r="W439" s="205">
        <f>35.5/1000</f>
        <v>3.5499999999999997E-2</v>
      </c>
      <c r="X439" s="6">
        <f>W439*280</f>
        <v>9.94</v>
      </c>
      <c r="Y439" s="1">
        <f t="shared" si="286"/>
        <v>102</v>
      </c>
      <c r="Z439" s="126">
        <f t="shared" si="282"/>
        <v>9.7450980392156855E-2</v>
      </c>
      <c r="AA439" t="s">
        <v>69</v>
      </c>
      <c r="AB439" s="47">
        <f>AB437-AB438</f>
        <v>18.962679738562095</v>
      </c>
    </row>
    <row r="440" spans="1:28" x14ac:dyDescent="0.35">
      <c r="A440" s="35"/>
      <c r="B440" s="5"/>
      <c r="C440" s="6" t="s">
        <v>56</v>
      </c>
      <c r="D440" s="6" t="s">
        <v>419</v>
      </c>
      <c r="E440" s="6">
        <f>340/1000</f>
        <v>0.34</v>
      </c>
      <c r="F440" s="6">
        <f>E440*60</f>
        <v>20.400000000000002</v>
      </c>
      <c r="G440" s="1">
        <f t="shared" si="287"/>
        <v>132</v>
      </c>
      <c r="H440" s="126">
        <f t="shared" si="283"/>
        <v>0.15454545454545457</v>
      </c>
      <c r="I440" s="146"/>
      <c r="J440" s="9"/>
      <c r="K440" s="1" t="s">
        <v>26</v>
      </c>
      <c r="L440" s="1" t="s">
        <v>419</v>
      </c>
      <c r="M440" s="1">
        <f>340/1000</f>
        <v>0.34</v>
      </c>
      <c r="N440" s="1">
        <f>M440*60</f>
        <v>20.400000000000002</v>
      </c>
      <c r="O440" s="1">
        <f t="shared" si="284"/>
        <v>102</v>
      </c>
      <c r="P440" s="126">
        <f t="shared" si="285"/>
        <v>0.2</v>
      </c>
      <c r="Q440" t="s">
        <v>72</v>
      </c>
      <c r="R440" s="50">
        <f>G443*R439</f>
        <v>3655.8194771241829</v>
      </c>
      <c r="S440" s="120"/>
      <c r="T440" s="35"/>
      <c r="U440" s="6" t="s">
        <v>26</v>
      </c>
      <c r="V440" s="6" t="s">
        <v>53</v>
      </c>
      <c r="W440" s="6">
        <f>340/1000</f>
        <v>0.34</v>
      </c>
      <c r="X440" s="6">
        <f>W440*50</f>
        <v>17</v>
      </c>
      <c r="Y440" s="1">
        <f t="shared" si="286"/>
        <v>102</v>
      </c>
      <c r="Z440" s="126">
        <f t="shared" si="282"/>
        <v>0.16666666666666666</v>
      </c>
      <c r="AA440" t="s">
        <v>205</v>
      </c>
      <c r="AB440" s="50">
        <f>AB439*102</f>
        <v>1934.1933333333336</v>
      </c>
    </row>
    <row r="441" spans="1:28" x14ac:dyDescent="0.35">
      <c r="A441" s="35"/>
      <c r="B441" s="5"/>
      <c r="C441" s="6" t="s">
        <v>57</v>
      </c>
      <c r="D441" s="6" t="s">
        <v>6</v>
      </c>
      <c r="E441" s="28">
        <f>250/450</f>
        <v>0.55555555555555558</v>
      </c>
      <c r="F441" s="28">
        <f>E441*200</f>
        <v>111.11111111111111</v>
      </c>
      <c r="G441" s="1">
        <f t="shared" si="287"/>
        <v>132</v>
      </c>
      <c r="H441" s="126">
        <f t="shared" si="283"/>
        <v>0.84175084175084181</v>
      </c>
      <c r="I441" s="146"/>
      <c r="J441" s="9"/>
      <c r="K441" s="1" t="s">
        <v>3</v>
      </c>
      <c r="L441" s="1" t="s">
        <v>382</v>
      </c>
      <c r="M441" s="57">
        <f>4660/17</f>
        <v>274.11764705882354</v>
      </c>
      <c r="N441" s="57">
        <f>M441*1.5</f>
        <v>411.1764705882353</v>
      </c>
      <c r="O441" s="1">
        <f t="shared" si="284"/>
        <v>102</v>
      </c>
      <c r="P441" s="126">
        <f t="shared" si="285"/>
        <v>4.031141868512111</v>
      </c>
      <c r="Q441" t="s">
        <v>432</v>
      </c>
      <c r="R441" s="48">
        <f>R440*2</f>
        <v>7311.6389542483657</v>
      </c>
      <c r="S441" s="120"/>
      <c r="T441" s="35"/>
      <c r="U441" s="6" t="s">
        <v>3</v>
      </c>
      <c r="V441" s="6" t="s">
        <v>325</v>
      </c>
      <c r="W441" s="29">
        <f>260</f>
        <v>260</v>
      </c>
      <c r="X441" s="29">
        <f>W441*2.3</f>
        <v>598</v>
      </c>
      <c r="Y441" s="1">
        <f t="shared" si="286"/>
        <v>102</v>
      </c>
      <c r="Z441" s="126">
        <f t="shared" si="282"/>
        <v>5.8627450980392153</v>
      </c>
      <c r="AA441" t="s">
        <v>435</v>
      </c>
      <c r="AB441" s="48">
        <f>AB440*5</f>
        <v>9670.9666666666672</v>
      </c>
    </row>
    <row r="442" spans="1:28" x14ac:dyDescent="0.35">
      <c r="A442" s="35"/>
      <c r="B442" s="5"/>
      <c r="C442" s="6" t="s">
        <v>58</v>
      </c>
      <c r="D442" s="6" t="s">
        <v>319</v>
      </c>
      <c r="E442" s="29">
        <f>4660/17</f>
        <v>274.11764705882354</v>
      </c>
      <c r="F442" s="29">
        <f>E442*2.8</f>
        <v>767.52941176470586</v>
      </c>
      <c r="G442" s="6">
        <f t="shared" si="287"/>
        <v>132</v>
      </c>
      <c r="H442" s="126">
        <f t="shared" si="283"/>
        <v>5.8146167557932262</v>
      </c>
      <c r="I442" s="146"/>
      <c r="J442" s="9"/>
      <c r="K442" s="1" t="s">
        <v>7</v>
      </c>
      <c r="L442" s="234" t="s">
        <v>388</v>
      </c>
      <c r="M442" s="57">
        <f>4730/20</f>
        <v>236.5</v>
      </c>
      <c r="N442" s="57">
        <f>M442*12.5</f>
        <v>2956.25</v>
      </c>
      <c r="O442" s="1">
        <f t="shared" si="284"/>
        <v>102</v>
      </c>
      <c r="P442" s="126">
        <f t="shared" si="285"/>
        <v>28.982843137254903</v>
      </c>
      <c r="Q442" t="s">
        <v>1</v>
      </c>
      <c r="R442" s="45"/>
      <c r="T442" s="35"/>
      <c r="U442" s="6" t="s">
        <v>151</v>
      </c>
      <c r="V442" s="53" t="s">
        <v>53</v>
      </c>
      <c r="W442" s="28">
        <f>280/1000</f>
        <v>0.28000000000000003</v>
      </c>
      <c r="X442" s="6">
        <f>W442*50</f>
        <v>14.000000000000002</v>
      </c>
      <c r="Y442" s="1">
        <f t="shared" si="286"/>
        <v>102</v>
      </c>
      <c r="Z442" s="126">
        <f t="shared" si="282"/>
        <v>0.13725490196078433</v>
      </c>
      <c r="AB442" s="45"/>
    </row>
    <row r="443" spans="1:28" x14ac:dyDescent="0.35">
      <c r="A443" s="35"/>
      <c r="B443" s="5"/>
      <c r="C443" s="6"/>
      <c r="D443" s="6"/>
      <c r="E443" s="29"/>
      <c r="F443" s="51">
        <f>SUM(F436:F442)</f>
        <v>4264.1805228758167</v>
      </c>
      <c r="G443" s="32">
        <f t="shared" si="287"/>
        <v>132</v>
      </c>
      <c r="H443" s="33">
        <f>SUM(H436:H442)</f>
        <v>32.304397900574372</v>
      </c>
      <c r="I443" s="146"/>
      <c r="J443" s="35"/>
      <c r="K443" s="6"/>
      <c r="L443" s="6"/>
      <c r="M443" s="6"/>
      <c r="N443" s="235">
        <f>SUM(N436:N442)</f>
        <v>7550.698692810457</v>
      </c>
      <c r="O443" s="32">
        <f t="shared" si="284"/>
        <v>102</v>
      </c>
      <c r="P443" s="236">
        <f t="shared" si="285"/>
        <v>74.02645777265154</v>
      </c>
      <c r="Q443" t="s">
        <v>68</v>
      </c>
      <c r="R443" s="45">
        <v>100</v>
      </c>
      <c r="T443" s="35"/>
      <c r="U443" s="6"/>
      <c r="V443" s="6"/>
      <c r="W443" s="6"/>
      <c r="X443" s="31">
        <f>SUM(X436:X442)</f>
        <v>3165.8066666666664</v>
      </c>
      <c r="Y443" s="32">
        <f t="shared" si="286"/>
        <v>102</v>
      </c>
      <c r="Z443" s="33">
        <f t="shared" si="282"/>
        <v>31.037320261437905</v>
      </c>
      <c r="AB443" s="45"/>
    </row>
    <row r="444" spans="1:28" x14ac:dyDescent="0.35">
      <c r="A444" s="35"/>
      <c r="B444" s="5" t="s">
        <v>44</v>
      </c>
      <c r="C444" s="5" t="s">
        <v>70</v>
      </c>
      <c r="D444" s="5" t="s">
        <v>70</v>
      </c>
      <c r="E444" s="5"/>
      <c r="F444" s="59">
        <f t="shared" ref="F444" si="288">F443</f>
        <v>4264.1805228758167</v>
      </c>
      <c r="G444" s="5">
        <v>132</v>
      </c>
      <c r="H444" s="127">
        <f>F444/G444</f>
        <v>32.304397900574372</v>
      </c>
      <c r="I444" s="146"/>
      <c r="J444" s="35" t="s">
        <v>44</v>
      </c>
      <c r="K444" s="5" t="s">
        <v>70</v>
      </c>
      <c r="L444" s="5" t="s">
        <v>70</v>
      </c>
      <c r="M444" s="5" t="s">
        <v>70</v>
      </c>
      <c r="N444" s="38">
        <f>N443</f>
        <v>7550.698692810457</v>
      </c>
      <c r="O444" s="5">
        <v>101</v>
      </c>
      <c r="P444" s="30">
        <f>N444/O444</f>
        <v>74.759392998123332</v>
      </c>
      <c r="Q444" t="s">
        <v>32</v>
      </c>
      <c r="R444" s="47">
        <f>AVERAGE(P443,P444,P445,P446,P447,P448,P449,P450)</f>
        <v>75.135022301177614</v>
      </c>
      <c r="S444" s="120"/>
      <c r="T444" s="35" t="s">
        <v>44</v>
      </c>
      <c r="U444" s="5"/>
      <c r="V444" s="5"/>
      <c r="W444" s="5"/>
      <c r="X444" s="29">
        <f>X443</f>
        <v>3165.8066666666664</v>
      </c>
      <c r="Y444" s="6">
        <v>102</v>
      </c>
      <c r="Z444" s="30">
        <f t="shared" si="282"/>
        <v>31.037320261437905</v>
      </c>
      <c r="AB444" s="47"/>
    </row>
    <row r="445" spans="1:28" x14ac:dyDescent="0.35">
      <c r="A445" s="35"/>
      <c r="B445" s="5"/>
      <c r="C445" s="5"/>
      <c r="D445" s="5"/>
      <c r="E445" s="5"/>
      <c r="F445" s="59"/>
      <c r="G445" s="5"/>
      <c r="H445" s="127"/>
      <c r="I445" s="146"/>
      <c r="J445" s="35" t="s">
        <v>45</v>
      </c>
      <c r="K445" s="5" t="s">
        <v>70</v>
      </c>
      <c r="L445" s="5" t="s">
        <v>70</v>
      </c>
      <c r="M445" s="5" t="s">
        <v>70</v>
      </c>
      <c r="N445" s="38">
        <f t="shared" ref="N445:N450" si="289">N444</f>
        <v>7550.698692810457</v>
      </c>
      <c r="O445" s="5">
        <v>101</v>
      </c>
      <c r="P445" s="30">
        <f t="shared" ref="P445:P450" si="290">N445/O445</f>
        <v>74.759392998123332</v>
      </c>
      <c r="Q445" t="s">
        <v>69</v>
      </c>
      <c r="R445" s="47">
        <f>R443-R444</f>
        <v>24.864977698822386</v>
      </c>
      <c r="S445" s="120"/>
      <c r="T445" s="35" t="s">
        <v>45</v>
      </c>
      <c r="U445" s="5"/>
      <c r="V445" s="5"/>
      <c r="W445" s="5"/>
      <c r="X445" s="29">
        <f>X444</f>
        <v>3165.8066666666664</v>
      </c>
      <c r="Y445" s="6">
        <v>102</v>
      </c>
      <c r="Z445" s="30">
        <f t="shared" si="282"/>
        <v>31.037320261437905</v>
      </c>
      <c r="AB445" s="47"/>
    </row>
    <row r="446" spans="1:28" x14ac:dyDescent="0.35">
      <c r="A446" s="35"/>
      <c r="B446" s="5"/>
      <c r="C446" s="5"/>
      <c r="D446" s="5"/>
      <c r="E446" s="5"/>
      <c r="F446" s="59"/>
      <c r="G446" s="5"/>
      <c r="H446" s="127"/>
      <c r="I446" s="146"/>
      <c r="J446" s="35" t="s">
        <v>67</v>
      </c>
      <c r="K446" s="5" t="s">
        <v>70</v>
      </c>
      <c r="L446" s="5" t="s">
        <v>70</v>
      </c>
      <c r="M446" s="5" t="s">
        <v>70</v>
      </c>
      <c r="N446" s="38">
        <f t="shared" si="289"/>
        <v>7550.698692810457</v>
      </c>
      <c r="O446" s="5">
        <v>100</v>
      </c>
      <c r="P446" s="30">
        <f t="shared" si="290"/>
        <v>75.506986928104567</v>
      </c>
      <c r="Q446" t="s">
        <v>136</v>
      </c>
      <c r="R446" s="50">
        <f>R445*106</f>
        <v>2635.687636075173</v>
      </c>
      <c r="S446" s="120"/>
      <c r="T446" s="35" t="s">
        <v>67</v>
      </c>
      <c r="U446" s="5"/>
      <c r="V446" s="5"/>
      <c r="W446" s="5"/>
      <c r="X446" s="29">
        <f>X445</f>
        <v>3165.8066666666664</v>
      </c>
      <c r="Y446" s="6">
        <v>102</v>
      </c>
      <c r="Z446" s="30">
        <f t="shared" si="282"/>
        <v>31.037320261437905</v>
      </c>
      <c r="AB446" s="50"/>
    </row>
    <row r="447" spans="1:28" x14ac:dyDescent="0.35">
      <c r="A447" s="35"/>
      <c r="B447" s="5"/>
      <c r="C447" s="5"/>
      <c r="D447" s="5"/>
      <c r="E447" s="5"/>
      <c r="F447" s="59"/>
      <c r="G447" s="5"/>
      <c r="H447" s="127"/>
      <c r="I447" s="146"/>
      <c r="J447" s="35" t="s">
        <v>133</v>
      </c>
      <c r="K447" s="5"/>
      <c r="L447" s="5"/>
      <c r="M447" s="5"/>
      <c r="N447" s="38">
        <f t="shared" si="289"/>
        <v>7550.698692810457</v>
      </c>
      <c r="O447" s="5">
        <v>100</v>
      </c>
      <c r="P447" s="30">
        <f t="shared" si="290"/>
        <v>75.506986928104567</v>
      </c>
      <c r="Q447" t="s">
        <v>425</v>
      </c>
      <c r="R447" s="48">
        <f>R446*8</f>
        <v>21085.501088601384</v>
      </c>
      <c r="S447" s="120"/>
      <c r="T447" s="35" t="s">
        <v>133</v>
      </c>
      <c r="U447" s="5"/>
      <c r="V447" s="5"/>
      <c r="W447" s="5"/>
      <c r="X447" s="29">
        <f>X446</f>
        <v>3165.8066666666664</v>
      </c>
      <c r="Y447" s="6">
        <v>102</v>
      </c>
      <c r="Z447" s="30">
        <f t="shared" si="282"/>
        <v>31.037320261437905</v>
      </c>
      <c r="AB447" s="48"/>
    </row>
    <row r="448" spans="1:28" x14ac:dyDescent="0.35">
      <c r="A448" s="35"/>
      <c r="B448" s="5"/>
      <c r="C448" s="5"/>
      <c r="D448" s="5"/>
      <c r="E448" s="5"/>
      <c r="F448" s="59"/>
      <c r="G448" s="5"/>
      <c r="H448" s="127"/>
      <c r="I448" s="146"/>
      <c r="J448" s="35" t="s">
        <v>134</v>
      </c>
      <c r="K448" s="5"/>
      <c r="L448" s="5"/>
      <c r="M448" s="5"/>
      <c r="N448" s="38">
        <f t="shared" si="289"/>
        <v>7550.698692810457</v>
      </c>
      <c r="O448" s="5">
        <v>100</v>
      </c>
      <c r="P448" s="30">
        <f t="shared" si="290"/>
        <v>75.506986928104567</v>
      </c>
      <c r="R448" s="48"/>
      <c r="S448" s="120"/>
      <c r="T448" s="35"/>
      <c r="U448" s="5"/>
      <c r="V448" s="5"/>
      <c r="W448" s="5"/>
      <c r="X448" s="29"/>
      <c r="Y448" s="6"/>
      <c r="Z448" s="30"/>
      <c r="AB448" s="48"/>
    </row>
    <row r="449" spans="1:37" x14ac:dyDescent="0.35">
      <c r="A449" s="35"/>
      <c r="B449" s="5"/>
      <c r="C449" s="5"/>
      <c r="D449" s="5"/>
      <c r="E449" s="5"/>
      <c r="F449" s="59"/>
      <c r="G449" s="5"/>
      <c r="H449" s="127"/>
      <c r="I449" s="146"/>
      <c r="J449" s="35" t="s">
        <v>252</v>
      </c>
      <c r="K449" s="5" t="s">
        <v>70</v>
      </c>
      <c r="L449" s="5" t="s">
        <v>70</v>
      </c>
      <c r="M449" s="5" t="s">
        <v>70</v>
      </c>
      <c r="N449" s="38">
        <f t="shared" si="289"/>
        <v>7550.698692810457</v>
      </c>
      <c r="O449" s="5">
        <v>100</v>
      </c>
      <c r="P449" s="30">
        <f t="shared" si="290"/>
        <v>75.506986928104567</v>
      </c>
      <c r="Q449">
        <f>100/8</f>
        <v>12.5</v>
      </c>
      <c r="R449" s="48"/>
      <c r="S449" s="120"/>
      <c r="T449" s="35"/>
      <c r="U449" s="5"/>
      <c r="V449" s="5"/>
      <c r="W449" s="5"/>
      <c r="X449" s="29"/>
      <c r="Y449" s="6"/>
      <c r="Z449" s="30"/>
      <c r="AB449" s="48"/>
    </row>
    <row r="450" spans="1:37" x14ac:dyDescent="0.35">
      <c r="A450" s="35"/>
      <c r="B450" s="5"/>
      <c r="C450" s="5"/>
      <c r="D450" s="5"/>
      <c r="E450" s="5"/>
      <c r="F450" s="59"/>
      <c r="G450" s="5"/>
      <c r="H450" s="127"/>
      <c r="I450" s="146"/>
      <c r="J450" s="35" t="s">
        <v>253</v>
      </c>
      <c r="K450" s="5" t="s">
        <v>70</v>
      </c>
      <c r="L450" s="5" t="s">
        <v>70</v>
      </c>
      <c r="M450" s="5" t="s">
        <v>70</v>
      </c>
      <c r="N450" s="38">
        <f t="shared" si="289"/>
        <v>7550.698692810457</v>
      </c>
      <c r="O450" s="5">
        <v>100</v>
      </c>
      <c r="P450" s="30">
        <f t="shared" si="290"/>
        <v>75.506986928104567</v>
      </c>
      <c r="R450" s="48"/>
      <c r="S450" s="120"/>
      <c r="T450" s="35"/>
      <c r="U450" s="5"/>
      <c r="V450" s="5"/>
      <c r="W450" s="5"/>
      <c r="X450" s="29"/>
      <c r="Y450" s="6"/>
      <c r="Z450" s="30"/>
      <c r="AB450" s="48"/>
      <c r="AD450" s="184"/>
      <c r="AE450" s="65"/>
      <c r="AF450" s="184"/>
      <c r="AG450" s="8"/>
    </row>
    <row r="451" spans="1:37" x14ac:dyDescent="0.35">
      <c r="A451" s="35"/>
      <c r="B451" s="5"/>
      <c r="C451" s="5"/>
      <c r="D451" s="5"/>
      <c r="E451" s="5"/>
      <c r="F451" s="59"/>
      <c r="G451" s="5">
        <v>0</v>
      </c>
      <c r="H451" s="37"/>
      <c r="I451" s="146"/>
      <c r="J451" s="35"/>
      <c r="K451" s="5"/>
      <c r="L451" s="5"/>
      <c r="M451" s="5"/>
      <c r="N451" s="38"/>
      <c r="O451" s="5"/>
      <c r="P451" s="30"/>
      <c r="R451" s="48"/>
      <c r="S451" s="120"/>
      <c r="T451" s="35"/>
      <c r="U451" s="5"/>
      <c r="V451" s="5"/>
      <c r="W451" s="5"/>
      <c r="X451" s="29"/>
      <c r="Y451" s="6"/>
      <c r="Z451" s="30"/>
      <c r="AB451" s="48"/>
      <c r="AE451" s="65"/>
      <c r="AG451" s="8"/>
    </row>
    <row r="452" spans="1:37" ht="15" thickBot="1" x14ac:dyDescent="0.4">
      <c r="A452" s="11"/>
      <c r="B452" s="12"/>
      <c r="C452" s="12"/>
      <c r="D452" s="12"/>
      <c r="E452" s="12"/>
      <c r="F452" s="114">
        <f>SUM(F443:F451)</f>
        <v>8528.3610457516334</v>
      </c>
      <c r="G452" s="114">
        <f>SUM(G443:G451)</f>
        <v>264</v>
      </c>
      <c r="H452" s="13"/>
      <c r="I452" s="148"/>
      <c r="J452" s="11"/>
      <c r="K452" s="12"/>
      <c r="L452" s="12"/>
      <c r="M452" s="12"/>
      <c r="N452" s="77">
        <f>SUM(N443:N451)</f>
        <v>60405.589542483664</v>
      </c>
      <c r="O452" s="115">
        <f>SUM(O443:O451)</f>
        <v>804</v>
      </c>
      <c r="P452" s="13"/>
      <c r="Q452" s="46" t="s">
        <v>71</v>
      </c>
      <c r="R452" s="52">
        <f>R441+R447</f>
        <v>28397.140042849751</v>
      </c>
      <c r="S452" s="121"/>
      <c r="T452" s="11"/>
      <c r="U452" s="12"/>
      <c r="V452" s="12"/>
      <c r="W452" s="12"/>
      <c r="X452" s="77">
        <f>SUM(X443:X448)</f>
        <v>15829.033333333333</v>
      </c>
      <c r="Y452" s="115">
        <f>SUM(Y443:Y451)</f>
        <v>510</v>
      </c>
      <c r="Z452" s="13"/>
      <c r="AA452" s="46"/>
      <c r="AB452" s="52"/>
      <c r="AD452" s="184"/>
      <c r="AE452" s="65"/>
      <c r="AF452" s="184"/>
      <c r="AG452" s="8"/>
      <c r="AK452" s="8"/>
    </row>
    <row r="453" spans="1:37" x14ac:dyDescent="0.35">
      <c r="A453" s="39" t="s">
        <v>510</v>
      </c>
      <c r="B453" s="40" t="s">
        <v>43</v>
      </c>
      <c r="C453" s="41" t="s">
        <v>2</v>
      </c>
      <c r="D453" s="41" t="s">
        <v>86</v>
      </c>
      <c r="E453" s="41">
        <f>3650/50</f>
        <v>73</v>
      </c>
      <c r="F453" s="41">
        <f>E453*36</f>
        <v>2628</v>
      </c>
      <c r="G453" s="41">
        <v>132</v>
      </c>
      <c r="H453" s="113">
        <f>F453/G453</f>
        <v>19.90909090909091</v>
      </c>
      <c r="I453" s="147"/>
      <c r="J453" s="80" t="s">
        <v>43</v>
      </c>
      <c r="K453" s="41" t="s">
        <v>2</v>
      </c>
      <c r="L453" s="41" t="s">
        <v>49</v>
      </c>
      <c r="M453" s="41">
        <f>3650/50</f>
        <v>73</v>
      </c>
      <c r="N453" s="41">
        <f>M453*50</f>
        <v>3650</v>
      </c>
      <c r="O453" s="41">
        <v>104</v>
      </c>
      <c r="P453" s="113">
        <f>N453/O453</f>
        <v>35.096153846153847</v>
      </c>
      <c r="Q453" s="43" t="s">
        <v>0</v>
      </c>
      <c r="R453" s="44"/>
      <c r="S453" s="119"/>
      <c r="T453" s="39" t="s">
        <v>43</v>
      </c>
      <c r="U453" s="41" t="s">
        <v>2</v>
      </c>
      <c r="V453" s="41" t="s">
        <v>317</v>
      </c>
      <c r="W453" s="139">
        <f>3600/50</f>
        <v>72</v>
      </c>
      <c r="X453" s="41">
        <f>W453*26</f>
        <v>1872</v>
      </c>
      <c r="Y453" s="41">
        <v>102</v>
      </c>
      <c r="Z453" s="113">
        <f t="shared" ref="Z453:Z464" si="291">X453/Y453</f>
        <v>18.352941176470587</v>
      </c>
      <c r="AA453" s="43" t="s">
        <v>196</v>
      </c>
      <c r="AB453" s="44"/>
    </row>
    <row r="454" spans="1:37" x14ac:dyDescent="0.35">
      <c r="A454" s="35"/>
      <c r="B454" s="5"/>
      <c r="C454" s="6" t="s">
        <v>4</v>
      </c>
      <c r="D454" s="6" t="s">
        <v>485</v>
      </c>
      <c r="E454" s="28">
        <f>7200/50</f>
        <v>144</v>
      </c>
      <c r="F454" s="6">
        <f>E454*4.8</f>
        <v>691.19999999999993</v>
      </c>
      <c r="G454" s="1">
        <f>G453</f>
        <v>132</v>
      </c>
      <c r="H454" s="126">
        <f t="shared" ref="H454:H459" si="292">F454/G454</f>
        <v>5.2363636363636354</v>
      </c>
      <c r="I454" s="146"/>
      <c r="J454" s="9"/>
      <c r="K454" s="1" t="s">
        <v>4</v>
      </c>
      <c r="L454" s="1" t="s">
        <v>353</v>
      </c>
      <c r="M454" s="28">
        <f>7200/50</f>
        <v>144</v>
      </c>
      <c r="N454" s="57">
        <f>M454*2.5</f>
        <v>360</v>
      </c>
      <c r="O454" s="1">
        <f t="shared" ref="O454:O460" si="293">O453</f>
        <v>104</v>
      </c>
      <c r="P454" s="126">
        <f t="shared" ref="P454:P460" si="294">N454/O454</f>
        <v>3.4615384615384617</v>
      </c>
      <c r="Q454" t="s">
        <v>68</v>
      </c>
      <c r="R454" s="45">
        <v>60</v>
      </c>
      <c r="T454" s="35"/>
      <c r="U454" s="6" t="s">
        <v>4</v>
      </c>
      <c r="V454" s="6" t="s">
        <v>324</v>
      </c>
      <c r="W454" s="28">
        <f>7200/50</f>
        <v>144</v>
      </c>
      <c r="X454" s="29">
        <f>W454*3.8</f>
        <v>547.19999999999993</v>
      </c>
      <c r="Y454" s="1">
        <f t="shared" ref="Y454:Y460" si="295">Y453</f>
        <v>102</v>
      </c>
      <c r="Z454" s="126">
        <f t="shared" si="291"/>
        <v>5.3647058823529408</v>
      </c>
      <c r="AA454" t="s">
        <v>68</v>
      </c>
      <c r="AB454" s="45">
        <v>50</v>
      </c>
      <c r="AK454" s="8"/>
    </row>
    <row r="455" spans="1:37" x14ac:dyDescent="0.35">
      <c r="A455" s="35"/>
      <c r="B455" s="5"/>
      <c r="C455" s="6" t="s">
        <v>54</v>
      </c>
      <c r="D455" s="6" t="s">
        <v>419</v>
      </c>
      <c r="E455" s="28">
        <f>600/1000</f>
        <v>0.6</v>
      </c>
      <c r="F455" s="6">
        <f>E455*60</f>
        <v>36</v>
      </c>
      <c r="G455" s="1">
        <f t="shared" ref="G455:G460" si="296">G454</f>
        <v>132</v>
      </c>
      <c r="H455" s="126">
        <f t="shared" si="292"/>
        <v>0.27272727272727271</v>
      </c>
      <c r="I455" s="146"/>
      <c r="J455" s="9"/>
      <c r="K455" s="1" t="s">
        <v>5</v>
      </c>
      <c r="L455" s="1" t="s">
        <v>421</v>
      </c>
      <c r="M455" s="233">
        <f>400/450</f>
        <v>0.88888888888888884</v>
      </c>
      <c r="N455" s="57">
        <f>M455*160</f>
        <v>142.22222222222223</v>
      </c>
      <c r="O455" s="1">
        <f t="shared" si="293"/>
        <v>104</v>
      </c>
      <c r="P455" s="126">
        <f t="shared" si="294"/>
        <v>1.3675213675213675</v>
      </c>
      <c r="Q455" t="s">
        <v>32</v>
      </c>
      <c r="R455" s="47">
        <f>H460</f>
        <v>32.304397900574372</v>
      </c>
      <c r="S455" s="120"/>
      <c r="T455" s="35"/>
      <c r="U455" s="6" t="s">
        <v>5</v>
      </c>
      <c r="V455" s="6" t="s">
        <v>420</v>
      </c>
      <c r="W455" s="28">
        <f>255/450</f>
        <v>0.56666666666666665</v>
      </c>
      <c r="X455" s="29">
        <f>W455*190</f>
        <v>107.66666666666666</v>
      </c>
      <c r="Y455" s="1">
        <f t="shared" si="295"/>
        <v>102</v>
      </c>
      <c r="Z455" s="126">
        <f t="shared" si="291"/>
        <v>1.0555555555555554</v>
      </c>
      <c r="AA455" t="s">
        <v>32</v>
      </c>
      <c r="AB455" s="47">
        <f>Z460</f>
        <v>31.037320261437905</v>
      </c>
    </row>
    <row r="456" spans="1:37" x14ac:dyDescent="0.35">
      <c r="A456" s="35"/>
      <c r="B456" s="5"/>
      <c r="C456" s="6" t="s">
        <v>55</v>
      </c>
      <c r="D456" s="6" t="s">
        <v>318</v>
      </c>
      <c r="E456" s="28">
        <f>35.5/1000</f>
        <v>3.5499999999999997E-2</v>
      </c>
      <c r="F456" s="6">
        <f>E456*280</f>
        <v>9.94</v>
      </c>
      <c r="G456" s="1">
        <f t="shared" si="296"/>
        <v>132</v>
      </c>
      <c r="H456" s="126">
        <f t="shared" si="292"/>
        <v>7.5303030303030302E-2</v>
      </c>
      <c r="I456" s="146"/>
      <c r="J456" s="9"/>
      <c r="K456" s="1" t="s">
        <v>51</v>
      </c>
      <c r="L456" s="1" t="s">
        <v>52</v>
      </c>
      <c r="M456" s="232">
        <f>35.5/1000</f>
        <v>3.5499999999999997E-2</v>
      </c>
      <c r="N456" s="1">
        <f>M456*300</f>
        <v>10.649999999999999</v>
      </c>
      <c r="O456" s="1">
        <f t="shared" si="293"/>
        <v>104</v>
      </c>
      <c r="P456" s="126">
        <f t="shared" si="294"/>
        <v>0.10240384615384614</v>
      </c>
      <c r="Q456" t="s">
        <v>62</v>
      </c>
      <c r="R456" s="47">
        <f>R454-R455</f>
        <v>27.695602099425628</v>
      </c>
      <c r="S456" s="120"/>
      <c r="T456" s="35"/>
      <c r="U456" s="6" t="s">
        <v>51</v>
      </c>
      <c r="V456" s="6" t="s">
        <v>318</v>
      </c>
      <c r="W456" s="205">
        <f>35.5/1000</f>
        <v>3.5499999999999997E-2</v>
      </c>
      <c r="X456" s="6">
        <f>W456*280</f>
        <v>9.94</v>
      </c>
      <c r="Y456" s="1">
        <f t="shared" si="295"/>
        <v>102</v>
      </c>
      <c r="Z456" s="126">
        <f t="shared" si="291"/>
        <v>9.7450980392156855E-2</v>
      </c>
      <c r="AA456" t="s">
        <v>69</v>
      </c>
      <c r="AB456" s="47">
        <f>AB454-AB455</f>
        <v>18.962679738562095</v>
      </c>
    </row>
    <row r="457" spans="1:37" x14ac:dyDescent="0.35">
      <c r="A457" s="35"/>
      <c r="B457" s="5"/>
      <c r="C457" s="6" t="s">
        <v>56</v>
      </c>
      <c r="D457" s="6" t="s">
        <v>419</v>
      </c>
      <c r="E457" s="6">
        <f>340/1000</f>
        <v>0.34</v>
      </c>
      <c r="F457" s="6">
        <f>E457*60</f>
        <v>20.400000000000002</v>
      </c>
      <c r="G457" s="1">
        <f t="shared" si="296"/>
        <v>132</v>
      </c>
      <c r="H457" s="126">
        <f t="shared" si="292"/>
        <v>0.15454545454545457</v>
      </c>
      <c r="I457" s="146"/>
      <c r="J457" s="9"/>
      <c r="K457" s="1" t="s">
        <v>26</v>
      </c>
      <c r="L457" s="1" t="s">
        <v>419</v>
      </c>
      <c r="M457" s="1">
        <f>340/1000</f>
        <v>0.34</v>
      </c>
      <c r="N457" s="1">
        <f>M457*60</f>
        <v>20.400000000000002</v>
      </c>
      <c r="O457" s="1">
        <f t="shared" si="293"/>
        <v>104</v>
      </c>
      <c r="P457" s="126">
        <f t="shared" si="294"/>
        <v>0.19615384615384618</v>
      </c>
      <c r="Q457" t="s">
        <v>72</v>
      </c>
      <c r="R457" s="50">
        <f>G460*R456</f>
        <v>3655.8194771241829</v>
      </c>
      <c r="S457" s="120"/>
      <c r="T457" s="35"/>
      <c r="U457" s="6" t="s">
        <v>26</v>
      </c>
      <c r="V457" s="6" t="s">
        <v>53</v>
      </c>
      <c r="W457" s="6">
        <f>340/1000</f>
        <v>0.34</v>
      </c>
      <c r="X457" s="6">
        <f>W457*50</f>
        <v>17</v>
      </c>
      <c r="Y457" s="1">
        <f t="shared" si="295"/>
        <v>102</v>
      </c>
      <c r="Z457" s="126">
        <f t="shared" si="291"/>
        <v>0.16666666666666666</v>
      </c>
      <c r="AA457" t="s">
        <v>205</v>
      </c>
      <c r="AB457" s="50">
        <f>AB456*102</f>
        <v>1934.1933333333336</v>
      </c>
    </row>
    <row r="458" spans="1:37" x14ac:dyDescent="0.35">
      <c r="A458" s="35"/>
      <c r="B458" s="5"/>
      <c r="C458" s="6" t="s">
        <v>57</v>
      </c>
      <c r="D458" s="6" t="s">
        <v>6</v>
      </c>
      <c r="E458" s="28">
        <f>250/450</f>
        <v>0.55555555555555558</v>
      </c>
      <c r="F458" s="28">
        <f>E458*200</f>
        <v>111.11111111111111</v>
      </c>
      <c r="G458" s="1">
        <f t="shared" si="296"/>
        <v>132</v>
      </c>
      <c r="H458" s="126">
        <f t="shared" si="292"/>
        <v>0.84175084175084181</v>
      </c>
      <c r="I458" s="146"/>
      <c r="J458" s="9"/>
      <c r="K458" s="1" t="s">
        <v>3</v>
      </c>
      <c r="L458" s="1" t="s">
        <v>382</v>
      </c>
      <c r="M458" s="57">
        <f>4660/17</f>
        <v>274.11764705882354</v>
      </c>
      <c r="N458" s="57">
        <f>M458*1.5</f>
        <v>411.1764705882353</v>
      </c>
      <c r="O458" s="1">
        <f t="shared" si="293"/>
        <v>104</v>
      </c>
      <c r="P458" s="126">
        <f t="shared" si="294"/>
        <v>3.9536199095022626</v>
      </c>
      <c r="Q458" t="s">
        <v>431</v>
      </c>
      <c r="R458" s="48">
        <f>R457*5</f>
        <v>18279.097385620913</v>
      </c>
      <c r="S458" s="120"/>
      <c r="T458" s="35"/>
      <c r="U458" s="6" t="s">
        <v>3</v>
      </c>
      <c r="V458" s="6" t="s">
        <v>325</v>
      </c>
      <c r="W458" s="29">
        <f>260</f>
        <v>260</v>
      </c>
      <c r="X458" s="29">
        <f>W458*2.3</f>
        <v>598</v>
      </c>
      <c r="Y458" s="1">
        <f t="shared" si="295"/>
        <v>102</v>
      </c>
      <c r="Z458" s="126">
        <f t="shared" si="291"/>
        <v>5.8627450980392153</v>
      </c>
      <c r="AA458" t="s">
        <v>426</v>
      </c>
      <c r="AB458" s="48">
        <f>AB457*7</f>
        <v>13539.353333333336</v>
      </c>
    </row>
    <row r="459" spans="1:37" x14ac:dyDescent="0.35">
      <c r="A459" s="35"/>
      <c r="B459" s="5"/>
      <c r="C459" s="6" t="s">
        <v>58</v>
      </c>
      <c r="D459" s="6" t="s">
        <v>319</v>
      </c>
      <c r="E459" s="29">
        <f>4660/17</f>
        <v>274.11764705882354</v>
      </c>
      <c r="F459" s="29">
        <f>E459*2.8</f>
        <v>767.52941176470586</v>
      </c>
      <c r="G459" s="6">
        <f t="shared" si="296"/>
        <v>132</v>
      </c>
      <c r="H459" s="126">
        <f t="shared" si="292"/>
        <v>5.8146167557932262</v>
      </c>
      <c r="I459" s="146"/>
      <c r="J459" s="9"/>
      <c r="K459" s="1" t="s">
        <v>7</v>
      </c>
      <c r="L459" s="234" t="s">
        <v>388</v>
      </c>
      <c r="M459" s="57">
        <f>4730/20</f>
        <v>236.5</v>
      </c>
      <c r="N459" s="57">
        <f>M459*12.5</f>
        <v>2956.25</v>
      </c>
      <c r="O459" s="1">
        <f t="shared" si="293"/>
        <v>104</v>
      </c>
      <c r="P459" s="126">
        <f t="shared" si="294"/>
        <v>28.42548076923077</v>
      </c>
      <c r="Q459" t="s">
        <v>1</v>
      </c>
      <c r="R459" s="45"/>
      <c r="T459" s="35"/>
      <c r="U459" s="6" t="s">
        <v>151</v>
      </c>
      <c r="V459" s="53" t="s">
        <v>53</v>
      </c>
      <c r="W459" s="28">
        <f>280/1000</f>
        <v>0.28000000000000003</v>
      </c>
      <c r="X459" s="6">
        <f>W459*50</f>
        <v>14.000000000000002</v>
      </c>
      <c r="Y459" s="1">
        <f t="shared" si="295"/>
        <v>102</v>
      </c>
      <c r="Z459" s="126">
        <f t="shared" si="291"/>
        <v>0.13725490196078433</v>
      </c>
      <c r="AB459" s="45"/>
    </row>
    <row r="460" spans="1:37" x14ac:dyDescent="0.35">
      <c r="A460" s="35"/>
      <c r="B460" s="5"/>
      <c r="C460" s="6"/>
      <c r="D460" s="6"/>
      <c r="E460" s="29"/>
      <c r="F460" s="51">
        <f>SUM(F453:F459)</f>
        <v>4264.1805228758167</v>
      </c>
      <c r="G460" s="32">
        <f t="shared" si="296"/>
        <v>132</v>
      </c>
      <c r="H460" s="33">
        <f>SUM(H453:H459)</f>
        <v>32.304397900574372</v>
      </c>
      <c r="I460" s="146"/>
      <c r="J460" s="35"/>
      <c r="K460" s="6"/>
      <c r="L460" s="6"/>
      <c r="M460" s="6"/>
      <c r="N460" s="235">
        <f>SUM(N453:N459)</f>
        <v>7550.698692810457</v>
      </c>
      <c r="O460" s="32">
        <f t="shared" si="293"/>
        <v>104</v>
      </c>
      <c r="P460" s="236">
        <f t="shared" si="294"/>
        <v>72.60287204625439</v>
      </c>
      <c r="Q460" t="s">
        <v>68</v>
      </c>
      <c r="R460" s="45">
        <v>100</v>
      </c>
      <c r="T460" s="35"/>
      <c r="U460" s="6"/>
      <c r="V460" s="6"/>
      <c r="W460" s="6"/>
      <c r="X460" s="31">
        <f>SUM(X453:X459)</f>
        <v>3165.8066666666664</v>
      </c>
      <c r="Y460" s="32">
        <f t="shared" si="295"/>
        <v>102</v>
      </c>
      <c r="Z460" s="33">
        <f t="shared" si="291"/>
        <v>31.037320261437905</v>
      </c>
      <c r="AB460" s="45"/>
    </row>
    <row r="461" spans="1:37" x14ac:dyDescent="0.35">
      <c r="A461" s="35"/>
      <c r="B461" s="5" t="s">
        <v>44</v>
      </c>
      <c r="C461" s="5" t="s">
        <v>70</v>
      </c>
      <c r="D461" s="5" t="s">
        <v>70</v>
      </c>
      <c r="E461" s="5"/>
      <c r="F461" s="59">
        <f t="shared" ref="F461" si="297">F460</f>
        <v>4264.1805228758167</v>
      </c>
      <c r="G461" s="5">
        <v>132</v>
      </c>
      <c r="H461" s="127">
        <f>F461/G461</f>
        <v>32.304397900574372</v>
      </c>
      <c r="I461" s="146"/>
      <c r="J461" s="35" t="s">
        <v>44</v>
      </c>
      <c r="K461" s="5" t="s">
        <v>70</v>
      </c>
      <c r="L461" s="5" t="s">
        <v>70</v>
      </c>
      <c r="M461" s="5" t="s">
        <v>70</v>
      </c>
      <c r="N461" s="38">
        <f>N460</f>
        <v>7550.698692810457</v>
      </c>
      <c r="O461" s="5">
        <v>103</v>
      </c>
      <c r="P461" s="30">
        <f>N461/O461</f>
        <v>73.30775429913065</v>
      </c>
      <c r="Q461" t="s">
        <v>32</v>
      </c>
      <c r="R461" s="47">
        <f>AVERAGE(P460,P461,P462,P463,P464,P465,P466,P467)</f>
        <v>73.945516736087271</v>
      </c>
      <c r="S461" s="120"/>
      <c r="T461" s="35" t="s">
        <v>44</v>
      </c>
      <c r="U461" s="5"/>
      <c r="V461" s="5"/>
      <c r="W461" s="5"/>
      <c r="X461" s="29">
        <f>X460</f>
        <v>3165.8066666666664</v>
      </c>
      <c r="Y461" s="6">
        <v>102</v>
      </c>
      <c r="Z461" s="30">
        <f t="shared" si="291"/>
        <v>31.037320261437905</v>
      </c>
      <c r="AB461" s="47"/>
    </row>
    <row r="462" spans="1:37" x14ac:dyDescent="0.35">
      <c r="A462" s="35"/>
      <c r="B462" s="5" t="s">
        <v>45</v>
      </c>
      <c r="C462" s="5" t="s">
        <v>70</v>
      </c>
      <c r="D462" s="5" t="s">
        <v>70</v>
      </c>
      <c r="E462" s="5"/>
      <c r="F462" s="59">
        <f t="shared" ref="F462:F464" si="298">F461</f>
        <v>4264.1805228758167</v>
      </c>
      <c r="G462" s="5">
        <v>132</v>
      </c>
      <c r="H462" s="127">
        <f t="shared" ref="H462:H463" si="299">F462/G462</f>
        <v>32.304397900574372</v>
      </c>
      <c r="I462" s="146"/>
      <c r="J462" s="35" t="s">
        <v>45</v>
      </c>
      <c r="K462" s="5" t="s">
        <v>70</v>
      </c>
      <c r="L462" s="5" t="s">
        <v>70</v>
      </c>
      <c r="M462" s="5" t="s">
        <v>70</v>
      </c>
      <c r="N462" s="38">
        <f t="shared" ref="N462:N467" si="300">N461</f>
        <v>7550.698692810457</v>
      </c>
      <c r="O462" s="5">
        <v>103</v>
      </c>
      <c r="P462" s="30">
        <f t="shared" ref="P462:P467" si="301">N462/O462</f>
        <v>73.30775429913065</v>
      </c>
      <c r="Q462" t="s">
        <v>69</v>
      </c>
      <c r="R462" s="47">
        <f>R460-R461</f>
        <v>26.054483263912729</v>
      </c>
      <c r="S462" s="120"/>
      <c r="T462" s="35" t="s">
        <v>45</v>
      </c>
      <c r="U462" s="5"/>
      <c r="V462" s="5"/>
      <c r="W462" s="5"/>
      <c r="X462" s="29">
        <f>X461</f>
        <v>3165.8066666666664</v>
      </c>
      <c r="Y462" s="6">
        <v>102</v>
      </c>
      <c r="Z462" s="30">
        <f t="shared" si="291"/>
        <v>31.037320261437905</v>
      </c>
      <c r="AB462" s="47"/>
    </row>
    <row r="463" spans="1:37" x14ac:dyDescent="0.35">
      <c r="A463" s="35"/>
      <c r="B463" s="5" t="s">
        <v>67</v>
      </c>
      <c r="C463" s="5" t="s">
        <v>70</v>
      </c>
      <c r="D463" s="5" t="s">
        <v>70</v>
      </c>
      <c r="E463" s="5"/>
      <c r="F463" s="59">
        <f t="shared" si="298"/>
        <v>4264.1805228758167</v>
      </c>
      <c r="G463" s="5">
        <v>132</v>
      </c>
      <c r="H463" s="127">
        <f t="shared" si="299"/>
        <v>32.304397900574372</v>
      </c>
      <c r="I463" s="146"/>
      <c r="J463" s="35" t="s">
        <v>67</v>
      </c>
      <c r="K463" s="5" t="s">
        <v>70</v>
      </c>
      <c r="L463" s="5" t="s">
        <v>70</v>
      </c>
      <c r="M463" s="5" t="s">
        <v>70</v>
      </c>
      <c r="N463" s="38">
        <f t="shared" si="300"/>
        <v>7550.698692810457</v>
      </c>
      <c r="O463" s="5">
        <v>102</v>
      </c>
      <c r="P463" s="30">
        <f t="shared" si="301"/>
        <v>74.02645777265154</v>
      </c>
      <c r="Q463" t="s">
        <v>136</v>
      </c>
      <c r="R463" s="50">
        <f>R462*102</f>
        <v>2657.5572929190985</v>
      </c>
      <c r="S463" s="120"/>
      <c r="T463" s="35" t="s">
        <v>67</v>
      </c>
      <c r="U463" s="5"/>
      <c r="V463" s="5"/>
      <c r="W463" s="5"/>
      <c r="X463" s="29">
        <f>X462</f>
        <v>3165.8066666666664</v>
      </c>
      <c r="Y463" s="6">
        <v>102</v>
      </c>
      <c r="Z463" s="30">
        <f t="shared" si="291"/>
        <v>31.037320261437905</v>
      </c>
      <c r="AB463" s="50"/>
    </row>
    <row r="464" spans="1:37" x14ac:dyDescent="0.35">
      <c r="A464" s="35"/>
      <c r="B464" s="5" t="s">
        <v>133</v>
      </c>
      <c r="C464" s="5" t="s">
        <v>70</v>
      </c>
      <c r="D464" s="5" t="s">
        <v>70</v>
      </c>
      <c r="E464" s="5"/>
      <c r="F464" s="59">
        <f t="shared" si="298"/>
        <v>4264.1805228758167</v>
      </c>
      <c r="G464" s="5">
        <v>132</v>
      </c>
      <c r="H464" s="127">
        <f t="shared" ref="H464" si="302">F464/G464</f>
        <v>32.304397900574372</v>
      </c>
      <c r="I464" s="146"/>
      <c r="J464" s="35" t="s">
        <v>133</v>
      </c>
      <c r="K464" s="5"/>
      <c r="L464" s="5"/>
      <c r="M464" s="5"/>
      <c r="N464" s="38">
        <f t="shared" si="300"/>
        <v>7550.698692810457</v>
      </c>
      <c r="O464" s="5">
        <v>102</v>
      </c>
      <c r="P464" s="30">
        <f t="shared" si="301"/>
        <v>74.02645777265154</v>
      </c>
      <c r="Q464" t="s">
        <v>433</v>
      </c>
      <c r="R464" s="48">
        <f>R463*8</f>
        <v>21260.458343352788</v>
      </c>
      <c r="S464" s="120"/>
      <c r="T464" s="35" t="s">
        <v>133</v>
      </c>
      <c r="U464" s="5"/>
      <c r="V464" s="5"/>
      <c r="W464" s="5"/>
      <c r="X464" s="29">
        <f>X463</f>
        <v>3165.8066666666664</v>
      </c>
      <c r="Y464" s="6">
        <v>102</v>
      </c>
      <c r="Z464" s="30">
        <f t="shared" si="291"/>
        <v>31.037320261437905</v>
      </c>
      <c r="AB464" s="48"/>
    </row>
    <row r="465" spans="1:28" x14ac:dyDescent="0.35">
      <c r="A465" s="35"/>
      <c r="B465" s="5"/>
      <c r="C465" s="5"/>
      <c r="D465" s="5"/>
      <c r="E465" s="5"/>
      <c r="F465" s="59"/>
      <c r="G465" s="5"/>
      <c r="H465" s="127"/>
      <c r="I465" s="146"/>
      <c r="J465" s="35" t="s">
        <v>134</v>
      </c>
      <c r="K465" s="5"/>
      <c r="L465" s="5"/>
      <c r="M465" s="5"/>
      <c r="N465" s="38">
        <f t="shared" si="300"/>
        <v>7550.698692810457</v>
      </c>
      <c r="O465" s="5">
        <v>102</v>
      </c>
      <c r="P465" s="30">
        <f t="shared" si="301"/>
        <v>74.02645777265154</v>
      </c>
      <c r="R465" s="48"/>
      <c r="S465" s="120"/>
      <c r="T465" s="35" t="s">
        <v>134</v>
      </c>
      <c r="U465" s="5"/>
      <c r="V465" s="5"/>
      <c r="W465" s="5"/>
      <c r="X465" s="29">
        <f t="shared" ref="X465:X466" si="303">X464</f>
        <v>3165.8066666666664</v>
      </c>
      <c r="Y465" s="6">
        <v>102</v>
      </c>
      <c r="Z465" s="30">
        <f t="shared" ref="Z465" si="304">X465/Y465</f>
        <v>31.037320261437905</v>
      </c>
      <c r="AB465" s="48"/>
    </row>
    <row r="466" spans="1:28" x14ac:dyDescent="0.35">
      <c r="A466" s="35"/>
      <c r="B466" s="5"/>
      <c r="C466" s="5"/>
      <c r="D466" s="5"/>
      <c r="E466" s="5"/>
      <c r="F466" s="59"/>
      <c r="G466" s="5"/>
      <c r="H466" s="127"/>
      <c r="I466" s="146"/>
      <c r="J466" s="35" t="s">
        <v>252</v>
      </c>
      <c r="K466" s="5" t="s">
        <v>70</v>
      </c>
      <c r="L466" s="5" t="s">
        <v>70</v>
      </c>
      <c r="M466" s="5" t="s">
        <v>70</v>
      </c>
      <c r="N466" s="38">
        <f t="shared" si="300"/>
        <v>7550.698692810457</v>
      </c>
      <c r="O466" s="5">
        <v>101</v>
      </c>
      <c r="P466" s="30">
        <f t="shared" si="301"/>
        <v>74.759392998123332</v>
      </c>
      <c r="Q466">
        <f>100/8</f>
        <v>12.5</v>
      </c>
      <c r="R466" s="48"/>
      <c r="S466" s="120"/>
      <c r="T466" s="35" t="s">
        <v>252</v>
      </c>
      <c r="U466" s="5"/>
      <c r="V466" s="5"/>
      <c r="W466" s="5"/>
      <c r="X466" s="29">
        <f t="shared" si="303"/>
        <v>3165.8066666666664</v>
      </c>
      <c r="Y466" s="6">
        <v>102</v>
      </c>
      <c r="Z466" s="30">
        <f t="shared" ref="Z466" si="305">X466/Y466</f>
        <v>31.037320261437905</v>
      </c>
      <c r="AB466" s="48"/>
    </row>
    <row r="467" spans="1:28" x14ac:dyDescent="0.35">
      <c r="A467" s="35"/>
      <c r="B467" s="5"/>
      <c r="C467" s="5"/>
      <c r="D467" s="5"/>
      <c r="E467" s="5"/>
      <c r="F467" s="59"/>
      <c r="G467" s="5">
        <v>0</v>
      </c>
      <c r="H467" s="37"/>
      <c r="I467" s="146"/>
      <c r="J467" s="35" t="s">
        <v>253</v>
      </c>
      <c r="K467" s="5" t="s">
        <v>70</v>
      </c>
      <c r="L467" s="5" t="s">
        <v>70</v>
      </c>
      <c r="M467" s="5" t="s">
        <v>70</v>
      </c>
      <c r="N467" s="38">
        <f t="shared" si="300"/>
        <v>7550.698692810457</v>
      </c>
      <c r="O467" s="5">
        <v>100</v>
      </c>
      <c r="P467" s="30">
        <f t="shared" si="301"/>
        <v>75.506986928104567</v>
      </c>
      <c r="R467" s="48"/>
      <c r="S467" s="120"/>
      <c r="T467" s="35"/>
      <c r="U467" s="5"/>
      <c r="V467" s="5"/>
      <c r="W467" s="5"/>
      <c r="X467" s="29"/>
      <c r="Y467" s="6"/>
      <c r="Z467" s="30"/>
      <c r="AB467" s="48"/>
    </row>
    <row r="468" spans="1:28" x14ac:dyDescent="0.35">
      <c r="A468" s="35"/>
      <c r="B468" s="5"/>
      <c r="C468" s="5"/>
      <c r="D468" s="5"/>
      <c r="E468" s="5"/>
      <c r="F468" s="59"/>
      <c r="G468" s="5"/>
      <c r="H468" s="37"/>
      <c r="I468" s="146"/>
      <c r="J468" s="35"/>
      <c r="K468" s="5"/>
      <c r="L468" s="5"/>
      <c r="M468" s="5"/>
      <c r="N468" s="38"/>
      <c r="O468" s="1"/>
      <c r="P468" s="30"/>
      <c r="R468" s="48"/>
      <c r="S468" s="120"/>
      <c r="T468" s="35"/>
      <c r="U468" s="5"/>
      <c r="V468" s="5"/>
      <c r="W468" s="5"/>
      <c r="X468" s="38"/>
      <c r="Y468" s="90"/>
      <c r="Z468" s="91"/>
      <c r="AB468" s="48"/>
    </row>
    <row r="469" spans="1:28" x14ac:dyDescent="0.35">
      <c r="A469" s="35"/>
      <c r="B469" s="5"/>
      <c r="C469" s="5"/>
      <c r="D469" s="5"/>
      <c r="E469" s="5"/>
      <c r="F469" s="59"/>
      <c r="G469" s="5"/>
      <c r="H469" s="37"/>
      <c r="I469" s="146"/>
      <c r="J469" s="35"/>
      <c r="K469" s="5"/>
      <c r="L469" s="5"/>
      <c r="M469" s="5"/>
      <c r="N469" s="38"/>
      <c r="O469" s="1"/>
      <c r="P469" s="30"/>
      <c r="R469" s="48"/>
      <c r="S469" s="120"/>
      <c r="T469" s="35"/>
      <c r="U469" s="5"/>
      <c r="V469" s="5"/>
      <c r="W469" s="5"/>
      <c r="X469" s="38"/>
      <c r="Y469" s="90"/>
      <c r="Z469" s="91"/>
      <c r="AB469" s="48"/>
    </row>
    <row r="470" spans="1:28" ht="15" thickBot="1" x14ac:dyDescent="0.4">
      <c r="A470" s="11"/>
      <c r="B470" s="12"/>
      <c r="C470" s="12"/>
      <c r="D470" s="12"/>
      <c r="E470" s="12"/>
      <c r="F470" s="114">
        <f>SUM(F460:F467)</f>
        <v>21320.902614379083</v>
      </c>
      <c r="G470" s="114">
        <f>SUM(G460:G467)</f>
        <v>660</v>
      </c>
      <c r="H470" s="13"/>
      <c r="I470" s="148"/>
      <c r="J470" s="11"/>
      <c r="K470" s="12"/>
      <c r="L470" s="12"/>
      <c r="M470" s="12"/>
      <c r="N470" s="77">
        <f>SUM(N460:N467)</f>
        <v>60405.589542483664</v>
      </c>
      <c r="O470" s="115">
        <f>SUM(O460:O469)</f>
        <v>817</v>
      </c>
      <c r="P470" s="13"/>
      <c r="Q470" s="46" t="s">
        <v>71</v>
      </c>
      <c r="R470" s="52">
        <f>R458+R464</f>
        <v>39539.555728973704</v>
      </c>
      <c r="S470" s="121"/>
      <c r="T470" s="11"/>
      <c r="U470" s="12"/>
      <c r="V470" s="12"/>
      <c r="W470" s="12"/>
      <c r="X470" s="77">
        <f>SUM(X460:X465)</f>
        <v>18994.84</v>
      </c>
      <c r="Y470" s="115">
        <f>SUM(Y460:Y467)</f>
        <v>714</v>
      </c>
      <c r="Z470" s="13"/>
      <c r="AA470" s="46"/>
      <c r="AB470" s="52"/>
    </row>
    <row r="471" spans="1:28" x14ac:dyDescent="0.35">
      <c r="A471" s="39" t="s">
        <v>513</v>
      </c>
      <c r="B471" s="40" t="s">
        <v>43</v>
      </c>
      <c r="C471" s="41" t="s">
        <v>2</v>
      </c>
      <c r="D471" s="41" t="s">
        <v>86</v>
      </c>
      <c r="E471" s="41">
        <f>3650/50</f>
        <v>73</v>
      </c>
      <c r="F471" s="41">
        <f>E471*36</f>
        <v>2628</v>
      </c>
      <c r="G471" s="41">
        <v>132</v>
      </c>
      <c r="H471" s="113">
        <f>F471/G471</f>
        <v>19.90909090909091</v>
      </c>
      <c r="I471" s="147"/>
      <c r="J471" s="80" t="s">
        <v>43</v>
      </c>
      <c r="K471" s="41" t="s">
        <v>2</v>
      </c>
      <c r="L471" s="41" t="s">
        <v>49</v>
      </c>
      <c r="M471" s="41">
        <f>3650/50</f>
        <v>73</v>
      </c>
      <c r="N471" s="41">
        <f>M471*50</f>
        <v>3650</v>
      </c>
      <c r="O471" s="41">
        <v>102</v>
      </c>
      <c r="P471" s="113">
        <f>N471/O471</f>
        <v>35.784313725490193</v>
      </c>
      <c r="Q471" s="43" t="s">
        <v>0</v>
      </c>
      <c r="R471" s="44"/>
      <c r="S471" s="119"/>
      <c r="T471" s="39" t="s">
        <v>43</v>
      </c>
      <c r="U471" s="41" t="s">
        <v>2</v>
      </c>
      <c r="V471" s="41" t="s">
        <v>317</v>
      </c>
      <c r="W471" s="139">
        <f>3600/50</f>
        <v>72</v>
      </c>
      <c r="X471" s="41">
        <f>W471*26</f>
        <v>1872</v>
      </c>
      <c r="Y471" s="41">
        <v>102</v>
      </c>
      <c r="Z471" s="113">
        <f t="shared" ref="Z471:Z484" si="306">X471/Y471</f>
        <v>18.352941176470587</v>
      </c>
      <c r="AA471" s="43" t="s">
        <v>196</v>
      </c>
      <c r="AB471" s="44"/>
    </row>
    <row r="472" spans="1:28" x14ac:dyDescent="0.35">
      <c r="A472" s="35"/>
      <c r="B472" s="5"/>
      <c r="C472" s="6" t="s">
        <v>4</v>
      </c>
      <c r="D472" s="6" t="s">
        <v>485</v>
      </c>
      <c r="E472" s="28">
        <f>7200/50</f>
        <v>144</v>
      </c>
      <c r="F472" s="6">
        <f>E472*4.8</f>
        <v>691.19999999999993</v>
      </c>
      <c r="G472" s="1">
        <f>G471</f>
        <v>132</v>
      </c>
      <c r="H472" s="126">
        <f t="shared" ref="H472:H477" si="307">F472/G472</f>
        <v>5.2363636363636354</v>
      </c>
      <c r="I472" s="146"/>
      <c r="J472" s="9"/>
      <c r="K472" s="1" t="s">
        <v>4</v>
      </c>
      <c r="L472" s="1" t="s">
        <v>50</v>
      </c>
      <c r="M472" s="28">
        <f>7200/50</f>
        <v>144</v>
      </c>
      <c r="N472" s="57">
        <f>M472*4.5</f>
        <v>648</v>
      </c>
      <c r="O472" s="1">
        <f t="shared" ref="O472:O478" si="308">O471</f>
        <v>102</v>
      </c>
      <c r="P472" s="126">
        <f t="shared" ref="P472:P478" si="309">N472/O472</f>
        <v>6.3529411764705879</v>
      </c>
      <c r="Q472" t="s">
        <v>68</v>
      </c>
      <c r="R472" s="45">
        <v>60</v>
      </c>
      <c r="T472" s="35"/>
      <c r="U472" s="6" t="s">
        <v>4</v>
      </c>
      <c r="V472" s="6" t="s">
        <v>324</v>
      </c>
      <c r="W472" s="28">
        <f>7200/50</f>
        <v>144</v>
      </c>
      <c r="X472" s="29">
        <f>W472*3.8</f>
        <v>547.19999999999993</v>
      </c>
      <c r="Y472" s="1">
        <f t="shared" ref="Y472:Y478" si="310">Y471</f>
        <v>102</v>
      </c>
      <c r="Z472" s="126">
        <f t="shared" si="306"/>
        <v>5.3647058823529408</v>
      </c>
      <c r="AA472" t="s">
        <v>68</v>
      </c>
      <c r="AB472" s="45">
        <v>50</v>
      </c>
    </row>
    <row r="473" spans="1:28" x14ac:dyDescent="0.35">
      <c r="A473" s="35"/>
      <c r="B473" s="5"/>
      <c r="C473" s="6" t="s">
        <v>54</v>
      </c>
      <c r="D473" s="6" t="s">
        <v>419</v>
      </c>
      <c r="E473" s="28">
        <f>600/1000</f>
        <v>0.6</v>
      </c>
      <c r="F473" s="6">
        <f>E473*60</f>
        <v>36</v>
      </c>
      <c r="G473" s="1">
        <f t="shared" ref="G473:G478" si="311">G472</f>
        <v>132</v>
      </c>
      <c r="H473" s="126">
        <f t="shared" si="307"/>
        <v>0.27272727272727271</v>
      </c>
      <c r="I473" s="146"/>
      <c r="J473" s="9"/>
      <c r="K473" s="1" t="s">
        <v>5</v>
      </c>
      <c r="L473" s="1" t="s">
        <v>421</v>
      </c>
      <c r="M473" s="233">
        <f>400/450</f>
        <v>0.88888888888888884</v>
      </c>
      <c r="N473" s="57">
        <f>M473*160</f>
        <v>142.22222222222223</v>
      </c>
      <c r="O473" s="1">
        <f t="shared" si="308"/>
        <v>102</v>
      </c>
      <c r="P473" s="126">
        <f t="shared" si="309"/>
        <v>1.3943355119825709</v>
      </c>
      <c r="Q473" t="s">
        <v>32</v>
      </c>
      <c r="R473" s="47">
        <f>H478</f>
        <v>32.304397900574372</v>
      </c>
      <c r="S473" s="120"/>
      <c r="T473" s="35"/>
      <c r="U473" s="6" t="s">
        <v>5</v>
      </c>
      <c r="V473" s="6" t="s">
        <v>420</v>
      </c>
      <c r="W473" s="28">
        <f>255/450</f>
        <v>0.56666666666666665</v>
      </c>
      <c r="X473" s="29">
        <f>W473*190</f>
        <v>107.66666666666666</v>
      </c>
      <c r="Y473" s="1">
        <f t="shared" si="310"/>
        <v>102</v>
      </c>
      <c r="Z473" s="126">
        <f t="shared" si="306"/>
        <v>1.0555555555555554</v>
      </c>
      <c r="AA473" t="s">
        <v>32</v>
      </c>
      <c r="AB473" s="47">
        <f>Z478</f>
        <v>31.037320261437905</v>
      </c>
    </row>
    <row r="474" spans="1:28" x14ac:dyDescent="0.35">
      <c r="A474" s="35"/>
      <c r="B474" s="5"/>
      <c r="C474" s="6" t="s">
        <v>55</v>
      </c>
      <c r="D474" s="6" t="s">
        <v>318</v>
      </c>
      <c r="E474" s="28">
        <f>35.5/1000</f>
        <v>3.5499999999999997E-2</v>
      </c>
      <c r="F474" s="6">
        <f>E474*280</f>
        <v>9.94</v>
      </c>
      <c r="G474" s="1">
        <f t="shared" si="311"/>
        <v>132</v>
      </c>
      <c r="H474" s="126">
        <f t="shared" si="307"/>
        <v>7.5303030303030302E-2</v>
      </c>
      <c r="I474" s="146"/>
      <c r="J474" s="9"/>
      <c r="K474" s="1" t="s">
        <v>51</v>
      </c>
      <c r="L474" s="1" t="s">
        <v>52</v>
      </c>
      <c r="M474" s="232">
        <f>35.5/1000</f>
        <v>3.5499999999999997E-2</v>
      </c>
      <c r="N474" s="1">
        <f>M474*300</f>
        <v>10.649999999999999</v>
      </c>
      <c r="O474" s="1">
        <f t="shared" si="308"/>
        <v>102</v>
      </c>
      <c r="P474" s="126">
        <f t="shared" si="309"/>
        <v>0.10441176470588234</v>
      </c>
      <c r="Q474" t="s">
        <v>62</v>
      </c>
      <c r="R474" s="47">
        <f>R472-R473</f>
        <v>27.695602099425628</v>
      </c>
      <c r="S474" s="120"/>
      <c r="T474" s="35"/>
      <c r="U474" s="6" t="s">
        <v>51</v>
      </c>
      <c r="V474" s="6" t="s">
        <v>318</v>
      </c>
      <c r="W474" s="205">
        <f>35.5/1000</f>
        <v>3.5499999999999997E-2</v>
      </c>
      <c r="X474" s="6">
        <f>W474*280</f>
        <v>9.94</v>
      </c>
      <c r="Y474" s="1">
        <f t="shared" si="310"/>
        <v>102</v>
      </c>
      <c r="Z474" s="126">
        <f t="shared" si="306"/>
        <v>9.7450980392156855E-2</v>
      </c>
      <c r="AA474" t="s">
        <v>69</v>
      </c>
      <c r="AB474" s="47">
        <f>AB472-AB473</f>
        <v>18.962679738562095</v>
      </c>
    </row>
    <row r="475" spans="1:28" x14ac:dyDescent="0.35">
      <c r="A475" s="35"/>
      <c r="B475" s="5"/>
      <c r="C475" s="6" t="s">
        <v>56</v>
      </c>
      <c r="D475" s="6" t="s">
        <v>419</v>
      </c>
      <c r="E475" s="6">
        <f>340/1000</f>
        <v>0.34</v>
      </c>
      <c r="F475" s="6">
        <f>E475*60</f>
        <v>20.400000000000002</v>
      </c>
      <c r="G475" s="1">
        <f t="shared" si="311"/>
        <v>132</v>
      </c>
      <c r="H475" s="126">
        <f t="shared" si="307"/>
        <v>0.15454545454545457</v>
      </c>
      <c r="I475" s="146"/>
      <c r="J475" s="9"/>
      <c r="K475" s="1" t="s">
        <v>26</v>
      </c>
      <c r="L475" s="1" t="s">
        <v>419</v>
      </c>
      <c r="M475" s="1">
        <f>340/1000</f>
        <v>0.34</v>
      </c>
      <c r="N475" s="1">
        <f>M475*60</f>
        <v>20.400000000000002</v>
      </c>
      <c r="O475" s="1">
        <f t="shared" si="308"/>
        <v>102</v>
      </c>
      <c r="P475" s="126">
        <f t="shared" si="309"/>
        <v>0.2</v>
      </c>
      <c r="Q475" t="s">
        <v>72</v>
      </c>
      <c r="R475" s="50">
        <f>G478*R474</f>
        <v>3655.8194771241829</v>
      </c>
      <c r="S475" s="120"/>
      <c r="T475" s="35"/>
      <c r="U475" s="6" t="s">
        <v>26</v>
      </c>
      <c r="V475" s="6" t="s">
        <v>53</v>
      </c>
      <c r="W475" s="6">
        <f>340/1000</f>
        <v>0.34</v>
      </c>
      <c r="X475" s="6">
        <f>W475*50</f>
        <v>17</v>
      </c>
      <c r="Y475" s="1">
        <f t="shared" si="310"/>
        <v>102</v>
      </c>
      <c r="Z475" s="126">
        <f t="shared" si="306"/>
        <v>0.16666666666666666</v>
      </c>
      <c r="AA475" t="s">
        <v>205</v>
      </c>
      <c r="AB475" s="50">
        <f>AB474*102</f>
        <v>1934.1933333333336</v>
      </c>
    </row>
    <row r="476" spans="1:28" x14ac:dyDescent="0.35">
      <c r="A476" s="35"/>
      <c r="B476" s="5"/>
      <c r="C476" s="6" t="s">
        <v>57</v>
      </c>
      <c r="D476" s="6" t="s">
        <v>6</v>
      </c>
      <c r="E476" s="28">
        <f>250/450</f>
        <v>0.55555555555555558</v>
      </c>
      <c r="F476" s="28">
        <f>E476*200</f>
        <v>111.11111111111111</v>
      </c>
      <c r="G476" s="1">
        <f t="shared" si="311"/>
        <v>132</v>
      </c>
      <c r="H476" s="126">
        <f t="shared" si="307"/>
        <v>0.84175084175084181</v>
      </c>
      <c r="I476" s="146"/>
      <c r="J476" s="9"/>
      <c r="K476" s="1" t="s">
        <v>3</v>
      </c>
      <c r="L476" s="1" t="s">
        <v>382</v>
      </c>
      <c r="M476" s="57">
        <f>4660/17</f>
        <v>274.11764705882354</v>
      </c>
      <c r="N476" s="57">
        <f>M476*1.5</f>
        <v>411.1764705882353</v>
      </c>
      <c r="O476" s="1">
        <f t="shared" si="308"/>
        <v>102</v>
      </c>
      <c r="P476" s="126">
        <f t="shared" si="309"/>
        <v>4.031141868512111</v>
      </c>
      <c r="Q476" t="s">
        <v>431</v>
      </c>
      <c r="R476" s="48">
        <f>R475*5</f>
        <v>18279.097385620913</v>
      </c>
      <c r="S476" s="120"/>
      <c r="T476" s="35"/>
      <c r="U476" s="6" t="s">
        <v>3</v>
      </c>
      <c r="V476" s="6" t="s">
        <v>325</v>
      </c>
      <c r="W476" s="29">
        <f>260</f>
        <v>260</v>
      </c>
      <c r="X476" s="29">
        <f>W476*2.3</f>
        <v>598</v>
      </c>
      <c r="Y476" s="1">
        <f t="shared" si="310"/>
        <v>102</v>
      </c>
      <c r="Z476" s="126">
        <f t="shared" si="306"/>
        <v>5.8627450980392153</v>
      </c>
      <c r="AA476" t="s">
        <v>434</v>
      </c>
      <c r="AB476" s="48">
        <f>AB475*7</f>
        <v>13539.353333333336</v>
      </c>
    </row>
    <row r="477" spans="1:28" x14ac:dyDescent="0.35">
      <c r="A477" s="35"/>
      <c r="B477" s="5"/>
      <c r="C477" s="6" t="s">
        <v>58</v>
      </c>
      <c r="D477" s="6" t="s">
        <v>319</v>
      </c>
      <c r="E477" s="29">
        <f>4660/17</f>
        <v>274.11764705882354</v>
      </c>
      <c r="F477" s="29">
        <f>E477*2.8</f>
        <v>767.52941176470586</v>
      </c>
      <c r="G477" s="6">
        <f t="shared" si="311"/>
        <v>132</v>
      </c>
      <c r="H477" s="126">
        <f t="shared" si="307"/>
        <v>5.8146167557932262</v>
      </c>
      <c r="I477" s="146"/>
      <c r="J477" s="9"/>
      <c r="K477" s="1" t="s">
        <v>7</v>
      </c>
      <c r="L477" s="234" t="s">
        <v>388</v>
      </c>
      <c r="M477" s="57">
        <f>4730/20</f>
        <v>236.5</v>
      </c>
      <c r="N477" s="57">
        <f>M477*12.5</f>
        <v>2956.25</v>
      </c>
      <c r="O477" s="1">
        <f t="shared" si="308"/>
        <v>102</v>
      </c>
      <c r="P477" s="126">
        <f t="shared" si="309"/>
        <v>28.982843137254903</v>
      </c>
      <c r="Q477" t="s">
        <v>1</v>
      </c>
      <c r="R477" s="45"/>
      <c r="T477" s="35"/>
      <c r="U477" s="6" t="s">
        <v>151</v>
      </c>
      <c r="V477" s="53" t="s">
        <v>53</v>
      </c>
      <c r="W477" s="28">
        <f>280/1000</f>
        <v>0.28000000000000003</v>
      </c>
      <c r="X477" s="6">
        <f>W477*50</f>
        <v>14.000000000000002</v>
      </c>
      <c r="Y477" s="1">
        <f t="shared" si="310"/>
        <v>102</v>
      </c>
      <c r="Z477" s="126">
        <f t="shared" si="306"/>
        <v>0.13725490196078433</v>
      </c>
      <c r="AB477" s="45"/>
    </row>
    <row r="478" spans="1:28" x14ac:dyDescent="0.35">
      <c r="A478" s="35"/>
      <c r="B478" s="5"/>
      <c r="C478" s="6"/>
      <c r="D478" s="6"/>
      <c r="E478" s="29"/>
      <c r="F478" s="51">
        <f>SUM(F471:F477)</f>
        <v>4264.1805228758167</v>
      </c>
      <c r="G478" s="32">
        <f t="shared" si="311"/>
        <v>132</v>
      </c>
      <c r="H478" s="33">
        <f>SUM(H471:H477)</f>
        <v>32.304397900574372</v>
      </c>
      <c r="I478" s="146"/>
      <c r="J478" s="35"/>
      <c r="K478" s="6"/>
      <c r="L478" s="6"/>
      <c r="M478" s="6"/>
      <c r="N478" s="235">
        <f>SUM(N471:N477)</f>
        <v>7838.698692810457</v>
      </c>
      <c r="O478" s="32">
        <f t="shared" si="308"/>
        <v>102</v>
      </c>
      <c r="P478" s="236">
        <f t="shared" si="309"/>
        <v>76.84998718441625</v>
      </c>
      <c r="Q478" t="s">
        <v>68</v>
      </c>
      <c r="R478" s="45">
        <v>100</v>
      </c>
      <c r="T478" s="35"/>
      <c r="U478" s="6"/>
      <c r="V478" s="6"/>
      <c r="W478" s="6"/>
      <c r="X478" s="31">
        <f>SUM(X471:X477)</f>
        <v>3165.8066666666664</v>
      </c>
      <c r="Y478" s="32">
        <f t="shared" si="310"/>
        <v>102</v>
      </c>
      <c r="Z478" s="33">
        <f t="shared" si="306"/>
        <v>31.037320261437905</v>
      </c>
      <c r="AB478" s="45"/>
    </row>
    <row r="479" spans="1:28" x14ac:dyDescent="0.35">
      <c r="A479" s="35"/>
      <c r="B479" s="5" t="s">
        <v>44</v>
      </c>
      <c r="C479" s="5" t="s">
        <v>70</v>
      </c>
      <c r="D479" s="5" t="s">
        <v>70</v>
      </c>
      <c r="E479" s="5"/>
      <c r="F479" s="59">
        <f t="shared" ref="F479" si="312">F478</f>
        <v>4264.1805228758167</v>
      </c>
      <c r="G479" s="5">
        <v>132</v>
      </c>
      <c r="H479" s="127">
        <f>F479/G479</f>
        <v>32.304397900574372</v>
      </c>
      <c r="I479" s="146"/>
      <c r="J479" s="35" t="s">
        <v>44</v>
      </c>
      <c r="K479" s="5" t="s">
        <v>70</v>
      </c>
      <c r="L479" s="5" t="s">
        <v>70</v>
      </c>
      <c r="M479" s="5" t="s">
        <v>70</v>
      </c>
      <c r="N479" s="38">
        <f>N478</f>
        <v>7838.698692810457</v>
      </c>
      <c r="O479" s="5">
        <v>100</v>
      </c>
      <c r="P479" s="30">
        <f>N479/O479</f>
        <v>78.386986928104577</v>
      </c>
      <c r="Q479" t="s">
        <v>32</v>
      </c>
      <c r="R479" s="47">
        <f>AVERAGE(P478,P479,P480,P481,P482,P483,P484,P485)</f>
        <v>78.194861960143541</v>
      </c>
      <c r="S479" s="120"/>
      <c r="T479" s="35" t="s">
        <v>44</v>
      </c>
      <c r="U479" s="5"/>
      <c r="V479" s="5"/>
      <c r="W479" s="5"/>
      <c r="X479" s="29">
        <f>X478</f>
        <v>3165.8066666666664</v>
      </c>
      <c r="Y479" s="6">
        <v>102</v>
      </c>
      <c r="Z479" s="30">
        <f t="shared" si="306"/>
        <v>31.037320261437905</v>
      </c>
      <c r="AB479" s="47"/>
    </row>
    <row r="480" spans="1:28" x14ac:dyDescent="0.35">
      <c r="A480" s="35"/>
      <c r="B480" s="5"/>
      <c r="C480" s="5"/>
      <c r="D480" s="5"/>
      <c r="E480" s="5"/>
      <c r="F480" s="59"/>
      <c r="G480" s="5"/>
      <c r="H480" s="127"/>
      <c r="I480" s="146"/>
      <c r="J480" s="35" t="s">
        <v>45</v>
      </c>
      <c r="K480" s="5" t="s">
        <v>70</v>
      </c>
      <c r="L480" s="5" t="s">
        <v>70</v>
      </c>
      <c r="M480" s="5" t="s">
        <v>70</v>
      </c>
      <c r="N480" s="38">
        <f t="shared" ref="N480:N485" si="313">N479</f>
        <v>7838.698692810457</v>
      </c>
      <c r="O480" s="5">
        <v>100</v>
      </c>
      <c r="P480" s="30">
        <f t="shared" ref="P480:P485" si="314">N480/O480</f>
        <v>78.386986928104577</v>
      </c>
      <c r="Q480" t="s">
        <v>69</v>
      </c>
      <c r="R480" s="47">
        <f>R478-R479</f>
        <v>21.805138039856459</v>
      </c>
      <c r="S480" s="120"/>
      <c r="T480" s="35" t="s">
        <v>45</v>
      </c>
      <c r="U480" s="5"/>
      <c r="V480" s="5"/>
      <c r="W480" s="5"/>
      <c r="X480" s="29">
        <f>X479</f>
        <v>3165.8066666666664</v>
      </c>
      <c r="Y480" s="6">
        <v>102</v>
      </c>
      <c r="Z480" s="30">
        <f t="shared" si="306"/>
        <v>31.037320261437905</v>
      </c>
      <c r="AB480" s="47"/>
    </row>
    <row r="481" spans="1:28" x14ac:dyDescent="0.35">
      <c r="A481" s="35"/>
      <c r="B481" s="5"/>
      <c r="C481" s="5"/>
      <c r="D481" s="5"/>
      <c r="E481" s="5"/>
      <c r="F481" s="59"/>
      <c r="G481" s="5"/>
      <c r="H481" s="127"/>
      <c r="I481" s="146"/>
      <c r="J481" s="35" t="s">
        <v>67</v>
      </c>
      <c r="K481" s="5" t="s">
        <v>70</v>
      </c>
      <c r="L481" s="5" t="s">
        <v>70</v>
      </c>
      <c r="M481" s="5" t="s">
        <v>70</v>
      </c>
      <c r="N481" s="38">
        <f t="shared" si="313"/>
        <v>7838.698692810457</v>
      </c>
      <c r="O481" s="5">
        <v>100</v>
      </c>
      <c r="P481" s="30">
        <f t="shared" si="314"/>
        <v>78.386986928104577</v>
      </c>
      <c r="Q481" t="s">
        <v>136</v>
      </c>
      <c r="R481" s="50">
        <f>R480*106</f>
        <v>2311.3446322247846</v>
      </c>
      <c r="S481" s="120"/>
      <c r="T481" s="35" t="s">
        <v>67</v>
      </c>
      <c r="U481" s="5"/>
      <c r="V481" s="5"/>
      <c r="W481" s="5"/>
      <c r="X481" s="29">
        <f>X480</f>
        <v>3165.8066666666664</v>
      </c>
      <c r="Y481" s="6">
        <v>102</v>
      </c>
      <c r="Z481" s="30">
        <f t="shared" si="306"/>
        <v>31.037320261437905</v>
      </c>
      <c r="AB481" s="50"/>
    </row>
    <row r="482" spans="1:28" x14ac:dyDescent="0.35">
      <c r="A482" s="35"/>
      <c r="B482" s="5"/>
      <c r="C482" s="5"/>
      <c r="D482" s="5"/>
      <c r="E482" s="5"/>
      <c r="F482" s="59"/>
      <c r="G482" s="5"/>
      <c r="H482" s="127"/>
      <c r="I482" s="146"/>
      <c r="J482" s="35" t="s">
        <v>133</v>
      </c>
      <c r="K482" s="5"/>
      <c r="L482" s="5"/>
      <c r="M482" s="5"/>
      <c r="N482" s="38">
        <f t="shared" si="313"/>
        <v>7838.698692810457</v>
      </c>
      <c r="O482" s="5">
        <v>100</v>
      </c>
      <c r="P482" s="30">
        <f t="shared" si="314"/>
        <v>78.386986928104577</v>
      </c>
      <c r="Q482" t="s">
        <v>433</v>
      </c>
      <c r="R482" s="48">
        <f>R481*8</f>
        <v>18490.757057798277</v>
      </c>
      <c r="S482" s="120"/>
      <c r="T482" s="35" t="s">
        <v>133</v>
      </c>
      <c r="U482" s="5"/>
      <c r="V482" s="5"/>
      <c r="W482" s="5"/>
      <c r="X482" s="29">
        <f>X481</f>
        <v>3165.8066666666664</v>
      </c>
      <c r="Y482" s="6">
        <v>102</v>
      </c>
      <c r="Z482" s="30">
        <f t="shared" si="306"/>
        <v>31.037320261437905</v>
      </c>
      <c r="AB482" s="48"/>
    </row>
    <row r="483" spans="1:28" x14ac:dyDescent="0.35">
      <c r="A483" s="35"/>
      <c r="B483" s="5"/>
      <c r="C483" s="5"/>
      <c r="D483" s="5"/>
      <c r="E483" s="5"/>
      <c r="F483" s="59"/>
      <c r="G483" s="5"/>
      <c r="H483" s="127"/>
      <c r="I483" s="146"/>
      <c r="J483" s="35" t="s">
        <v>134</v>
      </c>
      <c r="K483" s="5"/>
      <c r="L483" s="5"/>
      <c r="M483" s="5"/>
      <c r="N483" s="38">
        <f t="shared" si="313"/>
        <v>7838.698692810457</v>
      </c>
      <c r="O483" s="5">
        <v>100</v>
      </c>
      <c r="P483" s="30">
        <f t="shared" si="314"/>
        <v>78.386986928104577</v>
      </c>
      <c r="R483" s="48"/>
      <c r="S483" s="120"/>
      <c r="T483" s="35" t="s">
        <v>134</v>
      </c>
      <c r="U483" s="5"/>
      <c r="V483" s="5"/>
      <c r="W483" s="5"/>
      <c r="X483" s="29">
        <f t="shared" ref="X483:X484" si="315">X482</f>
        <v>3165.8066666666664</v>
      </c>
      <c r="Y483" s="6">
        <v>102</v>
      </c>
      <c r="Z483" s="30">
        <f t="shared" si="306"/>
        <v>31.037320261437905</v>
      </c>
      <c r="AB483" s="48"/>
    </row>
    <row r="484" spans="1:28" x14ac:dyDescent="0.35">
      <c r="A484" s="35"/>
      <c r="B484" s="5"/>
      <c r="C484" s="5"/>
      <c r="D484" s="5"/>
      <c r="E484" s="5"/>
      <c r="F484" s="59"/>
      <c r="G484" s="5"/>
      <c r="H484" s="127"/>
      <c r="I484" s="146"/>
      <c r="J484" s="35" t="s">
        <v>252</v>
      </c>
      <c r="K484" s="5" t="s">
        <v>70</v>
      </c>
      <c r="L484" s="5" t="s">
        <v>70</v>
      </c>
      <c r="M484" s="5" t="s">
        <v>70</v>
      </c>
      <c r="N484" s="38">
        <f t="shared" si="313"/>
        <v>7838.698692810457</v>
      </c>
      <c r="O484" s="5">
        <v>100</v>
      </c>
      <c r="P484" s="30">
        <f t="shared" si="314"/>
        <v>78.386986928104577</v>
      </c>
      <c r="Q484">
        <f>100/8</f>
        <v>12.5</v>
      </c>
      <c r="R484" s="48"/>
      <c r="S484" s="120"/>
      <c r="T484" s="35" t="s">
        <v>252</v>
      </c>
      <c r="U484" s="5"/>
      <c r="V484" s="5"/>
      <c r="W484" s="5"/>
      <c r="X484" s="29">
        <f t="shared" si="315"/>
        <v>3165.8066666666664</v>
      </c>
      <c r="Y484" s="6">
        <v>102</v>
      </c>
      <c r="Z484" s="30">
        <f t="shared" si="306"/>
        <v>31.037320261437905</v>
      </c>
      <c r="AB484" s="48"/>
    </row>
    <row r="485" spans="1:28" x14ac:dyDescent="0.35">
      <c r="A485" s="35"/>
      <c r="B485" s="5"/>
      <c r="C485" s="5"/>
      <c r="D485" s="5"/>
      <c r="E485" s="5"/>
      <c r="F485" s="59"/>
      <c r="G485" s="5"/>
      <c r="H485" s="37"/>
      <c r="I485" s="146"/>
      <c r="J485" s="35" t="s">
        <v>253</v>
      </c>
      <c r="K485" s="5" t="s">
        <v>70</v>
      </c>
      <c r="L485" s="5" t="s">
        <v>70</v>
      </c>
      <c r="M485" s="5" t="s">
        <v>70</v>
      </c>
      <c r="N485" s="38">
        <f t="shared" si="313"/>
        <v>7838.698692810457</v>
      </c>
      <c r="O485" s="1">
        <v>100</v>
      </c>
      <c r="P485" s="30">
        <f t="shared" si="314"/>
        <v>78.386986928104577</v>
      </c>
      <c r="R485" s="48"/>
      <c r="S485" s="120"/>
      <c r="T485" s="35"/>
      <c r="U485" s="5"/>
      <c r="V485" s="5"/>
      <c r="W485" s="5"/>
      <c r="X485" s="29"/>
      <c r="Y485" s="6"/>
      <c r="Z485" s="30"/>
      <c r="AB485" s="48"/>
    </row>
    <row r="486" spans="1:28" x14ac:dyDescent="0.35">
      <c r="A486" s="35"/>
      <c r="B486" s="5"/>
      <c r="C486" s="5"/>
      <c r="D486" s="5"/>
      <c r="E486" s="5"/>
      <c r="F486" s="59"/>
      <c r="G486" s="5"/>
      <c r="H486" s="37"/>
      <c r="I486" s="146"/>
      <c r="J486" s="35"/>
      <c r="K486" s="5"/>
      <c r="L486" s="5"/>
      <c r="M486" s="5"/>
      <c r="N486" s="38"/>
      <c r="O486" s="1"/>
      <c r="P486" s="30"/>
      <c r="R486" s="48"/>
      <c r="S486" s="120"/>
      <c r="T486" s="35"/>
      <c r="U486" s="5"/>
      <c r="V486" s="5"/>
      <c r="W486" s="5"/>
      <c r="X486" s="38"/>
      <c r="Y486" s="90"/>
      <c r="Z486" s="91"/>
      <c r="AB486" s="48"/>
    </row>
    <row r="487" spans="1:28" x14ac:dyDescent="0.35">
      <c r="A487" s="35"/>
      <c r="B487" s="5"/>
      <c r="C487" s="5"/>
      <c r="D487" s="5"/>
      <c r="E487" s="5"/>
      <c r="F487" s="59"/>
      <c r="G487" s="5"/>
      <c r="H487" s="37"/>
      <c r="I487" s="146"/>
      <c r="J487" s="35"/>
      <c r="K487" s="5"/>
      <c r="L487" s="5"/>
      <c r="M487" s="5"/>
      <c r="N487" s="38"/>
      <c r="O487" s="1"/>
      <c r="P487" s="30"/>
      <c r="R487" s="48"/>
      <c r="S487" s="120"/>
      <c r="T487" s="35"/>
      <c r="U487" s="5"/>
      <c r="V487" s="5"/>
      <c r="W487" s="5"/>
      <c r="X487" s="38"/>
      <c r="Y487" s="90"/>
      <c r="Z487" s="91"/>
      <c r="AB487" s="48"/>
    </row>
    <row r="488" spans="1:28" ht="15" thickBot="1" x14ac:dyDescent="0.4">
      <c r="A488" s="11"/>
      <c r="B488" s="12"/>
      <c r="C488" s="12"/>
      <c r="D488" s="12"/>
      <c r="E488" s="12"/>
      <c r="F488" s="114">
        <f>SUM(F478:F485)</f>
        <v>8528.3610457516334</v>
      </c>
      <c r="G488" s="114">
        <f>SUM(G478:G485)</f>
        <v>264</v>
      </c>
      <c r="H488" s="13"/>
      <c r="I488" s="148"/>
      <c r="J488" s="11"/>
      <c r="K488" s="12"/>
      <c r="L488" s="12"/>
      <c r="M488" s="12"/>
      <c r="N488" s="77">
        <f>SUM(N478:N485)</f>
        <v>62709.589542483664</v>
      </c>
      <c r="O488" s="115">
        <f>SUM(O478:O487)</f>
        <v>802</v>
      </c>
      <c r="P488" s="13"/>
      <c r="Q488" s="46" t="s">
        <v>71</v>
      </c>
      <c r="R488" s="52">
        <f>R476+R482</f>
        <v>36769.854443419186</v>
      </c>
      <c r="S488" s="121"/>
      <c r="T488" s="11"/>
      <c r="U488" s="12"/>
      <c r="V488" s="12"/>
      <c r="W488" s="12"/>
      <c r="X488" s="77">
        <f>SUM(X478:X483)</f>
        <v>18994.84</v>
      </c>
      <c r="Y488" s="115">
        <f>SUM(Y478:Y485)</f>
        <v>714</v>
      </c>
      <c r="Z488" s="13"/>
      <c r="AA488" s="46"/>
      <c r="AB488" s="52"/>
    </row>
    <row r="489" spans="1:28" x14ac:dyDescent="0.35">
      <c r="A489" s="39" t="s">
        <v>514</v>
      </c>
      <c r="B489" s="40" t="s">
        <v>43</v>
      </c>
      <c r="C489" s="41" t="s">
        <v>2</v>
      </c>
      <c r="D489" s="41" t="s">
        <v>86</v>
      </c>
      <c r="E489" s="41">
        <f>3650/50</f>
        <v>73</v>
      </c>
      <c r="F489" s="41">
        <f t="shared" ref="F489:F495" si="316">E489*0</f>
        <v>0</v>
      </c>
      <c r="G489" s="41">
        <v>0</v>
      </c>
      <c r="H489" s="113">
        <v>0</v>
      </c>
      <c r="I489" s="119"/>
      <c r="J489" s="80" t="s">
        <v>43</v>
      </c>
      <c r="K489" s="41" t="s">
        <v>2</v>
      </c>
      <c r="L489" s="41" t="s">
        <v>49</v>
      </c>
      <c r="M489" s="41">
        <f>3650/50</f>
        <v>73</v>
      </c>
      <c r="N489" s="41">
        <f t="shared" ref="N489:N495" si="317">M489*0</f>
        <v>0</v>
      </c>
      <c r="O489" s="41">
        <v>0</v>
      </c>
      <c r="P489" s="113">
        <v>0</v>
      </c>
      <c r="Q489" s="43" t="s">
        <v>0</v>
      </c>
      <c r="R489" s="44"/>
      <c r="S489" s="119"/>
      <c r="T489" s="39" t="s">
        <v>43</v>
      </c>
      <c r="U489" s="41" t="s">
        <v>2</v>
      </c>
      <c r="V489" s="41" t="s">
        <v>317</v>
      </c>
      <c r="W489" s="139">
        <f>3600/50</f>
        <v>72</v>
      </c>
      <c r="X489" s="41">
        <f t="shared" ref="X489:X495" si="318">W489*0</f>
        <v>0</v>
      </c>
      <c r="Y489" s="41">
        <v>0</v>
      </c>
      <c r="Z489" s="113">
        <v>0</v>
      </c>
      <c r="AA489" s="43" t="s">
        <v>196</v>
      </c>
      <c r="AB489" s="44"/>
    </row>
    <row r="490" spans="1:28" x14ac:dyDescent="0.35">
      <c r="A490" s="35"/>
      <c r="B490" s="5"/>
      <c r="C490" s="6" t="s">
        <v>4</v>
      </c>
      <c r="D490" s="6" t="s">
        <v>50</v>
      </c>
      <c r="E490" s="6">
        <f>7200/50</f>
        <v>144</v>
      </c>
      <c r="F490" s="6">
        <f t="shared" si="316"/>
        <v>0</v>
      </c>
      <c r="G490" s="1">
        <f>G489</f>
        <v>0</v>
      </c>
      <c r="H490" s="126">
        <v>0</v>
      </c>
      <c r="I490" s="228"/>
      <c r="J490" s="9"/>
      <c r="K490" s="1" t="s">
        <v>4</v>
      </c>
      <c r="L490" s="1" t="s">
        <v>353</v>
      </c>
      <c r="M490" s="1">
        <f>7200/50</f>
        <v>144</v>
      </c>
      <c r="N490" s="6">
        <f t="shared" si="317"/>
        <v>0</v>
      </c>
      <c r="O490" s="1">
        <f>O489</f>
        <v>0</v>
      </c>
      <c r="P490" s="126">
        <v>0</v>
      </c>
      <c r="Q490" t="s">
        <v>68</v>
      </c>
      <c r="R490" s="45">
        <v>60</v>
      </c>
      <c r="T490" s="35"/>
      <c r="U490" s="6" t="s">
        <v>4</v>
      </c>
      <c r="V490" s="6" t="s">
        <v>324</v>
      </c>
      <c r="W490" s="28">
        <f>7200/50</f>
        <v>144</v>
      </c>
      <c r="X490" s="29">
        <f t="shared" si="318"/>
        <v>0</v>
      </c>
      <c r="Y490" s="1">
        <f t="shared" ref="Y490:Y496" si="319">Y489</f>
        <v>0</v>
      </c>
      <c r="Z490" s="126">
        <v>0</v>
      </c>
      <c r="AA490" t="s">
        <v>68</v>
      </c>
      <c r="AB490" s="45">
        <v>50</v>
      </c>
    </row>
    <row r="491" spans="1:28" x14ac:dyDescent="0.35">
      <c r="A491" s="35"/>
      <c r="B491" s="5"/>
      <c r="C491" s="6" t="s">
        <v>54</v>
      </c>
      <c r="D491" s="6" t="s">
        <v>419</v>
      </c>
      <c r="E491" s="28">
        <f>600/1000</f>
        <v>0.6</v>
      </c>
      <c r="F491" s="6">
        <f t="shared" si="316"/>
        <v>0</v>
      </c>
      <c r="G491" s="1">
        <f t="shared" ref="G491:G496" si="320">G490</f>
        <v>0</v>
      </c>
      <c r="H491" s="126">
        <v>0</v>
      </c>
      <c r="I491" s="228"/>
      <c r="J491" s="9"/>
      <c r="K491" s="1" t="s">
        <v>5</v>
      </c>
      <c r="L491" s="1" t="s">
        <v>421</v>
      </c>
      <c r="M491" s="233">
        <f>400/450</f>
        <v>0.88888888888888884</v>
      </c>
      <c r="N491" s="6">
        <f t="shared" si="317"/>
        <v>0</v>
      </c>
      <c r="O491" s="1">
        <f t="shared" ref="O491:O496" si="321">O490</f>
        <v>0</v>
      </c>
      <c r="P491" s="126">
        <v>0</v>
      </c>
      <c r="Q491" t="s">
        <v>32</v>
      </c>
      <c r="R491" s="47">
        <f>H496</f>
        <v>0</v>
      </c>
      <c r="S491" s="120"/>
      <c r="T491" s="35"/>
      <c r="U491" s="6" t="s">
        <v>5</v>
      </c>
      <c r="V491" s="6" t="s">
        <v>420</v>
      </c>
      <c r="W491" s="28">
        <f>255/450</f>
        <v>0.56666666666666665</v>
      </c>
      <c r="X491" s="29">
        <f t="shared" si="318"/>
        <v>0</v>
      </c>
      <c r="Y491" s="1">
        <f t="shared" si="319"/>
        <v>0</v>
      </c>
      <c r="Z491" s="126">
        <v>0</v>
      </c>
      <c r="AA491" t="s">
        <v>32</v>
      </c>
      <c r="AB491" s="47">
        <f>Z496</f>
        <v>0</v>
      </c>
    </row>
    <row r="492" spans="1:28" x14ac:dyDescent="0.35">
      <c r="A492" s="35"/>
      <c r="B492" s="5"/>
      <c r="C492" s="6" t="s">
        <v>55</v>
      </c>
      <c r="D492" s="6" t="s">
        <v>318</v>
      </c>
      <c r="E492" s="28">
        <f>35.5/1000</f>
        <v>3.5499999999999997E-2</v>
      </c>
      <c r="F492" s="6">
        <f t="shared" si="316"/>
        <v>0</v>
      </c>
      <c r="G492" s="1">
        <f t="shared" si="320"/>
        <v>0</v>
      </c>
      <c r="H492" s="126">
        <v>0</v>
      </c>
      <c r="I492" s="228"/>
      <c r="J492" s="9"/>
      <c r="K492" s="1" t="s">
        <v>51</v>
      </c>
      <c r="L492" s="1" t="s">
        <v>52</v>
      </c>
      <c r="M492" s="232">
        <f>35.5/1000</f>
        <v>3.5499999999999997E-2</v>
      </c>
      <c r="N492" s="6">
        <f t="shared" si="317"/>
        <v>0</v>
      </c>
      <c r="O492" s="1">
        <f t="shared" si="321"/>
        <v>0</v>
      </c>
      <c r="P492" s="126">
        <v>0</v>
      </c>
      <c r="Q492" t="s">
        <v>62</v>
      </c>
      <c r="R492" s="47">
        <f>R490-R491</f>
        <v>60</v>
      </c>
      <c r="S492" s="120"/>
      <c r="T492" s="35"/>
      <c r="U492" s="6" t="s">
        <v>51</v>
      </c>
      <c r="V492" s="6" t="s">
        <v>318</v>
      </c>
      <c r="W492" s="205">
        <f>35.5/1000</f>
        <v>3.5499999999999997E-2</v>
      </c>
      <c r="X492" s="6">
        <f t="shared" si="318"/>
        <v>0</v>
      </c>
      <c r="Y492" s="1">
        <f t="shared" si="319"/>
        <v>0</v>
      </c>
      <c r="Z492" s="126">
        <v>0</v>
      </c>
      <c r="AA492" t="s">
        <v>69</v>
      </c>
      <c r="AB492" s="47">
        <f>AB490-AB491</f>
        <v>50</v>
      </c>
    </row>
    <row r="493" spans="1:28" x14ac:dyDescent="0.35">
      <c r="A493" s="35"/>
      <c r="B493" s="5"/>
      <c r="C493" s="6" t="s">
        <v>56</v>
      </c>
      <c r="D493" s="6" t="s">
        <v>419</v>
      </c>
      <c r="E493" s="6">
        <f>340/1000</f>
        <v>0.34</v>
      </c>
      <c r="F493" s="6">
        <f t="shared" si="316"/>
        <v>0</v>
      </c>
      <c r="G493" s="1">
        <f t="shared" si="320"/>
        <v>0</v>
      </c>
      <c r="H493" s="126">
        <v>0</v>
      </c>
      <c r="I493" s="228"/>
      <c r="J493" s="9"/>
      <c r="K493" s="1" t="s">
        <v>26</v>
      </c>
      <c r="L493" s="1" t="s">
        <v>419</v>
      </c>
      <c r="M493" s="1">
        <f>340/1000</f>
        <v>0.34</v>
      </c>
      <c r="N493" s="6">
        <f t="shared" si="317"/>
        <v>0</v>
      </c>
      <c r="O493" s="1">
        <f t="shared" si="321"/>
        <v>0</v>
      </c>
      <c r="P493" s="126">
        <v>0</v>
      </c>
      <c r="Q493" t="s">
        <v>72</v>
      </c>
      <c r="R493" s="50">
        <f>G496*R492</f>
        <v>0</v>
      </c>
      <c r="S493" s="120"/>
      <c r="T493" s="35"/>
      <c r="U493" s="6" t="s">
        <v>26</v>
      </c>
      <c r="V493" s="6" t="s">
        <v>53</v>
      </c>
      <c r="W493" s="6">
        <f>340/1000</f>
        <v>0.34</v>
      </c>
      <c r="X493" s="6">
        <f t="shared" si="318"/>
        <v>0</v>
      </c>
      <c r="Y493" s="1">
        <f t="shared" si="319"/>
        <v>0</v>
      </c>
      <c r="Z493" s="126">
        <v>0</v>
      </c>
      <c r="AA493" t="s">
        <v>205</v>
      </c>
      <c r="AB493" s="50">
        <f>AB492*0</f>
        <v>0</v>
      </c>
    </row>
    <row r="494" spans="1:28" x14ac:dyDescent="0.35">
      <c r="A494" s="35"/>
      <c r="B494" s="5"/>
      <c r="C494" s="6" t="s">
        <v>57</v>
      </c>
      <c r="D494" s="6" t="s">
        <v>6</v>
      </c>
      <c r="E494" s="28">
        <f>250/450</f>
        <v>0.55555555555555558</v>
      </c>
      <c r="F494" s="6">
        <f t="shared" si="316"/>
        <v>0</v>
      </c>
      <c r="G494" s="1">
        <f t="shared" si="320"/>
        <v>0</v>
      </c>
      <c r="H494" s="126">
        <v>0</v>
      </c>
      <c r="I494" s="228"/>
      <c r="J494" s="9"/>
      <c r="K494" s="1" t="s">
        <v>3</v>
      </c>
      <c r="L494" s="1" t="s">
        <v>382</v>
      </c>
      <c r="M494" s="57">
        <f>4660/17</f>
        <v>274.11764705882354</v>
      </c>
      <c r="N494" s="6">
        <f t="shared" si="317"/>
        <v>0</v>
      </c>
      <c r="O494" s="1">
        <f t="shared" si="321"/>
        <v>0</v>
      </c>
      <c r="P494" s="126">
        <v>0</v>
      </c>
      <c r="Q494" t="s">
        <v>428</v>
      </c>
      <c r="R494" s="48">
        <f>R493*4</f>
        <v>0</v>
      </c>
      <c r="S494" s="120"/>
      <c r="T494" s="35"/>
      <c r="U494" s="6" t="s">
        <v>3</v>
      </c>
      <c r="V494" s="6" t="s">
        <v>325</v>
      </c>
      <c r="W494" s="29">
        <f>260</f>
        <v>260</v>
      </c>
      <c r="X494" s="29">
        <f t="shared" si="318"/>
        <v>0</v>
      </c>
      <c r="Y494" s="1">
        <f t="shared" si="319"/>
        <v>0</v>
      </c>
      <c r="Z494" s="126">
        <v>0</v>
      </c>
      <c r="AA494" t="s">
        <v>430</v>
      </c>
      <c r="AB494" s="48">
        <f>AB493*5</f>
        <v>0</v>
      </c>
    </row>
    <row r="495" spans="1:28" x14ac:dyDescent="0.35">
      <c r="A495" s="35"/>
      <c r="B495" s="5"/>
      <c r="C495" s="6" t="s">
        <v>58</v>
      </c>
      <c r="D495" s="6" t="s">
        <v>319</v>
      </c>
      <c r="E495" s="29">
        <f>4660/17</f>
        <v>274.11764705882354</v>
      </c>
      <c r="F495" s="29">
        <f t="shared" si="316"/>
        <v>0</v>
      </c>
      <c r="G495" s="6">
        <f t="shared" si="320"/>
        <v>0</v>
      </c>
      <c r="H495" s="126">
        <v>0</v>
      </c>
      <c r="I495" s="228"/>
      <c r="J495" s="9"/>
      <c r="K495" s="1" t="s">
        <v>7</v>
      </c>
      <c r="L495" s="234" t="s">
        <v>316</v>
      </c>
      <c r="M495" s="57">
        <f>4730/20</f>
        <v>236.5</v>
      </c>
      <c r="N495" s="29">
        <f t="shared" si="317"/>
        <v>0</v>
      </c>
      <c r="O495" s="6">
        <f t="shared" si="321"/>
        <v>0</v>
      </c>
      <c r="P495" s="126">
        <v>0</v>
      </c>
      <c r="Q495" t="s">
        <v>1</v>
      </c>
      <c r="R495" s="45"/>
      <c r="T495" s="35"/>
      <c r="U495" s="6" t="s">
        <v>151</v>
      </c>
      <c r="V495" s="53" t="s">
        <v>53</v>
      </c>
      <c r="W495" s="28">
        <f>280/1000</f>
        <v>0.28000000000000003</v>
      </c>
      <c r="X495" s="6">
        <f t="shared" si="318"/>
        <v>0</v>
      </c>
      <c r="Y495" s="1">
        <f t="shared" si="319"/>
        <v>0</v>
      </c>
      <c r="Z495" s="126">
        <v>0</v>
      </c>
      <c r="AB495" s="45"/>
    </row>
    <row r="496" spans="1:28" x14ac:dyDescent="0.35">
      <c r="A496" s="35"/>
      <c r="B496" s="5"/>
      <c r="C496" s="6"/>
      <c r="D496" s="6"/>
      <c r="E496" s="29"/>
      <c r="F496" s="51">
        <f>SUM(F489:F495)</f>
        <v>0</v>
      </c>
      <c r="G496" s="32">
        <f t="shared" si="320"/>
        <v>0</v>
      </c>
      <c r="H496" s="33">
        <f>SUM(H489:H495)</f>
        <v>0</v>
      </c>
      <c r="I496" s="228"/>
      <c r="J496" s="35"/>
      <c r="K496" s="6"/>
      <c r="L496" s="6"/>
      <c r="M496" s="6"/>
      <c r="N496" s="51">
        <f>SUM(N489:N495)</f>
        <v>0</v>
      </c>
      <c r="O496" s="32">
        <f t="shared" si="321"/>
        <v>0</v>
      </c>
      <c r="P496" s="33">
        <f>SUM(P489:P495)</f>
        <v>0</v>
      </c>
      <c r="Q496" t="s">
        <v>68</v>
      </c>
      <c r="R496" s="45">
        <v>100</v>
      </c>
      <c r="T496" s="35"/>
      <c r="U496" s="6"/>
      <c r="V496" s="6"/>
      <c r="W496" s="6"/>
      <c r="X496" s="31">
        <f>SUM(X489:X495)</f>
        <v>0</v>
      </c>
      <c r="Y496" s="32">
        <f t="shared" si="319"/>
        <v>0</v>
      </c>
      <c r="Z496" s="33">
        <v>0</v>
      </c>
      <c r="AB496" s="45"/>
    </row>
    <row r="497" spans="1:28" x14ac:dyDescent="0.35">
      <c r="A497" s="35"/>
      <c r="B497" s="5"/>
      <c r="C497" s="5"/>
      <c r="D497" s="5"/>
      <c r="E497" s="5"/>
      <c r="F497" s="59"/>
      <c r="G497" s="5"/>
      <c r="H497" s="127"/>
      <c r="I497" s="228"/>
      <c r="J497" s="35"/>
      <c r="K497" s="5"/>
      <c r="L497" s="5"/>
      <c r="M497" s="5"/>
      <c r="N497" s="38"/>
      <c r="O497" s="5"/>
      <c r="P497" s="30"/>
      <c r="Q497" t="s">
        <v>32</v>
      </c>
      <c r="R497" s="47">
        <f>AVERAGE(P496,P497,P498,P499,P500,P501)</f>
        <v>0</v>
      </c>
      <c r="S497" s="120"/>
      <c r="T497" s="35"/>
      <c r="U497" s="5"/>
      <c r="V497" s="5"/>
      <c r="W497" s="5"/>
      <c r="X497" s="29"/>
      <c r="Y497" s="6"/>
      <c r="Z497" s="30"/>
      <c r="AB497" s="47"/>
    </row>
    <row r="498" spans="1:28" x14ac:dyDescent="0.35">
      <c r="A498" s="35"/>
      <c r="B498" s="5"/>
      <c r="C498" s="5"/>
      <c r="D498" s="5"/>
      <c r="E498" s="5"/>
      <c r="F498" s="59"/>
      <c r="G498" s="5"/>
      <c r="H498" s="127"/>
      <c r="I498" s="228"/>
      <c r="J498" s="35"/>
      <c r="K498" s="5"/>
      <c r="L498" s="5"/>
      <c r="M498" s="5"/>
      <c r="N498" s="38"/>
      <c r="O498" s="5"/>
      <c r="P498" s="30"/>
      <c r="Q498" t="s">
        <v>69</v>
      </c>
      <c r="R498" s="47">
        <f>R496-R497</f>
        <v>100</v>
      </c>
      <c r="S498" s="120"/>
      <c r="T498" s="35"/>
      <c r="U498" s="5"/>
      <c r="V498" s="5"/>
      <c r="W498" s="5"/>
      <c r="X498" s="29"/>
      <c r="Y498" s="6"/>
      <c r="Z498" s="30"/>
      <c r="AB498" s="47"/>
    </row>
    <row r="499" spans="1:28" x14ac:dyDescent="0.35">
      <c r="A499" s="35"/>
      <c r="B499" s="5"/>
      <c r="C499" s="5"/>
      <c r="D499" s="5"/>
      <c r="E499" s="5"/>
      <c r="F499" s="59"/>
      <c r="G499" s="5"/>
      <c r="H499" s="127"/>
      <c r="I499" s="228"/>
      <c r="J499" s="35"/>
      <c r="K499" s="5"/>
      <c r="L499" s="5"/>
      <c r="M499" s="5"/>
      <c r="N499" s="38"/>
      <c r="O499" s="5"/>
      <c r="P499" s="30"/>
      <c r="Q499" t="s">
        <v>136</v>
      </c>
      <c r="R499" s="50">
        <f>R498*0</f>
        <v>0</v>
      </c>
      <c r="S499" s="120"/>
      <c r="T499" s="35"/>
      <c r="U499" s="5"/>
      <c r="V499" s="5"/>
      <c r="W499" s="5"/>
      <c r="X499" s="29"/>
      <c r="Y499" s="6"/>
      <c r="Z499" s="30"/>
      <c r="AB499" s="50"/>
    </row>
    <row r="500" spans="1:28" x14ac:dyDescent="0.35">
      <c r="A500" s="35"/>
      <c r="B500" s="5"/>
      <c r="C500" s="5"/>
      <c r="D500" s="5"/>
      <c r="E500" s="5"/>
      <c r="F500" s="59"/>
      <c r="G500" s="5"/>
      <c r="H500" s="127"/>
      <c r="I500" s="228"/>
      <c r="J500" s="35"/>
      <c r="K500" s="5"/>
      <c r="L500" s="5"/>
      <c r="M500" s="5"/>
      <c r="N500" s="38"/>
      <c r="O500" s="5"/>
      <c r="P500" s="30"/>
      <c r="Q500" t="s">
        <v>428</v>
      </c>
      <c r="R500" s="48">
        <f>R499*6</f>
        <v>0</v>
      </c>
      <c r="S500" s="120"/>
      <c r="T500" s="35"/>
      <c r="U500" s="5"/>
      <c r="V500" s="5"/>
      <c r="W500" s="5"/>
      <c r="X500" s="29"/>
      <c r="Y500" s="6"/>
      <c r="Z500" s="30"/>
      <c r="AB500" s="48"/>
    </row>
    <row r="501" spans="1:28" x14ac:dyDescent="0.35">
      <c r="A501" s="35"/>
      <c r="B501" s="5"/>
      <c r="C501" s="5"/>
      <c r="D501" s="5"/>
      <c r="E501" s="5"/>
      <c r="F501" s="59"/>
      <c r="G501" s="5"/>
      <c r="H501" s="127"/>
      <c r="I501" s="228"/>
      <c r="J501" s="35"/>
      <c r="K501" s="5"/>
      <c r="L501" s="5"/>
      <c r="M501" s="5"/>
      <c r="N501" s="38"/>
      <c r="O501" s="5"/>
      <c r="P501" s="30"/>
      <c r="R501" s="48"/>
      <c r="S501" s="120"/>
      <c r="T501" s="9"/>
      <c r="U501" s="1"/>
      <c r="V501" s="1"/>
      <c r="W501" s="1"/>
      <c r="X501" s="29"/>
      <c r="Y501" s="6"/>
      <c r="Z501" s="30"/>
      <c r="AB501" s="48"/>
    </row>
    <row r="502" spans="1:28" x14ac:dyDescent="0.35">
      <c r="A502" s="35"/>
      <c r="B502" s="5"/>
      <c r="C502" s="5"/>
      <c r="D502" s="5"/>
      <c r="E502" s="5"/>
      <c r="F502" s="59"/>
      <c r="G502" s="5"/>
      <c r="H502" s="127"/>
      <c r="I502" s="228"/>
      <c r="J502" s="35"/>
      <c r="K502" s="5"/>
      <c r="L502" s="5"/>
      <c r="M502" s="5"/>
      <c r="N502" s="38"/>
      <c r="O502" s="1"/>
      <c r="P502" s="30"/>
      <c r="Q502">
        <f>80/6</f>
        <v>13.333333333333334</v>
      </c>
      <c r="R502" s="48"/>
      <c r="S502" s="120"/>
      <c r="T502" s="35"/>
      <c r="U502" s="5"/>
      <c r="V502" s="5"/>
      <c r="W502" s="5"/>
      <c r="X502" s="29"/>
      <c r="Y502" s="6"/>
      <c r="Z502" s="30"/>
      <c r="AB502" s="48"/>
    </row>
    <row r="503" spans="1:28" x14ac:dyDescent="0.35">
      <c r="A503" s="35"/>
      <c r="B503" s="5"/>
      <c r="C503" s="5"/>
      <c r="D503" s="5"/>
      <c r="E503" s="5"/>
      <c r="F503" s="59"/>
      <c r="G503" s="5"/>
      <c r="H503" s="127"/>
      <c r="I503" s="228"/>
      <c r="J503" s="35"/>
      <c r="K503" s="5"/>
      <c r="L503" s="5"/>
      <c r="M503" s="5"/>
      <c r="N503" s="38"/>
      <c r="O503" s="1"/>
      <c r="P503" s="30"/>
      <c r="R503" s="48"/>
      <c r="S503" s="120"/>
      <c r="T503" s="35"/>
      <c r="U503" s="5"/>
      <c r="V503" s="5"/>
      <c r="W503" s="5"/>
      <c r="X503" s="29"/>
      <c r="Y503" s="6"/>
      <c r="Z503" s="30"/>
      <c r="AB503" s="48"/>
    </row>
    <row r="504" spans="1:28" x14ac:dyDescent="0.35">
      <c r="A504" s="35"/>
      <c r="B504" s="5"/>
      <c r="C504" s="5"/>
      <c r="D504" s="5"/>
      <c r="E504" s="5"/>
      <c r="F504" s="59"/>
      <c r="G504" s="5"/>
      <c r="H504" s="37"/>
      <c r="I504" s="228"/>
      <c r="J504" s="35"/>
      <c r="K504" s="5"/>
      <c r="L504" s="5"/>
      <c r="M504" s="5"/>
      <c r="N504" s="38"/>
      <c r="O504" s="1"/>
      <c r="P504" s="30"/>
      <c r="R504" s="48"/>
      <c r="S504" s="120"/>
      <c r="T504" s="35"/>
      <c r="U504" s="5"/>
      <c r="V504" s="5"/>
      <c r="W504" s="5"/>
      <c r="X504" s="29"/>
      <c r="Y504" s="6"/>
      <c r="Z504" s="30"/>
      <c r="AB504" s="48"/>
    </row>
    <row r="505" spans="1:28" x14ac:dyDescent="0.35">
      <c r="A505" s="35"/>
      <c r="B505" s="5"/>
      <c r="C505" s="5"/>
      <c r="D505" s="5"/>
      <c r="E505" s="5"/>
      <c r="F505" s="59"/>
      <c r="G505" s="5"/>
      <c r="H505" s="37"/>
      <c r="I505" s="228"/>
      <c r="J505" s="35"/>
      <c r="K505" s="5"/>
      <c r="L505" s="5"/>
      <c r="M505" s="5"/>
      <c r="N505" s="38"/>
      <c r="O505" s="1"/>
      <c r="P505" s="30"/>
      <c r="R505" s="48"/>
      <c r="S505" s="120"/>
      <c r="T505" s="35"/>
      <c r="U505" s="5"/>
      <c r="V505" s="5"/>
      <c r="W505" s="5"/>
      <c r="X505" s="29"/>
      <c r="Y505" s="6"/>
      <c r="Z505" s="30"/>
      <c r="AB505" s="48"/>
    </row>
    <row r="506" spans="1:28" x14ac:dyDescent="0.35">
      <c r="A506" s="35"/>
      <c r="B506" s="5"/>
      <c r="C506" s="5"/>
      <c r="D506" s="5"/>
      <c r="E506" s="5"/>
      <c r="F506" s="59"/>
      <c r="G506" s="5"/>
      <c r="H506" s="37"/>
      <c r="I506" s="228"/>
      <c r="J506" s="9"/>
      <c r="K506" s="1"/>
      <c r="L506" s="1"/>
      <c r="M506" s="1"/>
      <c r="N506" s="57"/>
      <c r="O506" s="1"/>
      <c r="P506" s="126"/>
      <c r="R506" s="48"/>
      <c r="S506" s="120"/>
      <c r="T506" s="35"/>
      <c r="U506" s="5"/>
      <c r="V506" s="5"/>
      <c r="W506" s="5"/>
      <c r="X506" s="29"/>
      <c r="Y506" s="6"/>
      <c r="Z506" s="30"/>
      <c r="AB506" s="48"/>
    </row>
    <row r="507" spans="1:28" x14ac:dyDescent="0.35">
      <c r="A507" s="35"/>
      <c r="B507" s="5"/>
      <c r="C507" s="5"/>
      <c r="D507" s="5"/>
      <c r="E507" s="5"/>
      <c r="F507" s="59"/>
      <c r="G507" s="5"/>
      <c r="H507" s="37"/>
      <c r="I507" s="228"/>
      <c r="J507" s="9"/>
      <c r="K507" s="1"/>
      <c r="L507" s="1"/>
      <c r="M507" s="1"/>
      <c r="N507" s="57"/>
      <c r="O507" s="1"/>
      <c r="P507" s="126"/>
      <c r="R507" s="48"/>
      <c r="S507" s="120"/>
      <c r="T507" s="35"/>
      <c r="U507" s="5"/>
      <c r="V507" s="5"/>
      <c r="W507" s="5"/>
      <c r="X507" s="29"/>
      <c r="Y507" s="6"/>
      <c r="Z507" s="30"/>
      <c r="AB507" s="48"/>
    </row>
    <row r="508" spans="1:28" x14ac:dyDescent="0.35">
      <c r="A508" s="35"/>
      <c r="B508" s="5"/>
      <c r="C508" s="5"/>
      <c r="D508" s="5"/>
      <c r="E508" s="5"/>
      <c r="F508" s="59"/>
      <c r="G508" s="5"/>
      <c r="H508" s="37"/>
      <c r="I508" s="228"/>
      <c r="J508" s="9"/>
      <c r="K508" s="1"/>
      <c r="L508" s="1"/>
      <c r="M508" s="1"/>
      <c r="N508" s="57"/>
      <c r="O508" s="1"/>
      <c r="P508" s="126"/>
      <c r="R508" s="48"/>
      <c r="S508" s="120"/>
      <c r="T508" s="35"/>
      <c r="U508" s="5"/>
      <c r="V508" s="5"/>
      <c r="W508" s="5"/>
      <c r="X508" s="29"/>
      <c r="Y508" s="6"/>
      <c r="Z508" s="30"/>
      <c r="AB508" s="48"/>
    </row>
    <row r="509" spans="1:28" x14ac:dyDescent="0.35">
      <c r="A509" s="35"/>
      <c r="B509" s="5"/>
      <c r="C509" s="5"/>
      <c r="D509" s="5"/>
      <c r="E509" s="5"/>
      <c r="F509" s="59"/>
      <c r="G509" s="5"/>
      <c r="H509" s="37"/>
      <c r="I509" s="228"/>
      <c r="J509" s="9"/>
      <c r="K509" s="1"/>
      <c r="L509" s="1"/>
      <c r="M509" s="1"/>
      <c r="N509" s="57"/>
      <c r="O509" s="1"/>
      <c r="P509" s="126"/>
      <c r="R509" s="48"/>
      <c r="S509" s="120"/>
      <c r="T509" s="35"/>
      <c r="U509" s="5"/>
      <c r="V509" s="5"/>
      <c r="W509" s="5"/>
      <c r="X509" s="29"/>
      <c r="Y509" s="6"/>
      <c r="Z509" s="30"/>
      <c r="AB509" s="48"/>
    </row>
    <row r="510" spans="1:28" ht="15" thickBot="1" x14ac:dyDescent="0.4">
      <c r="A510" s="11"/>
      <c r="B510" s="12"/>
      <c r="C510" s="12"/>
      <c r="D510" s="12"/>
      <c r="E510" s="12"/>
      <c r="F510" s="114">
        <f>SUM(F496:F504)</f>
        <v>0</v>
      </c>
      <c r="G510" s="114">
        <f>SUM(G496:G504)</f>
        <v>0</v>
      </c>
      <c r="H510" s="13"/>
      <c r="I510" s="229"/>
      <c r="J510" s="222"/>
      <c r="K510" s="207"/>
      <c r="L510" s="207"/>
      <c r="M510" s="207"/>
      <c r="N510" s="223">
        <f>SUM(N496:N504)</f>
        <v>0</v>
      </c>
      <c r="O510" s="115">
        <f>SUM(O496:O509)</f>
        <v>0</v>
      </c>
      <c r="P510" s="224"/>
      <c r="Q510" s="46" t="s">
        <v>71</v>
      </c>
      <c r="R510" s="52">
        <f>R494+R500</f>
        <v>0</v>
      </c>
      <c r="S510" s="121"/>
      <c r="T510" s="11"/>
      <c r="U510" s="12"/>
      <c r="V510" s="12"/>
      <c r="W510" s="12"/>
      <c r="X510" s="77">
        <f>SUM(X496:X501)</f>
        <v>0</v>
      </c>
      <c r="Y510" s="115">
        <f>SUM(Y496:Y509)</f>
        <v>0</v>
      </c>
      <c r="Z510" s="13"/>
      <c r="AA510" s="46"/>
      <c r="AB510" s="52"/>
    </row>
    <row r="511" spans="1:28" x14ac:dyDescent="0.35">
      <c r="A511" s="39" t="s">
        <v>515</v>
      </c>
      <c r="B511" s="40" t="s">
        <v>43</v>
      </c>
      <c r="C511" s="41" t="s">
        <v>2</v>
      </c>
      <c r="D511" s="41" t="s">
        <v>86</v>
      </c>
      <c r="E511" s="41">
        <f>3650/50</f>
        <v>73</v>
      </c>
      <c r="F511" s="41">
        <f>E511*36</f>
        <v>2628</v>
      </c>
      <c r="G511" s="41">
        <v>132</v>
      </c>
      <c r="H511" s="113">
        <f>F511/G511</f>
        <v>19.90909090909091</v>
      </c>
      <c r="I511" s="147"/>
      <c r="J511" s="80" t="s">
        <v>43</v>
      </c>
      <c r="K511" s="41" t="s">
        <v>2</v>
      </c>
      <c r="L511" s="41" t="s">
        <v>49</v>
      </c>
      <c r="M511" s="41">
        <f>3650/50</f>
        <v>73</v>
      </c>
      <c r="N511" s="41">
        <f>M511*50</f>
        <v>3650</v>
      </c>
      <c r="O511" s="41">
        <v>102</v>
      </c>
      <c r="P511" s="113">
        <f>N511/O511</f>
        <v>35.784313725490193</v>
      </c>
      <c r="Q511" s="43" t="s">
        <v>0</v>
      </c>
      <c r="R511" s="44"/>
      <c r="S511" s="119"/>
      <c r="T511" s="39" t="s">
        <v>43</v>
      </c>
      <c r="U511" s="41" t="s">
        <v>2</v>
      </c>
      <c r="V511" s="41" t="s">
        <v>317</v>
      </c>
      <c r="W511" s="139">
        <f>3600/50</f>
        <v>72</v>
      </c>
      <c r="X511" s="41">
        <f>W511*26</f>
        <v>1872</v>
      </c>
      <c r="Y511" s="41">
        <v>102</v>
      </c>
      <c r="Z511" s="113">
        <f t="shared" ref="Z511:Z524" si="322">X511/Y511</f>
        <v>18.352941176470587</v>
      </c>
      <c r="AA511" s="43" t="s">
        <v>196</v>
      </c>
      <c r="AB511" s="44"/>
    </row>
    <row r="512" spans="1:28" x14ac:dyDescent="0.35">
      <c r="A512" s="35"/>
      <c r="B512" s="5"/>
      <c r="C512" s="6" t="s">
        <v>4</v>
      </c>
      <c r="D512" s="6" t="s">
        <v>485</v>
      </c>
      <c r="E512" s="6">
        <f>7200/50</f>
        <v>144</v>
      </c>
      <c r="F512" s="6">
        <f>E512*4.8</f>
        <v>691.19999999999993</v>
      </c>
      <c r="G512" s="1">
        <f>G511</f>
        <v>132</v>
      </c>
      <c r="H512" s="126">
        <f t="shared" ref="H512:H517" si="323">F512/G512</f>
        <v>5.2363636363636354</v>
      </c>
      <c r="I512" s="146"/>
      <c r="J512" s="9"/>
      <c r="K512" s="1" t="s">
        <v>4</v>
      </c>
      <c r="L512" s="1" t="s">
        <v>50</v>
      </c>
      <c r="M512" s="1">
        <f>7200/50</f>
        <v>144</v>
      </c>
      <c r="N512" s="57">
        <f>M512*4.5</f>
        <v>648</v>
      </c>
      <c r="O512" s="1">
        <f t="shared" ref="O512:O518" si="324">O511</f>
        <v>102</v>
      </c>
      <c r="P512" s="126">
        <f t="shared" ref="P512:P518" si="325">N512/O512</f>
        <v>6.3529411764705879</v>
      </c>
      <c r="Q512" t="s">
        <v>68</v>
      </c>
      <c r="R512" s="45">
        <v>60</v>
      </c>
      <c r="T512" s="35"/>
      <c r="U512" s="6" t="s">
        <v>4</v>
      </c>
      <c r="V512" s="6" t="s">
        <v>324</v>
      </c>
      <c r="W512" s="28">
        <f>7200/50</f>
        <v>144</v>
      </c>
      <c r="X512" s="29">
        <f>W512*3.8</f>
        <v>547.19999999999993</v>
      </c>
      <c r="Y512" s="1">
        <f t="shared" ref="Y512:Y518" si="326">Y511</f>
        <v>102</v>
      </c>
      <c r="Z512" s="126">
        <f t="shared" si="322"/>
        <v>5.3647058823529408</v>
      </c>
      <c r="AA512" t="s">
        <v>68</v>
      </c>
      <c r="AB512" s="45">
        <v>50</v>
      </c>
    </row>
    <row r="513" spans="1:28" x14ac:dyDescent="0.35">
      <c r="A513" s="35"/>
      <c r="B513" s="5"/>
      <c r="C513" s="6" t="s">
        <v>54</v>
      </c>
      <c r="D513" s="6" t="s">
        <v>419</v>
      </c>
      <c r="E513" s="28">
        <f>600/1000</f>
        <v>0.6</v>
      </c>
      <c r="F513" s="6">
        <f>E513*60</f>
        <v>36</v>
      </c>
      <c r="G513" s="1">
        <f t="shared" ref="G513:G518" si="327">G512</f>
        <v>132</v>
      </c>
      <c r="H513" s="126">
        <f t="shared" si="323"/>
        <v>0.27272727272727271</v>
      </c>
      <c r="I513" s="146"/>
      <c r="J513" s="9"/>
      <c r="K513" s="1" t="s">
        <v>5</v>
      </c>
      <c r="L513" s="1" t="s">
        <v>421</v>
      </c>
      <c r="M513" s="233">
        <f>400/450</f>
        <v>0.88888888888888884</v>
      </c>
      <c r="N513" s="57">
        <f>M513*160</f>
        <v>142.22222222222223</v>
      </c>
      <c r="O513" s="1">
        <f t="shared" si="324"/>
        <v>102</v>
      </c>
      <c r="P513" s="126">
        <f t="shared" si="325"/>
        <v>1.3943355119825709</v>
      </c>
      <c r="Q513" t="s">
        <v>32</v>
      </c>
      <c r="R513" s="47">
        <f>H518</f>
        <v>32.304397900574372</v>
      </c>
      <c r="S513" s="120"/>
      <c r="T513" s="35"/>
      <c r="U513" s="6" t="s">
        <v>5</v>
      </c>
      <c r="V513" s="6" t="s">
        <v>420</v>
      </c>
      <c r="W513" s="28">
        <f>255/450</f>
        <v>0.56666666666666665</v>
      </c>
      <c r="X513" s="29">
        <f>W513*190</f>
        <v>107.66666666666666</v>
      </c>
      <c r="Y513" s="1">
        <f t="shared" si="326"/>
        <v>102</v>
      </c>
      <c r="Z513" s="126">
        <f t="shared" si="322"/>
        <v>1.0555555555555554</v>
      </c>
      <c r="AA513" t="s">
        <v>32</v>
      </c>
      <c r="AB513" s="47">
        <f>Z518</f>
        <v>31.037320261437905</v>
      </c>
    </row>
    <row r="514" spans="1:28" x14ac:dyDescent="0.35">
      <c r="A514" s="35"/>
      <c r="B514" s="5"/>
      <c r="C514" s="6" t="s">
        <v>55</v>
      </c>
      <c r="D514" s="6" t="s">
        <v>318</v>
      </c>
      <c r="E514" s="28">
        <f>35.5/1000</f>
        <v>3.5499999999999997E-2</v>
      </c>
      <c r="F514" s="6">
        <f>E514*280</f>
        <v>9.94</v>
      </c>
      <c r="G514" s="1">
        <f t="shared" si="327"/>
        <v>132</v>
      </c>
      <c r="H514" s="126">
        <f t="shared" si="323"/>
        <v>7.5303030303030302E-2</v>
      </c>
      <c r="I514" s="146"/>
      <c r="J514" s="9"/>
      <c r="K514" s="1" t="s">
        <v>51</v>
      </c>
      <c r="L514" s="1" t="s">
        <v>52</v>
      </c>
      <c r="M514" s="232">
        <f>35.5/1000</f>
        <v>3.5499999999999997E-2</v>
      </c>
      <c r="N514" s="1">
        <f>M514*300</f>
        <v>10.649999999999999</v>
      </c>
      <c r="O514" s="1">
        <f t="shared" si="324"/>
        <v>102</v>
      </c>
      <c r="P514" s="126">
        <f t="shared" si="325"/>
        <v>0.10441176470588234</v>
      </c>
      <c r="Q514" t="s">
        <v>62</v>
      </c>
      <c r="R514" s="47">
        <f>R512-R513</f>
        <v>27.695602099425628</v>
      </c>
      <c r="S514" s="120"/>
      <c r="T514" s="35"/>
      <c r="U514" s="6" t="s">
        <v>51</v>
      </c>
      <c r="V514" s="6" t="s">
        <v>318</v>
      </c>
      <c r="W514" s="205">
        <f>35.5/1000</f>
        <v>3.5499999999999997E-2</v>
      </c>
      <c r="X514" s="6">
        <f>W514*280</f>
        <v>9.94</v>
      </c>
      <c r="Y514" s="1">
        <f t="shared" si="326"/>
        <v>102</v>
      </c>
      <c r="Z514" s="126">
        <f t="shared" si="322"/>
        <v>9.7450980392156855E-2</v>
      </c>
      <c r="AA514" t="s">
        <v>69</v>
      </c>
      <c r="AB514" s="47">
        <f>AB512-AB513</f>
        <v>18.962679738562095</v>
      </c>
    </row>
    <row r="515" spans="1:28" x14ac:dyDescent="0.35">
      <c r="A515" s="35"/>
      <c r="B515" s="5"/>
      <c r="C515" s="6" t="s">
        <v>56</v>
      </c>
      <c r="D515" s="6" t="s">
        <v>419</v>
      </c>
      <c r="E515" s="6">
        <f>340/1000</f>
        <v>0.34</v>
      </c>
      <c r="F515" s="6">
        <f>E515*60</f>
        <v>20.400000000000002</v>
      </c>
      <c r="G515" s="1">
        <f t="shared" si="327"/>
        <v>132</v>
      </c>
      <c r="H515" s="126">
        <f t="shared" si="323"/>
        <v>0.15454545454545457</v>
      </c>
      <c r="I515" s="146"/>
      <c r="J515" s="9"/>
      <c r="K515" s="1" t="s">
        <v>26</v>
      </c>
      <c r="L515" s="1" t="s">
        <v>419</v>
      </c>
      <c r="M515" s="1">
        <f>340/1000</f>
        <v>0.34</v>
      </c>
      <c r="N515" s="1">
        <f>M515*60</f>
        <v>20.400000000000002</v>
      </c>
      <c r="O515" s="1">
        <f t="shared" si="324"/>
        <v>102</v>
      </c>
      <c r="P515" s="126">
        <f t="shared" si="325"/>
        <v>0.2</v>
      </c>
      <c r="Q515" t="s">
        <v>72</v>
      </c>
      <c r="R515" s="50">
        <f>G518*R514</f>
        <v>3655.8194771241829</v>
      </c>
      <c r="S515" s="120"/>
      <c r="T515" s="35"/>
      <c r="U515" s="6" t="s">
        <v>26</v>
      </c>
      <c r="V515" s="6" t="s">
        <v>53</v>
      </c>
      <c r="W515" s="6">
        <f>340/1000</f>
        <v>0.34</v>
      </c>
      <c r="X515" s="6">
        <f>W515*50</f>
        <v>17</v>
      </c>
      <c r="Y515" s="1">
        <f t="shared" si="326"/>
        <v>102</v>
      </c>
      <c r="Z515" s="126">
        <f t="shared" si="322"/>
        <v>0.16666666666666666</v>
      </c>
      <c r="AA515" t="s">
        <v>205</v>
      </c>
      <c r="AB515" s="50">
        <f>AB514*102</f>
        <v>1934.1933333333336</v>
      </c>
    </row>
    <row r="516" spans="1:28" x14ac:dyDescent="0.35">
      <c r="A516" s="35"/>
      <c r="B516" s="5"/>
      <c r="C516" s="6" t="s">
        <v>57</v>
      </c>
      <c r="D516" s="6" t="s">
        <v>6</v>
      </c>
      <c r="E516" s="28">
        <f>250/450</f>
        <v>0.55555555555555558</v>
      </c>
      <c r="F516" s="28">
        <f>E516*200</f>
        <v>111.11111111111111</v>
      </c>
      <c r="G516" s="1">
        <f t="shared" si="327"/>
        <v>132</v>
      </c>
      <c r="H516" s="126">
        <f t="shared" si="323"/>
        <v>0.84175084175084181</v>
      </c>
      <c r="I516" s="146"/>
      <c r="J516" s="9"/>
      <c r="K516" s="1" t="s">
        <v>3</v>
      </c>
      <c r="L516" s="1" t="s">
        <v>382</v>
      </c>
      <c r="M516" s="57">
        <f>4660/17</f>
        <v>274.11764705882354</v>
      </c>
      <c r="N516" s="57">
        <f>M516*1.5</f>
        <v>411.1764705882353</v>
      </c>
      <c r="O516" s="1">
        <f t="shared" si="324"/>
        <v>102</v>
      </c>
      <c r="P516" s="126">
        <f t="shared" si="325"/>
        <v>4.031141868512111</v>
      </c>
      <c r="Q516" t="s">
        <v>424</v>
      </c>
      <c r="R516" s="48">
        <f>R515*4</f>
        <v>14623.277908496731</v>
      </c>
      <c r="S516" s="120"/>
      <c r="T516" s="35"/>
      <c r="U516" s="6" t="s">
        <v>3</v>
      </c>
      <c r="V516" s="6" t="s">
        <v>325</v>
      </c>
      <c r="W516" s="29">
        <f>260</f>
        <v>260</v>
      </c>
      <c r="X516" s="29">
        <f>W516*2.3</f>
        <v>598</v>
      </c>
      <c r="Y516" s="1">
        <f t="shared" si="326"/>
        <v>102</v>
      </c>
      <c r="Z516" s="126">
        <f t="shared" si="322"/>
        <v>5.8627450980392153</v>
      </c>
      <c r="AA516" t="s">
        <v>516</v>
      </c>
      <c r="AB516" s="48">
        <f>AB515*9</f>
        <v>17407.740000000002</v>
      </c>
    </row>
    <row r="517" spans="1:28" x14ac:dyDescent="0.35">
      <c r="A517" s="35"/>
      <c r="B517" s="5"/>
      <c r="C517" s="6" t="s">
        <v>58</v>
      </c>
      <c r="D517" s="6" t="s">
        <v>319</v>
      </c>
      <c r="E517" s="29">
        <f>4660/17</f>
        <v>274.11764705882354</v>
      </c>
      <c r="F517" s="29">
        <f>E517*2.8</f>
        <v>767.52941176470586</v>
      </c>
      <c r="G517" s="6">
        <f t="shared" si="327"/>
        <v>132</v>
      </c>
      <c r="H517" s="126">
        <f t="shared" si="323"/>
        <v>5.8146167557932262</v>
      </c>
      <c r="I517" s="146"/>
      <c r="J517" s="9"/>
      <c r="K517" s="1" t="s">
        <v>7</v>
      </c>
      <c r="L517" s="234" t="s">
        <v>496</v>
      </c>
      <c r="M517" s="57">
        <f>4730/20</f>
        <v>236.5</v>
      </c>
      <c r="N517" s="57">
        <f>M517*15</f>
        <v>3547.5</v>
      </c>
      <c r="O517" s="1">
        <f t="shared" si="324"/>
        <v>102</v>
      </c>
      <c r="P517" s="126">
        <f t="shared" si="325"/>
        <v>34.779411764705884</v>
      </c>
      <c r="Q517" t="s">
        <v>1</v>
      </c>
      <c r="R517" s="45"/>
      <c r="T517" s="35"/>
      <c r="U517" s="6" t="s">
        <v>151</v>
      </c>
      <c r="V517" s="53" t="s">
        <v>53</v>
      </c>
      <c r="W517" s="28">
        <f>280/1000</f>
        <v>0.28000000000000003</v>
      </c>
      <c r="X517" s="6">
        <f>W517*50</f>
        <v>14.000000000000002</v>
      </c>
      <c r="Y517" s="1">
        <f t="shared" si="326"/>
        <v>102</v>
      </c>
      <c r="Z517" s="126">
        <f t="shared" si="322"/>
        <v>0.13725490196078433</v>
      </c>
      <c r="AB517" s="45"/>
    </row>
    <row r="518" spans="1:28" x14ac:dyDescent="0.35">
      <c r="A518" s="35"/>
      <c r="B518" s="5"/>
      <c r="C518" s="6"/>
      <c r="D518" s="6"/>
      <c r="E518" s="29"/>
      <c r="F518" s="51">
        <f>SUM(F511:F517)</f>
        <v>4264.1805228758167</v>
      </c>
      <c r="G518" s="32">
        <f t="shared" si="327"/>
        <v>132</v>
      </c>
      <c r="H518" s="33">
        <f>SUM(H511:H517)</f>
        <v>32.304397900574372</v>
      </c>
      <c r="I518" s="146"/>
      <c r="J518" s="35"/>
      <c r="K518" s="6"/>
      <c r="L518" s="6"/>
      <c r="M518" s="6"/>
      <c r="N518" s="235">
        <f>SUM(N511:N517)</f>
        <v>8429.9486928104561</v>
      </c>
      <c r="O518" s="32">
        <f t="shared" si="324"/>
        <v>102</v>
      </c>
      <c r="P518" s="236">
        <f t="shared" si="325"/>
        <v>82.646555811867216</v>
      </c>
      <c r="Q518" t="s">
        <v>68</v>
      </c>
      <c r="R518" s="45">
        <v>100</v>
      </c>
      <c r="T518" s="35"/>
      <c r="U518" s="6"/>
      <c r="V518" s="6"/>
      <c r="W518" s="6"/>
      <c r="X518" s="31">
        <f>SUM(X511:X517)</f>
        <v>3165.8066666666664</v>
      </c>
      <c r="Y518" s="32">
        <f t="shared" si="326"/>
        <v>102</v>
      </c>
      <c r="Z518" s="33">
        <f t="shared" si="322"/>
        <v>31.037320261437905</v>
      </c>
      <c r="AB518" s="45"/>
    </row>
    <row r="519" spans="1:28" x14ac:dyDescent="0.35">
      <c r="A519" s="35"/>
      <c r="B519" s="5" t="s">
        <v>44</v>
      </c>
      <c r="C519" s="5" t="s">
        <v>70</v>
      </c>
      <c r="D519" s="5" t="s">
        <v>70</v>
      </c>
      <c r="E519" s="5"/>
      <c r="F519" s="59">
        <f t="shared" ref="F519:F521" si="328">F518</f>
        <v>4264.1805228758167</v>
      </c>
      <c r="G519" s="5">
        <v>132</v>
      </c>
      <c r="H519" s="127">
        <f>F519/G519</f>
        <v>32.304397900574372</v>
      </c>
      <c r="I519" s="146"/>
      <c r="J519" s="35" t="s">
        <v>44</v>
      </c>
      <c r="K519" s="5" t="s">
        <v>70</v>
      </c>
      <c r="L519" s="5" t="s">
        <v>70</v>
      </c>
      <c r="M519" s="5" t="s">
        <v>70</v>
      </c>
      <c r="N519" s="38">
        <f>N518</f>
        <v>8429.9486928104561</v>
      </c>
      <c r="O519" s="5">
        <v>102</v>
      </c>
      <c r="P519" s="30">
        <f>N519/O519</f>
        <v>82.646555811867216</v>
      </c>
      <c r="Q519" t="s">
        <v>32</v>
      </c>
      <c r="R519" s="47">
        <f>AVERAGE(P518,P519,P520,P521,P522,P523,P524)</f>
        <v>82.997248410786028</v>
      </c>
      <c r="S519" s="120"/>
      <c r="T519" s="35" t="s">
        <v>44</v>
      </c>
      <c r="U519" s="5"/>
      <c r="V519" s="5"/>
      <c r="W519" s="5"/>
      <c r="X519" s="29">
        <f>X518</f>
        <v>3165.8066666666664</v>
      </c>
      <c r="Y519" s="6">
        <v>102</v>
      </c>
      <c r="Z519" s="30">
        <f t="shared" si="322"/>
        <v>31.037320261437905</v>
      </c>
      <c r="AB519" s="47"/>
    </row>
    <row r="520" spans="1:28" x14ac:dyDescent="0.35">
      <c r="A520" s="35"/>
      <c r="B520" s="5" t="s">
        <v>45</v>
      </c>
      <c r="C520" s="5" t="s">
        <v>70</v>
      </c>
      <c r="D520" s="5" t="s">
        <v>70</v>
      </c>
      <c r="E520" s="5"/>
      <c r="F520" s="59">
        <f t="shared" si="328"/>
        <v>4264.1805228758167</v>
      </c>
      <c r="G520" s="5">
        <v>132</v>
      </c>
      <c r="H520" s="127">
        <f t="shared" ref="H520:H521" si="329">F520/G520</f>
        <v>32.304397900574372</v>
      </c>
      <c r="I520" s="146"/>
      <c r="J520" s="35" t="s">
        <v>45</v>
      </c>
      <c r="K520" s="5" t="s">
        <v>70</v>
      </c>
      <c r="L520" s="5" t="s">
        <v>70</v>
      </c>
      <c r="M520" s="5" t="s">
        <v>70</v>
      </c>
      <c r="N520" s="38">
        <f t="shared" ref="N520:N526" si="330">N519</f>
        <v>8429.9486928104561</v>
      </c>
      <c r="O520" s="5">
        <v>102</v>
      </c>
      <c r="P520" s="30">
        <f t="shared" ref="P520:P525" si="331">N520/O520</f>
        <v>82.646555811867216</v>
      </c>
      <c r="Q520" t="s">
        <v>69</v>
      </c>
      <c r="R520" s="47">
        <f>R518-R519</f>
        <v>17.002751589213972</v>
      </c>
      <c r="S520" s="120"/>
      <c r="T520" s="35" t="s">
        <v>45</v>
      </c>
      <c r="U520" s="5"/>
      <c r="V520" s="5"/>
      <c r="W520" s="5"/>
      <c r="X520" s="29">
        <f>X519</f>
        <v>3165.8066666666664</v>
      </c>
      <c r="Y520" s="6">
        <v>102</v>
      </c>
      <c r="Z520" s="30">
        <f t="shared" si="322"/>
        <v>31.037320261437905</v>
      </c>
      <c r="AB520" s="47"/>
    </row>
    <row r="521" spans="1:28" x14ac:dyDescent="0.35">
      <c r="A521" s="35"/>
      <c r="B521" s="5" t="s">
        <v>67</v>
      </c>
      <c r="C521" s="5" t="s">
        <v>70</v>
      </c>
      <c r="D521" s="5" t="s">
        <v>70</v>
      </c>
      <c r="E521" s="5"/>
      <c r="F521" s="59">
        <f t="shared" si="328"/>
        <v>4264.1805228758167</v>
      </c>
      <c r="G521" s="5">
        <v>132</v>
      </c>
      <c r="H521" s="127">
        <f t="shared" si="329"/>
        <v>32.304397900574372</v>
      </c>
      <c r="I521" s="146"/>
      <c r="J521" s="35" t="s">
        <v>67</v>
      </c>
      <c r="K521" s="5" t="s">
        <v>70</v>
      </c>
      <c r="L521" s="5" t="s">
        <v>70</v>
      </c>
      <c r="M521" s="5" t="s">
        <v>70</v>
      </c>
      <c r="N521" s="38">
        <f t="shared" si="330"/>
        <v>8429.9486928104561</v>
      </c>
      <c r="O521" s="5">
        <v>102</v>
      </c>
      <c r="P521" s="30">
        <f t="shared" si="331"/>
        <v>82.646555811867216</v>
      </c>
      <c r="Q521" t="s">
        <v>136</v>
      </c>
      <c r="R521" s="50">
        <f>R520*101</f>
        <v>1717.277910510611</v>
      </c>
      <c r="S521" s="120"/>
      <c r="T521" s="35" t="s">
        <v>67</v>
      </c>
      <c r="U521" s="5"/>
      <c r="V521" s="5"/>
      <c r="W521" s="5"/>
      <c r="X521" s="29">
        <f>X520</f>
        <v>3165.8066666666664</v>
      </c>
      <c r="Y521" s="6">
        <v>102</v>
      </c>
      <c r="Z521" s="30">
        <f t="shared" si="322"/>
        <v>31.037320261437905</v>
      </c>
      <c r="AB521" s="50"/>
    </row>
    <row r="522" spans="1:28" x14ac:dyDescent="0.35">
      <c r="A522" s="35"/>
      <c r="B522" s="5"/>
      <c r="C522" s="5"/>
      <c r="D522" s="5"/>
      <c r="E522" s="5"/>
      <c r="F522" s="59"/>
      <c r="G522" s="5"/>
      <c r="H522" s="127"/>
      <c r="I522" s="146"/>
      <c r="J522" s="35" t="s">
        <v>133</v>
      </c>
      <c r="K522" s="5"/>
      <c r="L522" s="5"/>
      <c r="M522" s="5"/>
      <c r="N522" s="38">
        <f t="shared" si="330"/>
        <v>8429.9486928104561</v>
      </c>
      <c r="O522" s="5">
        <v>101</v>
      </c>
      <c r="P522" s="30">
        <f t="shared" si="331"/>
        <v>83.464838542677782</v>
      </c>
      <c r="Q522" t="s">
        <v>433</v>
      </c>
      <c r="R522" s="48">
        <f>R521*8</f>
        <v>13738.223284084888</v>
      </c>
      <c r="S522" s="120"/>
      <c r="T522" s="35" t="s">
        <v>133</v>
      </c>
      <c r="U522" s="5"/>
      <c r="V522" s="5"/>
      <c r="W522" s="5"/>
      <c r="X522" s="29">
        <f>X521</f>
        <v>3165.8066666666664</v>
      </c>
      <c r="Y522" s="6">
        <v>102</v>
      </c>
      <c r="Z522" s="30">
        <f t="shared" si="322"/>
        <v>31.037320261437905</v>
      </c>
      <c r="AB522" s="48"/>
    </row>
    <row r="523" spans="1:28" x14ac:dyDescent="0.35">
      <c r="A523" s="35"/>
      <c r="B523" s="5"/>
      <c r="C523" s="5"/>
      <c r="D523" s="5"/>
      <c r="E523" s="5"/>
      <c r="F523" s="59"/>
      <c r="G523" s="5"/>
      <c r="H523" s="127"/>
      <c r="I523" s="146"/>
      <c r="J523" s="35" t="s">
        <v>134</v>
      </c>
      <c r="K523" s="5"/>
      <c r="L523" s="5"/>
      <c r="M523" s="5"/>
      <c r="N523" s="38">
        <f t="shared" si="330"/>
        <v>8429.9486928104561</v>
      </c>
      <c r="O523" s="5">
        <v>101</v>
      </c>
      <c r="P523" s="30">
        <f t="shared" si="331"/>
        <v>83.464838542677782</v>
      </c>
      <c r="R523" s="48"/>
      <c r="S523" s="120"/>
      <c r="T523" s="35" t="s">
        <v>134</v>
      </c>
      <c r="U523" s="5"/>
      <c r="V523" s="5"/>
      <c r="W523" s="5"/>
      <c r="X523" s="29">
        <f t="shared" ref="X523:X526" si="332">X522</f>
        <v>3165.8066666666664</v>
      </c>
      <c r="Y523" s="6">
        <v>102</v>
      </c>
      <c r="Z523" s="30">
        <f t="shared" si="322"/>
        <v>31.037320261437905</v>
      </c>
      <c r="AB523" s="48"/>
    </row>
    <row r="524" spans="1:28" x14ac:dyDescent="0.35">
      <c r="A524" s="35"/>
      <c r="B524" s="5"/>
      <c r="C524" s="5"/>
      <c r="D524" s="5"/>
      <c r="E524" s="5"/>
      <c r="F524" s="59"/>
      <c r="G524" s="5"/>
      <c r="H524" s="127"/>
      <c r="I524" s="146"/>
      <c r="J524" s="35" t="s">
        <v>252</v>
      </c>
      <c r="K524" s="5" t="s">
        <v>70</v>
      </c>
      <c r="L524" s="5" t="s">
        <v>70</v>
      </c>
      <c r="M524" s="5" t="s">
        <v>70</v>
      </c>
      <c r="N524" s="38">
        <f t="shared" si="330"/>
        <v>8429.9486928104561</v>
      </c>
      <c r="O524" s="5">
        <v>101</v>
      </c>
      <c r="P524" s="30">
        <f t="shared" si="331"/>
        <v>83.464838542677782</v>
      </c>
      <c r="Q524">
        <f>120/8</f>
        <v>15</v>
      </c>
      <c r="R524" s="48"/>
      <c r="S524" s="120"/>
      <c r="T524" s="35" t="s">
        <v>252</v>
      </c>
      <c r="U524" s="5"/>
      <c r="V524" s="5"/>
      <c r="W524" s="5"/>
      <c r="X524" s="29">
        <f t="shared" si="332"/>
        <v>3165.8066666666664</v>
      </c>
      <c r="Y524" s="6">
        <v>102</v>
      </c>
      <c r="Z524" s="30">
        <f t="shared" si="322"/>
        <v>31.037320261437905</v>
      </c>
      <c r="AB524" s="48"/>
    </row>
    <row r="525" spans="1:28" x14ac:dyDescent="0.35">
      <c r="A525" s="35"/>
      <c r="B525" s="5"/>
      <c r="C525" s="5"/>
      <c r="D525" s="5"/>
      <c r="E525" s="5"/>
      <c r="F525" s="59"/>
      <c r="G525" s="5"/>
      <c r="H525" s="127"/>
      <c r="I525" s="146"/>
      <c r="J525" s="35" t="s">
        <v>253</v>
      </c>
      <c r="K525" s="5" t="s">
        <v>70</v>
      </c>
      <c r="L525" s="5" t="s">
        <v>70</v>
      </c>
      <c r="M525" s="5" t="s">
        <v>70</v>
      </c>
      <c r="N525" s="38">
        <f t="shared" si="330"/>
        <v>8429.9486928104561</v>
      </c>
      <c r="O525" s="1">
        <v>101</v>
      </c>
      <c r="P525" s="30">
        <f t="shared" si="331"/>
        <v>83.464838542677782</v>
      </c>
      <c r="R525" s="48"/>
      <c r="S525" s="120"/>
      <c r="T525" s="35" t="s">
        <v>253</v>
      </c>
      <c r="U525" s="5"/>
      <c r="V525" s="5"/>
      <c r="W525" s="5"/>
      <c r="X525" s="29">
        <f t="shared" si="332"/>
        <v>3165.8066666666664</v>
      </c>
      <c r="Y525" s="6">
        <v>102</v>
      </c>
      <c r="Z525" s="30">
        <f t="shared" ref="Z525" si="333">X525/Y525</f>
        <v>31.037320261437905</v>
      </c>
      <c r="AB525" s="48"/>
    </row>
    <row r="526" spans="1:28" x14ac:dyDescent="0.35">
      <c r="A526" s="35"/>
      <c r="B526" s="5"/>
      <c r="C526" s="5"/>
      <c r="D526" s="5"/>
      <c r="E526" s="5"/>
      <c r="F526" s="59"/>
      <c r="G526" s="5"/>
      <c r="H526" s="127"/>
      <c r="I526" s="146"/>
      <c r="J526" s="35" t="s">
        <v>455</v>
      </c>
      <c r="K526" s="5" t="s">
        <v>70</v>
      </c>
      <c r="L526" s="5" t="s">
        <v>70</v>
      </c>
      <c r="M526" s="5" t="s">
        <v>70</v>
      </c>
      <c r="N526" s="38">
        <f t="shared" si="330"/>
        <v>8429.9486928104561</v>
      </c>
      <c r="O526" s="1">
        <v>66</v>
      </c>
      <c r="P526" s="30">
        <f t="shared" ref="P526" si="334">N526/O526</f>
        <v>127.72649534561297</v>
      </c>
      <c r="R526" s="48"/>
      <c r="S526" s="120"/>
      <c r="T526" s="35" t="s">
        <v>455</v>
      </c>
      <c r="U526" s="5"/>
      <c r="V526" s="5"/>
      <c r="W526" s="5"/>
      <c r="X526" s="29">
        <f t="shared" si="332"/>
        <v>3165.8066666666664</v>
      </c>
      <c r="Y526" s="6">
        <v>102</v>
      </c>
      <c r="Z526" s="30">
        <f t="shared" ref="Z526" si="335">X526/Y526</f>
        <v>31.037320261437905</v>
      </c>
      <c r="AB526" s="48"/>
    </row>
    <row r="527" spans="1:28" x14ac:dyDescent="0.35">
      <c r="A527" s="35"/>
      <c r="B527" s="5"/>
      <c r="C527" s="5"/>
      <c r="D527" s="5"/>
      <c r="E527" s="5"/>
      <c r="F527" s="59"/>
      <c r="G527" s="5"/>
      <c r="H527" s="127"/>
      <c r="I527" s="146"/>
      <c r="J527" s="35"/>
      <c r="K527" s="5"/>
      <c r="L527" s="5"/>
      <c r="M527" s="5"/>
      <c r="N527" s="38"/>
      <c r="O527" s="5"/>
      <c r="P527" s="91"/>
      <c r="R527" s="48"/>
      <c r="S527" s="120"/>
      <c r="T527" s="9"/>
      <c r="U527" s="1"/>
      <c r="V527" s="1"/>
      <c r="W527" s="1"/>
      <c r="X527" s="57"/>
      <c r="Y527" s="1"/>
      <c r="Z527" s="126"/>
      <c r="AB527" s="48"/>
    </row>
    <row r="528" spans="1:28" x14ac:dyDescent="0.35">
      <c r="A528" s="35"/>
      <c r="B528" s="5"/>
      <c r="C528" s="5"/>
      <c r="D528" s="5"/>
      <c r="E528" s="5"/>
      <c r="F528" s="59"/>
      <c r="G528" s="5"/>
      <c r="H528" s="127"/>
      <c r="I528" s="146"/>
      <c r="J528" s="35"/>
      <c r="K528" s="5"/>
      <c r="L528" s="5"/>
      <c r="M528" s="5"/>
      <c r="N528" s="38"/>
      <c r="O528" s="5"/>
      <c r="P528" s="30"/>
      <c r="R528" s="48"/>
      <c r="S528" s="120"/>
      <c r="T528" s="9"/>
      <c r="U528" s="1"/>
      <c r="V528" s="1"/>
      <c r="W528" s="1"/>
      <c r="X528" s="57"/>
      <c r="Y528" s="1"/>
      <c r="Z528" s="126"/>
      <c r="AB528" s="48"/>
    </row>
    <row r="529" spans="1:28" ht="15" thickBot="1" x14ac:dyDescent="0.4">
      <c r="A529" s="11"/>
      <c r="B529" s="12"/>
      <c r="C529" s="12"/>
      <c r="D529" s="12"/>
      <c r="E529" s="12"/>
      <c r="F529" s="114">
        <f>SUM(F518:F528)</f>
        <v>17056.722091503267</v>
      </c>
      <c r="G529" s="114">
        <f>SUM(G518:G528)</f>
        <v>528</v>
      </c>
      <c r="H529" s="13"/>
      <c r="I529" s="148"/>
      <c r="J529" s="11"/>
      <c r="K529" s="12"/>
      <c r="L529" s="12"/>
      <c r="M529" s="12"/>
      <c r="N529" s="77">
        <f>SUM(N518:N528)</f>
        <v>75869.538235294123</v>
      </c>
      <c r="O529" s="115">
        <f>SUM(O518:O528)</f>
        <v>878</v>
      </c>
      <c r="P529" s="13"/>
      <c r="Q529" s="46" t="s">
        <v>71</v>
      </c>
      <c r="R529" s="52">
        <f>R516+R522</f>
        <v>28361.501192581622</v>
      </c>
      <c r="S529" s="121"/>
      <c r="T529" s="222"/>
      <c r="U529" s="207"/>
      <c r="V529" s="207"/>
      <c r="W529" s="207"/>
      <c r="X529" s="223">
        <f>SUM(X518:X523)</f>
        <v>18994.84</v>
      </c>
      <c r="Y529" s="115">
        <f>SUM(Y518:Y528)</f>
        <v>918</v>
      </c>
      <c r="Z529" s="224"/>
      <c r="AA529" s="46"/>
      <c r="AB529" s="52"/>
    </row>
    <row r="530" spans="1:28" x14ac:dyDescent="0.35">
      <c r="A530" s="39" t="s">
        <v>521</v>
      </c>
      <c r="B530" s="40" t="s">
        <v>43</v>
      </c>
      <c r="C530" s="41" t="s">
        <v>2</v>
      </c>
      <c r="D530" s="41" t="s">
        <v>86</v>
      </c>
      <c r="E530" s="41">
        <f>3650/50</f>
        <v>73</v>
      </c>
      <c r="F530" s="41">
        <f>E530*36</f>
        <v>2628</v>
      </c>
      <c r="G530" s="41">
        <v>132</v>
      </c>
      <c r="H530" s="113">
        <f>F530/G530</f>
        <v>19.90909090909091</v>
      </c>
      <c r="I530" s="147"/>
      <c r="J530" s="80" t="s">
        <v>43</v>
      </c>
      <c r="K530" s="41" t="s">
        <v>2</v>
      </c>
      <c r="L530" s="41" t="s">
        <v>49</v>
      </c>
      <c r="M530" s="41">
        <f>3650/50</f>
        <v>73</v>
      </c>
      <c r="N530" s="41">
        <f>M530*50</f>
        <v>3650</v>
      </c>
      <c r="O530" s="41">
        <v>105</v>
      </c>
      <c r="P530" s="113">
        <f>N530/O530</f>
        <v>34.761904761904759</v>
      </c>
      <c r="Q530" s="43" t="s">
        <v>0</v>
      </c>
      <c r="R530" s="44"/>
      <c r="S530" s="119"/>
      <c r="T530" s="39" t="s">
        <v>43</v>
      </c>
      <c r="U530" s="41" t="s">
        <v>2</v>
      </c>
      <c r="V530" s="41" t="s">
        <v>317</v>
      </c>
      <c r="W530" s="139">
        <f>3600/50</f>
        <v>72</v>
      </c>
      <c r="X530" s="41">
        <f>W530*26</f>
        <v>1872</v>
      </c>
      <c r="Y530" s="41">
        <v>102</v>
      </c>
      <c r="Z530" s="113">
        <f t="shared" ref="Z530:Z545" si="336">X530/Y530</f>
        <v>18.352941176470587</v>
      </c>
      <c r="AA530" s="43" t="s">
        <v>196</v>
      </c>
      <c r="AB530" s="44"/>
    </row>
    <row r="531" spans="1:28" x14ac:dyDescent="0.35">
      <c r="A531" s="35"/>
      <c r="B531" s="5"/>
      <c r="C531" s="6" t="s">
        <v>4</v>
      </c>
      <c r="D531" s="6" t="s">
        <v>485</v>
      </c>
      <c r="E531" s="6">
        <f>7200/50</f>
        <v>144</v>
      </c>
      <c r="F531" s="6">
        <f>E531*4.8</f>
        <v>691.19999999999993</v>
      </c>
      <c r="G531" s="1">
        <f>G530</f>
        <v>132</v>
      </c>
      <c r="H531" s="126">
        <f t="shared" ref="H531:H536" si="337">F531/G531</f>
        <v>5.2363636363636354</v>
      </c>
      <c r="I531" s="146"/>
      <c r="J531" s="9"/>
      <c r="K531" s="1" t="s">
        <v>4</v>
      </c>
      <c r="L531" s="1" t="s">
        <v>50</v>
      </c>
      <c r="M531" s="1">
        <f>7200/50</f>
        <v>144</v>
      </c>
      <c r="N531" s="57">
        <f>M531*4.5</f>
        <v>648</v>
      </c>
      <c r="O531" s="1">
        <f t="shared" ref="O531:O537" si="338">O530</f>
        <v>105</v>
      </c>
      <c r="P531" s="126">
        <f t="shared" ref="P531:P537" si="339">N531/O531</f>
        <v>6.1714285714285717</v>
      </c>
      <c r="Q531" t="s">
        <v>68</v>
      </c>
      <c r="R531" s="45">
        <v>60</v>
      </c>
      <c r="T531" s="35"/>
      <c r="U531" s="6" t="s">
        <v>4</v>
      </c>
      <c r="V531" s="6" t="s">
        <v>324</v>
      </c>
      <c r="W531" s="28">
        <f>7200/50</f>
        <v>144</v>
      </c>
      <c r="X531" s="29">
        <f>W531*3.8</f>
        <v>547.19999999999993</v>
      </c>
      <c r="Y531" s="1">
        <f t="shared" ref="Y531:Y537" si="340">Y530</f>
        <v>102</v>
      </c>
      <c r="Z531" s="126">
        <f t="shared" si="336"/>
        <v>5.3647058823529408</v>
      </c>
      <c r="AA531" t="s">
        <v>68</v>
      </c>
      <c r="AB531" s="45">
        <v>50</v>
      </c>
    </row>
    <row r="532" spans="1:28" x14ac:dyDescent="0.35">
      <c r="A532" s="35"/>
      <c r="B532" s="5"/>
      <c r="C532" s="6" t="s">
        <v>54</v>
      </c>
      <c r="D532" s="6" t="s">
        <v>419</v>
      </c>
      <c r="E532" s="28">
        <f>600/1000</f>
        <v>0.6</v>
      </c>
      <c r="F532" s="6">
        <f>E532*60</f>
        <v>36</v>
      </c>
      <c r="G532" s="1">
        <f t="shared" ref="G532:G537" si="341">G531</f>
        <v>132</v>
      </c>
      <c r="H532" s="126">
        <f t="shared" si="337"/>
        <v>0.27272727272727271</v>
      </c>
      <c r="I532" s="146"/>
      <c r="J532" s="9"/>
      <c r="K532" s="1" t="s">
        <v>5</v>
      </c>
      <c r="L532" s="1" t="s">
        <v>421</v>
      </c>
      <c r="M532" s="233">
        <f>400/450</f>
        <v>0.88888888888888884</v>
      </c>
      <c r="N532" s="57">
        <f>M532*160</f>
        <v>142.22222222222223</v>
      </c>
      <c r="O532" s="1">
        <f t="shared" si="338"/>
        <v>105</v>
      </c>
      <c r="P532" s="126">
        <f t="shared" si="339"/>
        <v>1.3544973544973546</v>
      </c>
      <c r="Q532" t="s">
        <v>32</v>
      </c>
      <c r="R532" s="47">
        <f>H537</f>
        <v>32.304397900574372</v>
      </c>
      <c r="S532" s="120"/>
      <c r="T532" s="35"/>
      <c r="U532" s="6" t="s">
        <v>5</v>
      </c>
      <c r="V532" s="6" t="s">
        <v>420</v>
      </c>
      <c r="W532" s="28">
        <f>255/450</f>
        <v>0.56666666666666665</v>
      </c>
      <c r="X532" s="29">
        <f>W532*190</f>
        <v>107.66666666666666</v>
      </c>
      <c r="Y532" s="1">
        <f t="shared" si="340"/>
        <v>102</v>
      </c>
      <c r="Z532" s="126">
        <f t="shared" si="336"/>
        <v>1.0555555555555554</v>
      </c>
      <c r="AA532" t="s">
        <v>32</v>
      </c>
      <c r="AB532" s="47">
        <f>Z537</f>
        <v>31.037320261437905</v>
      </c>
    </row>
    <row r="533" spans="1:28" x14ac:dyDescent="0.35">
      <c r="A533" s="35"/>
      <c r="B533" s="5"/>
      <c r="C533" s="6" t="s">
        <v>55</v>
      </c>
      <c r="D533" s="6" t="s">
        <v>318</v>
      </c>
      <c r="E533" s="28">
        <f>35.5/1000</f>
        <v>3.5499999999999997E-2</v>
      </c>
      <c r="F533" s="6">
        <f>E533*280</f>
        <v>9.94</v>
      </c>
      <c r="G533" s="1">
        <f t="shared" si="341"/>
        <v>132</v>
      </c>
      <c r="H533" s="126">
        <f t="shared" si="337"/>
        <v>7.5303030303030302E-2</v>
      </c>
      <c r="I533" s="146"/>
      <c r="J533" s="9"/>
      <c r="K533" s="1" t="s">
        <v>51</v>
      </c>
      <c r="L533" s="1" t="s">
        <v>52</v>
      </c>
      <c r="M533" s="232">
        <f>35.5/1000</f>
        <v>3.5499999999999997E-2</v>
      </c>
      <c r="N533" s="1">
        <f>M533*300</f>
        <v>10.649999999999999</v>
      </c>
      <c r="O533" s="1">
        <f t="shared" si="338"/>
        <v>105</v>
      </c>
      <c r="P533" s="126">
        <f t="shared" si="339"/>
        <v>0.10142857142857141</v>
      </c>
      <c r="Q533" t="s">
        <v>62</v>
      </c>
      <c r="R533" s="47">
        <f>R531-R532</f>
        <v>27.695602099425628</v>
      </c>
      <c r="S533" s="120"/>
      <c r="T533" s="35"/>
      <c r="U533" s="6" t="s">
        <v>51</v>
      </c>
      <c r="V533" s="6" t="s">
        <v>318</v>
      </c>
      <c r="W533" s="205">
        <f>35.5/1000</f>
        <v>3.5499999999999997E-2</v>
      </c>
      <c r="X533" s="6">
        <f>W533*280</f>
        <v>9.94</v>
      </c>
      <c r="Y533" s="1">
        <f t="shared" si="340"/>
        <v>102</v>
      </c>
      <c r="Z533" s="126">
        <f t="shared" si="336"/>
        <v>9.7450980392156855E-2</v>
      </c>
      <c r="AA533" t="s">
        <v>69</v>
      </c>
      <c r="AB533" s="47">
        <f>AB531-AB532</f>
        <v>18.962679738562095</v>
      </c>
    </row>
    <row r="534" spans="1:28" x14ac:dyDescent="0.35">
      <c r="A534" s="35"/>
      <c r="B534" s="5"/>
      <c r="C534" s="6" t="s">
        <v>56</v>
      </c>
      <c r="D534" s="6" t="s">
        <v>419</v>
      </c>
      <c r="E534" s="6">
        <f>340/1000</f>
        <v>0.34</v>
      </c>
      <c r="F534" s="6">
        <f>E534*60</f>
        <v>20.400000000000002</v>
      </c>
      <c r="G534" s="1">
        <f t="shared" si="341"/>
        <v>132</v>
      </c>
      <c r="H534" s="126">
        <f t="shared" si="337"/>
        <v>0.15454545454545457</v>
      </c>
      <c r="I534" s="146"/>
      <c r="J534" s="9"/>
      <c r="K534" s="1" t="s">
        <v>26</v>
      </c>
      <c r="L534" s="1" t="s">
        <v>419</v>
      </c>
      <c r="M534" s="1">
        <f>340/1000</f>
        <v>0.34</v>
      </c>
      <c r="N534" s="1">
        <f>M534*60</f>
        <v>20.400000000000002</v>
      </c>
      <c r="O534" s="1">
        <f t="shared" si="338"/>
        <v>105</v>
      </c>
      <c r="P534" s="126">
        <f t="shared" si="339"/>
        <v>0.19428571428571431</v>
      </c>
      <c r="Q534" t="s">
        <v>72</v>
      </c>
      <c r="R534" s="50">
        <f>G537*R533</f>
        <v>3655.8194771241829</v>
      </c>
      <c r="S534" s="120"/>
      <c r="T534" s="35"/>
      <c r="U534" s="6" t="s">
        <v>26</v>
      </c>
      <c r="V534" s="6" t="s">
        <v>53</v>
      </c>
      <c r="W534" s="6">
        <f>340/1000</f>
        <v>0.34</v>
      </c>
      <c r="X534" s="6">
        <f>W534*50</f>
        <v>17</v>
      </c>
      <c r="Y534" s="1">
        <f t="shared" si="340"/>
        <v>102</v>
      </c>
      <c r="Z534" s="126">
        <f t="shared" si="336"/>
        <v>0.16666666666666666</v>
      </c>
      <c r="AA534" t="s">
        <v>205</v>
      </c>
      <c r="AB534" s="50">
        <f>AB533*102</f>
        <v>1934.1933333333336</v>
      </c>
    </row>
    <row r="535" spans="1:28" x14ac:dyDescent="0.35">
      <c r="A535" s="35"/>
      <c r="B535" s="5"/>
      <c r="C535" s="6" t="s">
        <v>57</v>
      </c>
      <c r="D535" s="6" t="s">
        <v>6</v>
      </c>
      <c r="E535" s="28">
        <f>250/450</f>
        <v>0.55555555555555558</v>
      </c>
      <c r="F535" s="28">
        <f>E535*200</f>
        <v>111.11111111111111</v>
      </c>
      <c r="G535" s="1">
        <f t="shared" si="341"/>
        <v>132</v>
      </c>
      <c r="H535" s="126">
        <f t="shared" si="337"/>
        <v>0.84175084175084181</v>
      </c>
      <c r="I535" s="146"/>
      <c r="J535" s="9"/>
      <c r="K535" s="1" t="s">
        <v>3</v>
      </c>
      <c r="L535" s="1" t="s">
        <v>382</v>
      </c>
      <c r="M535" s="57">
        <f>4660/17</f>
        <v>274.11764705882354</v>
      </c>
      <c r="N535" s="57">
        <f>M535*1.5</f>
        <v>411.1764705882353</v>
      </c>
      <c r="O535" s="1">
        <f t="shared" si="338"/>
        <v>105</v>
      </c>
      <c r="P535" s="126">
        <f t="shared" si="339"/>
        <v>3.9159663865546221</v>
      </c>
      <c r="Q535" t="s">
        <v>390</v>
      </c>
      <c r="R535" s="48">
        <f>R534*6</f>
        <v>21934.916862745096</v>
      </c>
      <c r="S535" s="120"/>
      <c r="T535" s="35"/>
      <c r="U535" s="6" t="s">
        <v>3</v>
      </c>
      <c r="V535" s="6" t="s">
        <v>325</v>
      </c>
      <c r="W535" s="29">
        <f>260</f>
        <v>260</v>
      </c>
      <c r="X535" s="29">
        <f>W535*2.3</f>
        <v>598</v>
      </c>
      <c r="Y535" s="1">
        <f t="shared" si="340"/>
        <v>102</v>
      </c>
      <c r="Z535" s="126">
        <f t="shared" si="336"/>
        <v>5.8627450980392153</v>
      </c>
      <c r="AA535" t="s">
        <v>576</v>
      </c>
      <c r="AB535" s="48">
        <f>AB534*10</f>
        <v>19341.933333333334</v>
      </c>
    </row>
    <row r="536" spans="1:28" x14ac:dyDescent="0.35">
      <c r="A536" s="35"/>
      <c r="B536" s="5"/>
      <c r="C536" s="6" t="s">
        <v>58</v>
      </c>
      <c r="D536" s="6" t="s">
        <v>319</v>
      </c>
      <c r="E536" s="29">
        <f>4660/17</f>
        <v>274.11764705882354</v>
      </c>
      <c r="F536" s="29">
        <f>E536*2.8</f>
        <v>767.52941176470586</v>
      </c>
      <c r="G536" s="6">
        <f t="shared" si="341"/>
        <v>132</v>
      </c>
      <c r="H536" s="126">
        <f t="shared" si="337"/>
        <v>5.8146167557932262</v>
      </c>
      <c r="I536" s="146"/>
      <c r="J536" s="9"/>
      <c r="K536" s="1" t="s">
        <v>7</v>
      </c>
      <c r="L536" s="234" t="s">
        <v>574</v>
      </c>
      <c r="M536" s="57">
        <f>4730/20</f>
        <v>236.5</v>
      </c>
      <c r="N536" s="57">
        <f>M536*11.1</f>
        <v>2625.15</v>
      </c>
      <c r="O536" s="1">
        <f t="shared" si="338"/>
        <v>105</v>
      </c>
      <c r="P536" s="126">
        <f t="shared" si="339"/>
        <v>25.001428571428573</v>
      </c>
      <c r="Q536" t="s">
        <v>1</v>
      </c>
      <c r="R536" s="45"/>
      <c r="T536" s="35"/>
      <c r="U536" s="6" t="s">
        <v>151</v>
      </c>
      <c r="V536" s="53" t="s">
        <v>53</v>
      </c>
      <c r="W536" s="28">
        <f>280/1000</f>
        <v>0.28000000000000003</v>
      </c>
      <c r="X536" s="6">
        <f>W536*50</f>
        <v>14.000000000000002</v>
      </c>
      <c r="Y536" s="1">
        <f t="shared" si="340"/>
        <v>102</v>
      </c>
      <c r="Z536" s="126">
        <f t="shared" si="336"/>
        <v>0.13725490196078433</v>
      </c>
      <c r="AB536" s="45"/>
    </row>
    <row r="537" spans="1:28" x14ac:dyDescent="0.35">
      <c r="A537" s="35"/>
      <c r="B537" s="5"/>
      <c r="C537" s="6"/>
      <c r="D537" s="6"/>
      <c r="E537" s="29"/>
      <c r="F537" s="51">
        <f>SUM(F530:F536)</f>
        <v>4264.1805228758167</v>
      </c>
      <c r="G537" s="32">
        <f t="shared" si="341"/>
        <v>132</v>
      </c>
      <c r="H537" s="33">
        <f>SUM(H530:H536)</f>
        <v>32.304397900574372</v>
      </c>
      <c r="I537" s="146"/>
      <c r="J537" s="35"/>
      <c r="K537" s="6"/>
      <c r="L537" s="6"/>
      <c r="M537" s="6"/>
      <c r="N537" s="235">
        <f>SUM(N530:N536)</f>
        <v>7507.5986928104576</v>
      </c>
      <c r="O537" s="32">
        <f t="shared" si="338"/>
        <v>105</v>
      </c>
      <c r="P537" s="236">
        <f t="shared" si="339"/>
        <v>71.500939931528166</v>
      </c>
      <c r="Q537" t="s">
        <v>68</v>
      </c>
      <c r="R537" s="45">
        <v>100</v>
      </c>
      <c r="T537" s="35"/>
      <c r="U537" s="6"/>
      <c r="V537" s="6"/>
      <c r="W537" s="6"/>
      <c r="X537" s="31">
        <f>SUM(X530:X536)</f>
        <v>3165.8066666666664</v>
      </c>
      <c r="Y537" s="32">
        <f t="shared" si="340"/>
        <v>102</v>
      </c>
      <c r="Z537" s="33">
        <f t="shared" si="336"/>
        <v>31.037320261437905</v>
      </c>
      <c r="AB537" s="45"/>
    </row>
    <row r="538" spans="1:28" x14ac:dyDescent="0.35">
      <c r="A538" s="35"/>
      <c r="B538" s="5" t="s">
        <v>44</v>
      </c>
      <c r="C538" s="5" t="s">
        <v>70</v>
      </c>
      <c r="D538" s="5" t="s">
        <v>70</v>
      </c>
      <c r="E538" s="5"/>
      <c r="F538" s="59">
        <f t="shared" ref="F538:F542" si="342">F537</f>
        <v>4264.1805228758167</v>
      </c>
      <c r="G538" s="5">
        <v>132</v>
      </c>
      <c r="H538" s="127">
        <f>F538/G538</f>
        <v>32.304397900574372</v>
      </c>
      <c r="I538" s="146"/>
      <c r="J538" s="35" t="s">
        <v>44</v>
      </c>
      <c r="K538" s="5" t="s">
        <v>70</v>
      </c>
      <c r="L538" s="5" t="s">
        <v>70</v>
      </c>
      <c r="M538" s="5" t="s">
        <v>70</v>
      </c>
      <c r="N538" s="38">
        <f>N537</f>
        <v>7507.5986928104576</v>
      </c>
      <c r="O538" s="5">
        <v>105</v>
      </c>
      <c r="P538" s="30">
        <f>N538/O538</f>
        <v>71.500939931528166</v>
      </c>
      <c r="Q538" t="s">
        <v>32</v>
      </c>
      <c r="R538" s="47">
        <f>AVERAGE(P537,P538,P539,P540,P541)</f>
        <v>71.775943546649415</v>
      </c>
      <c r="S538" s="120"/>
      <c r="T538" s="35" t="s">
        <v>44</v>
      </c>
      <c r="U538" s="5"/>
      <c r="V538" s="5"/>
      <c r="W538" s="5"/>
      <c r="X538" s="29">
        <f>X537</f>
        <v>3165.8066666666664</v>
      </c>
      <c r="Y538" s="6">
        <v>102</v>
      </c>
      <c r="Z538" s="30">
        <f t="shared" si="336"/>
        <v>31.037320261437905</v>
      </c>
      <c r="AB538" s="47"/>
    </row>
    <row r="539" spans="1:28" x14ac:dyDescent="0.35">
      <c r="A539" s="35"/>
      <c r="B539" s="5" t="s">
        <v>45</v>
      </c>
      <c r="C539" s="5" t="s">
        <v>70</v>
      </c>
      <c r="D539" s="5" t="s">
        <v>70</v>
      </c>
      <c r="E539" s="5"/>
      <c r="F539" s="59">
        <f t="shared" si="342"/>
        <v>4264.1805228758167</v>
      </c>
      <c r="G539" s="5">
        <v>132</v>
      </c>
      <c r="H539" s="127">
        <f t="shared" ref="H539:H540" si="343">F539/G539</f>
        <v>32.304397900574372</v>
      </c>
      <c r="I539" s="146"/>
      <c r="J539" s="35" t="s">
        <v>45</v>
      </c>
      <c r="K539" s="5" t="s">
        <v>70</v>
      </c>
      <c r="L539" s="5" t="s">
        <v>70</v>
      </c>
      <c r="M539" s="5" t="s">
        <v>70</v>
      </c>
      <c r="N539" s="38">
        <f t="shared" ref="N539:N545" si="344">N538</f>
        <v>7507.5986928104576</v>
      </c>
      <c r="O539" s="5">
        <v>105</v>
      </c>
      <c r="P539" s="30">
        <f t="shared" ref="P539:P544" si="345">N539/O539</f>
        <v>71.500939931528166</v>
      </c>
      <c r="Q539" t="s">
        <v>69</v>
      </c>
      <c r="R539" s="47">
        <f>R537-R538</f>
        <v>28.224056453350585</v>
      </c>
      <c r="S539" s="120"/>
      <c r="T539" s="35" t="s">
        <v>45</v>
      </c>
      <c r="U539" s="5"/>
      <c r="V539" s="5"/>
      <c r="W539" s="5"/>
      <c r="X539" s="29">
        <f>X538</f>
        <v>3165.8066666666664</v>
      </c>
      <c r="Y539" s="6">
        <v>102</v>
      </c>
      <c r="Z539" s="30">
        <f t="shared" si="336"/>
        <v>31.037320261437905</v>
      </c>
      <c r="AB539" s="47"/>
    </row>
    <row r="540" spans="1:28" x14ac:dyDescent="0.35">
      <c r="A540" s="35"/>
      <c r="B540" s="5" t="s">
        <v>67</v>
      </c>
      <c r="C540" s="5" t="s">
        <v>70</v>
      </c>
      <c r="D540" s="5" t="s">
        <v>70</v>
      </c>
      <c r="E540" s="5"/>
      <c r="F540" s="59">
        <f t="shared" si="342"/>
        <v>4264.1805228758167</v>
      </c>
      <c r="G540" s="5">
        <v>132</v>
      </c>
      <c r="H540" s="127">
        <f t="shared" si="343"/>
        <v>32.304397900574372</v>
      </c>
      <c r="I540" s="146"/>
      <c r="J540" s="35" t="s">
        <v>67</v>
      </c>
      <c r="K540" s="5" t="s">
        <v>70</v>
      </c>
      <c r="L540" s="5" t="s">
        <v>70</v>
      </c>
      <c r="M540" s="5" t="s">
        <v>70</v>
      </c>
      <c r="N540" s="38">
        <f t="shared" si="344"/>
        <v>7507.5986928104576</v>
      </c>
      <c r="O540" s="5">
        <v>104</v>
      </c>
      <c r="P540" s="30">
        <f t="shared" si="345"/>
        <v>72.188448969331318</v>
      </c>
      <c r="Q540" t="s">
        <v>136</v>
      </c>
      <c r="R540" s="50">
        <f>R539*104</f>
        <v>2935.301871148461</v>
      </c>
      <c r="S540" s="120"/>
      <c r="T540" s="35" t="s">
        <v>67</v>
      </c>
      <c r="U540" s="5"/>
      <c r="V540" s="5"/>
      <c r="W540" s="5"/>
      <c r="X540" s="29">
        <f>X539</f>
        <v>3165.8066666666664</v>
      </c>
      <c r="Y540" s="6">
        <v>102</v>
      </c>
      <c r="Z540" s="30">
        <f t="shared" si="336"/>
        <v>31.037320261437905</v>
      </c>
      <c r="AB540" s="50"/>
    </row>
    <row r="541" spans="1:28" x14ac:dyDescent="0.35">
      <c r="A541" s="35"/>
      <c r="B541" s="5" t="s">
        <v>133</v>
      </c>
      <c r="C541" s="5" t="s">
        <v>70</v>
      </c>
      <c r="D541" s="5" t="s">
        <v>70</v>
      </c>
      <c r="E541" s="5"/>
      <c r="F541" s="59">
        <f t="shared" si="342"/>
        <v>4264.1805228758167</v>
      </c>
      <c r="G541" s="5">
        <v>132</v>
      </c>
      <c r="H541" s="127">
        <f t="shared" ref="H541:H542" si="346">F541/G541</f>
        <v>32.304397900574372</v>
      </c>
      <c r="I541" s="146"/>
      <c r="J541" s="35" t="s">
        <v>133</v>
      </c>
      <c r="K541" s="5"/>
      <c r="L541" s="5"/>
      <c r="M541" s="5"/>
      <c r="N541" s="38">
        <f t="shared" si="344"/>
        <v>7507.5986928104576</v>
      </c>
      <c r="O541" s="5">
        <v>104</v>
      </c>
      <c r="P541" s="30">
        <f t="shared" si="345"/>
        <v>72.188448969331318</v>
      </c>
      <c r="Q541" t="s">
        <v>456</v>
      </c>
      <c r="R541" s="48">
        <f>R540*9</f>
        <v>26417.71684033615</v>
      </c>
      <c r="S541" s="120"/>
      <c r="T541" s="35" t="s">
        <v>133</v>
      </c>
      <c r="U541" s="5"/>
      <c r="V541" s="5"/>
      <c r="W541" s="5"/>
      <c r="X541" s="29">
        <f>X540</f>
        <v>3165.8066666666664</v>
      </c>
      <c r="Y541" s="6">
        <v>102</v>
      </c>
      <c r="Z541" s="30">
        <f t="shared" si="336"/>
        <v>31.037320261437905</v>
      </c>
      <c r="AB541" s="48"/>
    </row>
    <row r="542" spans="1:28" x14ac:dyDescent="0.35">
      <c r="A542" s="35"/>
      <c r="B542" s="5" t="s">
        <v>134</v>
      </c>
      <c r="C542" s="5" t="s">
        <v>70</v>
      </c>
      <c r="D542" s="5" t="s">
        <v>70</v>
      </c>
      <c r="E542" s="5"/>
      <c r="F542" s="59">
        <f t="shared" si="342"/>
        <v>4264.1805228758167</v>
      </c>
      <c r="G542" s="5">
        <v>132</v>
      </c>
      <c r="H542" s="127">
        <f t="shared" si="346"/>
        <v>32.304397900574372</v>
      </c>
      <c r="I542" s="146"/>
      <c r="J542" s="35" t="s">
        <v>134</v>
      </c>
      <c r="K542" s="5"/>
      <c r="L542" s="5"/>
      <c r="M542" s="5"/>
      <c r="N542" s="38">
        <f t="shared" si="344"/>
        <v>7507.5986928104576</v>
      </c>
      <c r="O542" s="5">
        <v>104</v>
      </c>
      <c r="P542" s="30">
        <f t="shared" si="345"/>
        <v>72.188448969331318</v>
      </c>
      <c r="R542" s="48"/>
      <c r="S542" s="120"/>
      <c r="T542" s="35" t="s">
        <v>134</v>
      </c>
      <c r="U542" s="5"/>
      <c r="V542" s="5"/>
      <c r="W542" s="5"/>
      <c r="X542" s="29">
        <f t="shared" ref="X542:X546" si="347">X541</f>
        <v>3165.8066666666664</v>
      </c>
      <c r="Y542" s="6">
        <v>102</v>
      </c>
      <c r="Z542" s="30">
        <f t="shared" si="336"/>
        <v>31.037320261437905</v>
      </c>
      <c r="AB542" s="48"/>
    </row>
    <row r="543" spans="1:28" x14ac:dyDescent="0.35">
      <c r="A543" s="35"/>
      <c r="B543" s="5"/>
      <c r="C543" s="5"/>
      <c r="D543" s="5"/>
      <c r="E543" s="5"/>
      <c r="F543" s="59"/>
      <c r="G543" s="5"/>
      <c r="H543" s="127"/>
      <c r="I543" s="146"/>
      <c r="J543" s="35" t="s">
        <v>252</v>
      </c>
      <c r="K543" s="5" t="s">
        <v>70</v>
      </c>
      <c r="L543" s="5" t="s">
        <v>70</v>
      </c>
      <c r="M543" s="5" t="s">
        <v>70</v>
      </c>
      <c r="N543" s="38">
        <f t="shared" si="344"/>
        <v>7507.5986928104576</v>
      </c>
      <c r="O543" s="5">
        <v>103</v>
      </c>
      <c r="P543" s="30">
        <f t="shared" si="345"/>
        <v>72.889307697188912</v>
      </c>
      <c r="Q543">
        <f>100/9</f>
        <v>11.111111111111111</v>
      </c>
      <c r="R543" s="48"/>
      <c r="S543" s="120"/>
      <c r="T543" s="35" t="s">
        <v>252</v>
      </c>
      <c r="U543" s="5"/>
      <c r="V543" s="5"/>
      <c r="W543" s="5"/>
      <c r="X543" s="29">
        <f t="shared" si="347"/>
        <v>3165.8066666666664</v>
      </c>
      <c r="Y543" s="6">
        <v>102</v>
      </c>
      <c r="Z543" s="30">
        <f t="shared" si="336"/>
        <v>31.037320261437905</v>
      </c>
      <c r="AB543" s="48"/>
    </row>
    <row r="544" spans="1:28" x14ac:dyDescent="0.35">
      <c r="A544" s="35"/>
      <c r="B544" s="5"/>
      <c r="C544" s="5"/>
      <c r="D544" s="5"/>
      <c r="E544" s="5"/>
      <c r="F544" s="59"/>
      <c r="G544" s="5"/>
      <c r="H544" s="127"/>
      <c r="I544" s="146"/>
      <c r="J544" s="35" t="s">
        <v>253</v>
      </c>
      <c r="K544" s="5" t="s">
        <v>70</v>
      </c>
      <c r="L544" s="5" t="s">
        <v>70</v>
      </c>
      <c r="M544" s="5" t="s">
        <v>70</v>
      </c>
      <c r="N544" s="38">
        <f t="shared" si="344"/>
        <v>7507.5986928104576</v>
      </c>
      <c r="O544" s="1">
        <v>102</v>
      </c>
      <c r="P544" s="30">
        <f t="shared" si="345"/>
        <v>73.603908753043697</v>
      </c>
      <c r="R544" s="48"/>
      <c r="S544" s="120"/>
      <c r="T544" s="35" t="s">
        <v>253</v>
      </c>
      <c r="U544" s="5"/>
      <c r="V544" s="5"/>
      <c r="W544" s="5"/>
      <c r="X544" s="29">
        <f t="shared" si="347"/>
        <v>3165.8066666666664</v>
      </c>
      <c r="Y544" s="6">
        <v>102</v>
      </c>
      <c r="Z544" s="30">
        <f t="shared" si="336"/>
        <v>31.037320261437905</v>
      </c>
      <c r="AB544" s="48"/>
    </row>
    <row r="545" spans="1:29" x14ac:dyDescent="0.35">
      <c r="A545" s="35"/>
      <c r="B545" s="5"/>
      <c r="C545" s="5"/>
      <c r="D545" s="5"/>
      <c r="E545" s="5"/>
      <c r="F545" s="59"/>
      <c r="G545" s="5"/>
      <c r="H545" s="37"/>
      <c r="I545" s="146"/>
      <c r="J545" s="35" t="s">
        <v>455</v>
      </c>
      <c r="K545" s="5" t="s">
        <v>70</v>
      </c>
      <c r="L545" s="5" t="s">
        <v>70</v>
      </c>
      <c r="M545" s="5" t="s">
        <v>70</v>
      </c>
      <c r="N545" s="38">
        <f t="shared" si="344"/>
        <v>7507.5986928104576</v>
      </c>
      <c r="O545" s="1">
        <v>101</v>
      </c>
      <c r="P545" s="30">
        <f t="shared" ref="P545" si="348">N545/O545</f>
        <v>74.332660324856022</v>
      </c>
      <c r="R545" s="48"/>
      <c r="S545" s="120"/>
      <c r="T545" s="35" t="s">
        <v>455</v>
      </c>
      <c r="U545" s="5"/>
      <c r="V545" s="5"/>
      <c r="W545" s="5"/>
      <c r="X545" s="29">
        <f t="shared" si="347"/>
        <v>3165.8066666666664</v>
      </c>
      <c r="Y545" s="6">
        <v>102</v>
      </c>
      <c r="Z545" s="30">
        <f t="shared" si="336"/>
        <v>31.037320261437905</v>
      </c>
      <c r="AB545" s="48"/>
    </row>
    <row r="546" spans="1:29" x14ac:dyDescent="0.35">
      <c r="A546" s="35"/>
      <c r="B546" s="5"/>
      <c r="C546" s="5"/>
      <c r="D546" s="5"/>
      <c r="E546" s="5"/>
      <c r="F546" s="59"/>
      <c r="G546" s="5"/>
      <c r="H546" s="37"/>
      <c r="I546" s="146"/>
      <c r="J546" s="35"/>
      <c r="K546" s="5"/>
      <c r="L546" s="5"/>
      <c r="M546" s="5"/>
      <c r="N546" s="38"/>
      <c r="O546" s="90"/>
      <c r="P546" s="91"/>
      <c r="R546" s="48"/>
      <c r="S546" s="120"/>
      <c r="T546" s="35" t="s">
        <v>575</v>
      </c>
      <c r="U546" s="5"/>
      <c r="V546" s="5"/>
      <c r="W546" s="5"/>
      <c r="X546" s="29">
        <f t="shared" si="347"/>
        <v>3165.8066666666664</v>
      </c>
      <c r="Y546" s="6">
        <v>102</v>
      </c>
      <c r="Z546" s="30">
        <f t="shared" ref="Z546" si="349">X546/Y546</f>
        <v>31.037320261437905</v>
      </c>
      <c r="AB546" s="48"/>
    </row>
    <row r="547" spans="1:29" ht="15" thickBot="1" x14ac:dyDescent="0.4">
      <c r="A547" s="11"/>
      <c r="B547" s="12"/>
      <c r="C547" s="12"/>
      <c r="D547" s="12"/>
      <c r="E547" s="12"/>
      <c r="F547" s="114">
        <f>SUM(F537:F545)</f>
        <v>25585.0831372549</v>
      </c>
      <c r="G547" s="114">
        <f>SUM(G537:G545)</f>
        <v>792</v>
      </c>
      <c r="H547" s="13"/>
      <c r="I547" s="148"/>
      <c r="J547" s="11"/>
      <c r="K547" s="12"/>
      <c r="L547" s="12"/>
      <c r="M547" s="12"/>
      <c r="N547" s="77">
        <f>SUM(N537:N545)</f>
        <v>67568.3882352941</v>
      </c>
      <c r="O547" s="115">
        <f>SUM(O537:O545)</f>
        <v>933</v>
      </c>
      <c r="P547" s="13"/>
      <c r="Q547" s="46" t="s">
        <v>71</v>
      </c>
      <c r="R547" s="52">
        <f>R535+R541</f>
        <v>48352.633703081243</v>
      </c>
      <c r="S547" s="121"/>
      <c r="T547" s="11"/>
      <c r="U547" s="12"/>
      <c r="V547" s="12"/>
      <c r="W547" s="12"/>
      <c r="X547" s="77">
        <f>SUM(X537:X542)</f>
        <v>18994.84</v>
      </c>
      <c r="Y547" s="115">
        <f>SUM(Y537:Y546)</f>
        <v>1020</v>
      </c>
      <c r="Z547" s="13"/>
      <c r="AA547" s="46"/>
      <c r="AB547" s="52"/>
    </row>
    <row r="549" spans="1:29" ht="15" thickBot="1" x14ac:dyDescent="0.4">
      <c r="F549" s="164">
        <f>SUM(F19,F38,F56,F73,F94,F114,F132,F151,F171,F190,F207,F224,F241,F259,F277,F295,F313,F330,F348,F365,F383,F401,F418,F435,F452,F470,F488,F510,F529,F547)</f>
        <v>453832.11594771245</v>
      </c>
      <c r="N549" s="164">
        <f>SUM(N19,N38,N56,N73,N94,N114,N132,N151,N171,N190,N207,N224,N241,N259,N277,N295,N313,N330,N348,N365,N383,N401,N418,N435,N452,N470,N488,N510,N529,N547)</f>
        <v>1506367.479411765</v>
      </c>
      <c r="Q549" s="4" t="s">
        <v>260</v>
      </c>
      <c r="X549" s="164">
        <f>SUM(X19,X38,X56,X73,X94,X114,X132,X151,X171,X190,X207,X224,X241,X259,X277,X295,X313,X330,X348,X365,X383,X401,X418,X435,X452,X470,X488,X510,X529,X547)</f>
        <v>468539.38666666683</v>
      </c>
      <c r="AA549" s="4"/>
    </row>
    <row r="550" spans="1:29" x14ac:dyDescent="0.35">
      <c r="F550" s="8"/>
      <c r="N550" s="8"/>
      <c r="Q550" s="60" t="s">
        <v>261</v>
      </c>
      <c r="R550" s="157">
        <f>'Dispatch and Sales per day'!AM375</f>
        <v>3777715</v>
      </c>
      <c r="S550" s="158"/>
      <c r="X550" s="8"/>
      <c r="AB550" s="111"/>
      <c r="AC550" s="8"/>
    </row>
    <row r="551" spans="1:29" x14ac:dyDescent="0.35">
      <c r="G551" s="65"/>
      <c r="Q551" s="61"/>
      <c r="R551" s="63"/>
      <c r="S551" s="123"/>
      <c r="AB551" s="153"/>
    </row>
    <row r="552" spans="1:29" x14ac:dyDescent="0.35">
      <c r="Q552" s="61" t="s">
        <v>262</v>
      </c>
      <c r="R552" s="62">
        <f>F549</f>
        <v>453832.11594771245</v>
      </c>
      <c r="S552" s="122"/>
      <c r="AB552" s="8"/>
      <c r="AC552" s="8"/>
    </row>
    <row r="553" spans="1:29" x14ac:dyDescent="0.35">
      <c r="Q553" s="61" t="s">
        <v>263</v>
      </c>
      <c r="R553" s="62">
        <f>N549</f>
        <v>1506367.479411765</v>
      </c>
      <c r="S553" s="122"/>
      <c r="AB553" s="8"/>
      <c r="AC553" s="8"/>
    </row>
    <row r="554" spans="1:29" x14ac:dyDescent="0.35">
      <c r="Q554" s="61" t="s">
        <v>264</v>
      </c>
      <c r="R554" s="62">
        <f>X549</f>
        <v>468539.38666666683</v>
      </c>
      <c r="S554" s="122"/>
      <c r="AB554" s="8"/>
      <c r="AC554" s="8"/>
    </row>
    <row r="555" spans="1:29" x14ac:dyDescent="0.35">
      <c r="Q555" s="61" t="s">
        <v>265</v>
      </c>
      <c r="R555" s="159">
        <f>SUM(R552:R554)</f>
        <v>2428738.9820261444</v>
      </c>
      <c r="S555" s="124"/>
      <c r="AB555" s="163"/>
      <c r="AC555" s="8"/>
    </row>
    <row r="556" spans="1:29" x14ac:dyDescent="0.35">
      <c r="Q556" s="61"/>
      <c r="R556" s="160"/>
    </row>
    <row r="557" spans="1:29" x14ac:dyDescent="0.35">
      <c r="Q557" s="61"/>
      <c r="R557" s="160"/>
    </row>
    <row r="558" spans="1:29" ht="15" thickBot="1" x14ac:dyDescent="0.4">
      <c r="Q558" s="61" t="s">
        <v>266</v>
      </c>
      <c r="R558" s="101">
        <f>R550-R555</f>
        <v>1348976.0179738556</v>
      </c>
      <c r="S558" s="124"/>
      <c r="AB558" s="163"/>
      <c r="AC558" s="8"/>
    </row>
    <row r="559" spans="1:29" ht="15" thickTop="1" x14ac:dyDescent="0.35">
      <c r="Q559" s="61" t="s">
        <v>267</v>
      </c>
      <c r="R559" s="62">
        <f>'Dispatch and Sales per day'!AN375</f>
        <v>108030</v>
      </c>
      <c r="S559" s="122"/>
      <c r="AB559" s="8"/>
      <c r="AC559" s="8"/>
    </row>
    <row r="560" spans="1:29" x14ac:dyDescent="0.35">
      <c r="Q560" s="61" t="s">
        <v>165</v>
      </c>
      <c r="R560" s="62">
        <f>'Packaging materials accounting'!O32</f>
        <v>166965.62800000003</v>
      </c>
      <c r="S560" s="122"/>
      <c r="AB560" s="8"/>
      <c r="AC560" s="161"/>
    </row>
    <row r="561" spans="17:29" ht="15" thickBot="1" x14ac:dyDescent="0.4">
      <c r="Q561" s="64" t="s">
        <v>215</v>
      </c>
      <c r="R561" s="101">
        <f>R558-R559-R560</f>
        <v>1073980.3899738556</v>
      </c>
      <c r="S561" s="124"/>
      <c r="AB561" s="163"/>
      <c r="AC561" s="8"/>
    </row>
    <row r="564" spans="17:29" ht="15" thickBot="1" x14ac:dyDescent="0.4">
      <c r="Q564" s="4" t="s">
        <v>268</v>
      </c>
      <c r="AA564" s="4"/>
    </row>
    <row r="565" spans="17:29" x14ac:dyDescent="0.35">
      <c r="Q565" s="60" t="s">
        <v>269</v>
      </c>
      <c r="R565" s="162">
        <f>'Dispatch and Sales per day'!L375</f>
        <v>794635</v>
      </c>
      <c r="S565" s="122"/>
      <c r="AB565" s="8"/>
      <c r="AC565" s="8"/>
    </row>
    <row r="566" spans="17:29" x14ac:dyDescent="0.35">
      <c r="Q566" s="61" t="s">
        <v>262</v>
      </c>
      <c r="R566" s="63">
        <f>F549</f>
        <v>453832.11594771245</v>
      </c>
      <c r="S566" s="123"/>
      <c r="AB566" s="153"/>
      <c r="AC566" s="8"/>
    </row>
    <row r="567" spans="17:29" ht="15" thickBot="1" x14ac:dyDescent="0.4">
      <c r="Q567" s="61" t="s">
        <v>270</v>
      </c>
      <c r="R567" s="101">
        <f>R565-R566</f>
        <v>340802.88405228755</v>
      </c>
      <c r="S567" s="124"/>
      <c r="AB567" s="163"/>
      <c r="AC567" s="8"/>
    </row>
    <row r="568" spans="17:29" ht="15" thickTop="1" x14ac:dyDescent="0.35">
      <c r="Q568" s="61" t="s">
        <v>146</v>
      </c>
      <c r="R568" s="62">
        <f>'Dispatch and Sales per day'!M375</f>
        <v>24900</v>
      </c>
      <c r="S568" s="122"/>
      <c r="AB568" s="8"/>
    </row>
    <row r="569" spans="17:29" x14ac:dyDescent="0.35">
      <c r="Q569" s="61" t="s">
        <v>166</v>
      </c>
      <c r="R569" s="62">
        <f>'Packaging materials accounting'!E32</f>
        <v>46077.89699999999</v>
      </c>
      <c r="S569" s="122"/>
      <c r="AB569" s="8"/>
    </row>
    <row r="570" spans="17:29" ht="15" thickBot="1" x14ac:dyDescent="0.4">
      <c r="Q570" s="64" t="s">
        <v>175</v>
      </c>
      <c r="R570" s="101">
        <f>R567-R568-R569</f>
        <v>269824.98705228756</v>
      </c>
      <c r="S570" s="124"/>
      <c r="AB570" s="163"/>
    </row>
    <row r="571" spans="17:29" ht="15" thickBot="1" x14ac:dyDescent="0.4"/>
    <row r="572" spans="17:29" x14ac:dyDescent="0.35">
      <c r="Q572" s="67" t="s">
        <v>271</v>
      </c>
      <c r="R572" s="66"/>
      <c r="AA572" s="4"/>
    </row>
    <row r="573" spans="17:29" x14ac:dyDescent="0.35">
      <c r="Q573" s="61" t="s">
        <v>272</v>
      </c>
      <c r="R573" s="62">
        <f>'Dispatch and Sales per day'!X375</f>
        <v>2117900</v>
      </c>
      <c r="S573" s="122"/>
      <c r="AB573" s="8"/>
    </row>
    <row r="574" spans="17:29" x14ac:dyDescent="0.35">
      <c r="Q574" s="61" t="s">
        <v>273</v>
      </c>
      <c r="R574" s="63">
        <f>N549</f>
        <v>1506367.479411765</v>
      </c>
      <c r="S574" s="123"/>
      <c r="AB574" s="153"/>
    </row>
    <row r="575" spans="17:29" ht="15" thickBot="1" x14ac:dyDescent="0.4">
      <c r="Q575" s="61" t="s">
        <v>147</v>
      </c>
      <c r="R575" s="101">
        <f>R573-R574</f>
        <v>611532.520588235</v>
      </c>
      <c r="S575" s="124"/>
      <c r="AB575" s="163"/>
    </row>
    <row r="576" spans="17:29" ht="15" thickTop="1" x14ac:dyDescent="0.35">
      <c r="Q576" s="61" t="s">
        <v>148</v>
      </c>
      <c r="R576" s="62">
        <f>'Dispatch and Sales per day'!Y375</f>
        <v>56675</v>
      </c>
      <c r="S576" s="122"/>
      <c r="AB576" s="8"/>
    </row>
    <row r="577" spans="17:28" x14ac:dyDescent="0.35">
      <c r="Q577" s="61" t="s">
        <v>166</v>
      </c>
      <c r="R577" s="62">
        <f>'Packaging materials accounting'!I32</f>
        <v>67797.853000000003</v>
      </c>
      <c r="S577" s="122"/>
      <c r="AB577" s="8"/>
    </row>
    <row r="578" spans="17:28" ht="15" thickBot="1" x14ac:dyDescent="0.4">
      <c r="Q578" s="64" t="s">
        <v>175</v>
      </c>
      <c r="R578" s="101">
        <f>R575-R576-R577</f>
        <v>487059.667588235</v>
      </c>
      <c r="S578" s="124"/>
      <c r="AB578" s="163"/>
    </row>
    <row r="579" spans="17:28" ht="15" thickBot="1" x14ac:dyDescent="0.4"/>
    <row r="580" spans="17:28" x14ac:dyDescent="0.35">
      <c r="Q580" s="67" t="s">
        <v>207</v>
      </c>
      <c r="R580" s="66"/>
      <c r="AA580" s="4"/>
    </row>
    <row r="581" spans="17:28" x14ac:dyDescent="0.35">
      <c r="Q581" s="61" t="s">
        <v>208</v>
      </c>
      <c r="R581" s="62">
        <f>'Dispatch and Sales per day'!AJ375</f>
        <v>865180</v>
      </c>
      <c r="S581" s="122"/>
      <c r="AB581" s="8"/>
    </row>
    <row r="582" spans="17:28" x14ac:dyDescent="0.35">
      <c r="Q582" s="61" t="s">
        <v>209</v>
      </c>
      <c r="R582" s="63">
        <f>X549</f>
        <v>468539.38666666683</v>
      </c>
      <c r="S582" s="123"/>
      <c r="AB582" s="153"/>
    </row>
    <row r="583" spans="17:28" ht="15" thickBot="1" x14ac:dyDescent="0.4">
      <c r="Q583" s="61" t="s">
        <v>147</v>
      </c>
      <c r="R583" s="101">
        <f>R581-R582</f>
        <v>396640.61333333317</v>
      </c>
      <c r="S583" s="124"/>
      <c r="AB583" s="163"/>
    </row>
    <row r="584" spans="17:28" ht="15" thickTop="1" x14ac:dyDescent="0.35">
      <c r="Q584" s="61" t="s">
        <v>148</v>
      </c>
      <c r="R584" s="62">
        <f>'Dispatch and Sales per day'!AK375</f>
        <v>26455</v>
      </c>
      <c r="S584" s="122"/>
      <c r="AB584" s="8"/>
    </row>
    <row r="585" spans="17:28" x14ac:dyDescent="0.35">
      <c r="Q585" s="61" t="s">
        <v>166</v>
      </c>
      <c r="R585" s="62">
        <f>'Packaging materials accounting'!M32</f>
        <v>53089.877999999997</v>
      </c>
      <c r="S585" s="122"/>
      <c r="AB585" s="8"/>
    </row>
    <row r="586" spans="17:28" ht="15" thickBot="1" x14ac:dyDescent="0.4">
      <c r="Q586" s="64" t="s">
        <v>175</v>
      </c>
      <c r="R586" s="101">
        <f>R583-R584-R585</f>
        <v>317095.73533333314</v>
      </c>
      <c r="S586" s="124"/>
      <c r="AB586" s="163"/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8"/>
  <sheetViews>
    <sheetView zoomScale="55" zoomScaleNormal="55" workbookViewId="0">
      <selection activeCell="Q34" sqref="Q34"/>
    </sheetView>
  </sheetViews>
  <sheetFormatPr defaultRowHeight="14.5" x14ac:dyDescent="0.35"/>
  <cols>
    <col min="1" max="1" width="13.453125" customWidth="1"/>
    <col min="2" max="2" width="14.90625" customWidth="1"/>
    <col min="3" max="3" width="18.7265625" customWidth="1"/>
    <col min="4" max="4" width="18.08984375" customWidth="1"/>
    <col min="5" max="5" width="14.08984375" customWidth="1"/>
    <col min="6" max="6" width="13.90625" customWidth="1"/>
    <col min="7" max="7" width="13.36328125" customWidth="1"/>
    <col min="8" max="8" width="15.90625" customWidth="1"/>
    <col min="9" max="9" width="15" customWidth="1"/>
    <col min="10" max="10" width="16.36328125" customWidth="1"/>
    <col min="11" max="11" width="14.7265625" customWidth="1"/>
    <col min="12" max="12" width="17.26953125" customWidth="1"/>
    <col min="13" max="13" width="13.26953125" customWidth="1"/>
    <col min="14" max="14" width="27.453125" customWidth="1"/>
    <col min="15" max="15" width="28.08984375" customWidth="1"/>
    <col min="17" max="17" width="19" customWidth="1"/>
    <col min="18" max="18" width="9.36328125" bestFit="1" customWidth="1"/>
  </cols>
  <sheetData>
    <row r="1" spans="1:15" ht="43.5" x14ac:dyDescent="0.35">
      <c r="A1" s="97" t="s">
        <v>10</v>
      </c>
      <c r="B1" s="97" t="s">
        <v>159</v>
      </c>
      <c r="C1" s="97" t="s">
        <v>161</v>
      </c>
      <c r="D1" s="97" t="s">
        <v>162</v>
      </c>
      <c r="E1" s="97" t="s">
        <v>157</v>
      </c>
      <c r="F1" s="97" t="s">
        <v>168</v>
      </c>
      <c r="G1" s="97" t="s">
        <v>160</v>
      </c>
      <c r="H1" s="97" t="s">
        <v>163</v>
      </c>
      <c r="I1" s="97" t="s">
        <v>158</v>
      </c>
      <c r="J1" s="97" t="s">
        <v>212</v>
      </c>
      <c r="K1" s="97" t="s">
        <v>160</v>
      </c>
      <c r="L1" s="97" t="s">
        <v>163</v>
      </c>
      <c r="M1" s="97" t="s">
        <v>158</v>
      </c>
      <c r="N1" s="97" t="s">
        <v>213</v>
      </c>
      <c r="O1" s="97" t="s">
        <v>214</v>
      </c>
    </row>
    <row r="2" spans="1:15" x14ac:dyDescent="0.35">
      <c r="A2" s="297">
        <f>DATE(2025,9,2)</f>
        <v>45902</v>
      </c>
      <c r="B2" s="1">
        <f>Production!G19</f>
        <v>1056</v>
      </c>
      <c r="C2" s="1">
        <f>B2</f>
        <v>1056</v>
      </c>
      <c r="D2" s="98">
        <f>163850/50000</f>
        <v>3.2770000000000001</v>
      </c>
      <c r="E2" s="95">
        <f t="shared" ref="E2:E17" si="0">C2*D2</f>
        <v>3460.5120000000002</v>
      </c>
      <c r="F2" s="57">
        <f>Production!O19</f>
        <v>832</v>
      </c>
      <c r="G2" s="57">
        <f>F2</f>
        <v>832</v>
      </c>
      <c r="H2" s="98">
        <f>163850/50000</f>
        <v>3.2770000000000001</v>
      </c>
      <c r="I2" s="95">
        <f t="shared" ref="I2:I17" si="1">G2*H2</f>
        <v>2726.4639999999999</v>
      </c>
      <c r="J2" s="57">
        <f>Production!Y19</f>
        <v>612</v>
      </c>
      <c r="K2" s="57">
        <f t="shared" ref="K2:K10" si="2">J2</f>
        <v>612</v>
      </c>
      <c r="L2" s="98">
        <f>163850/50000</f>
        <v>3.2770000000000001</v>
      </c>
      <c r="M2" s="95">
        <f t="shared" ref="M2:M10" si="3">K2*L2</f>
        <v>2005.5240000000001</v>
      </c>
      <c r="N2" s="57">
        <f>C2+G2+K2</f>
        <v>2500</v>
      </c>
      <c r="O2" s="96">
        <f>E2+I2+M2</f>
        <v>8192.5</v>
      </c>
    </row>
    <row r="3" spans="1:15" x14ac:dyDescent="0.35">
      <c r="A3" s="297">
        <f>DATE(2025,9,2)</f>
        <v>45902</v>
      </c>
      <c r="B3" s="1">
        <f>Production!G38</f>
        <v>528</v>
      </c>
      <c r="C3" s="1">
        <f t="shared" ref="C3:C17" si="4">B3</f>
        <v>528</v>
      </c>
      <c r="D3" s="98">
        <f>D2</f>
        <v>3.2770000000000001</v>
      </c>
      <c r="E3" s="95">
        <f t="shared" si="0"/>
        <v>1730.2560000000001</v>
      </c>
      <c r="F3" s="57">
        <f>Production!O38</f>
        <v>804</v>
      </c>
      <c r="G3" s="57">
        <f t="shared" ref="G3:G17" si="5">F3</f>
        <v>804</v>
      </c>
      <c r="H3" s="98">
        <f>H2</f>
        <v>3.2770000000000001</v>
      </c>
      <c r="I3" s="95">
        <f t="shared" si="1"/>
        <v>2634.7080000000001</v>
      </c>
      <c r="J3" s="57">
        <f>Production!Y38</f>
        <v>918</v>
      </c>
      <c r="K3" s="57">
        <f t="shared" si="2"/>
        <v>918</v>
      </c>
      <c r="L3" s="98">
        <f>L2</f>
        <v>3.2770000000000001</v>
      </c>
      <c r="M3" s="95">
        <f t="shared" si="3"/>
        <v>3008.2860000000001</v>
      </c>
      <c r="N3" s="57">
        <f t="shared" ref="N3:N16" si="6">C3+G3+K3</f>
        <v>2250</v>
      </c>
      <c r="O3" s="96">
        <f t="shared" ref="O3:O16" si="7">E3+I3+M3</f>
        <v>7373.25</v>
      </c>
    </row>
    <row r="4" spans="1:15" x14ac:dyDescent="0.35">
      <c r="A4" s="297">
        <f>A3+1</f>
        <v>45903</v>
      </c>
      <c r="B4" s="1">
        <f>Production!G56</f>
        <v>528</v>
      </c>
      <c r="C4" s="1">
        <f t="shared" si="4"/>
        <v>528</v>
      </c>
      <c r="D4" s="98">
        <f>D3</f>
        <v>3.2770000000000001</v>
      </c>
      <c r="E4" s="95">
        <f t="shared" si="0"/>
        <v>1730.2560000000001</v>
      </c>
      <c r="F4" s="57">
        <f>Production!O56</f>
        <v>823</v>
      </c>
      <c r="G4" s="57">
        <f t="shared" si="5"/>
        <v>823</v>
      </c>
      <c r="H4" s="98">
        <f>H3</f>
        <v>3.2770000000000001</v>
      </c>
      <c r="I4" s="95">
        <f t="shared" si="1"/>
        <v>2696.971</v>
      </c>
      <c r="J4" s="57">
        <f>Production!Y56</f>
        <v>714</v>
      </c>
      <c r="K4" s="57">
        <f t="shared" si="2"/>
        <v>714</v>
      </c>
      <c r="L4" s="98">
        <f>L3</f>
        <v>3.2770000000000001</v>
      </c>
      <c r="M4" s="95">
        <f t="shared" si="3"/>
        <v>2339.7780000000002</v>
      </c>
      <c r="N4" s="57">
        <f t="shared" si="6"/>
        <v>2065</v>
      </c>
      <c r="O4" s="96">
        <f t="shared" si="7"/>
        <v>6767.0050000000001</v>
      </c>
    </row>
    <row r="5" spans="1:15" x14ac:dyDescent="0.35">
      <c r="A5" s="297">
        <f t="shared" ref="A5:A31" si="8">A4+1</f>
        <v>45904</v>
      </c>
      <c r="B5" s="1">
        <f>Production!G73</f>
        <v>528</v>
      </c>
      <c r="C5" s="1">
        <f t="shared" si="4"/>
        <v>528</v>
      </c>
      <c r="D5" s="98">
        <f>D4</f>
        <v>3.2770000000000001</v>
      </c>
      <c r="E5" s="95">
        <f t="shared" si="0"/>
        <v>1730.2560000000001</v>
      </c>
      <c r="F5" s="57">
        <f>Production!O73</f>
        <v>817</v>
      </c>
      <c r="G5" s="57">
        <f t="shared" si="5"/>
        <v>817</v>
      </c>
      <c r="H5" s="98">
        <f>H4</f>
        <v>3.2770000000000001</v>
      </c>
      <c r="I5" s="95">
        <f t="shared" si="1"/>
        <v>2677.3090000000002</v>
      </c>
      <c r="J5" s="57">
        <f>Production!Y73</f>
        <v>612</v>
      </c>
      <c r="K5" s="57">
        <f t="shared" si="2"/>
        <v>612</v>
      </c>
      <c r="L5" s="98">
        <f>L4</f>
        <v>3.2770000000000001</v>
      </c>
      <c r="M5" s="95">
        <f t="shared" si="3"/>
        <v>2005.5240000000001</v>
      </c>
      <c r="N5" s="57">
        <f t="shared" si="6"/>
        <v>1957</v>
      </c>
      <c r="O5" s="96">
        <f t="shared" si="7"/>
        <v>6413.0890000000009</v>
      </c>
    </row>
    <row r="6" spans="1:15" x14ac:dyDescent="0.35">
      <c r="A6" s="297">
        <f t="shared" si="8"/>
        <v>45905</v>
      </c>
      <c r="B6" s="1">
        <f>Production!G94</f>
        <v>528</v>
      </c>
      <c r="C6" s="1">
        <f t="shared" si="4"/>
        <v>528</v>
      </c>
      <c r="D6" s="98">
        <f>D5</f>
        <v>3.2770000000000001</v>
      </c>
      <c r="E6" s="95">
        <f t="shared" si="0"/>
        <v>1730.2560000000001</v>
      </c>
      <c r="F6" s="57">
        <f>Production!O94</f>
        <v>802</v>
      </c>
      <c r="G6" s="57">
        <f t="shared" si="5"/>
        <v>802</v>
      </c>
      <c r="H6" s="98">
        <f>H5</f>
        <v>3.2770000000000001</v>
      </c>
      <c r="I6" s="95">
        <f t="shared" si="1"/>
        <v>2628.154</v>
      </c>
      <c r="J6" s="57">
        <f>Production!Y94</f>
        <v>612</v>
      </c>
      <c r="K6" s="57">
        <f t="shared" si="2"/>
        <v>612</v>
      </c>
      <c r="L6" s="98">
        <f>L5</f>
        <v>3.2770000000000001</v>
      </c>
      <c r="M6" s="95">
        <f t="shared" si="3"/>
        <v>2005.5240000000001</v>
      </c>
      <c r="N6" s="57">
        <f t="shared" si="6"/>
        <v>1942</v>
      </c>
      <c r="O6" s="96">
        <f t="shared" si="7"/>
        <v>6363.9340000000002</v>
      </c>
    </row>
    <row r="7" spans="1:15" x14ac:dyDescent="0.35">
      <c r="A7" s="297">
        <f t="shared" si="8"/>
        <v>45906</v>
      </c>
      <c r="B7" s="1">
        <f>Production!G114</f>
        <v>515</v>
      </c>
      <c r="C7" s="1">
        <f t="shared" si="4"/>
        <v>515</v>
      </c>
      <c r="D7" s="98">
        <f t="shared" ref="D7:D31" si="9">D5</f>
        <v>3.2770000000000001</v>
      </c>
      <c r="E7" s="95">
        <f t="shared" si="0"/>
        <v>1687.655</v>
      </c>
      <c r="F7" s="57">
        <f>Production!O114</f>
        <v>816</v>
      </c>
      <c r="G7" s="57">
        <f t="shared" si="5"/>
        <v>816</v>
      </c>
      <c r="H7" s="98">
        <f t="shared" ref="H7:H31" si="10">H5</f>
        <v>3.2770000000000001</v>
      </c>
      <c r="I7" s="95">
        <f t="shared" si="1"/>
        <v>2674.0320000000002</v>
      </c>
      <c r="J7" s="57">
        <f>Production!Y114</f>
        <v>612</v>
      </c>
      <c r="K7" s="57">
        <f t="shared" si="2"/>
        <v>612</v>
      </c>
      <c r="L7" s="98">
        <f t="shared" ref="L7:L31" si="11">L5</f>
        <v>3.2770000000000001</v>
      </c>
      <c r="M7" s="95">
        <f t="shared" si="3"/>
        <v>2005.5240000000001</v>
      </c>
      <c r="N7" s="57">
        <f t="shared" si="6"/>
        <v>1943</v>
      </c>
      <c r="O7" s="96">
        <f t="shared" si="7"/>
        <v>6367.2110000000002</v>
      </c>
    </row>
    <row r="8" spans="1:15" x14ac:dyDescent="0.35">
      <c r="A8" s="297">
        <f t="shared" si="8"/>
        <v>45907</v>
      </c>
      <c r="B8" s="1">
        <f>Production!G132</f>
        <v>0</v>
      </c>
      <c r="C8" s="1">
        <f t="shared" si="4"/>
        <v>0</v>
      </c>
      <c r="D8" s="98">
        <f t="shared" si="9"/>
        <v>3.2770000000000001</v>
      </c>
      <c r="E8" s="95">
        <f t="shared" si="0"/>
        <v>0</v>
      </c>
      <c r="F8" s="57">
        <f>Production!O130</f>
        <v>0</v>
      </c>
      <c r="G8" s="57">
        <f t="shared" si="5"/>
        <v>0</v>
      </c>
      <c r="H8" s="98">
        <f t="shared" si="10"/>
        <v>3.2770000000000001</v>
      </c>
      <c r="I8" s="95">
        <f t="shared" si="1"/>
        <v>0</v>
      </c>
      <c r="J8" s="57">
        <f>Production!Y132</f>
        <v>0</v>
      </c>
      <c r="K8" s="57">
        <f t="shared" si="2"/>
        <v>0</v>
      </c>
      <c r="L8" s="98">
        <f t="shared" si="11"/>
        <v>3.2770000000000001</v>
      </c>
      <c r="M8" s="95">
        <f t="shared" si="3"/>
        <v>0</v>
      </c>
      <c r="N8" s="57">
        <f t="shared" si="6"/>
        <v>0</v>
      </c>
      <c r="O8" s="96">
        <f t="shared" si="7"/>
        <v>0</v>
      </c>
    </row>
    <row r="9" spans="1:15" x14ac:dyDescent="0.35">
      <c r="A9" s="297">
        <f t="shared" si="8"/>
        <v>45908</v>
      </c>
      <c r="B9" s="1">
        <f>Production!G151</f>
        <v>660</v>
      </c>
      <c r="C9" s="1">
        <f t="shared" si="4"/>
        <v>660</v>
      </c>
      <c r="D9" s="98">
        <f t="shared" si="9"/>
        <v>3.2770000000000001</v>
      </c>
      <c r="E9" s="95">
        <f t="shared" si="0"/>
        <v>2162.8200000000002</v>
      </c>
      <c r="F9" s="57">
        <f>Production!O151</f>
        <v>823</v>
      </c>
      <c r="G9" s="57">
        <f t="shared" si="5"/>
        <v>823</v>
      </c>
      <c r="H9" s="98">
        <f t="shared" si="10"/>
        <v>3.2770000000000001</v>
      </c>
      <c r="I9" s="95">
        <f t="shared" si="1"/>
        <v>2696.971</v>
      </c>
      <c r="J9" s="57">
        <f>Production!Y151</f>
        <v>816</v>
      </c>
      <c r="K9" s="57">
        <f t="shared" si="2"/>
        <v>816</v>
      </c>
      <c r="L9" s="98">
        <f t="shared" si="11"/>
        <v>3.2770000000000001</v>
      </c>
      <c r="M9" s="95">
        <f t="shared" si="3"/>
        <v>2674.0320000000002</v>
      </c>
      <c r="N9" s="57">
        <f t="shared" si="6"/>
        <v>2299</v>
      </c>
      <c r="O9" s="96">
        <f t="shared" si="7"/>
        <v>7533.8230000000003</v>
      </c>
    </row>
    <row r="10" spans="1:15" x14ac:dyDescent="0.35">
      <c r="A10" s="297">
        <f t="shared" si="8"/>
        <v>45909</v>
      </c>
      <c r="B10" s="1">
        <f>Production!G171</f>
        <v>528</v>
      </c>
      <c r="C10" s="1">
        <f t="shared" si="4"/>
        <v>528</v>
      </c>
      <c r="D10" s="98">
        <f t="shared" si="9"/>
        <v>3.2770000000000001</v>
      </c>
      <c r="E10" s="95">
        <f t="shared" si="0"/>
        <v>1730.2560000000001</v>
      </c>
      <c r="F10" s="57">
        <f>Production!O171</f>
        <v>893</v>
      </c>
      <c r="G10" s="57">
        <f t="shared" si="5"/>
        <v>893</v>
      </c>
      <c r="H10" s="98">
        <f t="shared" si="10"/>
        <v>3.2770000000000001</v>
      </c>
      <c r="I10" s="95">
        <f t="shared" si="1"/>
        <v>2926.3610000000003</v>
      </c>
      <c r="J10" s="57">
        <f>Production!Y171</f>
        <v>714</v>
      </c>
      <c r="K10" s="57">
        <f t="shared" si="2"/>
        <v>714</v>
      </c>
      <c r="L10" s="98">
        <f t="shared" si="11"/>
        <v>3.2770000000000001</v>
      </c>
      <c r="M10" s="95">
        <f t="shared" si="3"/>
        <v>2339.7780000000002</v>
      </c>
      <c r="N10" s="57">
        <f t="shared" si="6"/>
        <v>2135</v>
      </c>
      <c r="O10" s="96">
        <f t="shared" si="7"/>
        <v>6996.3950000000004</v>
      </c>
    </row>
    <row r="11" spans="1:15" x14ac:dyDescent="0.35">
      <c r="A11" s="297">
        <f t="shared" si="8"/>
        <v>45910</v>
      </c>
      <c r="B11" s="1">
        <f>Production!G190</f>
        <v>528</v>
      </c>
      <c r="C11" s="1">
        <f t="shared" si="4"/>
        <v>528</v>
      </c>
      <c r="D11" s="98">
        <f t="shared" si="9"/>
        <v>3.2770000000000001</v>
      </c>
      <c r="E11" s="95">
        <f t="shared" si="0"/>
        <v>1730.2560000000001</v>
      </c>
      <c r="F11" s="57">
        <f>Production!O190</f>
        <v>803</v>
      </c>
      <c r="G11" s="57">
        <f t="shared" si="5"/>
        <v>803</v>
      </c>
      <c r="H11" s="98">
        <f t="shared" si="10"/>
        <v>3.2770000000000001</v>
      </c>
      <c r="I11" s="95">
        <f t="shared" si="1"/>
        <v>2631.431</v>
      </c>
      <c r="J11" s="57">
        <f>Production!Y190</f>
        <v>714</v>
      </c>
      <c r="K11" s="57">
        <v>0</v>
      </c>
      <c r="L11" s="98">
        <f t="shared" si="11"/>
        <v>3.2770000000000001</v>
      </c>
      <c r="M11" s="95">
        <f t="shared" ref="M11:M17" si="12">K11*L11</f>
        <v>0</v>
      </c>
      <c r="N11" s="57">
        <f t="shared" si="6"/>
        <v>1331</v>
      </c>
      <c r="O11" s="96">
        <f t="shared" si="7"/>
        <v>4361.6869999999999</v>
      </c>
    </row>
    <row r="12" spans="1:15" x14ac:dyDescent="0.35">
      <c r="A12" s="297">
        <f t="shared" si="8"/>
        <v>45911</v>
      </c>
      <c r="B12" s="1">
        <f>Production!G207</f>
        <v>264</v>
      </c>
      <c r="C12" s="1">
        <f t="shared" si="4"/>
        <v>264</v>
      </c>
      <c r="D12" s="98">
        <f t="shared" si="9"/>
        <v>3.2770000000000001</v>
      </c>
      <c r="E12" s="95">
        <f t="shared" si="0"/>
        <v>865.12800000000004</v>
      </c>
      <c r="F12" s="57">
        <f>Production!O207</f>
        <v>915</v>
      </c>
      <c r="G12" s="57">
        <f t="shared" si="5"/>
        <v>915</v>
      </c>
      <c r="H12" s="98">
        <f t="shared" si="10"/>
        <v>3.2770000000000001</v>
      </c>
      <c r="I12" s="95">
        <f t="shared" si="1"/>
        <v>2998.4549999999999</v>
      </c>
      <c r="J12" s="57">
        <f>Production!Y207</f>
        <v>612</v>
      </c>
      <c r="K12" s="57">
        <f>J12</f>
        <v>612</v>
      </c>
      <c r="L12" s="98">
        <f t="shared" si="11"/>
        <v>3.2770000000000001</v>
      </c>
      <c r="M12" s="95">
        <f t="shared" si="12"/>
        <v>2005.5240000000001</v>
      </c>
      <c r="N12" s="57">
        <f t="shared" si="6"/>
        <v>1791</v>
      </c>
      <c r="O12" s="96">
        <f t="shared" si="7"/>
        <v>5869.107</v>
      </c>
    </row>
    <row r="13" spans="1:15" x14ac:dyDescent="0.35">
      <c r="A13" s="297">
        <f t="shared" si="8"/>
        <v>45912</v>
      </c>
      <c r="B13" s="1">
        <f>Production!G224</f>
        <v>660</v>
      </c>
      <c r="C13" s="1">
        <f t="shared" si="4"/>
        <v>660</v>
      </c>
      <c r="D13" s="98">
        <f t="shared" si="9"/>
        <v>3.2770000000000001</v>
      </c>
      <c r="E13" s="95">
        <f t="shared" si="0"/>
        <v>2162.8200000000002</v>
      </c>
      <c r="F13" s="57">
        <f>Production!O224</f>
        <v>810</v>
      </c>
      <c r="G13" s="57">
        <f t="shared" si="5"/>
        <v>810</v>
      </c>
      <c r="H13" s="98">
        <f t="shared" si="10"/>
        <v>3.2770000000000001</v>
      </c>
      <c r="I13" s="95">
        <f t="shared" si="1"/>
        <v>2654.37</v>
      </c>
      <c r="J13" s="57">
        <f>Production!Y224</f>
        <v>612</v>
      </c>
      <c r="K13" s="57">
        <f>J13</f>
        <v>612</v>
      </c>
      <c r="L13" s="98">
        <f t="shared" si="11"/>
        <v>3.2770000000000001</v>
      </c>
      <c r="M13" s="95">
        <f>Production!Y224</f>
        <v>612</v>
      </c>
      <c r="N13" s="57">
        <f t="shared" si="6"/>
        <v>2082</v>
      </c>
      <c r="O13" s="96">
        <f t="shared" si="7"/>
        <v>5429.1900000000005</v>
      </c>
    </row>
    <row r="14" spans="1:15" x14ac:dyDescent="0.35">
      <c r="A14" s="297">
        <f t="shared" si="8"/>
        <v>45913</v>
      </c>
      <c r="B14" s="1">
        <f>Production!G241</f>
        <v>528</v>
      </c>
      <c r="C14" s="1">
        <f t="shared" si="4"/>
        <v>528</v>
      </c>
      <c r="D14" s="98">
        <f t="shared" si="9"/>
        <v>3.2770000000000001</v>
      </c>
      <c r="E14" s="95">
        <f t="shared" si="0"/>
        <v>1730.2560000000001</v>
      </c>
      <c r="F14" s="57">
        <f>Production!O241</f>
        <v>705</v>
      </c>
      <c r="G14" s="57">
        <f t="shared" si="5"/>
        <v>705</v>
      </c>
      <c r="H14" s="98">
        <f t="shared" si="10"/>
        <v>3.2770000000000001</v>
      </c>
      <c r="I14" s="95">
        <f t="shared" si="1"/>
        <v>2310.2850000000003</v>
      </c>
      <c r="J14" s="57">
        <f>Production!Y241</f>
        <v>612</v>
      </c>
      <c r="K14" s="57">
        <f>J14</f>
        <v>612</v>
      </c>
      <c r="L14" s="98">
        <f t="shared" si="11"/>
        <v>3.2770000000000001</v>
      </c>
      <c r="M14" s="95">
        <f t="shared" si="12"/>
        <v>2005.5240000000001</v>
      </c>
      <c r="N14" s="57">
        <f t="shared" si="6"/>
        <v>1845</v>
      </c>
      <c r="O14" s="96">
        <f t="shared" si="7"/>
        <v>6046.0650000000005</v>
      </c>
    </row>
    <row r="15" spans="1:15" x14ac:dyDescent="0.35">
      <c r="A15" s="297">
        <f t="shared" si="8"/>
        <v>45914</v>
      </c>
      <c r="B15" s="1">
        <f>Production!G259</f>
        <v>0</v>
      </c>
      <c r="C15" s="1">
        <f t="shared" si="4"/>
        <v>0</v>
      </c>
      <c r="D15" s="98">
        <f t="shared" si="9"/>
        <v>3.2770000000000001</v>
      </c>
      <c r="E15" s="95">
        <f t="shared" si="0"/>
        <v>0</v>
      </c>
      <c r="F15" s="57">
        <f>Production!O259</f>
        <v>0</v>
      </c>
      <c r="G15" s="57">
        <f t="shared" si="5"/>
        <v>0</v>
      </c>
      <c r="H15" s="98">
        <f t="shared" si="10"/>
        <v>3.2770000000000001</v>
      </c>
      <c r="I15" s="95">
        <f t="shared" si="1"/>
        <v>0</v>
      </c>
      <c r="J15" s="57">
        <f>Production!Y259</f>
        <v>0</v>
      </c>
      <c r="K15" s="57">
        <f>J15</f>
        <v>0</v>
      </c>
      <c r="L15" s="98">
        <f t="shared" si="11"/>
        <v>3.2770000000000001</v>
      </c>
      <c r="M15" s="95">
        <f t="shared" si="12"/>
        <v>0</v>
      </c>
      <c r="N15" s="57">
        <f t="shared" si="6"/>
        <v>0</v>
      </c>
      <c r="O15" s="96">
        <f t="shared" si="7"/>
        <v>0</v>
      </c>
    </row>
    <row r="16" spans="1:15" x14ac:dyDescent="0.35">
      <c r="A16" s="297">
        <f t="shared" si="8"/>
        <v>45915</v>
      </c>
      <c r="B16" s="1">
        <f>Production!G277</f>
        <v>660</v>
      </c>
      <c r="C16" s="1">
        <f t="shared" si="4"/>
        <v>660</v>
      </c>
      <c r="D16" s="98">
        <f t="shared" si="9"/>
        <v>3.2770000000000001</v>
      </c>
      <c r="E16" s="95">
        <f t="shared" si="0"/>
        <v>2162.8200000000002</v>
      </c>
      <c r="F16" s="57">
        <f>Production!O277</f>
        <v>723</v>
      </c>
      <c r="G16" s="57">
        <f t="shared" si="5"/>
        <v>723</v>
      </c>
      <c r="H16" s="98">
        <f t="shared" si="10"/>
        <v>3.2770000000000001</v>
      </c>
      <c r="I16" s="95">
        <f t="shared" si="1"/>
        <v>2369.2710000000002</v>
      </c>
      <c r="J16" s="57">
        <f>Production!Y277</f>
        <v>714</v>
      </c>
      <c r="K16" s="57">
        <f>J16</f>
        <v>714</v>
      </c>
      <c r="L16" s="98">
        <f t="shared" si="11"/>
        <v>3.2770000000000001</v>
      </c>
      <c r="M16" s="95">
        <f t="shared" si="12"/>
        <v>2339.7780000000002</v>
      </c>
      <c r="N16" s="57">
        <f t="shared" si="6"/>
        <v>2097</v>
      </c>
      <c r="O16" s="96">
        <f t="shared" si="7"/>
        <v>6871.8690000000006</v>
      </c>
    </row>
    <row r="17" spans="1:17" x14ac:dyDescent="0.35">
      <c r="A17" s="297">
        <f t="shared" si="8"/>
        <v>45916</v>
      </c>
      <c r="B17" s="1">
        <f>Production!G295</f>
        <v>660</v>
      </c>
      <c r="C17" s="1">
        <f t="shared" si="4"/>
        <v>660</v>
      </c>
      <c r="D17" s="98">
        <f t="shared" si="9"/>
        <v>3.2770000000000001</v>
      </c>
      <c r="E17" s="95">
        <f t="shared" si="0"/>
        <v>2162.8200000000002</v>
      </c>
      <c r="F17" s="57">
        <f>Production!O295</f>
        <v>821</v>
      </c>
      <c r="G17" s="57">
        <f t="shared" si="5"/>
        <v>821</v>
      </c>
      <c r="H17" s="98">
        <f t="shared" si="10"/>
        <v>3.2770000000000001</v>
      </c>
      <c r="I17" s="95">
        <f t="shared" si="1"/>
        <v>2690.4169999999999</v>
      </c>
      <c r="J17" s="57">
        <f>Production!Y295</f>
        <v>714</v>
      </c>
      <c r="K17" s="57">
        <f t="shared" ref="K17" si="13">J17</f>
        <v>714</v>
      </c>
      <c r="L17" s="98">
        <f t="shared" si="11"/>
        <v>3.2770000000000001</v>
      </c>
      <c r="M17" s="95">
        <f t="shared" si="12"/>
        <v>2339.7780000000002</v>
      </c>
      <c r="N17" s="57">
        <f t="shared" ref="N17" si="14">C17+G17+K17</f>
        <v>2195</v>
      </c>
      <c r="O17" s="96">
        <f t="shared" ref="O17" si="15">E17+I17+M17</f>
        <v>7193.0150000000003</v>
      </c>
    </row>
    <row r="18" spans="1:17" x14ac:dyDescent="0.35">
      <c r="A18" s="297">
        <f t="shared" si="8"/>
        <v>45917</v>
      </c>
      <c r="B18" s="1">
        <f>Production!G313</f>
        <v>528</v>
      </c>
      <c r="C18" s="1">
        <f t="shared" ref="C18" si="16">B18</f>
        <v>528</v>
      </c>
      <c r="D18" s="98">
        <f t="shared" si="9"/>
        <v>3.2770000000000001</v>
      </c>
      <c r="E18" s="95">
        <f t="shared" ref="E18" si="17">C18*D18</f>
        <v>1730.2560000000001</v>
      </c>
      <c r="F18" s="57">
        <f>Production!O313</f>
        <v>898</v>
      </c>
      <c r="G18" s="57">
        <f t="shared" ref="G18" si="18">F18</f>
        <v>898</v>
      </c>
      <c r="H18" s="98">
        <f t="shared" si="10"/>
        <v>3.2770000000000001</v>
      </c>
      <c r="I18" s="95">
        <f t="shared" ref="I18" si="19">G18*H18</f>
        <v>2942.7460000000001</v>
      </c>
      <c r="J18" s="57">
        <f>Production!Y313</f>
        <v>612</v>
      </c>
      <c r="K18" s="57">
        <f t="shared" ref="K18" si="20">J18</f>
        <v>612</v>
      </c>
      <c r="L18" s="98">
        <f t="shared" si="11"/>
        <v>3.2770000000000001</v>
      </c>
      <c r="M18" s="95">
        <f t="shared" ref="M18" si="21">K18*L18</f>
        <v>2005.5240000000001</v>
      </c>
      <c r="N18" s="57">
        <f t="shared" ref="N18" si="22">C18+G18+K18</f>
        <v>2038</v>
      </c>
      <c r="O18" s="96">
        <f t="shared" ref="O18" si="23">E18+I18+M18</f>
        <v>6678.5260000000007</v>
      </c>
    </row>
    <row r="19" spans="1:17" x14ac:dyDescent="0.35">
      <c r="A19" s="297">
        <f t="shared" si="8"/>
        <v>45918</v>
      </c>
      <c r="B19" s="1">
        <f>Production!G330</f>
        <v>396</v>
      </c>
      <c r="C19" s="1">
        <f t="shared" ref="C19:C21" si="24">B19</f>
        <v>396</v>
      </c>
      <c r="D19" s="98">
        <f t="shared" si="9"/>
        <v>3.2770000000000001</v>
      </c>
      <c r="E19" s="95">
        <f t="shared" ref="E19:E21" si="25">C19*D19</f>
        <v>1297.692</v>
      </c>
      <c r="F19" s="57">
        <f>Production!O330</f>
        <v>800</v>
      </c>
      <c r="G19" s="57">
        <f t="shared" ref="G19:G21" si="26">F19</f>
        <v>800</v>
      </c>
      <c r="H19" s="98">
        <f t="shared" si="10"/>
        <v>3.2770000000000001</v>
      </c>
      <c r="I19" s="95">
        <f t="shared" ref="I19:I21" si="27">G19*H19</f>
        <v>2621.6</v>
      </c>
      <c r="J19" s="57">
        <f>Production!Y330</f>
        <v>510</v>
      </c>
      <c r="K19" s="57">
        <f t="shared" ref="K19:K21" si="28">J19</f>
        <v>510</v>
      </c>
      <c r="L19" s="98">
        <f t="shared" si="11"/>
        <v>3.2770000000000001</v>
      </c>
      <c r="M19" s="95">
        <f t="shared" ref="M19:M21" si="29">K19*L19</f>
        <v>1671.27</v>
      </c>
      <c r="N19" s="57">
        <f t="shared" ref="N19:N21" si="30">C19+G19+K19</f>
        <v>1706</v>
      </c>
      <c r="O19" s="96">
        <f t="shared" ref="O19:O21" si="31">E19+I19+M19</f>
        <v>5590.5619999999999</v>
      </c>
    </row>
    <row r="20" spans="1:17" x14ac:dyDescent="0.35">
      <c r="A20" s="297">
        <f t="shared" si="8"/>
        <v>45919</v>
      </c>
      <c r="B20" s="1">
        <v>0</v>
      </c>
      <c r="C20" s="1">
        <f t="shared" si="24"/>
        <v>0</v>
      </c>
      <c r="D20" s="98">
        <f t="shared" si="9"/>
        <v>3.2770000000000001</v>
      </c>
      <c r="E20" s="95">
        <f t="shared" si="25"/>
        <v>0</v>
      </c>
      <c r="F20" s="57">
        <v>0</v>
      </c>
      <c r="G20" s="57">
        <f t="shared" si="26"/>
        <v>0</v>
      </c>
      <c r="H20" s="98">
        <f t="shared" si="10"/>
        <v>3.2770000000000001</v>
      </c>
      <c r="I20" s="95">
        <f t="shared" si="27"/>
        <v>0</v>
      </c>
      <c r="J20" s="57">
        <v>0</v>
      </c>
      <c r="K20" s="57">
        <f t="shared" si="28"/>
        <v>0</v>
      </c>
      <c r="L20" s="98">
        <f t="shared" si="11"/>
        <v>3.2770000000000001</v>
      </c>
      <c r="M20" s="95">
        <f t="shared" si="29"/>
        <v>0</v>
      </c>
      <c r="N20" s="57">
        <v>0</v>
      </c>
      <c r="O20" s="96">
        <f t="shared" si="31"/>
        <v>0</v>
      </c>
    </row>
    <row r="21" spans="1:17" x14ac:dyDescent="0.35">
      <c r="A21" s="297">
        <f t="shared" si="8"/>
        <v>45920</v>
      </c>
      <c r="B21" s="1">
        <f>Production!G365</f>
        <v>524</v>
      </c>
      <c r="C21" s="1">
        <f t="shared" si="24"/>
        <v>524</v>
      </c>
      <c r="D21" s="98">
        <f t="shared" si="9"/>
        <v>3.2770000000000001</v>
      </c>
      <c r="E21" s="95">
        <f t="shared" si="25"/>
        <v>1717.1480000000001</v>
      </c>
      <c r="F21" s="57">
        <f>Production!O365</f>
        <v>807</v>
      </c>
      <c r="G21" s="57">
        <f t="shared" si="26"/>
        <v>807</v>
      </c>
      <c r="H21" s="98">
        <f t="shared" si="10"/>
        <v>3.2770000000000001</v>
      </c>
      <c r="I21" s="95">
        <f t="shared" si="27"/>
        <v>2644.5390000000002</v>
      </c>
      <c r="J21" s="57">
        <f>Production!Y365</f>
        <v>408</v>
      </c>
      <c r="K21" s="57">
        <f t="shared" si="28"/>
        <v>408</v>
      </c>
      <c r="L21" s="98">
        <f t="shared" si="11"/>
        <v>3.2770000000000001</v>
      </c>
      <c r="M21" s="95">
        <f t="shared" si="29"/>
        <v>1337.0160000000001</v>
      </c>
      <c r="N21" s="57">
        <f t="shared" si="30"/>
        <v>1739</v>
      </c>
      <c r="O21" s="96">
        <f t="shared" si="31"/>
        <v>5698.7029999999995</v>
      </c>
    </row>
    <row r="22" spans="1:17" x14ac:dyDescent="0.35">
      <c r="A22" s="297">
        <f t="shared" si="8"/>
        <v>45921</v>
      </c>
      <c r="B22" s="1">
        <f>Production!G383</f>
        <v>0</v>
      </c>
      <c r="C22" s="1">
        <f t="shared" ref="C22" si="32">B22</f>
        <v>0</v>
      </c>
      <c r="D22" s="98">
        <f t="shared" si="9"/>
        <v>3.2770000000000001</v>
      </c>
      <c r="E22" s="95">
        <f t="shared" ref="E22" si="33">C22*D22</f>
        <v>0</v>
      </c>
      <c r="F22" s="57">
        <f>Production!O383</f>
        <v>0</v>
      </c>
      <c r="G22" s="57">
        <f t="shared" ref="G22" si="34">F22</f>
        <v>0</v>
      </c>
      <c r="H22" s="98">
        <f t="shared" si="10"/>
        <v>3.2770000000000001</v>
      </c>
      <c r="I22" s="95">
        <f t="shared" ref="I22" si="35">G22*H22</f>
        <v>0</v>
      </c>
      <c r="J22" s="57">
        <f>Production!Y383</f>
        <v>0</v>
      </c>
      <c r="K22" s="57">
        <f t="shared" ref="K22" si="36">J22</f>
        <v>0</v>
      </c>
      <c r="L22" s="98">
        <f t="shared" si="11"/>
        <v>3.2770000000000001</v>
      </c>
      <c r="M22" s="95">
        <f t="shared" ref="M22" si="37">K22*L22</f>
        <v>0</v>
      </c>
      <c r="N22" s="57">
        <f t="shared" ref="N22" si="38">C22+G22+K22</f>
        <v>0</v>
      </c>
      <c r="O22" s="96">
        <f t="shared" ref="O22" si="39">E22+I22+M22</f>
        <v>0</v>
      </c>
    </row>
    <row r="23" spans="1:17" x14ac:dyDescent="0.35">
      <c r="A23" s="297">
        <f t="shared" si="8"/>
        <v>45922</v>
      </c>
      <c r="B23" s="1">
        <f>Production!G401</f>
        <v>792</v>
      </c>
      <c r="C23" s="1">
        <f t="shared" ref="C23:C27" si="40">B23</f>
        <v>792</v>
      </c>
      <c r="D23" s="98">
        <f t="shared" si="9"/>
        <v>3.2770000000000001</v>
      </c>
      <c r="E23" s="95">
        <f t="shared" ref="E23:E27" si="41">C23*D23</f>
        <v>2595.384</v>
      </c>
      <c r="F23" s="57">
        <f>Production!O401</f>
        <v>912</v>
      </c>
      <c r="G23" s="57">
        <f t="shared" ref="G23:G27" si="42">F23</f>
        <v>912</v>
      </c>
      <c r="H23" s="98">
        <f t="shared" si="10"/>
        <v>3.2770000000000001</v>
      </c>
      <c r="I23" s="95">
        <f t="shared" ref="I23:I27" si="43">G23*H23</f>
        <v>2988.6240000000003</v>
      </c>
      <c r="J23" s="57">
        <f>Production!Y401</f>
        <v>816</v>
      </c>
      <c r="K23" s="57">
        <f t="shared" ref="K23:K27" si="44">J23</f>
        <v>816</v>
      </c>
      <c r="L23" s="98">
        <f t="shared" si="11"/>
        <v>3.2770000000000001</v>
      </c>
      <c r="M23" s="95">
        <f t="shared" ref="M23:M27" si="45">K23*L23</f>
        <v>2674.0320000000002</v>
      </c>
      <c r="N23" s="57">
        <f t="shared" ref="N23:N27" si="46">C23+G23+K23</f>
        <v>2520</v>
      </c>
      <c r="O23" s="96">
        <f t="shared" ref="O23:O27" si="47">E23+I23+M23</f>
        <v>8258.0400000000009</v>
      </c>
    </row>
    <row r="24" spans="1:17" x14ac:dyDescent="0.35">
      <c r="A24" s="297">
        <f t="shared" si="8"/>
        <v>45923</v>
      </c>
      <c r="B24" s="1">
        <f>Production!G418</f>
        <v>528</v>
      </c>
      <c r="C24" s="1">
        <f t="shared" si="40"/>
        <v>528</v>
      </c>
      <c r="D24" s="98">
        <f t="shared" si="9"/>
        <v>3.2770000000000001</v>
      </c>
      <c r="E24" s="95">
        <f t="shared" si="41"/>
        <v>1730.2560000000001</v>
      </c>
      <c r="F24" s="57">
        <f>Production!O418</f>
        <v>804</v>
      </c>
      <c r="G24" s="57">
        <f t="shared" si="42"/>
        <v>804</v>
      </c>
      <c r="H24" s="98">
        <f t="shared" si="10"/>
        <v>3.2770000000000001</v>
      </c>
      <c r="I24" s="95">
        <f t="shared" si="43"/>
        <v>2634.7080000000001</v>
      </c>
      <c r="J24" s="57">
        <f>Production!Y418</f>
        <v>816</v>
      </c>
      <c r="K24" s="57">
        <f t="shared" si="44"/>
        <v>816</v>
      </c>
      <c r="L24" s="98">
        <f t="shared" si="11"/>
        <v>3.2770000000000001</v>
      </c>
      <c r="M24" s="95">
        <f t="shared" si="45"/>
        <v>2674.0320000000002</v>
      </c>
      <c r="N24" s="57">
        <f t="shared" si="46"/>
        <v>2148</v>
      </c>
      <c r="O24" s="96">
        <f t="shared" si="47"/>
        <v>7038.9960000000001</v>
      </c>
    </row>
    <row r="25" spans="1:17" x14ac:dyDescent="0.35">
      <c r="A25" s="297">
        <f t="shared" si="8"/>
        <v>45924</v>
      </c>
      <c r="B25" s="1">
        <f>Production!G435</f>
        <v>264</v>
      </c>
      <c r="C25" s="1">
        <f t="shared" si="40"/>
        <v>264</v>
      </c>
      <c r="D25" s="98">
        <f t="shared" si="9"/>
        <v>3.2770000000000001</v>
      </c>
      <c r="E25" s="95">
        <f t="shared" si="41"/>
        <v>865.12800000000004</v>
      </c>
      <c r="F25" s="57">
        <f>Production!O435</f>
        <v>807</v>
      </c>
      <c r="G25" s="57">
        <f t="shared" si="42"/>
        <v>807</v>
      </c>
      <c r="H25" s="98">
        <f t="shared" si="10"/>
        <v>3.2770000000000001</v>
      </c>
      <c r="I25" s="95">
        <f t="shared" si="43"/>
        <v>2644.5390000000002</v>
      </c>
      <c r="J25" s="57">
        <f>Production!Y435</f>
        <v>714</v>
      </c>
      <c r="K25" s="57">
        <f t="shared" si="44"/>
        <v>714</v>
      </c>
      <c r="L25" s="98">
        <f t="shared" si="11"/>
        <v>3.2770000000000001</v>
      </c>
      <c r="M25" s="95">
        <f t="shared" si="45"/>
        <v>2339.7780000000002</v>
      </c>
      <c r="N25" s="57">
        <f t="shared" si="46"/>
        <v>1785</v>
      </c>
      <c r="O25" s="96">
        <f t="shared" si="47"/>
        <v>5849.4450000000006</v>
      </c>
    </row>
    <row r="26" spans="1:17" x14ac:dyDescent="0.35">
      <c r="A26" s="297">
        <f t="shared" si="8"/>
        <v>45925</v>
      </c>
      <c r="B26" s="1">
        <f>Production!G452</f>
        <v>264</v>
      </c>
      <c r="C26" s="1">
        <f t="shared" si="40"/>
        <v>264</v>
      </c>
      <c r="D26" s="98">
        <f t="shared" si="9"/>
        <v>3.2770000000000001</v>
      </c>
      <c r="E26" s="95">
        <f t="shared" si="41"/>
        <v>865.12800000000004</v>
      </c>
      <c r="F26" s="57">
        <f>Production!O452</f>
        <v>804</v>
      </c>
      <c r="G26" s="57">
        <f>Production!O452</f>
        <v>804</v>
      </c>
      <c r="H26" s="98">
        <f t="shared" si="10"/>
        <v>3.2770000000000001</v>
      </c>
      <c r="I26" s="95">
        <f t="shared" si="43"/>
        <v>2634.7080000000001</v>
      </c>
      <c r="J26" s="57">
        <f>Production!Y452</f>
        <v>510</v>
      </c>
      <c r="K26" s="57">
        <f t="shared" si="44"/>
        <v>510</v>
      </c>
      <c r="L26" s="98">
        <f t="shared" si="11"/>
        <v>3.2770000000000001</v>
      </c>
      <c r="M26" s="95">
        <f t="shared" si="45"/>
        <v>1671.27</v>
      </c>
      <c r="N26" s="57">
        <f t="shared" si="46"/>
        <v>1578</v>
      </c>
      <c r="O26" s="96">
        <f t="shared" si="47"/>
        <v>5171.1059999999998</v>
      </c>
    </row>
    <row r="27" spans="1:17" x14ac:dyDescent="0.35">
      <c r="A27" s="297">
        <f t="shared" si="8"/>
        <v>45926</v>
      </c>
      <c r="B27" s="1">
        <f>Production!G470</f>
        <v>660</v>
      </c>
      <c r="C27" s="1">
        <f t="shared" si="40"/>
        <v>660</v>
      </c>
      <c r="D27" s="98">
        <f t="shared" si="9"/>
        <v>3.2770000000000001</v>
      </c>
      <c r="E27" s="95">
        <f t="shared" si="41"/>
        <v>2162.8200000000002</v>
      </c>
      <c r="F27" s="57">
        <f>Production!O470</f>
        <v>817</v>
      </c>
      <c r="G27" s="57">
        <f t="shared" si="42"/>
        <v>817</v>
      </c>
      <c r="H27" s="98">
        <f t="shared" si="10"/>
        <v>3.2770000000000001</v>
      </c>
      <c r="I27" s="95">
        <f t="shared" si="43"/>
        <v>2677.3090000000002</v>
      </c>
      <c r="J27" s="57">
        <f>Production!Y470</f>
        <v>714</v>
      </c>
      <c r="K27" s="57">
        <f t="shared" si="44"/>
        <v>714</v>
      </c>
      <c r="L27" s="98">
        <f t="shared" si="11"/>
        <v>3.2770000000000001</v>
      </c>
      <c r="M27" s="95">
        <f t="shared" si="45"/>
        <v>2339.7780000000002</v>
      </c>
      <c r="N27" s="57">
        <f t="shared" si="46"/>
        <v>2191</v>
      </c>
      <c r="O27" s="96">
        <f t="shared" si="47"/>
        <v>7179.9070000000011</v>
      </c>
    </row>
    <row r="28" spans="1:17" x14ac:dyDescent="0.35">
      <c r="A28" s="297">
        <f t="shared" si="8"/>
        <v>45927</v>
      </c>
      <c r="B28" s="1">
        <f>Production!G488</f>
        <v>264</v>
      </c>
      <c r="C28" s="1">
        <f t="shared" ref="C28:C29" si="48">B28</f>
        <v>264</v>
      </c>
      <c r="D28" s="98">
        <f t="shared" si="9"/>
        <v>3.2770000000000001</v>
      </c>
      <c r="E28" s="95">
        <f t="shared" ref="E28:E29" si="49">C28*D28</f>
        <v>865.12800000000004</v>
      </c>
      <c r="F28" s="57">
        <f>Production!O488</f>
        <v>802</v>
      </c>
      <c r="G28" s="57">
        <f>F28</f>
        <v>802</v>
      </c>
      <c r="H28" s="98">
        <f t="shared" si="10"/>
        <v>3.2770000000000001</v>
      </c>
      <c r="I28" s="95">
        <f t="shared" ref="I28:I29" si="50">G28*H28</f>
        <v>2628.154</v>
      </c>
      <c r="J28" s="57">
        <f>Production!Y488</f>
        <v>714</v>
      </c>
      <c r="K28" s="57">
        <f t="shared" ref="K28:K29" si="51">J28</f>
        <v>714</v>
      </c>
      <c r="L28" s="98">
        <f t="shared" si="11"/>
        <v>3.2770000000000001</v>
      </c>
      <c r="M28" s="95">
        <f t="shared" ref="M28:M29" si="52">K28*L28</f>
        <v>2339.7780000000002</v>
      </c>
      <c r="N28" s="57">
        <f t="shared" ref="N28:N29" si="53">C28+G28+K28</f>
        <v>1780</v>
      </c>
      <c r="O28" s="96">
        <f t="shared" ref="O28:O29" si="54">E28+I28+M28</f>
        <v>5833.06</v>
      </c>
    </row>
    <row r="29" spans="1:17" x14ac:dyDescent="0.35">
      <c r="A29" s="297">
        <f t="shared" si="8"/>
        <v>45928</v>
      </c>
      <c r="B29" s="1">
        <f>Production!G510</f>
        <v>0</v>
      </c>
      <c r="C29" s="1">
        <f t="shared" si="48"/>
        <v>0</v>
      </c>
      <c r="D29" s="98">
        <f t="shared" si="9"/>
        <v>3.2770000000000001</v>
      </c>
      <c r="E29" s="95">
        <f t="shared" si="49"/>
        <v>0</v>
      </c>
      <c r="F29" s="57">
        <f>Production!O510</f>
        <v>0</v>
      </c>
      <c r="G29" s="57">
        <f>F29</f>
        <v>0</v>
      </c>
      <c r="H29" s="98">
        <f t="shared" si="10"/>
        <v>3.2770000000000001</v>
      </c>
      <c r="I29" s="95">
        <f t="shared" si="50"/>
        <v>0</v>
      </c>
      <c r="J29" s="57">
        <f>Production!Y510</f>
        <v>0</v>
      </c>
      <c r="K29" s="57">
        <f t="shared" si="51"/>
        <v>0</v>
      </c>
      <c r="L29" s="98">
        <f t="shared" si="11"/>
        <v>3.2770000000000001</v>
      </c>
      <c r="M29" s="95">
        <f t="shared" si="52"/>
        <v>0</v>
      </c>
      <c r="N29" s="57">
        <f t="shared" si="53"/>
        <v>0</v>
      </c>
      <c r="O29" s="96">
        <f t="shared" si="54"/>
        <v>0</v>
      </c>
    </row>
    <row r="30" spans="1:17" x14ac:dyDescent="0.35">
      <c r="A30" s="297">
        <f t="shared" si="8"/>
        <v>45929</v>
      </c>
      <c r="B30" s="57">
        <f>Production!O529</f>
        <v>878</v>
      </c>
      <c r="C30" s="1">
        <f t="shared" ref="C30:C31" si="55">B30</f>
        <v>878</v>
      </c>
      <c r="D30" s="98">
        <f t="shared" si="9"/>
        <v>3.2770000000000001</v>
      </c>
      <c r="E30" s="95">
        <f t="shared" ref="E30:E31" si="56">C30*D30</f>
        <v>2877.2060000000001</v>
      </c>
      <c r="F30" s="57">
        <f>Production!Y529</f>
        <v>918</v>
      </c>
      <c r="G30" s="57">
        <f t="shared" ref="G30:G31" si="57">F30</f>
        <v>918</v>
      </c>
      <c r="H30" s="98">
        <f t="shared" si="10"/>
        <v>3.2770000000000001</v>
      </c>
      <c r="I30" s="95">
        <f t="shared" ref="I30:I31" si="58">G30*H30</f>
        <v>3008.2860000000001</v>
      </c>
      <c r="J30" s="57">
        <f>Production!Y529</f>
        <v>918</v>
      </c>
      <c r="K30" s="57">
        <f t="shared" ref="K30:K31" si="59">J30</f>
        <v>918</v>
      </c>
      <c r="L30" s="98">
        <f t="shared" si="11"/>
        <v>3.2770000000000001</v>
      </c>
      <c r="M30" s="95">
        <f t="shared" ref="M30:M31" si="60">K30*L30</f>
        <v>3008.2860000000001</v>
      </c>
      <c r="N30" s="57">
        <f t="shared" ref="N30:N31" si="61">C30+G30+K30</f>
        <v>2714</v>
      </c>
      <c r="O30" s="96">
        <f t="shared" ref="O30:O31" si="62">E30+I30+M30</f>
        <v>8893.7780000000002</v>
      </c>
    </row>
    <row r="31" spans="1:17" x14ac:dyDescent="0.35">
      <c r="A31" s="297">
        <f t="shared" si="8"/>
        <v>45930</v>
      </c>
      <c r="B31" s="1">
        <f>Production!G547</f>
        <v>792</v>
      </c>
      <c r="C31" s="1">
        <f t="shared" si="55"/>
        <v>792</v>
      </c>
      <c r="D31" s="98">
        <f t="shared" si="9"/>
        <v>3.2770000000000001</v>
      </c>
      <c r="E31" s="95">
        <f t="shared" si="56"/>
        <v>2595.384</v>
      </c>
      <c r="F31" s="57">
        <f>Production!O547</f>
        <v>933</v>
      </c>
      <c r="G31" s="57">
        <f t="shared" si="57"/>
        <v>933</v>
      </c>
      <c r="H31" s="98">
        <f t="shared" si="10"/>
        <v>3.2770000000000001</v>
      </c>
      <c r="I31" s="95">
        <f t="shared" si="58"/>
        <v>3057.4410000000003</v>
      </c>
      <c r="J31" s="57">
        <f>Production!Y547</f>
        <v>1020</v>
      </c>
      <c r="K31" s="57">
        <f t="shared" si="59"/>
        <v>1020</v>
      </c>
      <c r="L31" s="98">
        <f t="shared" si="11"/>
        <v>3.2770000000000001</v>
      </c>
      <c r="M31" s="95">
        <f t="shared" si="60"/>
        <v>3342.54</v>
      </c>
      <c r="N31" s="57">
        <f t="shared" si="61"/>
        <v>2745</v>
      </c>
      <c r="O31" s="96">
        <f t="shared" si="62"/>
        <v>8995.3650000000016</v>
      </c>
    </row>
    <row r="32" spans="1:17" x14ac:dyDescent="0.35">
      <c r="A32" s="1"/>
      <c r="B32" s="20">
        <f>SUM(B2,B3,B4,B5,B6,B7,B8,B9,B10,B11,B12,B13,B14,B15,B16,B17,B18,B19,B20,B21,B22,B23,B24,B25,B26,B27,B28,B29,B30,B31)</f>
        <v>14061</v>
      </c>
      <c r="C32" s="20">
        <f>SUM(C2,C3,C4,C5,C6,C7,C8,C9,C10,C11,C12,C13,C14,C15,C16,C17,C18,C19,C20,C21,C22,C23,C24,C25,C26,C27,C28,C29,C30,C31)</f>
        <v>14061</v>
      </c>
      <c r="D32" s="20"/>
      <c r="E32" s="20">
        <f>SUM(E2,E3,E4,E5,E6,E7,E8,E9,E10,E11,E12,E13,E14,E15,E16,E17,E18,E19,E20,E21,E22,E23,E24,E25,E26,E27,E28,E29,E30,E31)</f>
        <v>46077.89699999999</v>
      </c>
      <c r="F32" s="20">
        <f>SUM(F2,F3,F4,F5,F6,F7,F8,F9,F10,F11,F12,F13,F14,F15,F16,F17,F18,F19,F20,F21,F22,F23,F24,F25,F26,F27,F28,F29,F30,F31)</f>
        <v>20689</v>
      </c>
      <c r="G32" s="20">
        <f>SUM(G2,G3,G4,G5,G6,G7,G8,G9,G10,G11,G12,G13,G14,G15,G16,G17,G18,G19,G20,G21,G22,G23,G24,G25,G26,G27,G28,G29,G30,G31)</f>
        <v>20689</v>
      </c>
      <c r="H32" s="20"/>
      <c r="I32" s="20">
        <f>SUM(I2,I3,I4,I5,I6,I7,I8,I9,I10,I11,I12,I13,I14,I15,I16,I17,I18,I19,I20,I21,I22,I23,I24,I25,I26,I27,I28,I29,I30,I31)</f>
        <v>67797.853000000003</v>
      </c>
      <c r="J32" s="20">
        <f>SUM(J2,J3,J4,J5,J6,J7,J8,J9,J10,J11,J12,J13,J14,J15,J16,J17,J18,J19,J20,J21,J22,J23,J24,J25,J26,J27,J28,J29,J30,J31)</f>
        <v>17340</v>
      </c>
      <c r="K32" s="20">
        <f>SUM(K2,K3,K4,K5,K6,K7,K8,K9,K10,K11,K12,K13,K14,K15,K16,K17,K18,K19,K20,K21,K22,K23,K24,K25,K26,K27,K28,K29,K30,K31)</f>
        <v>16626</v>
      </c>
      <c r="L32" s="20"/>
      <c r="M32" s="20">
        <f>SUM(M2,M3,M4,M5,M6,M7,M8,M9,M10,M11,M12,M13,M14,M15,M16,M17,M18,M19,M20,M21,M22,M23,M24,M25,M26,M27,M28,M29,M30,M31)</f>
        <v>53089.877999999997</v>
      </c>
      <c r="N32" s="20">
        <f>SUM(N2,N3,N4,N5,N6,N7,N8,N9,N10,N11,N12,N13,N14,N15,N16,N17,N18,N19,N20,N21,N22,N23,N24,N25,N26,N27,N28,N29,N30,N31)</f>
        <v>51376</v>
      </c>
      <c r="O32" s="20">
        <f>SUM(O2,O3,O4,O5,O6,O7,O8,O9,O10,O11,O12,O13,O14,O15,O16,O17,O18,O19,O20,O21,O22,O23,O24,O25,O26,O27,O28,O29,O30,O31)</f>
        <v>166965.62800000003</v>
      </c>
      <c r="Q32" s="65"/>
    </row>
    <row r="34" spans="2:18" x14ac:dyDescent="0.35">
      <c r="B34" s="65">
        <f>B32*60</f>
        <v>843660</v>
      </c>
      <c r="F34" s="65">
        <f>F32*100</f>
        <v>2068900</v>
      </c>
      <c r="J34" s="65">
        <f>J32*50</f>
        <v>867000</v>
      </c>
      <c r="O34" s="65">
        <f>B34+F34+J34</f>
        <v>3779560</v>
      </c>
      <c r="Q34" s="65"/>
    </row>
    <row r="35" spans="2:18" x14ac:dyDescent="0.35">
      <c r="Q35" s="8"/>
      <c r="R35" s="191"/>
    </row>
    <row r="37" spans="2:18" x14ac:dyDescent="0.35">
      <c r="O37" s="65"/>
      <c r="Q37" s="8"/>
    </row>
    <row r="38" spans="2:18" x14ac:dyDescent="0.35">
      <c r="O38" s="208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381"/>
  <sheetViews>
    <sheetView zoomScale="68" zoomScaleNormal="68" workbookViewId="0">
      <pane ySplit="2" topLeftCell="A352" activePane="bottomLeft" state="frozen"/>
      <selection activeCell="E1" sqref="E1"/>
      <selection pane="bottomLeft" activeCell="H379" sqref="H379"/>
    </sheetView>
  </sheetViews>
  <sheetFormatPr defaultRowHeight="14.5" x14ac:dyDescent="0.35"/>
  <cols>
    <col min="1" max="1" width="12.54296875" bestFit="1" customWidth="1"/>
    <col min="2" max="2" width="29.1796875" bestFit="1" customWidth="1"/>
    <col min="3" max="3" width="22.26953125" customWidth="1"/>
    <col min="4" max="4" width="13.54296875" customWidth="1"/>
    <col min="5" max="5" width="15.36328125" customWidth="1"/>
    <col min="6" max="6" width="13.08984375" customWidth="1"/>
    <col min="7" max="7" width="13.6328125" customWidth="1"/>
    <col min="8" max="8" width="11.54296875" customWidth="1"/>
    <col min="9" max="9" width="16.1796875" customWidth="1"/>
    <col min="10" max="10" width="16.54296875" customWidth="1"/>
    <col min="11" max="11" width="18.1796875" customWidth="1"/>
    <col min="12" max="12" width="15.7265625" customWidth="1"/>
    <col min="13" max="13" width="28.7265625" customWidth="1"/>
    <col min="14" max="14" width="29.08984375" customWidth="1"/>
    <col min="15" max="15" width="2.6328125" style="143" customWidth="1"/>
    <col min="16" max="16" width="8.36328125" customWidth="1"/>
    <col min="17" max="17" width="11.54296875" customWidth="1"/>
    <col min="18" max="18" width="13.08984375" customWidth="1"/>
    <col min="19" max="19" width="16.26953125" customWidth="1"/>
    <col min="20" max="20" width="14.7265625" customWidth="1"/>
    <col min="21" max="21" width="11.90625" customWidth="1"/>
    <col min="22" max="22" width="15.08984375" customWidth="1"/>
    <col min="23" max="23" width="18.1796875" customWidth="1"/>
    <col min="24" max="24" width="13.90625" customWidth="1"/>
    <col min="25" max="25" width="34" customWidth="1"/>
    <col min="26" max="26" width="32.1796875" customWidth="1"/>
    <col min="27" max="27" width="2.81640625" style="143" customWidth="1"/>
    <col min="28" max="28" width="8.36328125" customWidth="1"/>
    <col min="29" max="29" width="11.54296875" customWidth="1"/>
    <col min="30" max="30" width="13.08984375" customWidth="1"/>
    <col min="31" max="31" width="12.6328125" customWidth="1"/>
    <col min="32" max="32" width="14.26953125" customWidth="1"/>
    <col min="33" max="33" width="11.90625" customWidth="1"/>
    <col min="34" max="34" width="17.54296875" customWidth="1"/>
    <col min="35" max="35" width="18.1796875" customWidth="1"/>
    <col min="36" max="36" width="12.453125" customWidth="1"/>
    <col min="37" max="37" width="35.7265625" customWidth="1"/>
    <col min="38" max="38" width="34.6328125" customWidth="1"/>
    <col min="39" max="39" width="26.6328125" customWidth="1"/>
    <col min="40" max="40" width="33.36328125" customWidth="1"/>
    <col min="41" max="41" width="26.36328125" customWidth="1"/>
    <col min="42" max="42" width="13.90625" bestFit="1" customWidth="1"/>
    <col min="43" max="43" width="20.26953125" bestFit="1" customWidth="1"/>
    <col min="44" max="44" width="13.36328125" bestFit="1" customWidth="1"/>
    <col min="45" max="45" width="9.7265625" bestFit="1" customWidth="1"/>
    <col min="46" max="46" width="19.453125" bestFit="1" customWidth="1"/>
    <col min="47" max="47" width="6.81640625" bestFit="1" customWidth="1"/>
    <col min="48" max="48" width="12.90625" bestFit="1" customWidth="1"/>
  </cols>
  <sheetData>
    <row r="1" spans="1:46" x14ac:dyDescent="0.35">
      <c r="A1" s="23"/>
      <c r="B1" s="23"/>
      <c r="C1" s="24"/>
      <c r="D1" s="130" t="s">
        <v>0</v>
      </c>
      <c r="E1" s="131"/>
      <c r="F1" s="131"/>
      <c r="G1" s="131"/>
      <c r="H1" s="131"/>
      <c r="I1" s="131"/>
      <c r="J1" s="131"/>
      <c r="K1" s="131"/>
      <c r="L1" s="131"/>
      <c r="M1" s="131"/>
      <c r="N1" s="132"/>
      <c r="O1" s="149"/>
      <c r="P1" s="133" t="s">
        <v>1</v>
      </c>
      <c r="Q1" s="134"/>
      <c r="R1" s="134"/>
      <c r="S1" s="134"/>
      <c r="T1" s="134"/>
      <c r="U1" s="134"/>
      <c r="V1" s="134"/>
      <c r="W1" s="134"/>
      <c r="X1" s="134"/>
      <c r="Y1" s="134"/>
      <c r="Z1" s="135"/>
      <c r="AA1" s="116"/>
      <c r="AB1" s="133" t="s">
        <v>196</v>
      </c>
      <c r="AC1" s="134"/>
      <c r="AD1" s="134"/>
      <c r="AE1" s="134"/>
      <c r="AF1" s="134"/>
      <c r="AG1" s="134"/>
      <c r="AH1" s="134"/>
      <c r="AI1" s="134"/>
      <c r="AJ1" s="134"/>
      <c r="AK1" s="134"/>
      <c r="AL1" s="135"/>
      <c r="AM1" s="118"/>
      <c r="AN1" s="25"/>
      <c r="AO1" s="26"/>
      <c r="AP1" s="26"/>
      <c r="AQ1" s="27"/>
      <c r="AR1" s="27"/>
      <c r="AS1" s="27"/>
    </row>
    <row r="2" spans="1:46" x14ac:dyDescent="0.35">
      <c r="A2" s="141" t="s">
        <v>10</v>
      </c>
      <c r="B2" s="140" t="s">
        <v>16</v>
      </c>
      <c r="C2" s="140" t="s">
        <v>17</v>
      </c>
      <c r="D2" s="140" t="s">
        <v>11</v>
      </c>
      <c r="E2" s="140" t="s">
        <v>12</v>
      </c>
      <c r="F2" s="140" t="s">
        <v>13</v>
      </c>
      <c r="G2" s="140" t="s">
        <v>14</v>
      </c>
      <c r="H2" s="140" t="s">
        <v>12</v>
      </c>
      <c r="I2" s="140" t="s">
        <v>38</v>
      </c>
      <c r="J2" s="140" t="s">
        <v>150</v>
      </c>
      <c r="K2" s="140" t="s">
        <v>138</v>
      </c>
      <c r="L2" s="140" t="s">
        <v>144</v>
      </c>
      <c r="M2" s="140" t="s">
        <v>35</v>
      </c>
      <c r="N2" s="140" t="s">
        <v>142</v>
      </c>
      <c r="O2" s="102"/>
      <c r="P2" s="140" t="s">
        <v>11</v>
      </c>
      <c r="Q2" s="140" t="s">
        <v>12</v>
      </c>
      <c r="R2" s="140" t="s">
        <v>13</v>
      </c>
      <c r="S2" s="140" t="s">
        <v>14</v>
      </c>
      <c r="T2" s="140" t="s">
        <v>32</v>
      </c>
      <c r="U2" s="140" t="s">
        <v>34</v>
      </c>
      <c r="V2" s="140" t="s">
        <v>149</v>
      </c>
      <c r="W2" s="140" t="s">
        <v>138</v>
      </c>
      <c r="X2" s="140" t="s">
        <v>145</v>
      </c>
      <c r="Y2" s="140" t="s">
        <v>143</v>
      </c>
      <c r="Z2" s="140" t="s">
        <v>141</v>
      </c>
      <c r="AA2" s="102"/>
      <c r="AB2" s="140" t="s">
        <v>11</v>
      </c>
      <c r="AC2" s="140" t="s">
        <v>12</v>
      </c>
      <c r="AD2" s="140" t="s">
        <v>13</v>
      </c>
      <c r="AE2" s="140" t="s">
        <v>14</v>
      </c>
      <c r="AF2" s="140" t="s">
        <v>32</v>
      </c>
      <c r="AG2" s="140" t="s">
        <v>34</v>
      </c>
      <c r="AH2" s="140" t="s">
        <v>195</v>
      </c>
      <c r="AI2" s="140" t="s">
        <v>138</v>
      </c>
      <c r="AJ2" s="140" t="s">
        <v>197</v>
      </c>
      <c r="AK2" s="140" t="s">
        <v>202</v>
      </c>
      <c r="AL2" s="140" t="s">
        <v>198</v>
      </c>
      <c r="AM2" s="140" t="s">
        <v>199</v>
      </c>
      <c r="AN2" s="140" t="s">
        <v>200</v>
      </c>
      <c r="AO2" s="140" t="s">
        <v>201</v>
      </c>
      <c r="AP2" s="140" t="s">
        <v>21</v>
      </c>
      <c r="AQ2" s="140" t="s">
        <v>19</v>
      </c>
      <c r="AR2" s="140" t="s">
        <v>20</v>
      </c>
      <c r="AS2" s="140" t="s">
        <v>15</v>
      </c>
      <c r="AT2" s="140" t="s">
        <v>22</v>
      </c>
    </row>
    <row r="3" spans="1:46" x14ac:dyDescent="0.35">
      <c r="A3" s="3" t="s">
        <v>450</v>
      </c>
      <c r="B3" s="172" t="s">
        <v>276</v>
      </c>
      <c r="C3" s="3" t="s">
        <v>33</v>
      </c>
      <c r="D3" s="7">
        <f>275-30</f>
        <v>245</v>
      </c>
      <c r="E3" s="3">
        <v>60</v>
      </c>
      <c r="F3" s="1">
        <f t="shared" ref="F3:F12" si="0">D3*E3</f>
        <v>14700</v>
      </c>
      <c r="G3" s="7">
        <v>73</v>
      </c>
      <c r="H3" s="3">
        <v>60</v>
      </c>
      <c r="I3" s="27">
        <f t="shared" ref="I3:I13" si="1">G3*H3</f>
        <v>4380</v>
      </c>
      <c r="J3" s="3">
        <f t="shared" ref="J3:J12" si="2">D3-G3</f>
        <v>172</v>
      </c>
      <c r="K3" s="7">
        <v>60</v>
      </c>
      <c r="L3" s="7">
        <f t="shared" ref="L3" si="3">E3*J3</f>
        <v>10320</v>
      </c>
      <c r="M3" s="3">
        <v>0</v>
      </c>
      <c r="N3" s="6">
        <f t="shared" ref="N3:N13" si="4">L3-M3</f>
        <v>10320</v>
      </c>
      <c r="O3" s="34"/>
      <c r="P3" s="7">
        <v>120</v>
      </c>
      <c r="Q3" s="3">
        <v>100</v>
      </c>
      <c r="R3" s="3">
        <f t="shared" ref="R3:R12" si="5">P3*Q3</f>
        <v>12000</v>
      </c>
      <c r="S3" s="7">
        <v>0</v>
      </c>
      <c r="T3" s="3">
        <v>100</v>
      </c>
      <c r="U3" s="3">
        <f t="shared" ref="U3:U13" si="6">S3*T3</f>
        <v>0</v>
      </c>
      <c r="V3" s="3">
        <f t="shared" ref="V3:V7" si="7">P3-S3</f>
        <v>120</v>
      </c>
      <c r="W3" s="3">
        <v>100</v>
      </c>
      <c r="X3" s="7">
        <f t="shared" ref="X3:X13" si="8">V3*W3</f>
        <v>12000</v>
      </c>
      <c r="Y3" s="3">
        <v>0</v>
      </c>
      <c r="Z3" s="6">
        <f t="shared" ref="Z3:Z44" si="9">X3-Y3</f>
        <v>12000</v>
      </c>
      <c r="AA3" s="82"/>
      <c r="AB3" s="7">
        <v>108</v>
      </c>
      <c r="AC3" s="3">
        <v>50</v>
      </c>
      <c r="AD3" s="3">
        <f t="shared" ref="AD3:AD12" si="10">AB3*AC3</f>
        <v>5400</v>
      </c>
      <c r="AE3" s="7">
        <v>0</v>
      </c>
      <c r="AF3" s="3">
        <v>50</v>
      </c>
      <c r="AG3" s="3">
        <f t="shared" ref="AG3:AG13" si="11">AE3*AF3</f>
        <v>0</v>
      </c>
      <c r="AH3" s="3">
        <f t="shared" ref="AH3:AH12" si="12">AB3-AE3</f>
        <v>108</v>
      </c>
      <c r="AI3" s="3">
        <v>50</v>
      </c>
      <c r="AJ3" s="7">
        <f t="shared" ref="AJ3:AJ13" si="13">AH3*AI3</f>
        <v>5400</v>
      </c>
      <c r="AK3" s="3">
        <v>0</v>
      </c>
      <c r="AL3" s="6">
        <f t="shared" ref="AL3:AL13" si="14">AJ3-AK3</f>
        <v>5400</v>
      </c>
      <c r="AM3" s="6">
        <f t="shared" ref="AM3:AM13" si="15">L3+X3+AJ3</f>
        <v>27720</v>
      </c>
      <c r="AN3" s="6">
        <f t="shared" ref="AN3:AN13" si="16">M3+Y3+AK3</f>
        <v>0</v>
      </c>
      <c r="AO3" s="6">
        <f t="shared" ref="AO3:AO13" si="17">AM3-AN3</f>
        <v>27720</v>
      </c>
      <c r="AP3" s="3" t="s">
        <v>450</v>
      </c>
      <c r="AQ3" s="3">
        <f t="shared" ref="AQ3:AQ13" si="18">AO3</f>
        <v>27720</v>
      </c>
      <c r="AR3" s="3">
        <f>AQ3</f>
        <v>27720</v>
      </c>
      <c r="AS3" s="3">
        <f t="shared" ref="AS3:AS13" si="19">AQ3-AR3</f>
        <v>0</v>
      </c>
      <c r="AT3" s="3"/>
    </row>
    <row r="4" spans="1:46" x14ac:dyDescent="0.35">
      <c r="A4" s="3"/>
      <c r="B4" s="172" t="s">
        <v>276</v>
      </c>
      <c r="C4" s="3" t="s">
        <v>182</v>
      </c>
      <c r="D4" s="7">
        <v>30</v>
      </c>
      <c r="E4" s="3">
        <v>55</v>
      </c>
      <c r="F4" s="1">
        <f t="shared" si="0"/>
        <v>1650</v>
      </c>
      <c r="G4" s="7">
        <v>0</v>
      </c>
      <c r="H4" s="3">
        <v>55</v>
      </c>
      <c r="I4" s="27">
        <f t="shared" si="1"/>
        <v>0</v>
      </c>
      <c r="J4" s="3">
        <f t="shared" si="2"/>
        <v>30</v>
      </c>
      <c r="K4" s="7">
        <v>55</v>
      </c>
      <c r="L4" s="7">
        <f t="shared" ref="L4" si="20">J4*K4</f>
        <v>1650</v>
      </c>
      <c r="M4" s="7">
        <v>0</v>
      </c>
      <c r="N4" s="6">
        <f t="shared" si="4"/>
        <v>1650</v>
      </c>
      <c r="O4" s="34"/>
      <c r="P4" s="7">
        <v>0</v>
      </c>
      <c r="Q4" s="3">
        <v>100</v>
      </c>
      <c r="R4" s="3">
        <f t="shared" si="5"/>
        <v>0</v>
      </c>
      <c r="S4" s="7">
        <v>0</v>
      </c>
      <c r="T4" s="3">
        <v>100</v>
      </c>
      <c r="U4" s="3">
        <f t="shared" si="6"/>
        <v>0</v>
      </c>
      <c r="V4" s="3">
        <f t="shared" si="7"/>
        <v>0</v>
      </c>
      <c r="W4" s="7">
        <v>100</v>
      </c>
      <c r="X4" s="7">
        <f>V4*W4</f>
        <v>0</v>
      </c>
      <c r="Y4" s="7">
        <v>0</v>
      </c>
      <c r="Z4" s="6">
        <f t="shared" si="9"/>
        <v>0</v>
      </c>
      <c r="AA4" s="82"/>
      <c r="AB4" s="7">
        <v>0</v>
      </c>
      <c r="AC4" s="3">
        <v>50</v>
      </c>
      <c r="AD4" s="3">
        <f t="shared" si="10"/>
        <v>0</v>
      </c>
      <c r="AE4" s="7">
        <v>0</v>
      </c>
      <c r="AF4" s="3">
        <v>50</v>
      </c>
      <c r="AG4" s="3">
        <f t="shared" si="11"/>
        <v>0</v>
      </c>
      <c r="AH4" s="3">
        <f t="shared" si="12"/>
        <v>0</v>
      </c>
      <c r="AI4" s="3">
        <v>50</v>
      </c>
      <c r="AJ4" s="7">
        <f t="shared" si="13"/>
        <v>0</v>
      </c>
      <c r="AK4" s="7">
        <v>0</v>
      </c>
      <c r="AL4" s="6">
        <f t="shared" si="14"/>
        <v>0</v>
      </c>
      <c r="AM4" s="6">
        <f t="shared" si="15"/>
        <v>1650</v>
      </c>
      <c r="AN4" s="6">
        <f t="shared" si="16"/>
        <v>0</v>
      </c>
      <c r="AO4" s="6">
        <f t="shared" si="17"/>
        <v>1650</v>
      </c>
      <c r="AP4" s="3" t="s">
        <v>450</v>
      </c>
      <c r="AQ4" s="3">
        <f t="shared" si="18"/>
        <v>1650</v>
      </c>
      <c r="AR4" s="3">
        <f t="shared" ref="AR4" si="21">AQ4</f>
        <v>1650</v>
      </c>
      <c r="AS4" s="3">
        <f t="shared" si="19"/>
        <v>0</v>
      </c>
      <c r="AT4" s="3"/>
    </row>
    <row r="5" spans="1:46" x14ac:dyDescent="0.35">
      <c r="A5" s="3"/>
      <c r="B5" s="3" t="s">
        <v>386</v>
      </c>
      <c r="C5" s="3" t="s">
        <v>33</v>
      </c>
      <c r="D5" s="7">
        <v>0</v>
      </c>
      <c r="E5" s="3">
        <v>60</v>
      </c>
      <c r="F5" s="1">
        <f t="shared" si="0"/>
        <v>0</v>
      </c>
      <c r="G5" s="7">
        <v>0</v>
      </c>
      <c r="H5" s="3">
        <v>60</v>
      </c>
      <c r="I5" s="27">
        <f t="shared" si="1"/>
        <v>0</v>
      </c>
      <c r="J5" s="3">
        <f t="shared" si="2"/>
        <v>0</v>
      </c>
      <c r="K5" s="7">
        <v>60</v>
      </c>
      <c r="L5" s="7">
        <f>J5*K5</f>
        <v>0</v>
      </c>
      <c r="M5" s="7">
        <v>0</v>
      </c>
      <c r="N5" s="6">
        <f t="shared" si="4"/>
        <v>0</v>
      </c>
      <c r="O5" s="34"/>
      <c r="P5" s="7">
        <v>0</v>
      </c>
      <c r="Q5" s="3">
        <v>100</v>
      </c>
      <c r="R5" s="3">
        <f t="shared" si="5"/>
        <v>0</v>
      </c>
      <c r="S5" s="7">
        <v>0</v>
      </c>
      <c r="T5" s="3">
        <v>100</v>
      </c>
      <c r="U5" s="3">
        <f t="shared" si="6"/>
        <v>0</v>
      </c>
      <c r="V5" s="3">
        <f t="shared" si="7"/>
        <v>0</v>
      </c>
      <c r="W5" s="7">
        <v>100</v>
      </c>
      <c r="X5" s="7">
        <f t="shared" si="8"/>
        <v>0</v>
      </c>
      <c r="Y5" s="7">
        <v>0</v>
      </c>
      <c r="Z5" s="6">
        <f t="shared" si="9"/>
        <v>0</v>
      </c>
      <c r="AA5" s="82"/>
      <c r="AB5" s="7">
        <v>0</v>
      </c>
      <c r="AC5" s="3">
        <v>50</v>
      </c>
      <c r="AD5" s="3">
        <f t="shared" si="10"/>
        <v>0</v>
      </c>
      <c r="AE5" s="7">
        <v>0</v>
      </c>
      <c r="AF5" s="3">
        <v>50</v>
      </c>
      <c r="AG5" s="3">
        <f t="shared" si="11"/>
        <v>0</v>
      </c>
      <c r="AH5" s="3">
        <f t="shared" si="12"/>
        <v>0</v>
      </c>
      <c r="AI5" s="3">
        <v>50</v>
      </c>
      <c r="AJ5" s="7">
        <f t="shared" si="13"/>
        <v>0</v>
      </c>
      <c r="AK5" s="7">
        <v>0</v>
      </c>
      <c r="AL5" s="6">
        <f t="shared" si="14"/>
        <v>0</v>
      </c>
      <c r="AM5" s="6">
        <f t="shared" si="15"/>
        <v>0</v>
      </c>
      <c r="AN5" s="6">
        <f t="shared" si="16"/>
        <v>0</v>
      </c>
      <c r="AO5" s="6">
        <f t="shared" si="17"/>
        <v>0</v>
      </c>
      <c r="AP5" s="3" t="s">
        <v>450</v>
      </c>
      <c r="AQ5" s="3">
        <f t="shared" si="18"/>
        <v>0</v>
      </c>
      <c r="AR5" s="3">
        <f>AQ5</f>
        <v>0</v>
      </c>
      <c r="AS5" s="3">
        <f t="shared" si="19"/>
        <v>0</v>
      </c>
      <c r="AT5" s="3"/>
    </row>
    <row r="6" spans="1:46" x14ac:dyDescent="0.35">
      <c r="A6" s="3"/>
      <c r="B6" s="172" t="s">
        <v>415</v>
      </c>
      <c r="C6" s="3" t="s">
        <v>33</v>
      </c>
      <c r="D6" s="7">
        <v>240</v>
      </c>
      <c r="E6" s="3">
        <v>60</v>
      </c>
      <c r="F6" s="1">
        <f t="shared" si="0"/>
        <v>14400</v>
      </c>
      <c r="G6" s="7">
        <v>127</v>
      </c>
      <c r="H6" s="3">
        <v>60</v>
      </c>
      <c r="I6" s="27">
        <f t="shared" si="1"/>
        <v>7620</v>
      </c>
      <c r="J6" s="3">
        <f t="shared" si="2"/>
        <v>113</v>
      </c>
      <c r="K6" s="7">
        <v>60</v>
      </c>
      <c r="L6" s="7">
        <f t="shared" ref="L6:L7" si="22">E6*J6</f>
        <v>6780</v>
      </c>
      <c r="M6" s="3">
        <f>J6*5</f>
        <v>565</v>
      </c>
      <c r="N6" s="6">
        <f t="shared" si="4"/>
        <v>6215</v>
      </c>
      <c r="O6" s="34"/>
      <c r="P6" s="7">
        <v>144</v>
      </c>
      <c r="Q6" s="3">
        <v>100</v>
      </c>
      <c r="R6" s="3">
        <f t="shared" si="5"/>
        <v>14400</v>
      </c>
      <c r="S6" s="7">
        <v>12</v>
      </c>
      <c r="T6" s="3">
        <v>100</v>
      </c>
      <c r="U6" s="3">
        <f t="shared" si="6"/>
        <v>1200</v>
      </c>
      <c r="V6" s="3">
        <f t="shared" si="7"/>
        <v>132</v>
      </c>
      <c r="W6" s="3">
        <v>100</v>
      </c>
      <c r="X6" s="7">
        <f t="shared" si="8"/>
        <v>13200</v>
      </c>
      <c r="Y6" s="3">
        <f>V6*10</f>
        <v>1320</v>
      </c>
      <c r="Z6" s="6">
        <f t="shared" si="9"/>
        <v>11880</v>
      </c>
      <c r="AA6" s="82"/>
      <c r="AB6" s="7">
        <v>36</v>
      </c>
      <c r="AC6" s="3">
        <v>50</v>
      </c>
      <c r="AD6" s="3">
        <f t="shared" si="10"/>
        <v>1800</v>
      </c>
      <c r="AE6" s="7">
        <v>0</v>
      </c>
      <c r="AF6" s="3">
        <v>50</v>
      </c>
      <c r="AG6" s="3">
        <f t="shared" si="11"/>
        <v>0</v>
      </c>
      <c r="AH6" s="3">
        <f t="shared" si="12"/>
        <v>36</v>
      </c>
      <c r="AI6" s="3">
        <v>50</v>
      </c>
      <c r="AJ6" s="7">
        <f t="shared" si="13"/>
        <v>1800</v>
      </c>
      <c r="AK6" s="3">
        <f>AH6*5</f>
        <v>180</v>
      </c>
      <c r="AL6" s="6">
        <f t="shared" si="14"/>
        <v>1620</v>
      </c>
      <c r="AM6" s="6">
        <f t="shared" si="15"/>
        <v>21780</v>
      </c>
      <c r="AN6" s="6">
        <f t="shared" si="16"/>
        <v>2065</v>
      </c>
      <c r="AO6" s="6">
        <f t="shared" si="17"/>
        <v>19715</v>
      </c>
      <c r="AP6" s="3" t="s">
        <v>450</v>
      </c>
      <c r="AQ6" s="3">
        <f t="shared" si="18"/>
        <v>19715</v>
      </c>
      <c r="AR6" s="3">
        <f>AQ6</f>
        <v>19715</v>
      </c>
      <c r="AS6" s="3">
        <f t="shared" si="19"/>
        <v>0</v>
      </c>
      <c r="AT6" s="3"/>
    </row>
    <row r="7" spans="1:46" x14ac:dyDescent="0.35">
      <c r="A7" s="3"/>
      <c r="B7" s="3" t="s">
        <v>326</v>
      </c>
      <c r="C7" s="3" t="s">
        <v>33</v>
      </c>
      <c r="D7" s="7">
        <v>75</v>
      </c>
      <c r="E7" s="3">
        <v>60</v>
      </c>
      <c r="F7" s="1">
        <f t="shared" si="0"/>
        <v>4500</v>
      </c>
      <c r="G7" s="7">
        <v>0</v>
      </c>
      <c r="H7" s="3">
        <v>60</v>
      </c>
      <c r="I7" s="27">
        <f t="shared" si="1"/>
        <v>0</v>
      </c>
      <c r="J7" s="3">
        <f t="shared" si="2"/>
        <v>75</v>
      </c>
      <c r="K7" s="7">
        <v>60</v>
      </c>
      <c r="L7" s="7">
        <f t="shared" si="22"/>
        <v>4500</v>
      </c>
      <c r="M7" s="3">
        <v>0</v>
      </c>
      <c r="N7" s="6">
        <f t="shared" si="4"/>
        <v>4500</v>
      </c>
      <c r="O7" s="34"/>
      <c r="P7" s="7">
        <v>0</v>
      </c>
      <c r="Q7" s="3">
        <v>100</v>
      </c>
      <c r="R7" s="3">
        <f t="shared" si="5"/>
        <v>0</v>
      </c>
      <c r="S7" s="7">
        <v>0</v>
      </c>
      <c r="T7" s="3">
        <v>100</v>
      </c>
      <c r="U7" s="3">
        <f t="shared" si="6"/>
        <v>0</v>
      </c>
      <c r="V7" s="3">
        <f t="shared" si="7"/>
        <v>0</v>
      </c>
      <c r="W7" s="3">
        <v>100</v>
      </c>
      <c r="X7" s="7">
        <f t="shared" si="8"/>
        <v>0</v>
      </c>
      <c r="Y7" s="3">
        <v>0</v>
      </c>
      <c r="Z7" s="6">
        <f t="shared" si="9"/>
        <v>0</v>
      </c>
      <c r="AA7" s="82">
        <v>20</v>
      </c>
      <c r="AB7" s="7">
        <v>0</v>
      </c>
      <c r="AC7" s="3">
        <v>50</v>
      </c>
      <c r="AD7" s="3">
        <f t="shared" si="10"/>
        <v>0</v>
      </c>
      <c r="AE7" s="7">
        <v>0</v>
      </c>
      <c r="AF7" s="3">
        <v>50</v>
      </c>
      <c r="AG7" s="3">
        <f t="shared" si="11"/>
        <v>0</v>
      </c>
      <c r="AH7" s="3">
        <f t="shared" si="12"/>
        <v>0</v>
      </c>
      <c r="AI7" s="3">
        <v>50</v>
      </c>
      <c r="AJ7" s="7">
        <f t="shared" si="13"/>
        <v>0</v>
      </c>
      <c r="AK7" s="3">
        <v>0</v>
      </c>
      <c r="AL7" s="6">
        <f t="shared" si="14"/>
        <v>0</v>
      </c>
      <c r="AM7" s="6">
        <f t="shared" si="15"/>
        <v>4500</v>
      </c>
      <c r="AN7" s="6">
        <f t="shared" si="16"/>
        <v>0</v>
      </c>
      <c r="AO7" s="6">
        <f t="shared" si="17"/>
        <v>4500</v>
      </c>
      <c r="AP7" s="3" t="s">
        <v>450</v>
      </c>
      <c r="AQ7" s="3">
        <f t="shared" si="18"/>
        <v>4500</v>
      </c>
      <c r="AR7" s="3">
        <f t="shared" ref="AR7" si="23">AQ7</f>
        <v>4500</v>
      </c>
      <c r="AS7" s="3">
        <f t="shared" si="19"/>
        <v>0</v>
      </c>
      <c r="AT7" s="3"/>
    </row>
    <row r="8" spans="1:46" x14ac:dyDescent="0.35">
      <c r="A8" s="3"/>
      <c r="B8" s="172" t="s">
        <v>283</v>
      </c>
      <c r="C8" s="3" t="s">
        <v>33</v>
      </c>
      <c r="D8" s="7">
        <v>15</v>
      </c>
      <c r="E8" s="3">
        <v>60</v>
      </c>
      <c r="F8" s="1">
        <f t="shared" si="0"/>
        <v>900</v>
      </c>
      <c r="G8" s="7">
        <v>0</v>
      </c>
      <c r="H8" s="3">
        <v>60</v>
      </c>
      <c r="I8" s="27">
        <f t="shared" si="1"/>
        <v>0</v>
      </c>
      <c r="J8" s="3">
        <f t="shared" si="2"/>
        <v>15</v>
      </c>
      <c r="K8" s="7">
        <v>60</v>
      </c>
      <c r="L8" s="7">
        <f t="shared" ref="L8" si="24">E8*J8</f>
        <v>900</v>
      </c>
      <c r="M8" s="3">
        <v>0</v>
      </c>
      <c r="N8" s="6">
        <f t="shared" si="4"/>
        <v>900</v>
      </c>
      <c r="O8" s="34"/>
      <c r="P8" s="7">
        <v>36</v>
      </c>
      <c r="Q8" s="3">
        <v>100</v>
      </c>
      <c r="R8" s="3">
        <f t="shared" si="5"/>
        <v>3600</v>
      </c>
      <c r="S8" s="7">
        <v>14</v>
      </c>
      <c r="T8" s="3">
        <v>100</v>
      </c>
      <c r="U8" s="3">
        <f t="shared" si="6"/>
        <v>1400</v>
      </c>
      <c r="V8" s="3">
        <f>P8-S8</f>
        <v>22</v>
      </c>
      <c r="W8" s="3">
        <v>100</v>
      </c>
      <c r="X8" s="7">
        <f t="shared" si="8"/>
        <v>2200</v>
      </c>
      <c r="Y8" s="3">
        <v>0</v>
      </c>
      <c r="Z8" s="6">
        <f t="shared" si="9"/>
        <v>2200</v>
      </c>
      <c r="AA8" s="82"/>
      <c r="AB8" s="7">
        <v>24</v>
      </c>
      <c r="AC8" s="3">
        <v>50</v>
      </c>
      <c r="AD8" s="3">
        <f t="shared" si="10"/>
        <v>1200</v>
      </c>
      <c r="AE8" s="7">
        <v>2</v>
      </c>
      <c r="AF8" s="3">
        <v>50</v>
      </c>
      <c r="AG8" s="3">
        <f t="shared" si="11"/>
        <v>100</v>
      </c>
      <c r="AH8" s="3">
        <f t="shared" si="12"/>
        <v>22</v>
      </c>
      <c r="AI8" s="3">
        <v>50</v>
      </c>
      <c r="AJ8" s="7">
        <f t="shared" si="13"/>
        <v>1100</v>
      </c>
      <c r="AK8" s="3">
        <v>0</v>
      </c>
      <c r="AL8" s="6">
        <f t="shared" si="14"/>
        <v>1100</v>
      </c>
      <c r="AM8" s="6">
        <f t="shared" si="15"/>
        <v>4200</v>
      </c>
      <c r="AN8" s="6">
        <f t="shared" si="16"/>
        <v>0</v>
      </c>
      <c r="AO8" s="6">
        <f t="shared" si="17"/>
        <v>4200</v>
      </c>
      <c r="AP8" s="3" t="s">
        <v>450</v>
      </c>
      <c r="AQ8" s="3">
        <f t="shared" si="18"/>
        <v>4200</v>
      </c>
      <c r="AR8" s="3">
        <f>AQ8</f>
        <v>4200</v>
      </c>
      <c r="AS8" s="3">
        <f t="shared" si="19"/>
        <v>0</v>
      </c>
      <c r="AT8" s="3"/>
    </row>
    <row r="9" spans="1:46" x14ac:dyDescent="0.35">
      <c r="A9" s="3"/>
      <c r="B9" s="172" t="s">
        <v>283</v>
      </c>
      <c r="C9" s="3" t="s">
        <v>387</v>
      </c>
      <c r="D9" s="7">
        <v>15</v>
      </c>
      <c r="E9" s="3">
        <v>50</v>
      </c>
      <c r="F9" s="1">
        <f t="shared" ref="F9:F10" si="25">D9*E9</f>
        <v>750</v>
      </c>
      <c r="G9" s="7">
        <v>10</v>
      </c>
      <c r="H9" s="3">
        <v>50</v>
      </c>
      <c r="I9" s="27">
        <f t="shared" ref="I9:I11" si="26">G9*H9</f>
        <v>500</v>
      </c>
      <c r="J9" s="3">
        <f t="shared" ref="J9:J10" si="27">D9-G9</f>
        <v>5</v>
      </c>
      <c r="K9" s="7">
        <v>50</v>
      </c>
      <c r="L9" s="7">
        <f t="shared" ref="L9:L11" si="28">J9*K9</f>
        <v>250</v>
      </c>
      <c r="M9" s="7">
        <v>0</v>
      </c>
      <c r="N9" s="6">
        <f t="shared" ref="N9:N11" si="29">L9-M9</f>
        <v>250</v>
      </c>
      <c r="O9" s="34"/>
      <c r="P9" s="7">
        <v>0</v>
      </c>
      <c r="Q9" s="3">
        <v>100</v>
      </c>
      <c r="R9" s="3">
        <f t="shared" ref="R9:R10" si="30">P9*Q9</f>
        <v>0</v>
      </c>
      <c r="S9" s="7">
        <v>0</v>
      </c>
      <c r="T9" s="3">
        <v>100</v>
      </c>
      <c r="U9" s="3">
        <f t="shared" ref="U9:U11" si="31">S9*T9</f>
        <v>0</v>
      </c>
      <c r="V9" s="3">
        <f t="shared" ref="V9:V10" si="32">P9-S9</f>
        <v>0</v>
      </c>
      <c r="W9" s="7">
        <v>100</v>
      </c>
      <c r="X9" s="7">
        <f>V9*W9</f>
        <v>0</v>
      </c>
      <c r="Y9" s="7">
        <v>0</v>
      </c>
      <c r="Z9" s="6">
        <f t="shared" ref="Z9:Z11" si="33">X9-Y9</f>
        <v>0</v>
      </c>
      <c r="AA9" s="82"/>
      <c r="AB9" s="7">
        <v>0</v>
      </c>
      <c r="AC9" s="3">
        <v>50</v>
      </c>
      <c r="AD9" s="3">
        <f t="shared" ref="AD9:AD10" si="34">AB9*AC9</f>
        <v>0</v>
      </c>
      <c r="AE9" s="7">
        <v>0</v>
      </c>
      <c r="AF9" s="3">
        <v>50</v>
      </c>
      <c r="AG9" s="3">
        <f t="shared" ref="AG9:AG11" si="35">AE9*AF9</f>
        <v>0</v>
      </c>
      <c r="AH9" s="3">
        <f t="shared" ref="AH9:AH10" si="36">AB9-AE9</f>
        <v>0</v>
      </c>
      <c r="AI9" s="3">
        <v>50</v>
      </c>
      <c r="AJ9" s="7">
        <f t="shared" ref="AJ9:AJ11" si="37">AH9*AI9</f>
        <v>0</v>
      </c>
      <c r="AK9" s="7">
        <v>0</v>
      </c>
      <c r="AL9" s="6">
        <f t="shared" ref="AL9:AL11" si="38">AJ9-AK9</f>
        <v>0</v>
      </c>
      <c r="AM9" s="6">
        <f t="shared" ref="AM9:AM11" si="39">L9+X9+AJ9</f>
        <v>250</v>
      </c>
      <c r="AN9" s="6">
        <f t="shared" ref="AN9:AN11" si="40">M9+Y9+AK9</f>
        <v>0</v>
      </c>
      <c r="AO9" s="6">
        <f t="shared" ref="AO9:AO11" si="41">AM9-AN9</f>
        <v>250</v>
      </c>
      <c r="AP9" s="3" t="s">
        <v>450</v>
      </c>
      <c r="AQ9" s="3">
        <f t="shared" ref="AQ9:AQ11" si="42">AO9</f>
        <v>250</v>
      </c>
      <c r="AR9" s="3">
        <f t="shared" ref="AR9:AR11" si="43">AQ9</f>
        <v>250</v>
      </c>
      <c r="AS9" s="3">
        <f t="shared" ref="AS9:AS11" si="44">AQ9-AR9</f>
        <v>0</v>
      </c>
      <c r="AT9" s="3"/>
    </row>
    <row r="10" spans="1:46" x14ac:dyDescent="0.35">
      <c r="A10" s="3"/>
      <c r="B10" s="172" t="s">
        <v>308</v>
      </c>
      <c r="C10" s="3" t="s">
        <v>453</v>
      </c>
      <c r="D10" s="7">
        <v>150</v>
      </c>
      <c r="E10" s="3">
        <v>60</v>
      </c>
      <c r="F10" s="1">
        <f t="shared" si="25"/>
        <v>9000</v>
      </c>
      <c r="G10" s="3">
        <v>0</v>
      </c>
      <c r="H10" s="3">
        <v>60</v>
      </c>
      <c r="I10" s="27">
        <f t="shared" si="26"/>
        <v>0</v>
      </c>
      <c r="J10" s="3">
        <f t="shared" si="27"/>
        <v>150</v>
      </c>
      <c r="K10" s="7">
        <v>60</v>
      </c>
      <c r="L10" s="7">
        <f t="shared" si="28"/>
        <v>9000</v>
      </c>
      <c r="M10" s="3">
        <f>J10*5</f>
        <v>750</v>
      </c>
      <c r="N10" s="6">
        <f t="shared" si="29"/>
        <v>8250</v>
      </c>
      <c r="O10" s="34"/>
      <c r="P10" s="3">
        <v>120</v>
      </c>
      <c r="Q10" s="3">
        <v>100</v>
      </c>
      <c r="R10" s="3">
        <f t="shared" si="30"/>
        <v>12000</v>
      </c>
      <c r="S10" s="3">
        <v>17</v>
      </c>
      <c r="T10" s="3">
        <v>100</v>
      </c>
      <c r="U10" s="3">
        <f t="shared" si="31"/>
        <v>1700</v>
      </c>
      <c r="V10" s="3">
        <f t="shared" si="32"/>
        <v>103</v>
      </c>
      <c r="W10" s="7">
        <v>100</v>
      </c>
      <c r="X10" s="7">
        <f t="shared" ref="X10:X11" si="45">V10*W10</f>
        <v>10300</v>
      </c>
      <c r="Y10" s="3">
        <f>V10*5</f>
        <v>515</v>
      </c>
      <c r="Z10" s="6">
        <f t="shared" si="33"/>
        <v>9785</v>
      </c>
      <c r="AA10" s="82">
        <v>195</v>
      </c>
      <c r="AB10" s="3">
        <v>120</v>
      </c>
      <c r="AC10" s="3">
        <v>50</v>
      </c>
      <c r="AD10" s="3">
        <f t="shared" si="34"/>
        <v>6000</v>
      </c>
      <c r="AE10" s="3">
        <v>0</v>
      </c>
      <c r="AF10" s="3">
        <v>50</v>
      </c>
      <c r="AG10" s="3">
        <f t="shared" si="35"/>
        <v>0</v>
      </c>
      <c r="AH10" s="3">
        <f t="shared" si="36"/>
        <v>120</v>
      </c>
      <c r="AI10" s="3">
        <v>50</v>
      </c>
      <c r="AJ10" s="7">
        <f t="shared" si="37"/>
        <v>6000</v>
      </c>
      <c r="AK10" s="3">
        <f>AH10*5</f>
        <v>600</v>
      </c>
      <c r="AL10" s="6">
        <f t="shared" si="38"/>
        <v>5400</v>
      </c>
      <c r="AM10" s="6">
        <f t="shared" si="39"/>
        <v>25300</v>
      </c>
      <c r="AN10" s="6">
        <f t="shared" si="40"/>
        <v>1865</v>
      </c>
      <c r="AO10" s="6">
        <f t="shared" si="41"/>
        <v>23435</v>
      </c>
      <c r="AP10" s="3" t="s">
        <v>450</v>
      </c>
      <c r="AQ10" s="3">
        <f t="shared" si="42"/>
        <v>23435</v>
      </c>
      <c r="AR10" s="3">
        <f t="shared" si="43"/>
        <v>23435</v>
      </c>
      <c r="AS10" s="3">
        <f t="shared" si="44"/>
        <v>0</v>
      </c>
      <c r="AT10" s="3"/>
    </row>
    <row r="11" spans="1:46" x14ac:dyDescent="0.35">
      <c r="A11" s="3"/>
      <c r="B11" s="172" t="s">
        <v>308</v>
      </c>
      <c r="C11" s="3" t="s">
        <v>451</v>
      </c>
      <c r="D11" s="7">
        <v>225</v>
      </c>
      <c r="E11" s="3">
        <v>60</v>
      </c>
      <c r="F11" s="1">
        <v>0</v>
      </c>
      <c r="G11" s="7">
        <v>0</v>
      </c>
      <c r="H11" s="3">
        <v>60</v>
      </c>
      <c r="I11" s="27">
        <f t="shared" si="26"/>
        <v>0</v>
      </c>
      <c r="J11" s="3">
        <v>0</v>
      </c>
      <c r="K11" s="7">
        <v>60</v>
      </c>
      <c r="L11" s="7">
        <f t="shared" si="28"/>
        <v>0</v>
      </c>
      <c r="M11" s="3">
        <v>0</v>
      </c>
      <c r="N11" s="6">
        <f t="shared" si="29"/>
        <v>0</v>
      </c>
      <c r="O11" s="34"/>
      <c r="P11" s="7">
        <v>89</v>
      </c>
      <c r="Q11" s="3">
        <v>100</v>
      </c>
      <c r="R11" s="3">
        <v>0</v>
      </c>
      <c r="S11" s="7">
        <v>0</v>
      </c>
      <c r="T11" s="3">
        <v>100</v>
      </c>
      <c r="U11" s="3">
        <f t="shared" si="31"/>
        <v>0</v>
      </c>
      <c r="V11" s="3">
        <v>0</v>
      </c>
      <c r="W11" s="7">
        <v>100</v>
      </c>
      <c r="X11" s="7">
        <f t="shared" si="45"/>
        <v>0</v>
      </c>
      <c r="Y11" s="3">
        <v>0</v>
      </c>
      <c r="Z11" s="6">
        <f t="shared" si="33"/>
        <v>0</v>
      </c>
      <c r="AA11" s="82"/>
      <c r="AB11" s="7">
        <v>180</v>
      </c>
      <c r="AC11" s="3">
        <v>50</v>
      </c>
      <c r="AD11" s="3">
        <v>0</v>
      </c>
      <c r="AE11" s="7">
        <v>0</v>
      </c>
      <c r="AF11" s="3">
        <v>50</v>
      </c>
      <c r="AG11" s="3">
        <f t="shared" si="35"/>
        <v>0</v>
      </c>
      <c r="AH11" s="3">
        <v>0</v>
      </c>
      <c r="AI11" s="3">
        <v>50</v>
      </c>
      <c r="AJ11" s="7">
        <f t="shared" si="37"/>
        <v>0</v>
      </c>
      <c r="AK11" s="3">
        <v>0</v>
      </c>
      <c r="AL11" s="6">
        <f t="shared" si="38"/>
        <v>0</v>
      </c>
      <c r="AM11" s="6">
        <f t="shared" si="39"/>
        <v>0</v>
      </c>
      <c r="AN11" s="6">
        <f t="shared" si="40"/>
        <v>0</v>
      </c>
      <c r="AO11" s="6">
        <f t="shared" si="41"/>
        <v>0</v>
      </c>
      <c r="AP11" s="3" t="s">
        <v>450</v>
      </c>
      <c r="AQ11" s="3">
        <f t="shared" si="42"/>
        <v>0</v>
      </c>
      <c r="AR11" s="3">
        <f t="shared" si="43"/>
        <v>0</v>
      </c>
      <c r="AS11" s="3">
        <f t="shared" si="44"/>
        <v>0</v>
      </c>
      <c r="AT11" s="3"/>
    </row>
    <row r="12" spans="1:46" x14ac:dyDescent="0.35">
      <c r="A12" s="3"/>
      <c r="B12" s="3" t="s">
        <v>287</v>
      </c>
      <c r="C12" s="3" t="s">
        <v>331</v>
      </c>
      <c r="D12" s="7">
        <v>0</v>
      </c>
      <c r="E12" s="3">
        <v>60</v>
      </c>
      <c r="F12" s="1">
        <f t="shared" si="0"/>
        <v>0</v>
      </c>
      <c r="G12" s="7">
        <v>0</v>
      </c>
      <c r="H12" s="3">
        <v>60</v>
      </c>
      <c r="I12" s="27">
        <f t="shared" si="1"/>
        <v>0</v>
      </c>
      <c r="J12" s="3">
        <f t="shared" si="2"/>
        <v>0</v>
      </c>
      <c r="K12" s="7">
        <v>60</v>
      </c>
      <c r="L12" s="7">
        <f t="shared" ref="L12:L13" si="46">J12*K12</f>
        <v>0</v>
      </c>
      <c r="M12" s="3">
        <f>J12*5</f>
        <v>0</v>
      </c>
      <c r="N12" s="6">
        <f t="shared" si="4"/>
        <v>0</v>
      </c>
      <c r="O12" s="34"/>
      <c r="P12" s="7">
        <v>0</v>
      </c>
      <c r="Q12" s="3">
        <v>100</v>
      </c>
      <c r="R12" s="3">
        <f t="shared" si="5"/>
        <v>0</v>
      </c>
      <c r="S12" s="7">
        <v>0</v>
      </c>
      <c r="T12" s="3">
        <v>100</v>
      </c>
      <c r="U12" s="3">
        <f t="shared" si="6"/>
        <v>0</v>
      </c>
      <c r="V12" s="3">
        <f t="shared" ref="V12" si="47">P12-S12</f>
        <v>0</v>
      </c>
      <c r="W12" s="7">
        <v>100</v>
      </c>
      <c r="X12" s="7">
        <f t="shared" si="8"/>
        <v>0</v>
      </c>
      <c r="Y12" s="3">
        <f>V12*10</f>
        <v>0</v>
      </c>
      <c r="Z12" s="6">
        <f t="shared" si="9"/>
        <v>0</v>
      </c>
      <c r="AA12" s="82"/>
      <c r="AB12" s="7">
        <v>0</v>
      </c>
      <c r="AC12" s="3">
        <v>50</v>
      </c>
      <c r="AD12" s="3">
        <f t="shared" si="10"/>
        <v>0</v>
      </c>
      <c r="AE12" s="7">
        <v>0</v>
      </c>
      <c r="AF12" s="3">
        <v>50</v>
      </c>
      <c r="AG12" s="3">
        <f t="shared" si="11"/>
        <v>0</v>
      </c>
      <c r="AH12" s="3">
        <f t="shared" si="12"/>
        <v>0</v>
      </c>
      <c r="AI12" s="3">
        <v>50</v>
      </c>
      <c r="AJ12" s="7">
        <f t="shared" si="13"/>
        <v>0</v>
      </c>
      <c r="AK12" s="3">
        <f>AH12*5</f>
        <v>0</v>
      </c>
      <c r="AL12" s="6">
        <f t="shared" si="14"/>
        <v>0</v>
      </c>
      <c r="AM12" s="6">
        <f t="shared" si="15"/>
        <v>0</v>
      </c>
      <c r="AN12" s="6">
        <f t="shared" si="16"/>
        <v>0</v>
      </c>
      <c r="AO12" s="6">
        <f t="shared" si="17"/>
        <v>0</v>
      </c>
      <c r="AP12" s="3" t="s">
        <v>450</v>
      </c>
      <c r="AQ12" s="3">
        <f t="shared" si="18"/>
        <v>0</v>
      </c>
      <c r="AR12" s="3">
        <f>AQ12</f>
        <v>0</v>
      </c>
      <c r="AS12" s="3">
        <f t="shared" si="19"/>
        <v>0</v>
      </c>
      <c r="AT12" s="3"/>
    </row>
    <row r="13" spans="1:46" x14ac:dyDescent="0.35">
      <c r="A13" s="3"/>
      <c r="B13" s="3" t="s">
        <v>287</v>
      </c>
      <c r="C13" s="3" t="s">
        <v>11</v>
      </c>
      <c r="D13" s="7">
        <v>0</v>
      </c>
      <c r="E13" s="3">
        <v>60</v>
      </c>
      <c r="F13" s="1">
        <v>0</v>
      </c>
      <c r="G13" s="7">
        <v>0</v>
      </c>
      <c r="H13" s="3">
        <v>60</v>
      </c>
      <c r="I13" s="27">
        <f t="shared" si="1"/>
        <v>0</v>
      </c>
      <c r="J13" s="3">
        <v>0</v>
      </c>
      <c r="K13" s="7">
        <v>60</v>
      </c>
      <c r="L13" s="7">
        <f t="shared" si="46"/>
        <v>0</v>
      </c>
      <c r="M13" s="3">
        <v>0</v>
      </c>
      <c r="N13" s="6">
        <f t="shared" si="4"/>
        <v>0</v>
      </c>
      <c r="O13" s="34"/>
      <c r="P13" s="7">
        <v>0</v>
      </c>
      <c r="Q13" s="3">
        <v>100</v>
      </c>
      <c r="R13" s="3">
        <v>0</v>
      </c>
      <c r="S13" s="7">
        <v>0</v>
      </c>
      <c r="T13" s="3">
        <v>100</v>
      </c>
      <c r="U13" s="3">
        <f t="shared" si="6"/>
        <v>0</v>
      </c>
      <c r="V13" s="3">
        <v>0</v>
      </c>
      <c r="W13" s="7">
        <v>100</v>
      </c>
      <c r="X13" s="7">
        <f t="shared" si="8"/>
        <v>0</v>
      </c>
      <c r="Y13" s="3">
        <v>0</v>
      </c>
      <c r="Z13" s="6">
        <f t="shared" si="9"/>
        <v>0</v>
      </c>
      <c r="AA13" s="82"/>
      <c r="AB13" s="7">
        <v>0</v>
      </c>
      <c r="AC13" s="3">
        <v>50</v>
      </c>
      <c r="AD13" s="3">
        <v>0</v>
      </c>
      <c r="AE13" s="7">
        <v>0</v>
      </c>
      <c r="AF13" s="3">
        <v>50</v>
      </c>
      <c r="AG13" s="3">
        <f t="shared" si="11"/>
        <v>0</v>
      </c>
      <c r="AH13" s="3">
        <v>0</v>
      </c>
      <c r="AI13" s="3">
        <v>50</v>
      </c>
      <c r="AJ13" s="7">
        <f t="shared" si="13"/>
        <v>0</v>
      </c>
      <c r="AK13" s="3">
        <v>0</v>
      </c>
      <c r="AL13" s="6">
        <f t="shared" si="14"/>
        <v>0</v>
      </c>
      <c r="AM13" s="6">
        <f t="shared" si="15"/>
        <v>0</v>
      </c>
      <c r="AN13" s="6">
        <f t="shared" si="16"/>
        <v>0</v>
      </c>
      <c r="AO13" s="6">
        <f t="shared" si="17"/>
        <v>0</v>
      </c>
      <c r="AP13" s="3" t="s">
        <v>450</v>
      </c>
      <c r="AQ13" s="3">
        <f t="shared" si="18"/>
        <v>0</v>
      </c>
      <c r="AR13" s="3">
        <f t="shared" ref="AR13" si="48">AQ13</f>
        <v>0</v>
      </c>
      <c r="AS13" s="3">
        <f t="shared" si="19"/>
        <v>0</v>
      </c>
      <c r="AT13" s="3"/>
    </row>
    <row r="14" spans="1:46" x14ac:dyDescent="0.35">
      <c r="A14" s="19"/>
      <c r="B14" s="19" t="s">
        <v>36</v>
      </c>
      <c r="C14" s="19"/>
      <c r="D14" s="19">
        <f>SUM(D3:D13)</f>
        <v>995</v>
      </c>
      <c r="E14" s="19"/>
      <c r="F14" s="19">
        <f>SUM(F3:F13)</f>
        <v>45900</v>
      </c>
      <c r="G14" s="19">
        <f>SUM(G3:G13)</f>
        <v>210</v>
      </c>
      <c r="H14" s="19"/>
      <c r="I14" s="19">
        <f>SUM(I3:I13)</f>
        <v>12500</v>
      </c>
      <c r="J14" s="19">
        <f>SUM(J3:J13)</f>
        <v>560</v>
      </c>
      <c r="K14" s="19"/>
      <c r="L14" s="19">
        <f>SUM(L3:L13)</f>
        <v>33400</v>
      </c>
      <c r="M14" s="19">
        <f>SUM(M3:M13)</f>
        <v>1315</v>
      </c>
      <c r="N14" s="19">
        <f>SUM(N3:N13)</f>
        <v>32085</v>
      </c>
      <c r="O14" s="34"/>
      <c r="P14" s="19">
        <f>SUM(P3:P13)</f>
        <v>509</v>
      </c>
      <c r="Q14" s="19"/>
      <c r="R14" s="19">
        <f>SUM(R3:R13)</f>
        <v>42000</v>
      </c>
      <c r="S14" s="19">
        <f>SUM(S3:S13)</f>
        <v>43</v>
      </c>
      <c r="T14" s="19"/>
      <c r="U14" s="19">
        <f>SUM(U3:U13)</f>
        <v>4300</v>
      </c>
      <c r="V14" s="19">
        <f>SUM(V3:V13)</f>
        <v>377</v>
      </c>
      <c r="W14" s="19"/>
      <c r="X14" s="19">
        <f>SUM(X3:X13)</f>
        <v>37700</v>
      </c>
      <c r="Y14" s="19">
        <f>SUM(Y3:Y13)</f>
        <v>1835</v>
      </c>
      <c r="Z14" s="19">
        <f>SUM(Z3:Z13)</f>
        <v>35865</v>
      </c>
      <c r="AA14" s="34"/>
      <c r="AB14" s="19">
        <f>SUM(AB3:AB13)</f>
        <v>468</v>
      </c>
      <c r="AC14" s="19"/>
      <c r="AD14" s="19">
        <f>SUM(AD3:AD13)</f>
        <v>14400</v>
      </c>
      <c r="AE14" s="19">
        <f>SUM(AE3:AE13)</f>
        <v>2</v>
      </c>
      <c r="AF14" s="19"/>
      <c r="AG14" s="19">
        <f>SUM(AG3:AG13)</f>
        <v>100</v>
      </c>
      <c r="AH14" s="19">
        <f>SUM(AH3:AH13)</f>
        <v>286</v>
      </c>
      <c r="AI14" s="19"/>
      <c r="AJ14" s="19">
        <f t="shared" ref="AJ14:AO14" si="49">SUM(AJ3:AJ13)</f>
        <v>14300</v>
      </c>
      <c r="AK14" s="19">
        <f t="shared" si="49"/>
        <v>780</v>
      </c>
      <c r="AL14" s="19">
        <f t="shared" si="49"/>
        <v>13520</v>
      </c>
      <c r="AM14" s="19">
        <f t="shared" si="49"/>
        <v>85400</v>
      </c>
      <c r="AN14" s="19">
        <f t="shared" si="49"/>
        <v>3930</v>
      </c>
      <c r="AO14" s="19">
        <f t="shared" si="49"/>
        <v>81470</v>
      </c>
      <c r="AP14" s="19"/>
      <c r="AQ14" s="19">
        <f>SUM(AQ3:AQ13)</f>
        <v>81470</v>
      </c>
      <c r="AR14" s="19">
        <f>SUM(AR3:AR13)</f>
        <v>81470</v>
      </c>
      <c r="AS14" s="19">
        <f>SUM(AS3:AS13)</f>
        <v>0</v>
      </c>
      <c r="AT14" s="142"/>
    </row>
    <row r="15" spans="1:46" x14ac:dyDescent="0.35">
      <c r="A15" s="3" t="s">
        <v>452</v>
      </c>
      <c r="B15" s="172" t="s">
        <v>276</v>
      </c>
      <c r="C15" s="3" t="s">
        <v>33</v>
      </c>
      <c r="D15" s="7">
        <v>225</v>
      </c>
      <c r="E15" s="3">
        <v>60</v>
      </c>
      <c r="F15" s="1">
        <f t="shared" ref="F15:F21" si="50">D15*E15</f>
        <v>13500</v>
      </c>
      <c r="G15" s="3">
        <v>146</v>
      </c>
      <c r="H15" s="3">
        <v>60</v>
      </c>
      <c r="I15" s="27">
        <f t="shared" ref="I15:I23" si="51">G15*H15</f>
        <v>8760</v>
      </c>
      <c r="J15" s="3">
        <f t="shared" ref="J15:J21" si="52">D15-G15</f>
        <v>79</v>
      </c>
      <c r="K15" s="7">
        <v>60</v>
      </c>
      <c r="L15" s="7">
        <f t="shared" ref="L15:L44" si="53">J15*K15</f>
        <v>4740</v>
      </c>
      <c r="M15" s="3">
        <v>0</v>
      </c>
      <c r="N15" s="6">
        <f t="shared" ref="N15:N44" si="54">L15-M15</f>
        <v>4740</v>
      </c>
      <c r="O15" s="34"/>
      <c r="P15" s="3">
        <v>180</v>
      </c>
      <c r="Q15" s="3">
        <v>100</v>
      </c>
      <c r="R15" s="3">
        <f t="shared" ref="R15:R21" si="55">P15*Q15</f>
        <v>18000</v>
      </c>
      <c r="S15" s="3">
        <v>12</v>
      </c>
      <c r="T15" s="3">
        <v>100</v>
      </c>
      <c r="U15" s="3">
        <f t="shared" ref="U15:U23" si="56">S15*T15</f>
        <v>1200</v>
      </c>
      <c r="V15" s="3">
        <f t="shared" ref="V15:V21" si="57">P15-S15</f>
        <v>168</v>
      </c>
      <c r="W15" s="7">
        <v>100</v>
      </c>
      <c r="X15" s="7">
        <f>V15*W15</f>
        <v>16800</v>
      </c>
      <c r="Y15" s="3">
        <v>0</v>
      </c>
      <c r="Z15" s="6">
        <f t="shared" si="9"/>
        <v>16800</v>
      </c>
      <c r="AA15" s="82"/>
      <c r="AB15" s="3">
        <v>180</v>
      </c>
      <c r="AC15" s="3">
        <v>50</v>
      </c>
      <c r="AD15" s="3">
        <f t="shared" ref="AD15:AD21" si="58">AB15*AC15</f>
        <v>9000</v>
      </c>
      <c r="AE15" s="3">
        <v>0</v>
      </c>
      <c r="AF15" s="3">
        <v>50</v>
      </c>
      <c r="AG15" s="3">
        <f t="shared" ref="AG15:AG23" si="59">AE15*AF15</f>
        <v>0</v>
      </c>
      <c r="AH15" s="3">
        <f t="shared" ref="AH15:AH21" si="60">AB15-AE15</f>
        <v>180</v>
      </c>
      <c r="AI15" s="3">
        <v>50</v>
      </c>
      <c r="AJ15" s="7">
        <f>AH15*AI15</f>
        <v>9000</v>
      </c>
      <c r="AK15" s="3">
        <v>0</v>
      </c>
      <c r="AL15" s="6">
        <f t="shared" ref="AL15:AL23" si="61">AJ15-AK15</f>
        <v>9000</v>
      </c>
      <c r="AM15" s="6">
        <f t="shared" ref="AM15:AM23" si="62">L15+X15+AJ15</f>
        <v>30540</v>
      </c>
      <c r="AN15" s="6">
        <f t="shared" ref="AN15:AN23" si="63">M15+Y15+AK15</f>
        <v>0</v>
      </c>
      <c r="AO15" s="6">
        <f t="shared" ref="AO15:AO23" si="64">AM15-AN15</f>
        <v>30540</v>
      </c>
      <c r="AP15" s="3" t="s">
        <v>452</v>
      </c>
      <c r="AQ15" s="3">
        <f t="shared" ref="AQ15:AQ23" si="65">AO15</f>
        <v>30540</v>
      </c>
      <c r="AR15" s="3">
        <f>AQ15</f>
        <v>30540</v>
      </c>
      <c r="AS15" s="3">
        <f t="shared" ref="AS15:AS23" si="66">AQ15-AR15</f>
        <v>0</v>
      </c>
      <c r="AT15" s="3"/>
    </row>
    <row r="16" spans="1:46" x14ac:dyDescent="0.35">
      <c r="A16" s="3"/>
      <c r="B16" s="172" t="s">
        <v>276</v>
      </c>
      <c r="C16" s="3" t="s">
        <v>182</v>
      </c>
      <c r="D16" s="7">
        <v>0</v>
      </c>
      <c r="E16" s="3">
        <v>55</v>
      </c>
      <c r="F16" s="1">
        <f t="shared" si="50"/>
        <v>0</v>
      </c>
      <c r="G16" s="3">
        <v>0</v>
      </c>
      <c r="H16" s="3">
        <v>55</v>
      </c>
      <c r="I16" s="27">
        <f t="shared" si="51"/>
        <v>0</v>
      </c>
      <c r="J16" s="3">
        <f t="shared" si="52"/>
        <v>0</v>
      </c>
      <c r="K16" s="7">
        <v>55</v>
      </c>
      <c r="L16" s="7">
        <f t="shared" si="53"/>
        <v>0</v>
      </c>
      <c r="M16" s="7">
        <v>0</v>
      </c>
      <c r="N16" s="6">
        <f t="shared" si="54"/>
        <v>0</v>
      </c>
      <c r="O16" s="34"/>
      <c r="P16" s="3">
        <v>0</v>
      </c>
      <c r="Q16" s="3">
        <v>100</v>
      </c>
      <c r="R16" s="3">
        <f t="shared" si="55"/>
        <v>0</v>
      </c>
      <c r="S16" s="3">
        <v>0</v>
      </c>
      <c r="T16" s="3">
        <v>100</v>
      </c>
      <c r="U16" s="3">
        <f t="shared" si="56"/>
        <v>0</v>
      </c>
      <c r="V16" s="3">
        <f t="shared" si="57"/>
        <v>0</v>
      </c>
      <c r="W16" s="7">
        <v>100</v>
      </c>
      <c r="X16" s="7">
        <f>V16*W16</f>
        <v>0</v>
      </c>
      <c r="Y16" s="7">
        <v>0</v>
      </c>
      <c r="Z16" s="6">
        <f t="shared" ref="Z16" si="67">X16-Y16</f>
        <v>0</v>
      </c>
      <c r="AA16" s="82"/>
      <c r="AB16" s="3">
        <v>0</v>
      </c>
      <c r="AC16" s="3">
        <v>50</v>
      </c>
      <c r="AD16" s="3">
        <f t="shared" si="58"/>
        <v>0</v>
      </c>
      <c r="AE16" s="3">
        <v>0</v>
      </c>
      <c r="AF16" s="3">
        <v>50</v>
      </c>
      <c r="AG16" s="3">
        <f t="shared" si="59"/>
        <v>0</v>
      </c>
      <c r="AH16" s="3">
        <f t="shared" si="60"/>
        <v>0</v>
      </c>
      <c r="AI16" s="3">
        <v>50</v>
      </c>
      <c r="AJ16" s="7">
        <f t="shared" ref="AJ16" si="68">AH16*AI16</f>
        <v>0</v>
      </c>
      <c r="AK16" s="7">
        <v>0</v>
      </c>
      <c r="AL16" s="6">
        <f t="shared" si="61"/>
        <v>0</v>
      </c>
      <c r="AM16" s="6">
        <f t="shared" si="62"/>
        <v>0</v>
      </c>
      <c r="AN16" s="6">
        <f t="shared" si="63"/>
        <v>0</v>
      </c>
      <c r="AO16" s="6">
        <f t="shared" si="64"/>
        <v>0</v>
      </c>
      <c r="AP16" s="3" t="s">
        <v>452</v>
      </c>
      <c r="AQ16" s="3">
        <f t="shared" si="65"/>
        <v>0</v>
      </c>
      <c r="AR16" s="3">
        <f t="shared" ref="AR16" si="69">AQ16</f>
        <v>0</v>
      </c>
      <c r="AS16" s="3">
        <f t="shared" si="66"/>
        <v>0</v>
      </c>
      <c r="AT16" s="3"/>
    </row>
    <row r="17" spans="1:46" x14ac:dyDescent="0.35">
      <c r="A17" s="3"/>
      <c r="B17" s="172" t="s">
        <v>454</v>
      </c>
      <c r="C17" s="3" t="s">
        <v>33</v>
      </c>
      <c r="D17" s="7">
        <v>300</v>
      </c>
      <c r="E17" s="3">
        <v>60</v>
      </c>
      <c r="F17" s="1">
        <f t="shared" si="50"/>
        <v>18000</v>
      </c>
      <c r="G17" s="3">
        <v>145</v>
      </c>
      <c r="H17" s="3">
        <v>60</v>
      </c>
      <c r="I17" s="27">
        <f t="shared" si="51"/>
        <v>8700</v>
      </c>
      <c r="J17" s="3">
        <f t="shared" si="52"/>
        <v>155</v>
      </c>
      <c r="K17" s="7">
        <v>60</v>
      </c>
      <c r="L17" s="7">
        <f t="shared" si="53"/>
        <v>9300</v>
      </c>
      <c r="M17" s="7">
        <v>0</v>
      </c>
      <c r="N17" s="6">
        <f t="shared" si="54"/>
        <v>9300</v>
      </c>
      <c r="O17" s="34"/>
      <c r="P17" s="3">
        <v>240</v>
      </c>
      <c r="Q17" s="3">
        <v>100</v>
      </c>
      <c r="R17" s="3">
        <f t="shared" si="55"/>
        <v>24000</v>
      </c>
      <c r="S17" s="3">
        <v>0</v>
      </c>
      <c r="T17" s="3">
        <v>100</v>
      </c>
      <c r="U17" s="3">
        <f t="shared" si="56"/>
        <v>0</v>
      </c>
      <c r="V17" s="3">
        <f t="shared" si="57"/>
        <v>240</v>
      </c>
      <c r="W17" s="7">
        <v>100</v>
      </c>
      <c r="X17" s="7">
        <f>V17*W17</f>
        <v>24000</v>
      </c>
      <c r="Y17" s="7">
        <v>0</v>
      </c>
      <c r="Z17" s="6">
        <f t="shared" si="9"/>
        <v>24000</v>
      </c>
      <c r="AA17" s="82"/>
      <c r="AB17" s="3">
        <v>96</v>
      </c>
      <c r="AC17" s="3">
        <v>50</v>
      </c>
      <c r="AD17" s="3">
        <f t="shared" si="58"/>
        <v>4800</v>
      </c>
      <c r="AE17" s="3">
        <v>23</v>
      </c>
      <c r="AF17" s="3">
        <v>50</v>
      </c>
      <c r="AG17" s="3">
        <f t="shared" si="59"/>
        <v>1150</v>
      </c>
      <c r="AH17" s="3">
        <f t="shared" si="60"/>
        <v>73</v>
      </c>
      <c r="AI17" s="3">
        <v>50</v>
      </c>
      <c r="AJ17" s="7">
        <f t="shared" ref="AJ17:AJ23" si="70">AH17*AI17</f>
        <v>3650</v>
      </c>
      <c r="AK17" s="7">
        <v>0</v>
      </c>
      <c r="AL17" s="6">
        <f t="shared" si="61"/>
        <v>3650</v>
      </c>
      <c r="AM17" s="6">
        <f t="shared" si="62"/>
        <v>36950</v>
      </c>
      <c r="AN17" s="6">
        <f t="shared" si="63"/>
        <v>0</v>
      </c>
      <c r="AO17" s="6">
        <f t="shared" si="64"/>
        <v>36950</v>
      </c>
      <c r="AP17" s="3" t="s">
        <v>452</v>
      </c>
      <c r="AQ17" s="3">
        <f t="shared" si="65"/>
        <v>36950</v>
      </c>
      <c r="AR17" s="3">
        <f>AQ17</f>
        <v>36950</v>
      </c>
      <c r="AS17" s="3">
        <f t="shared" si="66"/>
        <v>0</v>
      </c>
      <c r="AT17" s="3"/>
    </row>
    <row r="18" spans="1:46" x14ac:dyDescent="0.35">
      <c r="A18" s="3"/>
      <c r="B18" s="172" t="s">
        <v>415</v>
      </c>
      <c r="C18" s="3" t="s">
        <v>33</v>
      </c>
      <c r="D18" s="7">
        <v>140</v>
      </c>
      <c r="E18" s="3">
        <v>60</v>
      </c>
      <c r="F18" s="1">
        <f t="shared" si="50"/>
        <v>8400</v>
      </c>
      <c r="G18" s="3">
        <v>29</v>
      </c>
      <c r="H18" s="3">
        <v>60</v>
      </c>
      <c r="I18" s="27">
        <f t="shared" si="51"/>
        <v>1740</v>
      </c>
      <c r="J18" s="3">
        <f t="shared" si="52"/>
        <v>111</v>
      </c>
      <c r="K18" s="7">
        <v>60</v>
      </c>
      <c r="L18" s="7">
        <f t="shared" si="53"/>
        <v>6660</v>
      </c>
      <c r="M18" s="3">
        <f>J18*5</f>
        <v>555</v>
      </c>
      <c r="N18" s="6">
        <f t="shared" si="54"/>
        <v>6105</v>
      </c>
      <c r="O18" s="34"/>
      <c r="P18" s="3">
        <v>228</v>
      </c>
      <c r="Q18" s="3">
        <v>100</v>
      </c>
      <c r="R18" s="3">
        <f t="shared" si="55"/>
        <v>22800</v>
      </c>
      <c r="S18" s="3">
        <v>0</v>
      </c>
      <c r="T18" s="3">
        <v>100</v>
      </c>
      <c r="U18" s="3">
        <f t="shared" si="56"/>
        <v>0</v>
      </c>
      <c r="V18" s="3">
        <f t="shared" si="57"/>
        <v>228</v>
      </c>
      <c r="W18" s="7">
        <v>100</v>
      </c>
      <c r="X18" s="7">
        <f t="shared" ref="X18:X44" si="71">V18*W18</f>
        <v>22800</v>
      </c>
      <c r="Y18" s="3">
        <f>V18*10</f>
        <v>2280</v>
      </c>
      <c r="Z18" s="6">
        <f t="shared" si="9"/>
        <v>20520</v>
      </c>
      <c r="AA18" s="82"/>
      <c r="AB18" s="3">
        <v>144</v>
      </c>
      <c r="AC18" s="3">
        <v>50</v>
      </c>
      <c r="AD18" s="3">
        <f t="shared" si="58"/>
        <v>7200</v>
      </c>
      <c r="AE18" s="3">
        <v>2</v>
      </c>
      <c r="AF18" s="3">
        <v>50</v>
      </c>
      <c r="AG18" s="3">
        <f t="shared" si="59"/>
        <v>100</v>
      </c>
      <c r="AH18" s="3">
        <f t="shared" si="60"/>
        <v>142</v>
      </c>
      <c r="AI18" s="3">
        <v>50</v>
      </c>
      <c r="AJ18" s="7">
        <f t="shared" si="70"/>
        <v>7100</v>
      </c>
      <c r="AK18" s="3">
        <f>AH18*5</f>
        <v>710</v>
      </c>
      <c r="AL18" s="6">
        <f t="shared" si="61"/>
        <v>6390</v>
      </c>
      <c r="AM18" s="6">
        <f t="shared" si="62"/>
        <v>36560</v>
      </c>
      <c r="AN18" s="6">
        <f t="shared" si="63"/>
        <v>3545</v>
      </c>
      <c r="AO18" s="6">
        <f t="shared" si="64"/>
        <v>33015</v>
      </c>
      <c r="AP18" s="3" t="s">
        <v>452</v>
      </c>
      <c r="AQ18" s="3">
        <f t="shared" si="65"/>
        <v>33015</v>
      </c>
      <c r="AR18" s="3">
        <f>AQ18</f>
        <v>33015</v>
      </c>
      <c r="AS18" s="3">
        <f t="shared" si="66"/>
        <v>0</v>
      </c>
      <c r="AT18" s="3"/>
    </row>
    <row r="19" spans="1:46" x14ac:dyDescent="0.35">
      <c r="A19" s="3"/>
      <c r="B19" s="172" t="s">
        <v>326</v>
      </c>
      <c r="C19" s="3" t="s">
        <v>33</v>
      </c>
      <c r="D19" s="7">
        <v>30</v>
      </c>
      <c r="E19" s="3">
        <v>60</v>
      </c>
      <c r="F19" s="1">
        <f t="shared" si="50"/>
        <v>1800</v>
      </c>
      <c r="G19" s="3">
        <v>7</v>
      </c>
      <c r="H19" s="3">
        <v>60</v>
      </c>
      <c r="I19" s="27">
        <f t="shared" si="51"/>
        <v>420</v>
      </c>
      <c r="J19" s="3">
        <f t="shared" si="52"/>
        <v>23</v>
      </c>
      <c r="K19" s="7">
        <v>60</v>
      </c>
      <c r="L19" s="7">
        <f t="shared" si="53"/>
        <v>1380</v>
      </c>
      <c r="M19" s="3">
        <v>0</v>
      </c>
      <c r="N19" s="6">
        <f t="shared" si="54"/>
        <v>1380</v>
      </c>
      <c r="O19" s="34"/>
      <c r="P19" s="3">
        <v>48</v>
      </c>
      <c r="Q19" s="3">
        <v>100</v>
      </c>
      <c r="R19" s="3">
        <f t="shared" si="55"/>
        <v>4800</v>
      </c>
      <c r="S19" s="3">
        <v>0</v>
      </c>
      <c r="T19" s="3">
        <v>100</v>
      </c>
      <c r="U19" s="3">
        <f t="shared" si="56"/>
        <v>0</v>
      </c>
      <c r="V19" s="3">
        <f t="shared" si="57"/>
        <v>48</v>
      </c>
      <c r="W19" s="7">
        <v>100</v>
      </c>
      <c r="X19" s="7">
        <f t="shared" si="71"/>
        <v>4800</v>
      </c>
      <c r="Y19" s="3">
        <v>0</v>
      </c>
      <c r="Z19" s="6">
        <f t="shared" si="9"/>
        <v>4800</v>
      </c>
      <c r="AA19" s="82"/>
      <c r="AB19" s="3">
        <v>48</v>
      </c>
      <c r="AC19" s="3">
        <v>50</v>
      </c>
      <c r="AD19" s="3">
        <f t="shared" si="58"/>
        <v>2400</v>
      </c>
      <c r="AE19" s="3">
        <v>0</v>
      </c>
      <c r="AF19" s="3">
        <v>50</v>
      </c>
      <c r="AG19" s="3">
        <f t="shared" si="59"/>
        <v>0</v>
      </c>
      <c r="AH19" s="3">
        <f t="shared" si="60"/>
        <v>48</v>
      </c>
      <c r="AI19" s="3">
        <v>50</v>
      </c>
      <c r="AJ19" s="7">
        <f t="shared" si="70"/>
        <v>2400</v>
      </c>
      <c r="AK19" s="3">
        <v>0</v>
      </c>
      <c r="AL19" s="6">
        <f t="shared" si="61"/>
        <v>2400</v>
      </c>
      <c r="AM19" s="6">
        <f t="shared" si="62"/>
        <v>8580</v>
      </c>
      <c r="AN19" s="6">
        <f t="shared" si="63"/>
        <v>0</v>
      </c>
      <c r="AO19" s="6">
        <f t="shared" si="64"/>
        <v>8580</v>
      </c>
      <c r="AP19" s="3" t="s">
        <v>452</v>
      </c>
      <c r="AQ19" s="3">
        <f t="shared" si="65"/>
        <v>8580</v>
      </c>
      <c r="AR19" s="3">
        <f>AQ19</f>
        <v>8580</v>
      </c>
      <c r="AS19" s="3">
        <f t="shared" si="66"/>
        <v>0</v>
      </c>
      <c r="AT19" s="3"/>
    </row>
    <row r="20" spans="1:46" x14ac:dyDescent="0.35">
      <c r="A20" s="3"/>
      <c r="B20" s="172" t="s">
        <v>283</v>
      </c>
      <c r="C20" s="3" t="s">
        <v>33</v>
      </c>
      <c r="D20" s="7">
        <f>15+17</f>
        <v>32</v>
      </c>
      <c r="E20" s="3">
        <v>60</v>
      </c>
      <c r="F20" s="1">
        <f t="shared" si="50"/>
        <v>1920</v>
      </c>
      <c r="G20" s="3">
        <v>3</v>
      </c>
      <c r="H20" s="3">
        <v>60</v>
      </c>
      <c r="I20" s="27">
        <f t="shared" si="51"/>
        <v>180</v>
      </c>
      <c r="J20" s="3">
        <f t="shared" si="52"/>
        <v>29</v>
      </c>
      <c r="K20" s="7">
        <v>60</v>
      </c>
      <c r="L20" s="7">
        <f t="shared" si="53"/>
        <v>1740</v>
      </c>
      <c r="M20" s="3">
        <v>0</v>
      </c>
      <c r="N20" s="6">
        <f t="shared" si="54"/>
        <v>1740</v>
      </c>
      <c r="O20" s="34"/>
      <c r="P20" s="3">
        <f>36+98+15</f>
        <v>149</v>
      </c>
      <c r="Q20" s="3">
        <v>100</v>
      </c>
      <c r="R20" s="3">
        <f t="shared" si="55"/>
        <v>14900</v>
      </c>
      <c r="S20" s="3">
        <v>7</v>
      </c>
      <c r="T20" s="3">
        <v>100</v>
      </c>
      <c r="U20" s="3">
        <f t="shared" si="56"/>
        <v>700</v>
      </c>
      <c r="V20" s="3">
        <f t="shared" si="57"/>
        <v>142</v>
      </c>
      <c r="W20" s="7">
        <v>100</v>
      </c>
      <c r="X20" s="7">
        <f t="shared" si="71"/>
        <v>14200</v>
      </c>
      <c r="Y20" s="3">
        <v>0</v>
      </c>
      <c r="Z20" s="6">
        <f t="shared" si="9"/>
        <v>14200</v>
      </c>
      <c r="AA20" s="82"/>
      <c r="AB20" s="3">
        <v>24</v>
      </c>
      <c r="AC20" s="3">
        <v>50</v>
      </c>
      <c r="AD20" s="3">
        <f t="shared" si="58"/>
        <v>1200</v>
      </c>
      <c r="AE20" s="3">
        <v>19</v>
      </c>
      <c r="AF20" s="3">
        <v>50</v>
      </c>
      <c r="AG20" s="3">
        <f t="shared" si="59"/>
        <v>950</v>
      </c>
      <c r="AH20" s="3">
        <f t="shared" si="60"/>
        <v>5</v>
      </c>
      <c r="AI20" s="3">
        <v>50</v>
      </c>
      <c r="AJ20" s="7">
        <f t="shared" si="70"/>
        <v>250</v>
      </c>
      <c r="AK20" s="3">
        <v>0</v>
      </c>
      <c r="AL20" s="6">
        <f t="shared" si="61"/>
        <v>250</v>
      </c>
      <c r="AM20" s="6">
        <f t="shared" si="62"/>
        <v>16190</v>
      </c>
      <c r="AN20" s="6">
        <f t="shared" si="63"/>
        <v>0</v>
      </c>
      <c r="AO20" s="6">
        <f t="shared" si="64"/>
        <v>16190</v>
      </c>
      <c r="AP20" s="3" t="s">
        <v>452</v>
      </c>
      <c r="AQ20" s="3">
        <f t="shared" si="65"/>
        <v>16190</v>
      </c>
      <c r="AR20" s="3">
        <f t="shared" ref="AR20:AR21" si="72">AQ20</f>
        <v>16190</v>
      </c>
      <c r="AS20" s="3">
        <f t="shared" si="66"/>
        <v>0</v>
      </c>
      <c r="AT20" s="3"/>
    </row>
    <row r="21" spans="1:46" x14ac:dyDescent="0.35">
      <c r="A21" s="3"/>
      <c r="B21" s="172" t="s">
        <v>283</v>
      </c>
      <c r="C21" s="3" t="s">
        <v>387</v>
      </c>
      <c r="D21" s="7">
        <v>15</v>
      </c>
      <c r="E21" s="3">
        <v>50</v>
      </c>
      <c r="F21" s="1">
        <f t="shared" si="50"/>
        <v>750</v>
      </c>
      <c r="G21" s="7">
        <v>15</v>
      </c>
      <c r="H21" s="3">
        <v>50</v>
      </c>
      <c r="I21" s="27">
        <f t="shared" si="51"/>
        <v>750</v>
      </c>
      <c r="J21" s="3">
        <f t="shared" si="52"/>
        <v>0</v>
      </c>
      <c r="K21" s="7">
        <v>50</v>
      </c>
      <c r="L21" s="7">
        <f t="shared" si="53"/>
        <v>0</v>
      </c>
      <c r="M21" s="7">
        <v>0</v>
      </c>
      <c r="N21" s="6">
        <f t="shared" si="54"/>
        <v>0</v>
      </c>
      <c r="O21" s="34"/>
      <c r="P21" s="7">
        <v>0</v>
      </c>
      <c r="Q21" s="3">
        <v>100</v>
      </c>
      <c r="R21" s="3">
        <f t="shared" si="55"/>
        <v>0</v>
      </c>
      <c r="S21" s="7">
        <v>0</v>
      </c>
      <c r="T21" s="3">
        <v>100</v>
      </c>
      <c r="U21" s="3">
        <f t="shared" si="56"/>
        <v>0</v>
      </c>
      <c r="V21" s="3">
        <f t="shared" si="57"/>
        <v>0</v>
      </c>
      <c r="W21" s="7">
        <v>100</v>
      </c>
      <c r="X21" s="7">
        <f>V21*W21</f>
        <v>0</v>
      </c>
      <c r="Y21" s="7">
        <v>0</v>
      </c>
      <c r="Z21" s="6">
        <f t="shared" si="9"/>
        <v>0</v>
      </c>
      <c r="AA21" s="82"/>
      <c r="AB21" s="7">
        <v>0</v>
      </c>
      <c r="AC21" s="3">
        <v>50</v>
      </c>
      <c r="AD21" s="3">
        <f t="shared" si="58"/>
        <v>0</v>
      </c>
      <c r="AE21" s="7">
        <v>0</v>
      </c>
      <c r="AF21" s="3">
        <v>50</v>
      </c>
      <c r="AG21" s="3">
        <f t="shared" si="59"/>
        <v>0</v>
      </c>
      <c r="AH21" s="3">
        <f t="shared" si="60"/>
        <v>0</v>
      </c>
      <c r="AI21" s="3">
        <v>50</v>
      </c>
      <c r="AJ21" s="7">
        <f t="shared" si="70"/>
        <v>0</v>
      </c>
      <c r="AK21" s="7">
        <v>0</v>
      </c>
      <c r="AL21" s="6">
        <f t="shared" si="61"/>
        <v>0</v>
      </c>
      <c r="AM21" s="6">
        <f t="shared" si="62"/>
        <v>0</v>
      </c>
      <c r="AN21" s="6">
        <f t="shared" si="63"/>
        <v>0</v>
      </c>
      <c r="AO21" s="6">
        <f t="shared" si="64"/>
        <v>0</v>
      </c>
      <c r="AP21" s="3" t="s">
        <v>452</v>
      </c>
      <c r="AQ21" s="3">
        <f t="shared" si="65"/>
        <v>0</v>
      </c>
      <c r="AR21" s="3">
        <f t="shared" si="72"/>
        <v>0</v>
      </c>
      <c r="AS21" s="3">
        <f t="shared" si="66"/>
        <v>0</v>
      </c>
      <c r="AT21" s="3"/>
    </row>
    <row r="22" spans="1:46" x14ac:dyDescent="0.35">
      <c r="A22" s="3"/>
      <c r="B22" s="3" t="s">
        <v>287</v>
      </c>
      <c r="C22" s="3" t="s">
        <v>331</v>
      </c>
      <c r="D22" s="7">
        <v>0</v>
      </c>
      <c r="E22" s="3">
        <v>60</v>
      </c>
      <c r="F22" s="1">
        <f t="shared" ref="F22" si="73">D22*E22</f>
        <v>0</v>
      </c>
      <c r="G22" s="7">
        <v>0</v>
      </c>
      <c r="H22" s="3">
        <v>60</v>
      </c>
      <c r="I22" s="27">
        <f t="shared" si="51"/>
        <v>0</v>
      </c>
      <c r="J22" s="3">
        <f t="shared" ref="J22" si="74">D22-G22</f>
        <v>0</v>
      </c>
      <c r="K22" s="7">
        <v>60</v>
      </c>
      <c r="L22" s="7">
        <f t="shared" si="53"/>
        <v>0</v>
      </c>
      <c r="M22" s="3">
        <f>J22*5</f>
        <v>0</v>
      </c>
      <c r="N22" s="6">
        <f t="shared" si="54"/>
        <v>0</v>
      </c>
      <c r="O22" s="34"/>
      <c r="P22" s="7">
        <v>0</v>
      </c>
      <c r="Q22" s="3">
        <v>100</v>
      </c>
      <c r="R22" s="3">
        <f t="shared" ref="R22" si="75">P22*Q22</f>
        <v>0</v>
      </c>
      <c r="S22" s="7">
        <v>0</v>
      </c>
      <c r="T22" s="3">
        <v>100</v>
      </c>
      <c r="U22" s="3">
        <f t="shared" si="56"/>
        <v>0</v>
      </c>
      <c r="V22" s="3">
        <f t="shared" ref="V22" si="76">P22-S22</f>
        <v>0</v>
      </c>
      <c r="W22" s="7">
        <v>100</v>
      </c>
      <c r="X22" s="7">
        <f t="shared" si="71"/>
        <v>0</v>
      </c>
      <c r="Y22" s="3">
        <f>V22*10</f>
        <v>0</v>
      </c>
      <c r="Z22" s="6">
        <f t="shared" ref="Z22:Z23" si="77">X22-Y22</f>
        <v>0</v>
      </c>
      <c r="AA22" s="82"/>
      <c r="AB22" s="7">
        <v>0</v>
      </c>
      <c r="AC22" s="3">
        <v>50</v>
      </c>
      <c r="AD22" s="3">
        <f t="shared" ref="AD22" si="78">AB22*AC22</f>
        <v>0</v>
      </c>
      <c r="AE22" s="7">
        <v>0</v>
      </c>
      <c r="AF22" s="3">
        <v>50</v>
      </c>
      <c r="AG22" s="3">
        <f t="shared" si="59"/>
        <v>0</v>
      </c>
      <c r="AH22" s="3">
        <f t="shared" ref="AH22" si="79">AB22-AE22</f>
        <v>0</v>
      </c>
      <c r="AI22" s="3">
        <v>50</v>
      </c>
      <c r="AJ22" s="7">
        <f t="shared" si="70"/>
        <v>0</v>
      </c>
      <c r="AK22" s="3">
        <f>AH22*5</f>
        <v>0</v>
      </c>
      <c r="AL22" s="6">
        <f t="shared" si="61"/>
        <v>0</v>
      </c>
      <c r="AM22" s="6">
        <f t="shared" si="62"/>
        <v>0</v>
      </c>
      <c r="AN22" s="6">
        <f t="shared" si="63"/>
        <v>0</v>
      </c>
      <c r="AO22" s="6">
        <f t="shared" si="64"/>
        <v>0</v>
      </c>
      <c r="AP22" s="3" t="s">
        <v>452</v>
      </c>
      <c r="AQ22" s="3">
        <f t="shared" si="65"/>
        <v>0</v>
      </c>
      <c r="AR22" s="3">
        <f>AQ22</f>
        <v>0</v>
      </c>
      <c r="AS22" s="3">
        <f t="shared" si="66"/>
        <v>0</v>
      </c>
      <c r="AT22" s="3"/>
    </row>
    <row r="23" spans="1:46" x14ac:dyDescent="0.35">
      <c r="A23" s="3"/>
      <c r="B23" s="3" t="s">
        <v>287</v>
      </c>
      <c r="C23" s="3" t="s">
        <v>11</v>
      </c>
      <c r="D23" s="7">
        <v>0</v>
      </c>
      <c r="E23" s="3">
        <v>60</v>
      </c>
      <c r="F23" s="1">
        <v>0</v>
      </c>
      <c r="G23" s="7">
        <v>0</v>
      </c>
      <c r="H23" s="3">
        <v>60</v>
      </c>
      <c r="I23" s="27">
        <f t="shared" si="51"/>
        <v>0</v>
      </c>
      <c r="J23" s="3">
        <v>0</v>
      </c>
      <c r="K23" s="7">
        <v>60</v>
      </c>
      <c r="L23" s="7">
        <f t="shared" si="53"/>
        <v>0</v>
      </c>
      <c r="M23" s="3">
        <v>0</v>
      </c>
      <c r="N23" s="6">
        <f t="shared" si="54"/>
        <v>0</v>
      </c>
      <c r="O23" s="34"/>
      <c r="P23" s="7">
        <v>0</v>
      </c>
      <c r="Q23" s="3">
        <v>100</v>
      </c>
      <c r="R23" s="3">
        <v>0</v>
      </c>
      <c r="S23" s="7">
        <v>0</v>
      </c>
      <c r="T23" s="3">
        <v>100</v>
      </c>
      <c r="U23" s="3">
        <f t="shared" si="56"/>
        <v>0</v>
      </c>
      <c r="V23" s="3">
        <v>0</v>
      </c>
      <c r="W23" s="7">
        <v>100</v>
      </c>
      <c r="X23" s="7">
        <f t="shared" si="71"/>
        <v>0</v>
      </c>
      <c r="Y23" s="3">
        <v>0</v>
      </c>
      <c r="Z23" s="6">
        <f t="shared" si="77"/>
        <v>0</v>
      </c>
      <c r="AA23" s="82"/>
      <c r="AB23" s="7">
        <v>0</v>
      </c>
      <c r="AC23" s="3">
        <v>50</v>
      </c>
      <c r="AD23" s="3">
        <v>0</v>
      </c>
      <c r="AE23" s="7">
        <v>0</v>
      </c>
      <c r="AF23" s="3">
        <v>50</v>
      </c>
      <c r="AG23" s="3">
        <f t="shared" si="59"/>
        <v>0</v>
      </c>
      <c r="AH23" s="3">
        <v>0</v>
      </c>
      <c r="AI23" s="3">
        <v>50</v>
      </c>
      <c r="AJ23" s="7">
        <f t="shared" si="70"/>
        <v>0</v>
      </c>
      <c r="AK23" s="3">
        <v>0</v>
      </c>
      <c r="AL23" s="6">
        <f t="shared" si="61"/>
        <v>0</v>
      </c>
      <c r="AM23" s="6">
        <f t="shared" si="62"/>
        <v>0</v>
      </c>
      <c r="AN23" s="6">
        <f t="shared" si="63"/>
        <v>0</v>
      </c>
      <c r="AO23" s="6">
        <f t="shared" si="64"/>
        <v>0</v>
      </c>
      <c r="AP23" s="3" t="s">
        <v>452</v>
      </c>
      <c r="AQ23" s="3">
        <f t="shared" si="65"/>
        <v>0</v>
      </c>
      <c r="AR23" s="3">
        <f t="shared" ref="AR23" si="80">AQ23</f>
        <v>0</v>
      </c>
      <c r="AS23" s="3">
        <f t="shared" si="66"/>
        <v>0</v>
      </c>
      <c r="AT23" s="3"/>
    </row>
    <row r="24" spans="1:46" x14ac:dyDescent="0.35">
      <c r="A24" s="19"/>
      <c r="B24" s="19" t="s">
        <v>36</v>
      </c>
      <c r="C24" s="19"/>
      <c r="D24" s="19">
        <f>SUM(D15:D23)</f>
        <v>742</v>
      </c>
      <c r="E24" s="19"/>
      <c r="F24" s="19">
        <f>SUM(F15:F23)</f>
        <v>44370</v>
      </c>
      <c r="G24" s="19">
        <f>SUM(G15:G23)</f>
        <v>345</v>
      </c>
      <c r="H24" s="19"/>
      <c r="I24" s="19">
        <f>SUM(I15:I23)</f>
        <v>20550</v>
      </c>
      <c r="J24" s="19">
        <f>SUM(J15:J23)</f>
        <v>397</v>
      </c>
      <c r="K24" s="19"/>
      <c r="L24" s="19">
        <f>SUM(L15:L23)</f>
        <v>23820</v>
      </c>
      <c r="M24" s="19">
        <f>SUM(M15:M23)</f>
        <v>555</v>
      </c>
      <c r="N24" s="19">
        <f>SUM(N15:N23)</f>
        <v>23265</v>
      </c>
      <c r="O24" s="34"/>
      <c r="P24" s="19">
        <f>SUM(P15:P23)</f>
        <v>845</v>
      </c>
      <c r="Q24" s="19"/>
      <c r="R24" s="19">
        <f>SUM(R15:R23)</f>
        <v>84500</v>
      </c>
      <c r="S24" s="19">
        <f>SUM(S15:S23)</f>
        <v>19</v>
      </c>
      <c r="T24" s="19"/>
      <c r="U24" s="19">
        <f>SUM(U15:U23)</f>
        <v>1900</v>
      </c>
      <c r="V24" s="19">
        <f>SUM(V15:V23)</f>
        <v>826</v>
      </c>
      <c r="W24" s="19"/>
      <c r="X24" s="19">
        <f>SUM(X15:X23)</f>
        <v>82600</v>
      </c>
      <c r="Y24" s="19">
        <f>SUM(Y15:Y23)</f>
        <v>2280</v>
      </c>
      <c r="Z24" s="19">
        <f>SUM(Z15:Z23)</f>
        <v>80320</v>
      </c>
      <c r="AA24" s="34"/>
      <c r="AB24" s="19">
        <f>SUM(AB15:AB23)</f>
        <v>492</v>
      </c>
      <c r="AC24" s="19"/>
      <c r="AD24" s="19">
        <f>SUM(AD15:AD23)</f>
        <v>24600</v>
      </c>
      <c r="AE24" s="19">
        <f>SUM(AE15:AE23)</f>
        <v>44</v>
      </c>
      <c r="AF24" s="19"/>
      <c r="AG24" s="19">
        <f>SUM(AG15:AG23)</f>
        <v>2200</v>
      </c>
      <c r="AH24" s="19">
        <f>SUM(AH15:AH23)</f>
        <v>448</v>
      </c>
      <c r="AI24" s="19"/>
      <c r="AJ24" s="19">
        <f t="shared" ref="AJ24:AO24" si="81">SUM(AJ15:AJ23)</f>
        <v>22400</v>
      </c>
      <c r="AK24" s="19">
        <f t="shared" si="81"/>
        <v>710</v>
      </c>
      <c r="AL24" s="19">
        <f t="shared" si="81"/>
        <v>21690</v>
      </c>
      <c r="AM24" s="19">
        <f t="shared" si="81"/>
        <v>128820</v>
      </c>
      <c r="AN24" s="19">
        <f t="shared" si="81"/>
        <v>3545</v>
      </c>
      <c r="AO24" s="19">
        <f t="shared" si="81"/>
        <v>125275</v>
      </c>
      <c r="AP24" s="19"/>
      <c r="AQ24" s="19">
        <f>SUM(AQ15:AQ23)</f>
        <v>125275</v>
      </c>
      <c r="AR24" s="19">
        <f>SUM(AR15:AR23)</f>
        <v>125275</v>
      </c>
      <c r="AS24" s="19">
        <f>SUM(AS15:AS23)</f>
        <v>0</v>
      </c>
      <c r="AT24" s="142"/>
    </row>
    <row r="25" spans="1:46" x14ac:dyDescent="0.35">
      <c r="A25" s="3" t="s">
        <v>458</v>
      </c>
      <c r="B25" s="172" t="s">
        <v>407</v>
      </c>
      <c r="C25" s="3" t="s">
        <v>33</v>
      </c>
      <c r="D25" s="7">
        <f>225-45</f>
        <v>180</v>
      </c>
      <c r="E25" s="3">
        <v>60</v>
      </c>
      <c r="F25" s="1">
        <f t="shared" ref="F25:F30" si="82">D25*E25</f>
        <v>10800</v>
      </c>
      <c r="G25" s="3">
        <v>108</v>
      </c>
      <c r="H25" s="3">
        <v>60</v>
      </c>
      <c r="I25" s="27">
        <f t="shared" ref="I25:I30" si="83">G25*H25</f>
        <v>6480</v>
      </c>
      <c r="J25" s="3">
        <f t="shared" ref="J25:J30" si="84">D25-G25</f>
        <v>72</v>
      </c>
      <c r="K25" s="7">
        <v>60</v>
      </c>
      <c r="L25" s="7">
        <f>J25*K25</f>
        <v>4320</v>
      </c>
      <c r="M25" s="3">
        <v>0</v>
      </c>
      <c r="N25" s="6">
        <f t="shared" si="54"/>
        <v>4320</v>
      </c>
      <c r="O25" s="34"/>
      <c r="P25" s="3">
        <v>180</v>
      </c>
      <c r="Q25" s="3">
        <v>100</v>
      </c>
      <c r="R25" s="3">
        <f t="shared" ref="R25:R30" si="85">P25*Q25</f>
        <v>18000</v>
      </c>
      <c r="S25" s="3">
        <v>0</v>
      </c>
      <c r="T25" s="3">
        <v>100</v>
      </c>
      <c r="U25" s="3">
        <f t="shared" ref="U25:U30" si="86">S25*T25</f>
        <v>0</v>
      </c>
      <c r="V25" s="3">
        <f t="shared" ref="V25:V30" si="87">P25-S25</f>
        <v>180</v>
      </c>
      <c r="W25" s="7">
        <v>100</v>
      </c>
      <c r="X25" s="7">
        <f t="shared" si="71"/>
        <v>18000</v>
      </c>
      <c r="Y25" s="3">
        <v>0</v>
      </c>
      <c r="Z25" s="6">
        <f t="shared" si="9"/>
        <v>18000</v>
      </c>
      <c r="AA25" s="82"/>
      <c r="AB25" s="3">
        <v>180</v>
      </c>
      <c r="AC25" s="3">
        <v>50</v>
      </c>
      <c r="AD25" s="3">
        <f t="shared" ref="AD25:AD30" si="88">AB25*AC25</f>
        <v>9000</v>
      </c>
      <c r="AE25" s="3">
        <v>0</v>
      </c>
      <c r="AF25" s="3">
        <v>50</v>
      </c>
      <c r="AG25" s="3">
        <f t="shared" ref="AG25:AG30" si="89">AE25*AF25</f>
        <v>0</v>
      </c>
      <c r="AH25" s="3">
        <f t="shared" ref="AH25:AH30" si="90">AB25-AE25</f>
        <v>180</v>
      </c>
      <c r="AI25" s="3">
        <v>50</v>
      </c>
      <c r="AJ25" s="7">
        <f t="shared" ref="AJ25:AJ30" si="91">AH25*AI25</f>
        <v>9000</v>
      </c>
      <c r="AK25" s="3">
        <v>0</v>
      </c>
      <c r="AL25" s="6">
        <f t="shared" ref="AL25:AL30" si="92">AJ25-AK25</f>
        <v>9000</v>
      </c>
      <c r="AM25" s="6">
        <f t="shared" ref="AM25:AM30" si="93">L25+X25+AJ25</f>
        <v>31320</v>
      </c>
      <c r="AN25" s="6">
        <f t="shared" ref="AN25:AN30" si="94">M25+Y25+AK25</f>
        <v>0</v>
      </c>
      <c r="AO25" s="6">
        <f t="shared" ref="AO25:AO30" si="95">AM25-AN25</f>
        <v>31320</v>
      </c>
      <c r="AP25" s="3" t="s">
        <v>458</v>
      </c>
      <c r="AQ25" s="3">
        <f t="shared" ref="AQ25:AQ30" si="96">AO25</f>
        <v>31320</v>
      </c>
      <c r="AR25" s="3">
        <f>AQ25</f>
        <v>31320</v>
      </c>
      <c r="AS25" s="3">
        <f t="shared" ref="AS25:AS30" si="97">AQ25-AR25</f>
        <v>0</v>
      </c>
      <c r="AT25" s="3"/>
    </row>
    <row r="26" spans="1:46" x14ac:dyDescent="0.35">
      <c r="A26" s="3"/>
      <c r="B26" s="172" t="s">
        <v>276</v>
      </c>
      <c r="C26" s="3" t="s">
        <v>182</v>
      </c>
      <c r="D26" s="7">
        <v>45</v>
      </c>
      <c r="E26" s="3">
        <v>55</v>
      </c>
      <c r="F26" s="1">
        <f t="shared" si="82"/>
        <v>2475</v>
      </c>
      <c r="G26" s="3">
        <v>0</v>
      </c>
      <c r="H26" s="3">
        <v>55</v>
      </c>
      <c r="I26" s="27">
        <f t="shared" si="83"/>
        <v>0</v>
      </c>
      <c r="J26" s="3">
        <f t="shared" ref="J26" si="98">D26-G26</f>
        <v>45</v>
      </c>
      <c r="K26" s="7">
        <v>55</v>
      </c>
      <c r="L26" s="7">
        <f t="shared" ref="L26" si="99">J26*K26</f>
        <v>2475</v>
      </c>
      <c r="M26" s="7">
        <v>0</v>
      </c>
      <c r="N26" s="6">
        <f t="shared" ref="N26" si="100">L26-M26</f>
        <v>2475</v>
      </c>
      <c r="O26" s="34"/>
      <c r="P26" s="3">
        <v>0</v>
      </c>
      <c r="Q26" s="3">
        <v>100</v>
      </c>
      <c r="R26" s="3">
        <f t="shared" si="85"/>
        <v>0</v>
      </c>
      <c r="S26" s="3">
        <v>0</v>
      </c>
      <c r="T26" s="3">
        <v>100</v>
      </c>
      <c r="U26" s="3">
        <f t="shared" si="86"/>
        <v>0</v>
      </c>
      <c r="V26" s="3">
        <f t="shared" si="87"/>
        <v>0</v>
      </c>
      <c r="W26" s="7">
        <v>100</v>
      </c>
      <c r="X26" s="7">
        <f>V26*W26</f>
        <v>0</v>
      </c>
      <c r="Y26" s="7">
        <v>0</v>
      </c>
      <c r="Z26" s="6">
        <f t="shared" si="9"/>
        <v>0</v>
      </c>
      <c r="AA26" s="82"/>
      <c r="AB26" s="3">
        <v>28</v>
      </c>
      <c r="AC26" s="3">
        <v>45</v>
      </c>
      <c r="AD26" s="3">
        <f t="shared" si="88"/>
        <v>1260</v>
      </c>
      <c r="AE26" s="3">
        <v>0</v>
      </c>
      <c r="AF26" s="3">
        <v>45</v>
      </c>
      <c r="AG26" s="3">
        <f t="shared" si="89"/>
        <v>0</v>
      </c>
      <c r="AH26" s="3">
        <f t="shared" si="90"/>
        <v>28</v>
      </c>
      <c r="AI26" s="3">
        <v>45</v>
      </c>
      <c r="AJ26" s="7">
        <f t="shared" si="91"/>
        <v>1260</v>
      </c>
      <c r="AK26" s="7">
        <v>0</v>
      </c>
      <c r="AL26" s="6">
        <f t="shared" si="92"/>
        <v>1260</v>
      </c>
      <c r="AM26" s="6">
        <f t="shared" si="93"/>
        <v>3735</v>
      </c>
      <c r="AN26" s="6">
        <f t="shared" si="94"/>
        <v>0</v>
      </c>
      <c r="AO26" s="6">
        <f t="shared" si="95"/>
        <v>3735</v>
      </c>
      <c r="AP26" s="3" t="s">
        <v>458</v>
      </c>
      <c r="AQ26" s="3">
        <f t="shared" si="96"/>
        <v>3735</v>
      </c>
      <c r="AR26" s="3">
        <f t="shared" ref="AR26" si="101">AQ26</f>
        <v>3735</v>
      </c>
      <c r="AS26" s="3">
        <f t="shared" si="97"/>
        <v>0</v>
      </c>
      <c r="AT26" s="3"/>
    </row>
    <row r="27" spans="1:46" x14ac:dyDescent="0.35">
      <c r="A27" s="3"/>
      <c r="B27" s="172" t="s">
        <v>386</v>
      </c>
      <c r="C27" s="3" t="s">
        <v>33</v>
      </c>
      <c r="D27" s="7">
        <f>300-60</f>
        <v>240</v>
      </c>
      <c r="E27" s="3">
        <v>60</v>
      </c>
      <c r="F27" s="1">
        <f t="shared" si="82"/>
        <v>14400</v>
      </c>
      <c r="G27" s="7">
        <v>138</v>
      </c>
      <c r="H27" s="3">
        <v>60</v>
      </c>
      <c r="I27" s="27">
        <f t="shared" si="83"/>
        <v>8280</v>
      </c>
      <c r="J27" s="3">
        <f t="shared" si="84"/>
        <v>102</v>
      </c>
      <c r="K27" s="7">
        <v>60</v>
      </c>
      <c r="L27" s="7">
        <f>J27*K27</f>
        <v>6120</v>
      </c>
      <c r="M27" s="7">
        <v>0</v>
      </c>
      <c r="N27" s="6">
        <f>L27-M27</f>
        <v>6120</v>
      </c>
      <c r="O27" s="34"/>
      <c r="P27" s="7">
        <v>264</v>
      </c>
      <c r="Q27" s="3">
        <v>100</v>
      </c>
      <c r="R27" s="3">
        <f t="shared" si="85"/>
        <v>26400</v>
      </c>
      <c r="S27" s="7">
        <v>33</v>
      </c>
      <c r="T27" s="3">
        <v>100</v>
      </c>
      <c r="U27" s="3">
        <f t="shared" si="86"/>
        <v>3300</v>
      </c>
      <c r="V27" s="3">
        <f t="shared" si="87"/>
        <v>231</v>
      </c>
      <c r="W27" s="7">
        <v>100</v>
      </c>
      <c r="X27" s="7">
        <f t="shared" si="71"/>
        <v>23100</v>
      </c>
      <c r="Y27" s="7">
        <v>0</v>
      </c>
      <c r="Z27" s="6">
        <f>X27-Y27</f>
        <v>23100</v>
      </c>
      <c r="AA27" s="82"/>
      <c r="AB27" s="7">
        <v>240</v>
      </c>
      <c r="AC27" s="3">
        <v>50</v>
      </c>
      <c r="AD27" s="3">
        <f t="shared" si="88"/>
        <v>12000</v>
      </c>
      <c r="AE27" s="7">
        <v>120</v>
      </c>
      <c r="AF27" s="3">
        <v>50</v>
      </c>
      <c r="AG27" s="3">
        <f t="shared" si="89"/>
        <v>6000</v>
      </c>
      <c r="AH27" s="3">
        <f t="shared" si="90"/>
        <v>120</v>
      </c>
      <c r="AI27" s="3">
        <v>50</v>
      </c>
      <c r="AJ27" s="7">
        <f t="shared" si="91"/>
        <v>6000</v>
      </c>
      <c r="AK27" s="7">
        <v>0</v>
      </c>
      <c r="AL27" s="6">
        <f t="shared" si="92"/>
        <v>6000</v>
      </c>
      <c r="AM27" s="6">
        <f t="shared" si="93"/>
        <v>35220</v>
      </c>
      <c r="AN27" s="6">
        <f t="shared" si="94"/>
        <v>0</v>
      </c>
      <c r="AO27" s="6">
        <f t="shared" si="95"/>
        <v>35220</v>
      </c>
      <c r="AP27" s="3" t="s">
        <v>458</v>
      </c>
      <c r="AQ27" s="3">
        <f t="shared" si="96"/>
        <v>35220</v>
      </c>
      <c r="AR27" s="3">
        <f>AQ27</f>
        <v>35220</v>
      </c>
      <c r="AS27" s="3">
        <f t="shared" si="97"/>
        <v>0</v>
      </c>
      <c r="AT27" s="3"/>
    </row>
    <row r="28" spans="1:46" x14ac:dyDescent="0.35">
      <c r="A28" s="3"/>
      <c r="B28" s="172" t="s">
        <v>386</v>
      </c>
      <c r="C28" s="3" t="s">
        <v>182</v>
      </c>
      <c r="D28" s="7">
        <v>60</v>
      </c>
      <c r="E28" s="3">
        <v>55</v>
      </c>
      <c r="F28" s="1">
        <f t="shared" si="82"/>
        <v>3300</v>
      </c>
      <c r="G28" s="7">
        <v>0</v>
      </c>
      <c r="H28" s="3">
        <v>55</v>
      </c>
      <c r="I28" s="27">
        <f t="shared" si="83"/>
        <v>0</v>
      </c>
      <c r="J28" s="3">
        <f t="shared" si="84"/>
        <v>60</v>
      </c>
      <c r="K28" s="7">
        <v>55</v>
      </c>
      <c r="L28" s="7">
        <f t="shared" ref="L28" si="102">J28*K28</f>
        <v>3300</v>
      </c>
      <c r="M28" s="7">
        <v>0</v>
      </c>
      <c r="N28" s="6">
        <f t="shared" ref="N28" si="103">L28-M28</f>
        <v>3300</v>
      </c>
      <c r="O28" s="34"/>
      <c r="P28" s="7">
        <v>0</v>
      </c>
      <c r="Q28" s="3">
        <v>100</v>
      </c>
      <c r="R28" s="3">
        <f t="shared" si="85"/>
        <v>0</v>
      </c>
      <c r="S28" s="7">
        <v>0</v>
      </c>
      <c r="T28" s="3">
        <v>100</v>
      </c>
      <c r="U28" s="3">
        <f t="shared" si="86"/>
        <v>0</v>
      </c>
      <c r="V28" s="3">
        <f t="shared" si="87"/>
        <v>0</v>
      </c>
      <c r="W28" s="7">
        <v>100</v>
      </c>
      <c r="X28" s="7">
        <f>V28*W28</f>
        <v>0</v>
      </c>
      <c r="Y28" s="7">
        <v>0</v>
      </c>
      <c r="Z28" s="6">
        <f t="shared" ref="Z28" si="104">X28-Y28</f>
        <v>0</v>
      </c>
      <c r="AA28" s="82"/>
      <c r="AB28" s="7">
        <v>0</v>
      </c>
      <c r="AC28" s="3">
        <v>50</v>
      </c>
      <c r="AD28" s="3">
        <f t="shared" si="88"/>
        <v>0</v>
      </c>
      <c r="AE28" s="7">
        <v>0</v>
      </c>
      <c r="AF28" s="3">
        <v>50</v>
      </c>
      <c r="AG28" s="3">
        <f t="shared" si="89"/>
        <v>0</v>
      </c>
      <c r="AH28" s="3">
        <f t="shared" si="90"/>
        <v>0</v>
      </c>
      <c r="AI28" s="3">
        <v>50</v>
      </c>
      <c r="AJ28" s="7">
        <f t="shared" si="91"/>
        <v>0</v>
      </c>
      <c r="AK28" s="7">
        <v>0</v>
      </c>
      <c r="AL28" s="6">
        <f t="shared" si="92"/>
        <v>0</v>
      </c>
      <c r="AM28" s="6">
        <f t="shared" si="93"/>
        <v>3300</v>
      </c>
      <c r="AN28" s="6">
        <f t="shared" si="94"/>
        <v>0</v>
      </c>
      <c r="AO28" s="6">
        <f t="shared" si="95"/>
        <v>3300</v>
      </c>
      <c r="AP28" s="3" t="s">
        <v>458</v>
      </c>
      <c r="AQ28" s="3">
        <f t="shared" si="96"/>
        <v>3300</v>
      </c>
      <c r="AR28" s="3">
        <f t="shared" ref="AR28" si="105">AQ28</f>
        <v>3300</v>
      </c>
      <c r="AS28" s="3">
        <f t="shared" si="97"/>
        <v>0</v>
      </c>
      <c r="AT28" s="3"/>
    </row>
    <row r="29" spans="1:46" x14ac:dyDescent="0.35">
      <c r="A29" s="3"/>
      <c r="B29" s="172" t="s">
        <v>415</v>
      </c>
      <c r="C29" s="3" t="s">
        <v>33</v>
      </c>
      <c r="D29" s="7">
        <v>150</v>
      </c>
      <c r="E29" s="3">
        <v>60</v>
      </c>
      <c r="F29" s="1">
        <f t="shared" si="82"/>
        <v>9000</v>
      </c>
      <c r="G29" s="7">
        <v>53</v>
      </c>
      <c r="H29" s="3">
        <v>60</v>
      </c>
      <c r="I29" s="27">
        <f t="shared" si="83"/>
        <v>3180</v>
      </c>
      <c r="J29" s="3">
        <f t="shared" si="84"/>
        <v>97</v>
      </c>
      <c r="K29" s="7">
        <v>60</v>
      </c>
      <c r="L29" s="7">
        <f t="shared" si="53"/>
        <v>5820</v>
      </c>
      <c r="M29" s="3">
        <f>J29*5</f>
        <v>485</v>
      </c>
      <c r="N29" s="6">
        <f t="shared" si="54"/>
        <v>5335</v>
      </c>
      <c r="O29" s="34"/>
      <c r="P29" s="7">
        <v>180</v>
      </c>
      <c r="Q29" s="3">
        <v>100</v>
      </c>
      <c r="R29" s="3">
        <f t="shared" si="85"/>
        <v>18000</v>
      </c>
      <c r="S29" s="7">
        <v>56</v>
      </c>
      <c r="T29" s="3">
        <v>100</v>
      </c>
      <c r="U29" s="3">
        <f t="shared" si="86"/>
        <v>5600</v>
      </c>
      <c r="V29" s="3">
        <f t="shared" si="87"/>
        <v>124</v>
      </c>
      <c r="W29" s="7">
        <v>100</v>
      </c>
      <c r="X29" s="7">
        <f t="shared" si="71"/>
        <v>12400</v>
      </c>
      <c r="Y29" s="3">
        <f>V29*10</f>
        <v>1240</v>
      </c>
      <c r="Z29" s="6">
        <f t="shared" si="9"/>
        <v>11160</v>
      </c>
      <c r="AA29" s="82"/>
      <c r="AB29" s="7">
        <v>132</v>
      </c>
      <c r="AC29" s="3">
        <v>50</v>
      </c>
      <c r="AD29" s="3">
        <f t="shared" si="88"/>
        <v>6600</v>
      </c>
      <c r="AE29" s="7">
        <v>50</v>
      </c>
      <c r="AF29" s="3">
        <v>50</v>
      </c>
      <c r="AG29" s="3">
        <f t="shared" si="89"/>
        <v>2500</v>
      </c>
      <c r="AH29" s="3">
        <f t="shared" si="90"/>
        <v>82</v>
      </c>
      <c r="AI29" s="3">
        <v>50</v>
      </c>
      <c r="AJ29" s="7">
        <f t="shared" si="91"/>
        <v>4100</v>
      </c>
      <c r="AK29" s="3">
        <f>AH29*5</f>
        <v>410</v>
      </c>
      <c r="AL29" s="6">
        <f t="shared" si="92"/>
        <v>3690</v>
      </c>
      <c r="AM29" s="6">
        <f t="shared" si="93"/>
        <v>22320</v>
      </c>
      <c r="AN29" s="6">
        <f t="shared" si="94"/>
        <v>2135</v>
      </c>
      <c r="AO29" s="6">
        <f t="shared" si="95"/>
        <v>20185</v>
      </c>
      <c r="AP29" s="3" t="s">
        <v>458</v>
      </c>
      <c r="AQ29" s="3">
        <f t="shared" si="96"/>
        <v>20185</v>
      </c>
      <c r="AR29" s="3">
        <f t="shared" ref="AR29:AR35" si="106">AQ29</f>
        <v>20185</v>
      </c>
      <c r="AS29" s="3">
        <f t="shared" si="97"/>
        <v>0</v>
      </c>
      <c r="AT29" s="3"/>
    </row>
    <row r="30" spans="1:46" x14ac:dyDescent="0.35">
      <c r="A30" s="3"/>
      <c r="B30" s="172" t="s">
        <v>326</v>
      </c>
      <c r="C30" s="3" t="s">
        <v>33</v>
      </c>
      <c r="D30" s="7">
        <v>30</v>
      </c>
      <c r="E30" s="3">
        <v>60</v>
      </c>
      <c r="F30" s="1">
        <f t="shared" si="82"/>
        <v>1800</v>
      </c>
      <c r="G30" s="7">
        <v>17</v>
      </c>
      <c r="H30" s="3">
        <v>60</v>
      </c>
      <c r="I30" s="27">
        <f t="shared" si="83"/>
        <v>1020</v>
      </c>
      <c r="J30" s="3">
        <f t="shared" si="84"/>
        <v>13</v>
      </c>
      <c r="K30" s="7">
        <v>60</v>
      </c>
      <c r="L30" s="7">
        <f t="shared" si="53"/>
        <v>780</v>
      </c>
      <c r="M30" s="3">
        <v>0</v>
      </c>
      <c r="N30" s="6">
        <f t="shared" si="54"/>
        <v>780</v>
      </c>
      <c r="O30" s="34"/>
      <c r="P30" s="7">
        <v>60</v>
      </c>
      <c r="Q30" s="3">
        <v>100</v>
      </c>
      <c r="R30" s="3">
        <f t="shared" si="85"/>
        <v>6000</v>
      </c>
      <c r="S30" s="7">
        <v>10</v>
      </c>
      <c r="T30" s="3">
        <v>100</v>
      </c>
      <c r="U30" s="3">
        <f t="shared" si="86"/>
        <v>1000</v>
      </c>
      <c r="V30" s="3">
        <f t="shared" si="87"/>
        <v>50</v>
      </c>
      <c r="W30" s="7">
        <v>100</v>
      </c>
      <c r="X30" s="7">
        <f t="shared" si="71"/>
        <v>5000</v>
      </c>
      <c r="Y30" s="3">
        <v>0</v>
      </c>
      <c r="Z30" s="6">
        <f t="shared" si="9"/>
        <v>5000</v>
      </c>
      <c r="AA30" s="82"/>
      <c r="AB30" s="7">
        <v>60</v>
      </c>
      <c r="AC30" s="3">
        <v>50</v>
      </c>
      <c r="AD30" s="3">
        <f t="shared" si="88"/>
        <v>3000</v>
      </c>
      <c r="AE30" s="7">
        <v>13</v>
      </c>
      <c r="AF30" s="3">
        <v>50</v>
      </c>
      <c r="AG30" s="3">
        <f t="shared" si="89"/>
        <v>650</v>
      </c>
      <c r="AH30" s="3">
        <f t="shared" si="90"/>
        <v>47</v>
      </c>
      <c r="AI30" s="3">
        <v>50</v>
      </c>
      <c r="AJ30" s="7">
        <f t="shared" si="91"/>
        <v>2350</v>
      </c>
      <c r="AK30" s="3">
        <v>0</v>
      </c>
      <c r="AL30" s="6">
        <f t="shared" si="92"/>
        <v>2350</v>
      </c>
      <c r="AM30" s="6">
        <f t="shared" si="93"/>
        <v>8130</v>
      </c>
      <c r="AN30" s="6">
        <f t="shared" si="94"/>
        <v>0</v>
      </c>
      <c r="AO30" s="6">
        <f t="shared" si="95"/>
        <v>8130</v>
      </c>
      <c r="AP30" s="3" t="s">
        <v>458</v>
      </c>
      <c r="AQ30" s="3">
        <f t="shared" si="96"/>
        <v>8130</v>
      </c>
      <c r="AR30" s="3">
        <f t="shared" si="106"/>
        <v>8130</v>
      </c>
      <c r="AS30" s="3">
        <f t="shared" si="97"/>
        <v>0</v>
      </c>
      <c r="AT30" s="3"/>
    </row>
    <row r="31" spans="1:46" x14ac:dyDescent="0.35">
      <c r="A31" s="3"/>
      <c r="B31" s="172" t="s">
        <v>283</v>
      </c>
      <c r="C31" s="3" t="s">
        <v>331</v>
      </c>
      <c r="D31" s="7">
        <v>27</v>
      </c>
      <c r="E31" s="3">
        <v>60</v>
      </c>
      <c r="F31" s="1">
        <f t="shared" ref="F31" si="107">D31*E31</f>
        <v>1620</v>
      </c>
      <c r="G31" s="7">
        <v>1</v>
      </c>
      <c r="H31" s="3">
        <v>60</v>
      </c>
      <c r="I31" s="27">
        <f t="shared" ref="I31:I34" si="108">G31*H31</f>
        <v>60</v>
      </c>
      <c r="J31" s="3">
        <f t="shared" ref="J31" si="109">D31-G31</f>
        <v>26</v>
      </c>
      <c r="K31" s="7">
        <v>60</v>
      </c>
      <c r="L31" s="7">
        <f t="shared" ref="L31:L34" si="110">J31*K31</f>
        <v>1560</v>
      </c>
      <c r="M31" s="3">
        <v>0</v>
      </c>
      <c r="N31" s="6">
        <f t="shared" ref="N31:N34" si="111">L31-M31</f>
        <v>1560</v>
      </c>
      <c r="O31" s="34"/>
      <c r="P31" s="7">
        <v>127</v>
      </c>
      <c r="Q31" s="3">
        <v>100</v>
      </c>
      <c r="R31" s="3">
        <f t="shared" ref="R31" si="112">P31*Q31</f>
        <v>12700</v>
      </c>
      <c r="S31" s="7">
        <v>1</v>
      </c>
      <c r="T31" s="3">
        <v>100</v>
      </c>
      <c r="U31" s="3">
        <f t="shared" ref="U31:U34" si="113">S31*T31</f>
        <v>100</v>
      </c>
      <c r="V31" s="3">
        <f t="shared" ref="V31" si="114">P31-S31</f>
        <v>126</v>
      </c>
      <c r="W31" s="7">
        <v>100</v>
      </c>
      <c r="X31" s="7">
        <f t="shared" ref="X31:X34" si="115">V31*W31</f>
        <v>12600</v>
      </c>
      <c r="Y31" s="3">
        <v>0</v>
      </c>
      <c r="Z31" s="6">
        <f t="shared" ref="Z31:Z34" si="116">X31-Y31</f>
        <v>12600</v>
      </c>
      <c r="AA31" s="82"/>
      <c r="AB31" s="7">
        <v>36</v>
      </c>
      <c r="AC31" s="3">
        <v>50</v>
      </c>
      <c r="AD31" s="3">
        <f t="shared" ref="AD31" si="117">AB31*AC31</f>
        <v>1800</v>
      </c>
      <c r="AE31" s="7">
        <v>30</v>
      </c>
      <c r="AF31" s="3">
        <v>50</v>
      </c>
      <c r="AG31" s="3">
        <f t="shared" ref="AG31:AG34" si="118">AE31*AF31</f>
        <v>1500</v>
      </c>
      <c r="AH31" s="3">
        <f t="shared" ref="AH31" si="119">AB31-AE31</f>
        <v>6</v>
      </c>
      <c r="AI31" s="3">
        <v>50</v>
      </c>
      <c r="AJ31" s="7">
        <f t="shared" ref="AJ31:AJ34" si="120">AH31*AI31</f>
        <v>300</v>
      </c>
      <c r="AK31" s="3">
        <v>0</v>
      </c>
      <c r="AL31" s="6">
        <f t="shared" ref="AL31:AL34" si="121">AJ31-AK31</f>
        <v>300</v>
      </c>
      <c r="AM31" s="6">
        <f t="shared" ref="AM31:AM34" si="122">L31+X31+AJ31</f>
        <v>14460</v>
      </c>
      <c r="AN31" s="6">
        <f t="shared" ref="AN31:AN34" si="123">M31+Y31+AK31</f>
        <v>0</v>
      </c>
      <c r="AO31" s="6">
        <f t="shared" ref="AO31:AO34" si="124">AM31-AN31</f>
        <v>14460</v>
      </c>
      <c r="AP31" s="3" t="s">
        <v>458</v>
      </c>
      <c r="AQ31" s="3">
        <f t="shared" ref="AQ31:AQ34" si="125">AO31</f>
        <v>14460</v>
      </c>
      <c r="AR31" s="3">
        <f t="shared" si="106"/>
        <v>14460</v>
      </c>
      <c r="AS31" s="3">
        <f t="shared" ref="AS31:AS34" si="126">AQ31-AR31</f>
        <v>0</v>
      </c>
      <c r="AT31" s="3"/>
    </row>
    <row r="32" spans="1:46" x14ac:dyDescent="0.35">
      <c r="A32" s="3"/>
      <c r="B32" s="172" t="s">
        <v>283</v>
      </c>
      <c r="C32" s="3" t="s">
        <v>351</v>
      </c>
      <c r="D32" s="7">
        <v>0</v>
      </c>
      <c r="E32" s="3">
        <v>55</v>
      </c>
      <c r="F32" s="1">
        <f>D32*E32</f>
        <v>0</v>
      </c>
      <c r="G32" s="7">
        <v>0</v>
      </c>
      <c r="H32" s="3">
        <v>55</v>
      </c>
      <c r="I32" s="27">
        <f>G32*H32</f>
        <v>0</v>
      </c>
      <c r="J32" s="3">
        <f>D32-G32</f>
        <v>0</v>
      </c>
      <c r="K32" s="7">
        <v>55</v>
      </c>
      <c r="L32" s="7">
        <f>J32*K32</f>
        <v>0</v>
      </c>
      <c r="M32" s="3">
        <v>0</v>
      </c>
      <c r="N32" s="6">
        <f>L32-M32</f>
        <v>0</v>
      </c>
      <c r="O32" s="34"/>
      <c r="P32" s="7">
        <v>0</v>
      </c>
      <c r="Q32" s="3">
        <v>50</v>
      </c>
      <c r="R32" s="3">
        <f>P32*Q32</f>
        <v>0</v>
      </c>
      <c r="S32" s="7">
        <v>0</v>
      </c>
      <c r="T32" s="3">
        <v>100</v>
      </c>
      <c r="U32" s="3">
        <f>S32*T32</f>
        <v>0</v>
      </c>
      <c r="V32" s="3">
        <f>P32-S32</f>
        <v>0</v>
      </c>
      <c r="W32" s="7">
        <v>50</v>
      </c>
      <c r="X32" s="7">
        <f>V32*W32</f>
        <v>0</v>
      </c>
      <c r="Y32" s="3">
        <v>0</v>
      </c>
      <c r="Z32" s="6">
        <f>X32-Y32</f>
        <v>0</v>
      </c>
      <c r="AA32" s="82"/>
      <c r="AB32" s="7">
        <v>0</v>
      </c>
      <c r="AC32" s="3">
        <v>45</v>
      </c>
      <c r="AD32" s="3">
        <f>AB32*AC32</f>
        <v>0</v>
      </c>
      <c r="AE32" s="7">
        <v>0</v>
      </c>
      <c r="AF32" s="3">
        <v>45</v>
      </c>
      <c r="AG32" s="3">
        <f>AE32*AF32</f>
        <v>0</v>
      </c>
      <c r="AH32" s="3">
        <f>AB32-AE32</f>
        <v>0</v>
      </c>
      <c r="AI32" s="3">
        <v>45</v>
      </c>
      <c r="AJ32" s="7">
        <f>AH32*AI32</f>
        <v>0</v>
      </c>
      <c r="AK32" s="3">
        <v>0</v>
      </c>
      <c r="AL32" s="6">
        <f>AJ32-AK32</f>
        <v>0</v>
      </c>
      <c r="AM32" s="6">
        <f>L32+X32+AJ32</f>
        <v>0</v>
      </c>
      <c r="AN32" s="6">
        <f>M32+Y32+AK32</f>
        <v>0</v>
      </c>
      <c r="AO32" s="6">
        <f>AM32-AN32</f>
        <v>0</v>
      </c>
      <c r="AP32" s="3" t="s">
        <v>458</v>
      </c>
      <c r="AQ32" s="3">
        <f>AO32</f>
        <v>0</v>
      </c>
      <c r="AR32" s="3">
        <f>AQ32</f>
        <v>0</v>
      </c>
      <c r="AS32" s="3">
        <f>AQ32-AR32</f>
        <v>0</v>
      </c>
      <c r="AT32" s="3"/>
    </row>
    <row r="33" spans="1:46" x14ac:dyDescent="0.35">
      <c r="A33" s="3"/>
      <c r="B33" s="172" t="s">
        <v>396</v>
      </c>
      <c r="C33" s="3" t="s">
        <v>459</v>
      </c>
      <c r="D33" s="7">
        <v>225</v>
      </c>
      <c r="E33" s="3">
        <v>60</v>
      </c>
      <c r="F33" s="1">
        <f t="shared" ref="F33" si="127">D33*E33</f>
        <v>13500</v>
      </c>
      <c r="G33" s="7">
        <v>97</v>
      </c>
      <c r="H33" s="3">
        <v>60</v>
      </c>
      <c r="I33" s="27">
        <f t="shared" ref="I33" si="128">G33*H33</f>
        <v>5820</v>
      </c>
      <c r="J33" s="3">
        <f t="shared" ref="J33" si="129">D33-G33</f>
        <v>128</v>
      </c>
      <c r="K33" s="7">
        <v>60</v>
      </c>
      <c r="L33" s="7">
        <f t="shared" ref="L33" si="130">J33*K33</f>
        <v>7680</v>
      </c>
      <c r="M33" s="3">
        <f>J33*5</f>
        <v>640</v>
      </c>
      <c r="N33" s="6">
        <f t="shared" ref="N33" si="131">L33-M33</f>
        <v>7040</v>
      </c>
      <c r="O33" s="34"/>
      <c r="P33" s="7">
        <v>89</v>
      </c>
      <c r="Q33" s="3">
        <v>100</v>
      </c>
      <c r="R33" s="3">
        <f t="shared" ref="R33" si="132">P33*Q33</f>
        <v>8900</v>
      </c>
      <c r="S33" s="7">
        <v>1</v>
      </c>
      <c r="T33" s="3">
        <v>100</v>
      </c>
      <c r="U33" s="3">
        <f t="shared" ref="U33" si="133">S33*T33</f>
        <v>100</v>
      </c>
      <c r="V33" s="3">
        <f t="shared" ref="V33" si="134">P33-S33</f>
        <v>88</v>
      </c>
      <c r="W33" s="7">
        <v>100</v>
      </c>
      <c r="X33" s="7">
        <f t="shared" ref="X33" si="135">V33*W33</f>
        <v>8800</v>
      </c>
      <c r="Y33" s="3">
        <f>V33*10</f>
        <v>880</v>
      </c>
      <c r="Z33" s="6">
        <f t="shared" ref="Z33" si="136">X33-Y33</f>
        <v>7920</v>
      </c>
      <c r="AA33" s="82"/>
      <c r="AB33" s="7">
        <v>180</v>
      </c>
      <c r="AC33" s="3">
        <v>50</v>
      </c>
      <c r="AD33" s="3">
        <f t="shared" ref="AD33" si="137">AB33*AC33</f>
        <v>9000</v>
      </c>
      <c r="AE33" s="7">
        <v>3</v>
      </c>
      <c r="AF33" s="3">
        <v>50</v>
      </c>
      <c r="AG33" s="3">
        <f t="shared" ref="AG33" si="138">AE33*AF33</f>
        <v>150</v>
      </c>
      <c r="AH33" s="3">
        <f t="shared" ref="AH33" si="139">AB33-AE33</f>
        <v>177</v>
      </c>
      <c r="AI33" s="3">
        <v>50</v>
      </c>
      <c r="AJ33" s="7">
        <f t="shared" ref="AJ33" si="140">AH33*AI33</f>
        <v>8850</v>
      </c>
      <c r="AK33" s="3">
        <f>AH33*5</f>
        <v>885</v>
      </c>
      <c r="AL33" s="6">
        <f t="shared" ref="AL33" si="141">AJ33-AK33</f>
        <v>7965</v>
      </c>
      <c r="AM33" s="6">
        <f t="shared" ref="AM33" si="142">L33+X33+AJ33</f>
        <v>25330</v>
      </c>
      <c r="AN33" s="6">
        <f t="shared" ref="AN33" si="143">M33+Y33+AK33</f>
        <v>2405</v>
      </c>
      <c r="AO33" s="6">
        <f t="shared" ref="AO33" si="144">AM33-AN33</f>
        <v>22925</v>
      </c>
      <c r="AP33" s="3" t="s">
        <v>458</v>
      </c>
      <c r="AQ33" s="3">
        <f t="shared" ref="AQ33" si="145">AO33</f>
        <v>22925</v>
      </c>
      <c r="AR33" s="3">
        <f>AQ33</f>
        <v>22925</v>
      </c>
      <c r="AS33" s="3">
        <f t="shared" ref="AS33" si="146">AQ33-AR33</f>
        <v>0</v>
      </c>
      <c r="AT33" s="3"/>
    </row>
    <row r="34" spans="1:46" x14ac:dyDescent="0.35">
      <c r="A34" s="3"/>
      <c r="B34" s="172" t="s">
        <v>396</v>
      </c>
      <c r="C34" s="3" t="s">
        <v>460</v>
      </c>
      <c r="D34" s="7">
        <v>247</v>
      </c>
      <c r="E34" s="3">
        <v>60</v>
      </c>
      <c r="F34" s="1">
        <v>0</v>
      </c>
      <c r="G34" s="7">
        <v>0</v>
      </c>
      <c r="H34" s="3">
        <v>60</v>
      </c>
      <c r="I34" s="27">
        <f t="shared" si="108"/>
        <v>0</v>
      </c>
      <c r="J34" s="3">
        <v>0</v>
      </c>
      <c r="K34" s="7">
        <v>60</v>
      </c>
      <c r="L34" s="7">
        <f t="shared" si="110"/>
        <v>0</v>
      </c>
      <c r="M34" s="3">
        <f>J34*5</f>
        <v>0</v>
      </c>
      <c r="N34" s="6">
        <f t="shared" si="111"/>
        <v>0</v>
      </c>
      <c r="O34" s="34"/>
      <c r="P34" s="7">
        <v>121</v>
      </c>
      <c r="Q34" s="3">
        <v>100</v>
      </c>
      <c r="R34" s="3">
        <v>0</v>
      </c>
      <c r="S34" s="7">
        <v>0</v>
      </c>
      <c r="T34" s="3">
        <v>100</v>
      </c>
      <c r="U34" s="3">
        <f t="shared" si="113"/>
        <v>0</v>
      </c>
      <c r="V34" s="3">
        <v>0</v>
      </c>
      <c r="W34" s="7">
        <v>100</v>
      </c>
      <c r="X34" s="7">
        <f t="shared" si="115"/>
        <v>0</v>
      </c>
      <c r="Y34" s="3">
        <f>V34*5</f>
        <v>0</v>
      </c>
      <c r="Z34" s="6">
        <f t="shared" si="116"/>
        <v>0</v>
      </c>
      <c r="AA34" s="82"/>
      <c r="AB34" s="7">
        <v>185</v>
      </c>
      <c r="AC34" s="3">
        <v>50</v>
      </c>
      <c r="AD34" s="3">
        <v>0</v>
      </c>
      <c r="AE34" s="7">
        <v>0</v>
      </c>
      <c r="AF34" s="3">
        <v>50</v>
      </c>
      <c r="AG34" s="3">
        <f t="shared" si="118"/>
        <v>0</v>
      </c>
      <c r="AH34" s="3">
        <v>0</v>
      </c>
      <c r="AI34" s="3">
        <v>50</v>
      </c>
      <c r="AJ34" s="7">
        <f t="shared" si="120"/>
        <v>0</v>
      </c>
      <c r="AK34" s="3">
        <f>AH34*5</f>
        <v>0</v>
      </c>
      <c r="AL34" s="6">
        <f t="shared" si="121"/>
        <v>0</v>
      </c>
      <c r="AM34" s="6">
        <f t="shared" si="122"/>
        <v>0</v>
      </c>
      <c r="AN34" s="6">
        <f t="shared" si="123"/>
        <v>0</v>
      </c>
      <c r="AO34" s="6">
        <f t="shared" si="124"/>
        <v>0</v>
      </c>
      <c r="AP34" s="3" t="s">
        <v>458</v>
      </c>
      <c r="AQ34" s="3">
        <f t="shared" si="125"/>
        <v>0</v>
      </c>
      <c r="AR34" s="3">
        <f t="shared" si="106"/>
        <v>0</v>
      </c>
      <c r="AS34" s="3">
        <f t="shared" si="126"/>
        <v>0</v>
      </c>
      <c r="AT34" s="3"/>
    </row>
    <row r="35" spans="1:46" x14ac:dyDescent="0.35">
      <c r="A35" s="3"/>
      <c r="B35" s="3" t="s">
        <v>287</v>
      </c>
      <c r="C35" s="3" t="s">
        <v>331</v>
      </c>
      <c r="D35" s="7">
        <v>0</v>
      </c>
      <c r="E35" s="3">
        <v>60</v>
      </c>
      <c r="F35" s="1">
        <f t="shared" ref="F35" si="147">D35*E35</f>
        <v>0</v>
      </c>
      <c r="G35" s="7">
        <v>0</v>
      </c>
      <c r="H35" s="3">
        <v>60</v>
      </c>
      <c r="I35" s="27">
        <f t="shared" ref="I35:I36" si="148">G35*H35</f>
        <v>0</v>
      </c>
      <c r="J35" s="3">
        <f t="shared" ref="J35" si="149">D35-G35</f>
        <v>0</v>
      </c>
      <c r="K35" s="7">
        <v>60</v>
      </c>
      <c r="L35" s="7">
        <f t="shared" ref="L35:L36" si="150">J35*K35</f>
        <v>0</v>
      </c>
      <c r="M35" s="3">
        <f>J35*5</f>
        <v>0</v>
      </c>
      <c r="N35" s="6">
        <f t="shared" ref="N35:N36" si="151">L35-M35</f>
        <v>0</v>
      </c>
      <c r="O35" s="34"/>
      <c r="P35" s="7">
        <v>0</v>
      </c>
      <c r="Q35" s="3">
        <v>100</v>
      </c>
      <c r="R35" s="3">
        <f t="shared" ref="R35" si="152">P35*Q35</f>
        <v>0</v>
      </c>
      <c r="S35" s="7">
        <v>0</v>
      </c>
      <c r="T35" s="3">
        <v>100</v>
      </c>
      <c r="U35" s="3">
        <f t="shared" ref="U35:U36" si="153">S35*T35</f>
        <v>0</v>
      </c>
      <c r="V35" s="3">
        <f t="shared" ref="V35" si="154">P35-S35</f>
        <v>0</v>
      </c>
      <c r="W35" s="7">
        <v>100</v>
      </c>
      <c r="X35" s="7">
        <f t="shared" ref="X35:X36" si="155">V35*W35</f>
        <v>0</v>
      </c>
      <c r="Y35" s="3">
        <f>V35*10</f>
        <v>0</v>
      </c>
      <c r="Z35" s="6">
        <f t="shared" ref="Z35:Z36" si="156">X35-Y35</f>
        <v>0</v>
      </c>
      <c r="AA35" s="82"/>
      <c r="AB35" s="7">
        <v>0</v>
      </c>
      <c r="AC35" s="3">
        <v>50</v>
      </c>
      <c r="AD35" s="3">
        <f t="shared" ref="AD35" si="157">AB35*AC35</f>
        <v>0</v>
      </c>
      <c r="AE35" s="7">
        <v>0</v>
      </c>
      <c r="AF35" s="3">
        <v>50</v>
      </c>
      <c r="AG35" s="3">
        <f t="shared" ref="AG35:AG36" si="158">AE35*AF35</f>
        <v>0</v>
      </c>
      <c r="AH35" s="3">
        <f t="shared" ref="AH35" si="159">AB35-AE35</f>
        <v>0</v>
      </c>
      <c r="AI35" s="3">
        <v>50</v>
      </c>
      <c r="AJ35" s="7">
        <f t="shared" ref="AJ35:AJ36" si="160">AH35*AI35</f>
        <v>0</v>
      </c>
      <c r="AK35" s="3">
        <f>AH35*5</f>
        <v>0</v>
      </c>
      <c r="AL35" s="6">
        <f t="shared" ref="AL35:AL36" si="161">AJ35-AK35</f>
        <v>0</v>
      </c>
      <c r="AM35" s="6">
        <f t="shared" ref="AM35:AM36" si="162">L35+X35+AJ35</f>
        <v>0</v>
      </c>
      <c r="AN35" s="6">
        <f t="shared" ref="AN35:AN36" si="163">M35+Y35+AK35</f>
        <v>0</v>
      </c>
      <c r="AO35" s="6">
        <f t="shared" ref="AO35:AO36" si="164">AM35-AN35</f>
        <v>0</v>
      </c>
      <c r="AP35" s="3" t="s">
        <v>406</v>
      </c>
      <c r="AQ35" s="3">
        <f t="shared" ref="AQ35:AQ36" si="165">AO35</f>
        <v>0</v>
      </c>
      <c r="AR35" s="3">
        <f t="shared" si="106"/>
        <v>0</v>
      </c>
      <c r="AS35" s="3">
        <f t="shared" ref="AS35:AS36" si="166">AQ35-AR35</f>
        <v>0</v>
      </c>
      <c r="AT35" s="3"/>
    </row>
    <row r="36" spans="1:46" x14ac:dyDescent="0.35">
      <c r="A36" s="3"/>
      <c r="B36" s="3" t="s">
        <v>287</v>
      </c>
      <c r="C36" s="3" t="s">
        <v>332</v>
      </c>
      <c r="D36" s="7">
        <v>0</v>
      </c>
      <c r="E36" s="3">
        <v>60</v>
      </c>
      <c r="F36" s="1">
        <v>0</v>
      </c>
      <c r="G36" s="7">
        <v>0</v>
      </c>
      <c r="H36" s="3">
        <v>60</v>
      </c>
      <c r="I36" s="27">
        <f t="shared" si="148"/>
        <v>0</v>
      </c>
      <c r="J36" s="3">
        <v>0</v>
      </c>
      <c r="K36" s="7">
        <v>60</v>
      </c>
      <c r="L36" s="7">
        <f t="shared" si="150"/>
        <v>0</v>
      </c>
      <c r="M36" s="3">
        <v>0</v>
      </c>
      <c r="N36" s="6">
        <f t="shared" si="151"/>
        <v>0</v>
      </c>
      <c r="O36" s="34"/>
      <c r="P36" s="7">
        <v>0</v>
      </c>
      <c r="Q36" s="3">
        <v>100</v>
      </c>
      <c r="R36" s="3">
        <v>0</v>
      </c>
      <c r="S36" s="7">
        <v>0</v>
      </c>
      <c r="T36" s="3">
        <v>100</v>
      </c>
      <c r="U36" s="3">
        <f t="shared" si="153"/>
        <v>0</v>
      </c>
      <c r="V36" s="3">
        <v>0</v>
      </c>
      <c r="W36" s="7">
        <v>100</v>
      </c>
      <c r="X36" s="7">
        <f t="shared" si="155"/>
        <v>0</v>
      </c>
      <c r="Y36" s="3">
        <v>0</v>
      </c>
      <c r="Z36" s="6">
        <f t="shared" si="156"/>
        <v>0</v>
      </c>
      <c r="AA36" s="82"/>
      <c r="AB36" s="7">
        <v>0</v>
      </c>
      <c r="AC36" s="3">
        <v>50</v>
      </c>
      <c r="AD36" s="3">
        <v>0</v>
      </c>
      <c r="AE36" s="7">
        <v>0</v>
      </c>
      <c r="AF36" s="3">
        <v>50</v>
      </c>
      <c r="AG36" s="3">
        <f t="shared" si="158"/>
        <v>0</v>
      </c>
      <c r="AH36" s="3">
        <v>0</v>
      </c>
      <c r="AI36" s="3">
        <v>50</v>
      </c>
      <c r="AJ36" s="7">
        <f t="shared" si="160"/>
        <v>0</v>
      </c>
      <c r="AK36" s="3">
        <v>0</v>
      </c>
      <c r="AL36" s="6">
        <f t="shared" si="161"/>
        <v>0</v>
      </c>
      <c r="AM36" s="6">
        <f t="shared" si="162"/>
        <v>0</v>
      </c>
      <c r="AN36" s="6">
        <f t="shared" si="163"/>
        <v>0</v>
      </c>
      <c r="AO36" s="6">
        <f t="shared" si="164"/>
        <v>0</v>
      </c>
      <c r="AP36" s="3" t="s">
        <v>406</v>
      </c>
      <c r="AQ36" s="3">
        <f t="shared" si="165"/>
        <v>0</v>
      </c>
      <c r="AR36" s="3">
        <f t="shared" ref="AR36" si="167">AQ36</f>
        <v>0</v>
      </c>
      <c r="AS36" s="3">
        <f t="shared" si="166"/>
        <v>0</v>
      </c>
      <c r="AT36" s="3"/>
    </row>
    <row r="37" spans="1:46" x14ac:dyDescent="0.35">
      <c r="A37" s="19"/>
      <c r="B37" s="19" t="s">
        <v>36</v>
      </c>
      <c r="C37" s="19"/>
      <c r="D37" s="19">
        <f>SUM(D25:D36)</f>
        <v>1204</v>
      </c>
      <c r="E37" s="19"/>
      <c r="F37" s="19">
        <f>SUM(F25:F36)</f>
        <v>56895</v>
      </c>
      <c r="G37" s="19">
        <f>SUM(G25:G36)</f>
        <v>414</v>
      </c>
      <c r="H37" s="19"/>
      <c r="I37" s="19">
        <f>SUM(I25:I36)</f>
        <v>24840</v>
      </c>
      <c r="J37" s="19">
        <f>SUM(J25:J36)</f>
        <v>543</v>
      </c>
      <c r="K37" s="19"/>
      <c r="L37" s="19">
        <f>SUM(L25:L36)</f>
        <v>32055</v>
      </c>
      <c r="M37" s="19">
        <f>SUM(M25:M36)</f>
        <v>1125</v>
      </c>
      <c r="N37" s="19">
        <f>SUM(N25:N36)</f>
        <v>30930</v>
      </c>
      <c r="O37" s="34"/>
      <c r="P37" s="19">
        <f>SUM(P25:P36)</f>
        <v>1021</v>
      </c>
      <c r="Q37" s="19"/>
      <c r="R37" s="19">
        <f>SUM(R25:R36)</f>
        <v>90000</v>
      </c>
      <c r="S37" s="19">
        <f>SUM(S25:S36)</f>
        <v>101</v>
      </c>
      <c r="T37" s="19"/>
      <c r="U37" s="19">
        <f>SUM(U25:U36)</f>
        <v>10100</v>
      </c>
      <c r="V37" s="19">
        <f>SUM(V25:V36)</f>
        <v>799</v>
      </c>
      <c r="W37" s="19"/>
      <c r="X37" s="19">
        <f>SUM(X25:X36)</f>
        <v>79900</v>
      </c>
      <c r="Y37" s="19">
        <f>SUM(Y25:Y36)</f>
        <v>2120</v>
      </c>
      <c r="Z37" s="19">
        <f>SUM(Z25:Z36)</f>
        <v>77780</v>
      </c>
      <c r="AA37" s="34"/>
      <c r="AB37" s="19">
        <f>SUM(AB25:AB36)</f>
        <v>1041</v>
      </c>
      <c r="AC37" s="19"/>
      <c r="AD37" s="19">
        <f>SUM(AD25:AD36)</f>
        <v>42660</v>
      </c>
      <c r="AE37" s="19">
        <f>SUM(AE25:AE36)</f>
        <v>216</v>
      </c>
      <c r="AF37" s="19"/>
      <c r="AG37" s="19">
        <f>SUM(AG25:AG36)</f>
        <v>10800</v>
      </c>
      <c r="AH37" s="19">
        <f>SUM(AH25:AH36)</f>
        <v>640</v>
      </c>
      <c r="AI37" s="19"/>
      <c r="AJ37" s="19">
        <f t="shared" ref="AJ37:AO37" si="168">SUM(AJ25:AJ36)</f>
        <v>31860</v>
      </c>
      <c r="AK37" s="19">
        <f t="shared" si="168"/>
        <v>1295</v>
      </c>
      <c r="AL37" s="19">
        <f t="shared" si="168"/>
        <v>30565</v>
      </c>
      <c r="AM37" s="19">
        <f t="shared" si="168"/>
        <v>143815</v>
      </c>
      <c r="AN37" s="19">
        <f t="shared" si="168"/>
        <v>4540</v>
      </c>
      <c r="AO37" s="19">
        <f t="shared" si="168"/>
        <v>139275</v>
      </c>
      <c r="AP37" s="19"/>
      <c r="AQ37" s="19">
        <f>SUM(AQ25:AQ36)</f>
        <v>139275</v>
      </c>
      <c r="AR37" s="19">
        <f>SUM(AR25:AR36)</f>
        <v>139275</v>
      </c>
      <c r="AS37" s="19">
        <f>SUM(AS25:AS36)</f>
        <v>0</v>
      </c>
      <c r="AT37" s="74"/>
    </row>
    <row r="38" spans="1:46" x14ac:dyDescent="0.35">
      <c r="A38" s="3" t="s">
        <v>461</v>
      </c>
      <c r="B38" s="172" t="s">
        <v>276</v>
      </c>
      <c r="C38" s="3" t="s">
        <v>33</v>
      </c>
      <c r="D38" s="7">
        <f>225-45</f>
        <v>180</v>
      </c>
      <c r="E38" s="3">
        <v>60</v>
      </c>
      <c r="F38" s="1">
        <f t="shared" ref="F38:F44" si="169">D38*E38</f>
        <v>10800</v>
      </c>
      <c r="G38" s="3">
        <v>107</v>
      </c>
      <c r="H38" s="3">
        <v>60</v>
      </c>
      <c r="I38" s="27">
        <f t="shared" ref="I38:I44" si="170">G38*H38</f>
        <v>6420</v>
      </c>
      <c r="J38" s="3">
        <f t="shared" ref="J38:J44" si="171">D38-G38</f>
        <v>73</v>
      </c>
      <c r="K38" s="7">
        <v>60</v>
      </c>
      <c r="L38" s="7">
        <f t="shared" si="53"/>
        <v>4380</v>
      </c>
      <c r="M38" s="3">
        <v>0</v>
      </c>
      <c r="N38" s="6">
        <f t="shared" si="54"/>
        <v>4380</v>
      </c>
      <c r="O38" s="34"/>
      <c r="P38" s="3">
        <v>204</v>
      </c>
      <c r="Q38" s="3">
        <v>100</v>
      </c>
      <c r="R38" s="3">
        <f t="shared" ref="R38:R44" si="172">P38*Q38</f>
        <v>20400</v>
      </c>
      <c r="S38" s="3">
        <v>0</v>
      </c>
      <c r="T38" s="3">
        <v>100</v>
      </c>
      <c r="U38" s="3">
        <f t="shared" ref="U38:U44" si="173">S38*T38</f>
        <v>0</v>
      </c>
      <c r="V38" s="3">
        <f t="shared" ref="V38:V44" si="174">P38-S38</f>
        <v>204</v>
      </c>
      <c r="W38" s="7">
        <v>100</v>
      </c>
      <c r="X38" s="7">
        <f t="shared" si="71"/>
        <v>20400</v>
      </c>
      <c r="Y38" s="3">
        <v>0</v>
      </c>
      <c r="Z38" s="6">
        <f t="shared" si="9"/>
        <v>20400</v>
      </c>
      <c r="AA38" s="82"/>
      <c r="AB38" s="3">
        <v>180</v>
      </c>
      <c r="AC38" s="3">
        <v>50</v>
      </c>
      <c r="AD38" s="3">
        <f t="shared" ref="AD38:AD44" si="175">AB38*AC38</f>
        <v>9000</v>
      </c>
      <c r="AE38" s="3">
        <v>42</v>
      </c>
      <c r="AF38" s="3">
        <v>50</v>
      </c>
      <c r="AG38" s="3">
        <f t="shared" ref="AG38:AG44" si="176">AE38*AF38</f>
        <v>2100</v>
      </c>
      <c r="AH38" s="3">
        <f t="shared" ref="AH38:AH44" si="177">AB38-AE38</f>
        <v>138</v>
      </c>
      <c r="AI38" s="3">
        <v>50</v>
      </c>
      <c r="AJ38" s="7">
        <f t="shared" ref="AJ38:AJ44" si="178">AH38*AI38</f>
        <v>6900</v>
      </c>
      <c r="AK38" s="3">
        <v>0</v>
      </c>
      <c r="AL38" s="6">
        <f t="shared" ref="AL38:AL44" si="179">AJ38-AK38</f>
        <v>6900</v>
      </c>
      <c r="AM38" s="6">
        <f t="shared" ref="AM38:AM44" si="180">L38+X38+AJ38</f>
        <v>31680</v>
      </c>
      <c r="AN38" s="6">
        <f t="shared" ref="AN38:AN44" si="181">M38+Y38+AK38</f>
        <v>0</v>
      </c>
      <c r="AO38" s="6">
        <f t="shared" ref="AO38:AO44" si="182">AM38-AN38</f>
        <v>31680</v>
      </c>
      <c r="AP38" s="3" t="s">
        <v>461</v>
      </c>
      <c r="AQ38" s="3">
        <f t="shared" ref="AQ38:AQ44" si="183">AO38</f>
        <v>31680</v>
      </c>
      <c r="AR38" s="3">
        <f>AQ38</f>
        <v>31680</v>
      </c>
      <c r="AS38" s="3">
        <f t="shared" ref="AS38:AS44" si="184">AQ38-AR38</f>
        <v>0</v>
      </c>
      <c r="AT38" s="3"/>
    </row>
    <row r="39" spans="1:46" x14ac:dyDescent="0.35">
      <c r="A39" s="3"/>
      <c r="B39" s="172" t="s">
        <v>276</v>
      </c>
      <c r="C39" s="3" t="s">
        <v>182</v>
      </c>
      <c r="D39" s="7">
        <v>45</v>
      </c>
      <c r="E39" s="3">
        <v>55</v>
      </c>
      <c r="F39" s="1">
        <f t="shared" si="169"/>
        <v>2475</v>
      </c>
      <c r="G39" s="3">
        <v>0</v>
      </c>
      <c r="H39" s="3">
        <v>55</v>
      </c>
      <c r="I39" s="27">
        <f t="shared" si="170"/>
        <v>0</v>
      </c>
      <c r="J39" s="3">
        <f t="shared" si="171"/>
        <v>45</v>
      </c>
      <c r="K39" s="7">
        <v>55</v>
      </c>
      <c r="L39" s="7">
        <f t="shared" si="53"/>
        <v>2475</v>
      </c>
      <c r="M39" s="7">
        <v>0</v>
      </c>
      <c r="N39" s="6">
        <f t="shared" si="54"/>
        <v>2475</v>
      </c>
      <c r="O39" s="34"/>
      <c r="P39" s="3">
        <v>0</v>
      </c>
      <c r="Q39" s="3">
        <v>100</v>
      </c>
      <c r="R39" s="3">
        <f t="shared" si="172"/>
        <v>0</v>
      </c>
      <c r="S39" s="3">
        <v>0</v>
      </c>
      <c r="T39" s="3">
        <v>100</v>
      </c>
      <c r="U39" s="3">
        <f t="shared" si="173"/>
        <v>0</v>
      </c>
      <c r="V39" s="3">
        <f t="shared" si="174"/>
        <v>0</v>
      </c>
      <c r="W39" s="7">
        <v>100</v>
      </c>
      <c r="X39" s="7">
        <f>V39*W39</f>
        <v>0</v>
      </c>
      <c r="Y39" s="7">
        <v>0</v>
      </c>
      <c r="Z39" s="6">
        <f t="shared" ref="Z39" si="185">X39-Y39</f>
        <v>0</v>
      </c>
      <c r="AA39" s="82"/>
      <c r="AB39" s="3">
        <v>0</v>
      </c>
      <c r="AC39" s="3">
        <v>50</v>
      </c>
      <c r="AD39" s="3">
        <f t="shared" si="175"/>
        <v>0</v>
      </c>
      <c r="AE39" s="3">
        <v>0</v>
      </c>
      <c r="AF39" s="3">
        <v>50</v>
      </c>
      <c r="AG39" s="3">
        <f t="shared" si="176"/>
        <v>0</v>
      </c>
      <c r="AH39" s="3">
        <f t="shared" si="177"/>
        <v>0</v>
      </c>
      <c r="AI39" s="3">
        <v>50</v>
      </c>
      <c r="AJ39" s="7">
        <f t="shared" si="178"/>
        <v>0</v>
      </c>
      <c r="AK39" s="7">
        <v>0</v>
      </c>
      <c r="AL39" s="6">
        <f t="shared" si="179"/>
        <v>0</v>
      </c>
      <c r="AM39" s="6">
        <f t="shared" si="180"/>
        <v>2475</v>
      </c>
      <c r="AN39" s="6">
        <f t="shared" si="181"/>
        <v>0</v>
      </c>
      <c r="AO39" s="6">
        <f t="shared" si="182"/>
        <v>2475</v>
      </c>
      <c r="AP39" s="3" t="s">
        <v>461</v>
      </c>
      <c r="AQ39" s="3">
        <f t="shared" si="183"/>
        <v>2475</v>
      </c>
      <c r="AR39" s="3">
        <f t="shared" ref="AR39" si="186">AQ39</f>
        <v>2475</v>
      </c>
      <c r="AS39" s="3">
        <f t="shared" si="184"/>
        <v>0</v>
      </c>
      <c r="AT39" s="3"/>
    </row>
    <row r="40" spans="1:46" x14ac:dyDescent="0.35">
      <c r="A40" s="3"/>
      <c r="B40" s="172" t="s">
        <v>386</v>
      </c>
      <c r="C40" s="3" t="s">
        <v>33</v>
      </c>
      <c r="D40" s="7">
        <v>300</v>
      </c>
      <c r="E40" s="3">
        <v>60</v>
      </c>
      <c r="F40" s="1">
        <f t="shared" si="169"/>
        <v>18000</v>
      </c>
      <c r="G40" s="3">
        <v>200</v>
      </c>
      <c r="H40" s="3">
        <v>60</v>
      </c>
      <c r="I40" s="27">
        <f t="shared" si="170"/>
        <v>12000</v>
      </c>
      <c r="J40" s="3">
        <f t="shared" si="171"/>
        <v>100</v>
      </c>
      <c r="K40" s="7">
        <v>60</v>
      </c>
      <c r="L40" s="7">
        <f t="shared" si="53"/>
        <v>6000</v>
      </c>
      <c r="M40" s="7">
        <v>0</v>
      </c>
      <c r="N40" s="6">
        <f t="shared" si="54"/>
        <v>6000</v>
      </c>
      <c r="O40" s="34"/>
      <c r="P40" s="3">
        <v>240</v>
      </c>
      <c r="Q40" s="3">
        <v>100</v>
      </c>
      <c r="R40" s="3">
        <f t="shared" si="172"/>
        <v>24000</v>
      </c>
      <c r="S40" s="3">
        <v>3</v>
      </c>
      <c r="T40" s="3">
        <v>100</v>
      </c>
      <c r="U40" s="3">
        <f t="shared" si="173"/>
        <v>300</v>
      </c>
      <c r="V40" s="3">
        <f t="shared" si="174"/>
        <v>237</v>
      </c>
      <c r="W40" s="7">
        <v>100</v>
      </c>
      <c r="X40" s="7">
        <f>V40*W40</f>
        <v>23700</v>
      </c>
      <c r="Y40" s="7">
        <v>0</v>
      </c>
      <c r="Z40" s="6">
        <f t="shared" si="9"/>
        <v>23700</v>
      </c>
      <c r="AA40" s="82"/>
      <c r="AB40" s="3">
        <f>240-200</f>
        <v>40</v>
      </c>
      <c r="AC40" s="3">
        <v>50</v>
      </c>
      <c r="AD40" s="3">
        <f t="shared" si="175"/>
        <v>2000</v>
      </c>
      <c r="AE40" s="3">
        <v>0</v>
      </c>
      <c r="AF40" s="3">
        <v>50</v>
      </c>
      <c r="AG40" s="3">
        <f t="shared" si="176"/>
        <v>0</v>
      </c>
      <c r="AH40" s="3">
        <f t="shared" si="177"/>
        <v>40</v>
      </c>
      <c r="AI40" s="3">
        <v>50</v>
      </c>
      <c r="AJ40" s="7">
        <f t="shared" si="178"/>
        <v>2000</v>
      </c>
      <c r="AK40" s="7">
        <v>0</v>
      </c>
      <c r="AL40" s="6">
        <f t="shared" si="179"/>
        <v>2000</v>
      </c>
      <c r="AM40" s="6">
        <f t="shared" si="180"/>
        <v>31700</v>
      </c>
      <c r="AN40" s="6">
        <f t="shared" si="181"/>
        <v>0</v>
      </c>
      <c r="AO40" s="6">
        <f t="shared" si="182"/>
        <v>31700</v>
      </c>
      <c r="AP40" s="3" t="s">
        <v>461</v>
      </c>
      <c r="AQ40" s="3">
        <f t="shared" si="183"/>
        <v>31700</v>
      </c>
      <c r="AR40" s="3">
        <f>AQ40</f>
        <v>31700</v>
      </c>
      <c r="AS40" s="3">
        <f t="shared" si="184"/>
        <v>0</v>
      </c>
      <c r="AT40" s="3"/>
    </row>
    <row r="41" spans="1:46" x14ac:dyDescent="0.35">
      <c r="A41" s="3"/>
      <c r="B41" s="172" t="s">
        <v>386</v>
      </c>
      <c r="C41" s="3" t="s">
        <v>182</v>
      </c>
      <c r="D41" s="7">
        <v>0</v>
      </c>
      <c r="E41" s="3">
        <v>55</v>
      </c>
      <c r="F41" s="1">
        <f t="shared" si="169"/>
        <v>0</v>
      </c>
      <c r="G41" s="3">
        <v>0</v>
      </c>
      <c r="H41" s="3">
        <v>55</v>
      </c>
      <c r="I41" s="27">
        <f t="shared" si="170"/>
        <v>0</v>
      </c>
      <c r="J41" s="3">
        <f t="shared" si="171"/>
        <v>0</v>
      </c>
      <c r="K41" s="7">
        <v>55</v>
      </c>
      <c r="L41" s="7">
        <f t="shared" si="53"/>
        <v>0</v>
      </c>
      <c r="M41" s="7">
        <v>0</v>
      </c>
      <c r="N41" s="6">
        <f t="shared" si="54"/>
        <v>0</v>
      </c>
      <c r="O41" s="34"/>
      <c r="P41" s="3">
        <v>0</v>
      </c>
      <c r="Q41" s="3">
        <v>100</v>
      </c>
      <c r="R41" s="3">
        <f t="shared" si="172"/>
        <v>0</v>
      </c>
      <c r="S41" s="3">
        <v>0</v>
      </c>
      <c r="T41" s="3">
        <v>100</v>
      </c>
      <c r="U41" s="3">
        <f t="shared" si="173"/>
        <v>0</v>
      </c>
      <c r="V41" s="3">
        <f t="shared" si="174"/>
        <v>0</v>
      </c>
      <c r="W41" s="7">
        <v>100</v>
      </c>
      <c r="X41" s="7">
        <f>V41*W41</f>
        <v>0</v>
      </c>
      <c r="Y41" s="7">
        <v>0</v>
      </c>
      <c r="Z41" s="6">
        <f t="shared" si="9"/>
        <v>0</v>
      </c>
      <c r="AA41" s="82"/>
      <c r="AB41" s="3">
        <v>200</v>
      </c>
      <c r="AC41" s="3">
        <v>45</v>
      </c>
      <c r="AD41" s="3">
        <f t="shared" si="175"/>
        <v>9000</v>
      </c>
      <c r="AE41" s="3">
        <v>0</v>
      </c>
      <c r="AF41" s="3">
        <v>45</v>
      </c>
      <c r="AG41" s="3">
        <f t="shared" si="176"/>
        <v>0</v>
      </c>
      <c r="AH41" s="3">
        <f t="shared" si="177"/>
        <v>200</v>
      </c>
      <c r="AI41" s="3">
        <v>45</v>
      </c>
      <c r="AJ41" s="7">
        <f t="shared" si="178"/>
        <v>9000</v>
      </c>
      <c r="AK41" s="7">
        <v>0</v>
      </c>
      <c r="AL41" s="6">
        <f t="shared" si="179"/>
        <v>9000</v>
      </c>
      <c r="AM41" s="6">
        <f t="shared" si="180"/>
        <v>9000</v>
      </c>
      <c r="AN41" s="6">
        <f t="shared" si="181"/>
        <v>0</v>
      </c>
      <c r="AO41" s="6">
        <f t="shared" si="182"/>
        <v>9000</v>
      </c>
      <c r="AP41" s="3" t="s">
        <v>461</v>
      </c>
      <c r="AQ41" s="3">
        <f t="shared" si="183"/>
        <v>9000</v>
      </c>
      <c r="AR41" s="3">
        <f t="shared" ref="AR41" si="187">AQ41</f>
        <v>9000</v>
      </c>
      <c r="AS41" s="3">
        <f t="shared" si="184"/>
        <v>0</v>
      </c>
      <c r="AT41" s="3"/>
    </row>
    <row r="42" spans="1:46" x14ac:dyDescent="0.35">
      <c r="A42" s="3"/>
      <c r="B42" s="172" t="s">
        <v>415</v>
      </c>
      <c r="C42" s="3" t="s">
        <v>33</v>
      </c>
      <c r="D42" s="7">
        <v>150</v>
      </c>
      <c r="E42" s="3">
        <v>60</v>
      </c>
      <c r="F42" s="1">
        <f t="shared" si="169"/>
        <v>9000</v>
      </c>
      <c r="G42" s="3">
        <v>54</v>
      </c>
      <c r="H42" s="3">
        <v>60</v>
      </c>
      <c r="I42" s="27">
        <f t="shared" si="170"/>
        <v>3240</v>
      </c>
      <c r="J42" s="3">
        <f t="shared" si="171"/>
        <v>96</v>
      </c>
      <c r="K42" s="7">
        <v>60</v>
      </c>
      <c r="L42" s="7">
        <f t="shared" si="53"/>
        <v>5760</v>
      </c>
      <c r="M42" s="3">
        <f>J42*5</f>
        <v>480</v>
      </c>
      <c r="N42" s="6">
        <f t="shared" si="54"/>
        <v>5280</v>
      </c>
      <c r="O42" s="34"/>
      <c r="P42" s="3">
        <v>138</v>
      </c>
      <c r="Q42" s="3">
        <v>100</v>
      </c>
      <c r="R42" s="3">
        <f t="shared" si="172"/>
        <v>13800</v>
      </c>
      <c r="S42" s="3">
        <v>39</v>
      </c>
      <c r="T42" s="3">
        <v>100</v>
      </c>
      <c r="U42" s="3">
        <f t="shared" si="173"/>
        <v>3900</v>
      </c>
      <c r="V42" s="3">
        <f t="shared" si="174"/>
        <v>99</v>
      </c>
      <c r="W42" s="7">
        <v>100</v>
      </c>
      <c r="X42" s="7">
        <f t="shared" si="71"/>
        <v>9900</v>
      </c>
      <c r="Y42" s="3">
        <f>V42*10</f>
        <v>990</v>
      </c>
      <c r="Z42" s="6">
        <f t="shared" si="9"/>
        <v>8910</v>
      </c>
      <c r="AA42" s="82"/>
      <c r="AB42" s="3">
        <v>108</v>
      </c>
      <c r="AC42" s="3">
        <v>50</v>
      </c>
      <c r="AD42" s="3">
        <f t="shared" si="175"/>
        <v>5400</v>
      </c>
      <c r="AE42" s="3">
        <v>39</v>
      </c>
      <c r="AF42" s="3">
        <v>50</v>
      </c>
      <c r="AG42" s="3">
        <f t="shared" si="176"/>
        <v>1950</v>
      </c>
      <c r="AH42" s="3">
        <f t="shared" si="177"/>
        <v>69</v>
      </c>
      <c r="AI42" s="3">
        <v>50</v>
      </c>
      <c r="AJ42" s="7">
        <f t="shared" si="178"/>
        <v>3450</v>
      </c>
      <c r="AK42" s="3">
        <f>AH42*5</f>
        <v>345</v>
      </c>
      <c r="AL42" s="6">
        <f t="shared" si="179"/>
        <v>3105</v>
      </c>
      <c r="AM42" s="6">
        <f t="shared" si="180"/>
        <v>19110</v>
      </c>
      <c r="AN42" s="6">
        <f t="shared" si="181"/>
        <v>1815</v>
      </c>
      <c r="AO42" s="6">
        <f t="shared" si="182"/>
        <v>17295</v>
      </c>
      <c r="AP42" s="3" t="s">
        <v>461</v>
      </c>
      <c r="AQ42" s="3">
        <f t="shared" si="183"/>
        <v>17295</v>
      </c>
      <c r="AR42" s="3">
        <f t="shared" ref="AR42:AR44" si="188">AQ42</f>
        <v>17295</v>
      </c>
      <c r="AS42" s="3">
        <f t="shared" si="184"/>
        <v>0</v>
      </c>
      <c r="AT42" s="3"/>
    </row>
    <row r="43" spans="1:46" x14ac:dyDescent="0.35">
      <c r="A43" s="3"/>
      <c r="B43" s="172" t="s">
        <v>326</v>
      </c>
      <c r="C43" s="3" t="s">
        <v>33</v>
      </c>
      <c r="D43" s="7">
        <v>30</v>
      </c>
      <c r="E43" s="3">
        <v>60</v>
      </c>
      <c r="F43" s="1">
        <f t="shared" si="169"/>
        <v>1800</v>
      </c>
      <c r="G43" s="3">
        <v>6</v>
      </c>
      <c r="H43" s="3">
        <v>60</v>
      </c>
      <c r="I43" s="27">
        <f t="shared" si="170"/>
        <v>360</v>
      </c>
      <c r="J43" s="3">
        <f t="shared" si="171"/>
        <v>24</v>
      </c>
      <c r="K43" s="7">
        <v>60</v>
      </c>
      <c r="L43" s="7">
        <f t="shared" si="53"/>
        <v>1440</v>
      </c>
      <c r="M43" s="3">
        <v>0</v>
      </c>
      <c r="N43" s="6">
        <f t="shared" si="54"/>
        <v>1440</v>
      </c>
      <c r="O43" s="34"/>
      <c r="P43" s="3">
        <v>60</v>
      </c>
      <c r="Q43" s="3">
        <v>100</v>
      </c>
      <c r="R43" s="3">
        <f t="shared" si="172"/>
        <v>6000</v>
      </c>
      <c r="S43" s="3">
        <v>6</v>
      </c>
      <c r="T43" s="3">
        <v>100</v>
      </c>
      <c r="U43" s="3">
        <f t="shared" si="173"/>
        <v>600</v>
      </c>
      <c r="V43" s="3">
        <f t="shared" si="174"/>
        <v>54</v>
      </c>
      <c r="W43" s="7">
        <v>100</v>
      </c>
      <c r="X43" s="7">
        <f t="shared" si="71"/>
        <v>5400</v>
      </c>
      <c r="Y43" s="3">
        <v>0</v>
      </c>
      <c r="Z43" s="6">
        <f t="shared" si="9"/>
        <v>5400</v>
      </c>
      <c r="AA43" s="82"/>
      <c r="AB43" s="3">
        <v>60</v>
      </c>
      <c r="AC43" s="3">
        <v>50</v>
      </c>
      <c r="AD43" s="3">
        <f t="shared" si="175"/>
        <v>3000</v>
      </c>
      <c r="AE43" s="3">
        <v>4</v>
      </c>
      <c r="AF43" s="3">
        <v>50</v>
      </c>
      <c r="AG43" s="3">
        <f t="shared" si="176"/>
        <v>200</v>
      </c>
      <c r="AH43" s="3">
        <f t="shared" si="177"/>
        <v>56</v>
      </c>
      <c r="AI43" s="3">
        <v>50</v>
      </c>
      <c r="AJ43" s="7">
        <f t="shared" si="178"/>
        <v>2800</v>
      </c>
      <c r="AK43" s="3">
        <v>0</v>
      </c>
      <c r="AL43" s="6">
        <f t="shared" si="179"/>
        <v>2800</v>
      </c>
      <c r="AM43" s="6">
        <f t="shared" si="180"/>
        <v>9640</v>
      </c>
      <c r="AN43" s="6">
        <f t="shared" si="181"/>
        <v>0</v>
      </c>
      <c r="AO43" s="6">
        <f t="shared" si="182"/>
        <v>9640</v>
      </c>
      <c r="AP43" s="3" t="s">
        <v>461</v>
      </c>
      <c r="AQ43" s="3">
        <f t="shared" si="183"/>
        <v>9640</v>
      </c>
      <c r="AR43" s="3">
        <f t="shared" si="188"/>
        <v>9640</v>
      </c>
      <c r="AS43" s="3">
        <f t="shared" si="184"/>
        <v>0</v>
      </c>
      <c r="AT43" s="3"/>
    </row>
    <row r="44" spans="1:46" x14ac:dyDescent="0.35">
      <c r="A44" s="3"/>
      <c r="B44" s="172" t="s">
        <v>283</v>
      </c>
      <c r="C44" s="3" t="s">
        <v>33</v>
      </c>
      <c r="D44" s="7">
        <v>15</v>
      </c>
      <c r="E44" s="3">
        <v>60</v>
      </c>
      <c r="F44" s="1">
        <f t="shared" si="169"/>
        <v>900</v>
      </c>
      <c r="G44" s="3">
        <v>5</v>
      </c>
      <c r="H44" s="3">
        <v>60</v>
      </c>
      <c r="I44" s="27">
        <f t="shared" si="170"/>
        <v>300</v>
      </c>
      <c r="J44" s="3">
        <f t="shared" si="171"/>
        <v>10</v>
      </c>
      <c r="K44" s="7">
        <v>60</v>
      </c>
      <c r="L44" s="7">
        <f t="shared" si="53"/>
        <v>600</v>
      </c>
      <c r="M44" s="3">
        <v>0</v>
      </c>
      <c r="N44" s="6">
        <f t="shared" si="54"/>
        <v>600</v>
      </c>
      <c r="O44" s="34"/>
      <c r="P44" s="3">
        <f>36+98+15+40+1</f>
        <v>190</v>
      </c>
      <c r="Q44" s="3">
        <v>100</v>
      </c>
      <c r="R44" s="3">
        <f t="shared" si="172"/>
        <v>19000</v>
      </c>
      <c r="S44" s="3">
        <v>1</v>
      </c>
      <c r="T44" s="3">
        <v>100</v>
      </c>
      <c r="U44" s="3">
        <f t="shared" si="173"/>
        <v>100</v>
      </c>
      <c r="V44" s="3">
        <f t="shared" si="174"/>
        <v>189</v>
      </c>
      <c r="W44" s="7">
        <v>100</v>
      </c>
      <c r="X44" s="7">
        <f t="shared" si="71"/>
        <v>18900</v>
      </c>
      <c r="Y44" s="3">
        <v>0</v>
      </c>
      <c r="Z44" s="6">
        <f t="shared" si="9"/>
        <v>18900</v>
      </c>
      <c r="AA44" s="82"/>
      <c r="AB44" s="3">
        <v>24</v>
      </c>
      <c r="AC44" s="3">
        <v>50</v>
      </c>
      <c r="AD44" s="3">
        <f t="shared" si="175"/>
        <v>1200</v>
      </c>
      <c r="AE44" s="3">
        <v>5</v>
      </c>
      <c r="AF44" s="3">
        <v>50</v>
      </c>
      <c r="AG44" s="3">
        <f t="shared" si="176"/>
        <v>250</v>
      </c>
      <c r="AH44" s="3">
        <f t="shared" si="177"/>
        <v>19</v>
      </c>
      <c r="AI44" s="3">
        <v>50</v>
      </c>
      <c r="AJ44" s="7">
        <f t="shared" si="178"/>
        <v>950</v>
      </c>
      <c r="AK44" s="3">
        <v>0</v>
      </c>
      <c r="AL44" s="6">
        <f t="shared" si="179"/>
        <v>950</v>
      </c>
      <c r="AM44" s="6">
        <f t="shared" si="180"/>
        <v>20450</v>
      </c>
      <c r="AN44" s="6">
        <f t="shared" si="181"/>
        <v>0</v>
      </c>
      <c r="AO44" s="6">
        <f t="shared" si="182"/>
        <v>20450</v>
      </c>
      <c r="AP44" s="3" t="s">
        <v>461</v>
      </c>
      <c r="AQ44" s="3">
        <f t="shared" si="183"/>
        <v>20450</v>
      </c>
      <c r="AR44" s="3">
        <f t="shared" si="188"/>
        <v>20450</v>
      </c>
      <c r="AS44" s="3">
        <f t="shared" si="184"/>
        <v>0</v>
      </c>
      <c r="AT44" s="3"/>
    </row>
    <row r="45" spans="1:46" x14ac:dyDescent="0.35">
      <c r="A45" s="3"/>
      <c r="B45" s="172" t="s">
        <v>283</v>
      </c>
      <c r="C45" s="3" t="s">
        <v>182</v>
      </c>
      <c r="D45" s="7">
        <v>0</v>
      </c>
      <c r="E45" s="3">
        <v>53</v>
      </c>
      <c r="F45" s="1">
        <f>D45*E45</f>
        <v>0</v>
      </c>
      <c r="G45" s="3">
        <v>0</v>
      </c>
      <c r="H45" s="3">
        <v>53</v>
      </c>
      <c r="I45" s="27">
        <f>G45*H45</f>
        <v>0</v>
      </c>
      <c r="J45" s="3">
        <f>D45-G45</f>
        <v>0</v>
      </c>
      <c r="K45" s="7">
        <v>53</v>
      </c>
      <c r="L45" s="7">
        <f>J45*K45</f>
        <v>0</v>
      </c>
      <c r="M45" s="3">
        <v>0</v>
      </c>
      <c r="N45" s="6">
        <f>L45-M45</f>
        <v>0</v>
      </c>
      <c r="O45" s="34"/>
      <c r="P45" s="3">
        <v>0</v>
      </c>
      <c r="Q45" s="3">
        <v>90</v>
      </c>
      <c r="R45" s="3">
        <f>P45*Q45</f>
        <v>0</v>
      </c>
      <c r="S45" s="3">
        <v>0</v>
      </c>
      <c r="T45" s="3">
        <v>90</v>
      </c>
      <c r="U45" s="3">
        <f>S45*T45</f>
        <v>0</v>
      </c>
      <c r="V45" s="3">
        <f>P45-S45</f>
        <v>0</v>
      </c>
      <c r="W45" s="7">
        <v>90</v>
      </c>
      <c r="X45" s="7">
        <f>V45*W45</f>
        <v>0</v>
      </c>
      <c r="Y45" s="3">
        <v>0</v>
      </c>
      <c r="Z45" s="6">
        <f>X45-Y45</f>
        <v>0</v>
      </c>
      <c r="AA45" s="82"/>
      <c r="AB45" s="3">
        <v>0</v>
      </c>
      <c r="AC45" s="3">
        <v>45</v>
      </c>
      <c r="AD45" s="3">
        <f>AB45*AC45</f>
        <v>0</v>
      </c>
      <c r="AE45" s="3">
        <v>0</v>
      </c>
      <c r="AF45" s="3">
        <v>45</v>
      </c>
      <c r="AG45" s="3">
        <f>AE45*AF45</f>
        <v>0</v>
      </c>
      <c r="AH45" s="3">
        <f>AB45-AE45</f>
        <v>0</v>
      </c>
      <c r="AI45" s="3">
        <v>45</v>
      </c>
      <c r="AJ45" s="7">
        <f>AH45*AI45</f>
        <v>0</v>
      </c>
      <c r="AK45" s="3">
        <v>0</v>
      </c>
      <c r="AL45" s="6">
        <f>AJ45-AK45</f>
        <v>0</v>
      </c>
      <c r="AM45" s="6">
        <f>L45+X45+AJ45</f>
        <v>0</v>
      </c>
      <c r="AN45" s="6">
        <f>M45+Y45+AK45</f>
        <v>0</v>
      </c>
      <c r="AO45" s="6">
        <f>AM45-AN45</f>
        <v>0</v>
      </c>
      <c r="AP45" s="3" t="s">
        <v>461</v>
      </c>
      <c r="AQ45" s="3">
        <f>AO45</f>
        <v>0</v>
      </c>
      <c r="AR45" s="3">
        <f>AQ45</f>
        <v>0</v>
      </c>
      <c r="AS45" s="3">
        <f>AQ45-AR45</f>
        <v>0</v>
      </c>
      <c r="AT45" s="3"/>
    </row>
    <row r="46" spans="1:46" x14ac:dyDescent="0.35">
      <c r="A46" s="3"/>
      <c r="B46" s="3" t="s">
        <v>308</v>
      </c>
      <c r="C46" s="3" t="s">
        <v>331</v>
      </c>
      <c r="D46" s="7">
        <v>0</v>
      </c>
      <c r="E46" s="3">
        <v>60</v>
      </c>
      <c r="F46" s="1">
        <f t="shared" ref="F46" si="189">D46*E46</f>
        <v>0</v>
      </c>
      <c r="G46" s="3">
        <v>0</v>
      </c>
      <c r="H46" s="3">
        <v>60</v>
      </c>
      <c r="I46" s="27">
        <f t="shared" ref="I46:I47" si="190">G46*H46</f>
        <v>0</v>
      </c>
      <c r="J46" s="3">
        <f t="shared" ref="J46" si="191">D46-G46</f>
        <v>0</v>
      </c>
      <c r="K46" s="7">
        <v>60</v>
      </c>
      <c r="L46" s="7">
        <f t="shared" ref="L46:L47" si="192">J46*K46</f>
        <v>0</v>
      </c>
      <c r="M46" s="3">
        <f>J46*5</f>
        <v>0</v>
      </c>
      <c r="N46" s="6">
        <f t="shared" ref="N46:N47" si="193">L46-M46</f>
        <v>0</v>
      </c>
      <c r="O46" s="34"/>
      <c r="P46" s="3">
        <v>0</v>
      </c>
      <c r="Q46" s="3">
        <v>100</v>
      </c>
      <c r="R46" s="3">
        <f t="shared" ref="R46" si="194">P46*Q46</f>
        <v>0</v>
      </c>
      <c r="S46" s="3">
        <v>0</v>
      </c>
      <c r="T46" s="3">
        <v>100</v>
      </c>
      <c r="U46" s="3">
        <f t="shared" ref="U46:U47" si="195">S46*T46</f>
        <v>0</v>
      </c>
      <c r="V46" s="3">
        <f t="shared" ref="V46" si="196">P46-S46</f>
        <v>0</v>
      </c>
      <c r="W46" s="7">
        <v>100</v>
      </c>
      <c r="X46" s="7">
        <f t="shared" ref="X46:X47" si="197">V46*W46</f>
        <v>0</v>
      </c>
      <c r="Y46" s="3">
        <f>V46*5</f>
        <v>0</v>
      </c>
      <c r="Z46" s="6">
        <f t="shared" ref="Z46:Z47" si="198">X46-Y46</f>
        <v>0</v>
      </c>
      <c r="AA46" s="82">
        <v>195</v>
      </c>
      <c r="AB46" s="3">
        <v>0</v>
      </c>
      <c r="AC46" s="3">
        <v>50</v>
      </c>
      <c r="AD46" s="3">
        <f t="shared" ref="AD46" si="199">AB46*AC46</f>
        <v>0</v>
      </c>
      <c r="AE46" s="3">
        <v>0</v>
      </c>
      <c r="AF46" s="3">
        <v>50</v>
      </c>
      <c r="AG46" s="3">
        <f t="shared" ref="AG46:AG47" si="200">AE46*AF46</f>
        <v>0</v>
      </c>
      <c r="AH46" s="3">
        <f t="shared" ref="AH46" si="201">AB46-AE46</f>
        <v>0</v>
      </c>
      <c r="AI46" s="3">
        <v>50</v>
      </c>
      <c r="AJ46" s="7">
        <f t="shared" ref="AJ46:AJ47" si="202">AH46*AI46</f>
        <v>0</v>
      </c>
      <c r="AK46" s="3">
        <f>AH46*5</f>
        <v>0</v>
      </c>
      <c r="AL46" s="6">
        <f t="shared" ref="AL46:AL47" si="203">AJ46-AK46</f>
        <v>0</v>
      </c>
      <c r="AM46" s="6">
        <f t="shared" ref="AM46:AM47" si="204">L46+X46+AJ46</f>
        <v>0</v>
      </c>
      <c r="AN46" s="6">
        <f t="shared" ref="AN46:AN47" si="205">M46+Y46+AK46</f>
        <v>0</v>
      </c>
      <c r="AO46" s="6">
        <f t="shared" ref="AO46:AO47" si="206">AM46-AN46</f>
        <v>0</v>
      </c>
      <c r="AP46" s="3" t="s">
        <v>461</v>
      </c>
      <c r="AQ46" s="3">
        <f t="shared" ref="AQ46:AQ47" si="207">AO46</f>
        <v>0</v>
      </c>
      <c r="AR46" s="3">
        <f t="shared" ref="AR46:AR47" si="208">AQ46</f>
        <v>0</v>
      </c>
      <c r="AS46" s="3">
        <f t="shared" ref="AS46:AS47" si="209">AQ46-AR46</f>
        <v>0</v>
      </c>
      <c r="AT46" s="3"/>
    </row>
    <row r="47" spans="1:46" x14ac:dyDescent="0.35">
      <c r="A47" s="3"/>
      <c r="B47" s="3" t="s">
        <v>308</v>
      </c>
      <c r="C47" s="3" t="s">
        <v>332</v>
      </c>
      <c r="D47" s="7">
        <v>0</v>
      </c>
      <c r="E47" s="3">
        <v>60</v>
      </c>
      <c r="F47" s="1">
        <v>0</v>
      </c>
      <c r="G47" s="7">
        <v>0</v>
      </c>
      <c r="H47" s="3">
        <v>60</v>
      </c>
      <c r="I47" s="27">
        <f t="shared" si="190"/>
        <v>0</v>
      </c>
      <c r="J47" s="3">
        <v>0</v>
      </c>
      <c r="K47" s="7">
        <v>60</v>
      </c>
      <c r="L47" s="7">
        <f t="shared" si="192"/>
        <v>0</v>
      </c>
      <c r="M47" s="3">
        <v>0</v>
      </c>
      <c r="N47" s="6">
        <f t="shared" si="193"/>
        <v>0</v>
      </c>
      <c r="O47" s="34"/>
      <c r="P47" s="7">
        <v>0</v>
      </c>
      <c r="Q47" s="3">
        <v>100</v>
      </c>
      <c r="R47" s="3">
        <v>0</v>
      </c>
      <c r="S47" s="7">
        <v>0</v>
      </c>
      <c r="T47" s="3">
        <v>100</v>
      </c>
      <c r="U47" s="3">
        <f t="shared" si="195"/>
        <v>0</v>
      </c>
      <c r="V47" s="3">
        <v>0</v>
      </c>
      <c r="W47" s="7">
        <v>100</v>
      </c>
      <c r="X47" s="7">
        <f t="shared" si="197"/>
        <v>0</v>
      </c>
      <c r="Y47" s="3">
        <v>0</v>
      </c>
      <c r="Z47" s="6">
        <f t="shared" si="198"/>
        <v>0</v>
      </c>
      <c r="AA47" s="82"/>
      <c r="AB47" s="7">
        <v>0</v>
      </c>
      <c r="AC47" s="3">
        <v>50</v>
      </c>
      <c r="AD47" s="3">
        <v>0</v>
      </c>
      <c r="AE47" s="7">
        <v>0</v>
      </c>
      <c r="AF47" s="3">
        <v>50</v>
      </c>
      <c r="AG47" s="3">
        <f t="shared" si="200"/>
        <v>0</v>
      </c>
      <c r="AH47" s="3">
        <v>0</v>
      </c>
      <c r="AI47" s="3">
        <v>50</v>
      </c>
      <c r="AJ47" s="7">
        <f t="shared" si="202"/>
        <v>0</v>
      </c>
      <c r="AK47" s="3">
        <v>0</v>
      </c>
      <c r="AL47" s="6">
        <f t="shared" si="203"/>
        <v>0</v>
      </c>
      <c r="AM47" s="6">
        <f t="shared" si="204"/>
        <v>0</v>
      </c>
      <c r="AN47" s="6">
        <f t="shared" si="205"/>
        <v>0</v>
      </c>
      <c r="AO47" s="6">
        <f t="shared" si="206"/>
        <v>0</v>
      </c>
      <c r="AP47" s="3" t="s">
        <v>461</v>
      </c>
      <c r="AQ47" s="3">
        <f t="shared" si="207"/>
        <v>0</v>
      </c>
      <c r="AR47" s="3">
        <f t="shared" si="208"/>
        <v>0</v>
      </c>
      <c r="AS47" s="3">
        <f t="shared" si="209"/>
        <v>0</v>
      </c>
      <c r="AT47" s="3"/>
    </row>
    <row r="48" spans="1:46" x14ac:dyDescent="0.35">
      <c r="A48" s="3"/>
      <c r="B48" s="3" t="s">
        <v>287</v>
      </c>
      <c r="C48" s="3" t="s">
        <v>331</v>
      </c>
      <c r="D48" s="7">
        <v>0</v>
      </c>
      <c r="E48" s="3">
        <v>60</v>
      </c>
      <c r="F48" s="1">
        <f t="shared" ref="F48" si="210">D48*E48</f>
        <v>0</v>
      </c>
      <c r="G48" s="7">
        <v>0</v>
      </c>
      <c r="H48" s="3">
        <v>60</v>
      </c>
      <c r="I48" s="27">
        <f t="shared" ref="I48:I49" si="211">G48*H48</f>
        <v>0</v>
      </c>
      <c r="J48" s="3">
        <f t="shared" ref="J48" si="212">D48-G48</f>
        <v>0</v>
      </c>
      <c r="K48" s="7">
        <v>60</v>
      </c>
      <c r="L48" s="7">
        <f t="shared" ref="L48:L49" si="213">J48*K48</f>
        <v>0</v>
      </c>
      <c r="M48" s="3">
        <f>J48*5</f>
        <v>0</v>
      </c>
      <c r="N48" s="6">
        <f t="shared" ref="N48:N49" si="214">L48-M48</f>
        <v>0</v>
      </c>
      <c r="O48" s="34"/>
      <c r="P48" s="7">
        <v>0</v>
      </c>
      <c r="Q48" s="3">
        <v>100</v>
      </c>
      <c r="R48" s="3">
        <f t="shared" ref="R48" si="215">P48*Q48</f>
        <v>0</v>
      </c>
      <c r="S48" s="7">
        <v>0</v>
      </c>
      <c r="T48" s="3">
        <v>100</v>
      </c>
      <c r="U48" s="3">
        <f t="shared" ref="U48:U49" si="216">S48*T48</f>
        <v>0</v>
      </c>
      <c r="V48" s="3">
        <f t="shared" ref="V48" si="217">P48-S48</f>
        <v>0</v>
      </c>
      <c r="W48" s="7">
        <v>100</v>
      </c>
      <c r="X48" s="7">
        <f t="shared" ref="X48:X49" si="218">V48*W48</f>
        <v>0</v>
      </c>
      <c r="Y48" s="3">
        <f>V48*10</f>
        <v>0</v>
      </c>
      <c r="Z48" s="6">
        <f t="shared" ref="Z48:Z49" si="219">X48-Y48</f>
        <v>0</v>
      </c>
      <c r="AA48" s="82"/>
      <c r="AB48" s="7">
        <v>0</v>
      </c>
      <c r="AC48" s="3">
        <v>50</v>
      </c>
      <c r="AD48" s="3">
        <f t="shared" ref="AD48" si="220">AB48*AC48</f>
        <v>0</v>
      </c>
      <c r="AE48" s="7">
        <v>0</v>
      </c>
      <c r="AF48" s="3">
        <v>50</v>
      </c>
      <c r="AG48" s="3">
        <f t="shared" ref="AG48:AG49" si="221">AE48*AF48</f>
        <v>0</v>
      </c>
      <c r="AH48" s="3">
        <f t="shared" ref="AH48" si="222">AB48-AE48</f>
        <v>0</v>
      </c>
      <c r="AI48" s="3">
        <v>50</v>
      </c>
      <c r="AJ48" s="7">
        <f t="shared" ref="AJ48:AJ49" si="223">AH48*AI48</f>
        <v>0</v>
      </c>
      <c r="AK48" s="3">
        <f>AH48*5</f>
        <v>0</v>
      </c>
      <c r="AL48" s="6">
        <f t="shared" ref="AL48:AL49" si="224">AJ48-AK48</f>
        <v>0</v>
      </c>
      <c r="AM48" s="6">
        <f t="shared" ref="AM48:AM49" si="225">L48+X48+AJ48</f>
        <v>0</v>
      </c>
      <c r="AN48" s="6">
        <f t="shared" ref="AN48:AN49" si="226">M48+Y48+AK48</f>
        <v>0</v>
      </c>
      <c r="AO48" s="6">
        <f t="shared" ref="AO48:AO49" si="227">AM48-AN48</f>
        <v>0</v>
      </c>
      <c r="AP48" s="3" t="s">
        <v>461</v>
      </c>
      <c r="AQ48" s="3">
        <f t="shared" ref="AQ48:AQ49" si="228">AO48</f>
        <v>0</v>
      </c>
      <c r="AR48" s="3">
        <f>AQ48</f>
        <v>0</v>
      </c>
      <c r="AS48" s="3">
        <f t="shared" ref="AS48:AS49" si="229">AQ48-AR48</f>
        <v>0</v>
      </c>
      <c r="AT48" s="3"/>
    </row>
    <row r="49" spans="1:46" x14ac:dyDescent="0.35">
      <c r="A49" s="3"/>
      <c r="B49" s="3" t="s">
        <v>287</v>
      </c>
      <c r="C49" s="3" t="s">
        <v>332</v>
      </c>
      <c r="D49" s="7">
        <v>0</v>
      </c>
      <c r="E49" s="3">
        <v>60</v>
      </c>
      <c r="F49" s="1">
        <v>0</v>
      </c>
      <c r="G49" s="7">
        <v>0</v>
      </c>
      <c r="H49" s="3">
        <v>60</v>
      </c>
      <c r="I49" s="27">
        <f t="shared" si="211"/>
        <v>0</v>
      </c>
      <c r="J49" s="3">
        <v>0</v>
      </c>
      <c r="K49" s="7">
        <v>60</v>
      </c>
      <c r="L49" s="7">
        <f t="shared" si="213"/>
        <v>0</v>
      </c>
      <c r="M49" s="3">
        <v>0</v>
      </c>
      <c r="N49" s="6">
        <f t="shared" si="214"/>
        <v>0</v>
      </c>
      <c r="O49" s="34"/>
      <c r="P49" s="7">
        <v>0</v>
      </c>
      <c r="Q49" s="3">
        <v>100</v>
      </c>
      <c r="R49" s="3">
        <v>0</v>
      </c>
      <c r="S49" s="7">
        <v>0</v>
      </c>
      <c r="T49" s="3">
        <v>100</v>
      </c>
      <c r="U49" s="3">
        <f t="shared" si="216"/>
        <v>0</v>
      </c>
      <c r="V49" s="3">
        <v>0</v>
      </c>
      <c r="W49" s="7">
        <v>100</v>
      </c>
      <c r="X49" s="7">
        <f t="shared" si="218"/>
        <v>0</v>
      </c>
      <c r="Y49" s="3">
        <v>0</v>
      </c>
      <c r="Z49" s="6">
        <f t="shared" si="219"/>
        <v>0</v>
      </c>
      <c r="AA49" s="82"/>
      <c r="AB49" s="7">
        <v>0</v>
      </c>
      <c r="AC49" s="3">
        <v>50</v>
      </c>
      <c r="AD49" s="3">
        <v>0</v>
      </c>
      <c r="AE49" s="7">
        <v>0</v>
      </c>
      <c r="AF49" s="3">
        <v>50</v>
      </c>
      <c r="AG49" s="3">
        <f t="shared" si="221"/>
        <v>0</v>
      </c>
      <c r="AH49" s="3">
        <v>0</v>
      </c>
      <c r="AI49" s="3">
        <v>50</v>
      </c>
      <c r="AJ49" s="7">
        <f t="shared" si="223"/>
        <v>0</v>
      </c>
      <c r="AK49" s="3">
        <v>0</v>
      </c>
      <c r="AL49" s="6">
        <f t="shared" si="224"/>
        <v>0</v>
      </c>
      <c r="AM49" s="6">
        <f t="shared" si="225"/>
        <v>0</v>
      </c>
      <c r="AN49" s="6">
        <f t="shared" si="226"/>
        <v>0</v>
      </c>
      <c r="AO49" s="6">
        <f t="shared" si="227"/>
        <v>0</v>
      </c>
      <c r="AP49" s="3" t="s">
        <v>461</v>
      </c>
      <c r="AQ49" s="3">
        <f t="shared" si="228"/>
        <v>0</v>
      </c>
      <c r="AR49" s="3">
        <f t="shared" ref="AR49" si="230">AQ49</f>
        <v>0</v>
      </c>
      <c r="AS49" s="3">
        <f t="shared" si="229"/>
        <v>0</v>
      </c>
      <c r="AT49" s="3"/>
    </row>
    <row r="50" spans="1:46" x14ac:dyDescent="0.35">
      <c r="A50" s="19"/>
      <c r="B50" s="19" t="s">
        <v>36</v>
      </c>
      <c r="C50" s="19"/>
      <c r="D50" s="19">
        <f>SUM(D38:D49)</f>
        <v>720</v>
      </c>
      <c r="E50" s="19"/>
      <c r="F50" s="19">
        <f>SUM(F38:F49)</f>
        <v>42975</v>
      </c>
      <c r="G50" s="19">
        <f>SUM(G38:G49)</f>
        <v>372</v>
      </c>
      <c r="H50" s="19"/>
      <c r="I50" s="19">
        <f>SUM(I38:I49)</f>
        <v>22320</v>
      </c>
      <c r="J50" s="19">
        <f>SUM(J38:J49)</f>
        <v>348</v>
      </c>
      <c r="K50" s="19"/>
      <c r="L50" s="19">
        <f>SUM(L38:L49)</f>
        <v>20655</v>
      </c>
      <c r="M50" s="19">
        <f>SUM(M38:M49)</f>
        <v>480</v>
      </c>
      <c r="N50" s="19">
        <f>SUM(N38:N49)</f>
        <v>20175</v>
      </c>
      <c r="O50" s="34"/>
      <c r="P50" s="19">
        <f>SUM(P38:P49)</f>
        <v>832</v>
      </c>
      <c r="Q50" s="19"/>
      <c r="R50" s="19">
        <f>SUM(R38:R49)</f>
        <v>83200</v>
      </c>
      <c r="S50" s="19">
        <f>SUM(S38:S49)</f>
        <v>49</v>
      </c>
      <c r="T50" s="19"/>
      <c r="U50" s="19">
        <f>SUM(U38:U49)</f>
        <v>4900</v>
      </c>
      <c r="V50" s="19">
        <f>SUM(V38:V49)</f>
        <v>783</v>
      </c>
      <c r="W50" s="19"/>
      <c r="X50" s="19">
        <f>SUM(X38:X49)</f>
        <v>78300</v>
      </c>
      <c r="Y50" s="19">
        <f>SUM(Y38:Y49)</f>
        <v>990</v>
      </c>
      <c r="Z50" s="19">
        <f>SUM(Z38:Z49)</f>
        <v>77310</v>
      </c>
      <c r="AA50" s="34"/>
      <c r="AB50" s="19">
        <f>SUM(AB38:AB49)</f>
        <v>612</v>
      </c>
      <c r="AC50" s="19"/>
      <c r="AD50" s="19">
        <f>SUM(AD38:AD49)</f>
        <v>29600</v>
      </c>
      <c r="AE50" s="19">
        <f>SUM(AE38:AE49)</f>
        <v>90</v>
      </c>
      <c r="AF50" s="19"/>
      <c r="AG50" s="19">
        <f>SUM(AG38:AG49)</f>
        <v>4500</v>
      </c>
      <c r="AH50" s="19">
        <f>SUM(AH38:AH49)</f>
        <v>522</v>
      </c>
      <c r="AI50" s="19"/>
      <c r="AJ50" s="19">
        <f t="shared" ref="AJ50:AO50" si="231">SUM(AJ38:AJ49)</f>
        <v>25100</v>
      </c>
      <c r="AK50" s="19">
        <f t="shared" si="231"/>
        <v>345</v>
      </c>
      <c r="AL50" s="19">
        <f t="shared" si="231"/>
        <v>24755</v>
      </c>
      <c r="AM50" s="19">
        <f t="shared" si="231"/>
        <v>124055</v>
      </c>
      <c r="AN50" s="19">
        <f t="shared" si="231"/>
        <v>1815</v>
      </c>
      <c r="AO50" s="19">
        <f t="shared" si="231"/>
        <v>122240</v>
      </c>
      <c r="AP50" s="19"/>
      <c r="AQ50" s="19">
        <f>SUM(AQ38:AQ49)</f>
        <v>122240</v>
      </c>
      <c r="AR50" s="19">
        <f>SUM(AR38:AR49)</f>
        <v>122240</v>
      </c>
      <c r="AS50" s="19">
        <f>SUM(AS38:AS49)</f>
        <v>0</v>
      </c>
      <c r="AT50" s="74"/>
    </row>
    <row r="51" spans="1:46" x14ac:dyDescent="0.35">
      <c r="A51" s="3" t="s">
        <v>462</v>
      </c>
      <c r="B51" s="172" t="s">
        <v>276</v>
      </c>
      <c r="C51" s="3" t="s">
        <v>33</v>
      </c>
      <c r="D51" s="7">
        <f>225-60</f>
        <v>165</v>
      </c>
      <c r="E51" s="3">
        <v>60</v>
      </c>
      <c r="F51" s="1">
        <f t="shared" ref="F51:F58" si="232">D51*E51</f>
        <v>9900</v>
      </c>
      <c r="G51" s="3">
        <v>78</v>
      </c>
      <c r="H51" s="3">
        <v>60</v>
      </c>
      <c r="I51" s="27">
        <f t="shared" ref="I51:I60" si="233">G51*H51</f>
        <v>4680</v>
      </c>
      <c r="J51" s="3">
        <f t="shared" ref="J51:J58" si="234">D51-G51</f>
        <v>87</v>
      </c>
      <c r="K51" s="7">
        <v>60</v>
      </c>
      <c r="L51" s="7">
        <f t="shared" ref="L51:L58" si="235">J51*K51</f>
        <v>5220</v>
      </c>
      <c r="M51" s="3">
        <v>0</v>
      </c>
      <c r="N51" s="6">
        <f t="shared" ref="N51:N60" si="236">L51-M51</f>
        <v>5220</v>
      </c>
      <c r="O51" s="34"/>
      <c r="P51" s="3">
        <v>216</v>
      </c>
      <c r="Q51" s="3">
        <v>100</v>
      </c>
      <c r="R51" s="3">
        <f t="shared" ref="R51:R58" si="237">P51*Q51</f>
        <v>21600</v>
      </c>
      <c r="S51" s="3">
        <v>0</v>
      </c>
      <c r="T51" s="3">
        <v>100</v>
      </c>
      <c r="U51" s="3">
        <f t="shared" ref="U51:U60" si="238">S51*T51</f>
        <v>0</v>
      </c>
      <c r="V51" s="3">
        <f t="shared" ref="V51:V58" si="239">P51-S51</f>
        <v>216</v>
      </c>
      <c r="W51" s="7">
        <v>100</v>
      </c>
      <c r="X51" s="7">
        <f t="shared" ref="X51" si="240">V51*W51</f>
        <v>21600</v>
      </c>
      <c r="Y51" s="3">
        <v>0</v>
      </c>
      <c r="Z51" s="6">
        <f t="shared" ref="Z51:Z60" si="241">X51-Y51</f>
        <v>21600</v>
      </c>
      <c r="AA51" s="82"/>
      <c r="AB51" s="3">
        <v>180</v>
      </c>
      <c r="AC51" s="3">
        <v>50</v>
      </c>
      <c r="AD51" s="3">
        <f t="shared" ref="AD51:AD58" si="242">AB51*AC51</f>
        <v>9000</v>
      </c>
      <c r="AE51" s="3">
        <v>1</v>
      </c>
      <c r="AF51" s="3">
        <v>50</v>
      </c>
      <c r="AG51" s="3">
        <f t="shared" ref="AG51:AG60" si="243">AE51*AF51</f>
        <v>50</v>
      </c>
      <c r="AH51" s="3">
        <f t="shared" ref="AH51:AH58" si="244">AB51-AE51</f>
        <v>179</v>
      </c>
      <c r="AI51" s="3">
        <v>50</v>
      </c>
      <c r="AJ51" s="7">
        <f t="shared" ref="AJ51:AJ60" si="245">AH51*AI51</f>
        <v>8950</v>
      </c>
      <c r="AK51" s="3">
        <v>0</v>
      </c>
      <c r="AL51" s="6">
        <f t="shared" ref="AL51:AL60" si="246">AJ51-AK51</f>
        <v>8950</v>
      </c>
      <c r="AM51" s="6">
        <f t="shared" ref="AM51:AM60" si="247">L51+X51+AJ51</f>
        <v>35770</v>
      </c>
      <c r="AN51" s="6">
        <f t="shared" ref="AN51:AN60" si="248">M51+Y51+AK51</f>
        <v>0</v>
      </c>
      <c r="AO51" s="6">
        <f t="shared" ref="AO51:AO60" si="249">AM51-AN51</f>
        <v>35770</v>
      </c>
      <c r="AP51" s="3" t="s">
        <v>462</v>
      </c>
      <c r="AQ51" s="3">
        <f t="shared" ref="AQ51:AQ60" si="250">AO51</f>
        <v>35770</v>
      </c>
      <c r="AR51" s="3">
        <f t="shared" ref="AR51:AR55" si="251">AQ51</f>
        <v>35770</v>
      </c>
      <c r="AS51" s="3">
        <f t="shared" ref="AS51:AS56" si="252">AQ51-AR51</f>
        <v>0</v>
      </c>
      <c r="AT51" s="3"/>
    </row>
    <row r="52" spans="1:46" x14ac:dyDescent="0.35">
      <c r="A52" s="3"/>
      <c r="B52" s="172" t="s">
        <v>276</v>
      </c>
      <c r="C52" s="3" t="s">
        <v>182</v>
      </c>
      <c r="D52" s="7">
        <v>60</v>
      </c>
      <c r="E52" s="3">
        <v>55</v>
      </c>
      <c r="F52" s="1">
        <f t="shared" si="232"/>
        <v>3300</v>
      </c>
      <c r="G52" s="3">
        <v>0</v>
      </c>
      <c r="H52" s="3">
        <v>55</v>
      </c>
      <c r="I52" s="27">
        <f t="shared" si="233"/>
        <v>0</v>
      </c>
      <c r="J52" s="3">
        <f t="shared" si="234"/>
        <v>60</v>
      </c>
      <c r="K52" s="7">
        <v>55</v>
      </c>
      <c r="L52" s="7">
        <f t="shared" si="235"/>
        <v>3300</v>
      </c>
      <c r="M52" s="7">
        <v>0</v>
      </c>
      <c r="N52" s="6">
        <f t="shared" si="236"/>
        <v>3300</v>
      </c>
      <c r="O52" s="34"/>
      <c r="P52" s="3">
        <v>0</v>
      </c>
      <c r="Q52" s="3">
        <v>100</v>
      </c>
      <c r="R52" s="3">
        <f t="shared" si="237"/>
        <v>0</v>
      </c>
      <c r="S52" s="3">
        <v>0</v>
      </c>
      <c r="T52" s="3">
        <v>100</v>
      </c>
      <c r="U52" s="3">
        <f t="shared" si="238"/>
        <v>0</v>
      </c>
      <c r="V52" s="3">
        <f t="shared" si="239"/>
        <v>0</v>
      </c>
      <c r="W52" s="7">
        <v>100</v>
      </c>
      <c r="X52" s="7">
        <f>V52*W52</f>
        <v>0</v>
      </c>
      <c r="Y52" s="7">
        <v>0</v>
      </c>
      <c r="Z52" s="6">
        <f t="shared" si="241"/>
        <v>0</v>
      </c>
      <c r="AA52" s="82"/>
      <c r="AB52" s="3">
        <v>0</v>
      </c>
      <c r="AC52" s="3">
        <v>50</v>
      </c>
      <c r="AD52" s="3">
        <f t="shared" si="242"/>
        <v>0</v>
      </c>
      <c r="AE52" s="3">
        <v>0</v>
      </c>
      <c r="AF52" s="3">
        <v>50</v>
      </c>
      <c r="AG52" s="3">
        <f t="shared" si="243"/>
        <v>0</v>
      </c>
      <c r="AH52" s="3">
        <f t="shared" si="244"/>
        <v>0</v>
      </c>
      <c r="AI52" s="3">
        <v>50</v>
      </c>
      <c r="AJ52" s="7">
        <f t="shared" si="245"/>
        <v>0</v>
      </c>
      <c r="AK52" s="7">
        <v>0</v>
      </c>
      <c r="AL52" s="6">
        <f t="shared" si="246"/>
        <v>0</v>
      </c>
      <c r="AM52" s="6">
        <f t="shared" si="247"/>
        <v>3300</v>
      </c>
      <c r="AN52" s="6">
        <f t="shared" si="248"/>
        <v>0</v>
      </c>
      <c r="AO52" s="6">
        <f t="shared" si="249"/>
        <v>3300</v>
      </c>
      <c r="AP52" s="3" t="s">
        <v>462</v>
      </c>
      <c r="AQ52" s="3">
        <f t="shared" si="250"/>
        <v>3300</v>
      </c>
      <c r="AR52" s="3">
        <f t="shared" si="251"/>
        <v>3300</v>
      </c>
      <c r="AS52" s="3">
        <f t="shared" si="252"/>
        <v>0</v>
      </c>
      <c r="AT52" s="3"/>
    </row>
    <row r="53" spans="1:46" x14ac:dyDescent="0.35">
      <c r="A53" s="3"/>
      <c r="B53" s="172" t="s">
        <v>463</v>
      </c>
      <c r="C53" s="3" t="s">
        <v>33</v>
      </c>
      <c r="D53" s="7">
        <f>300-168</f>
        <v>132</v>
      </c>
      <c r="E53" s="3">
        <v>60</v>
      </c>
      <c r="F53" s="1">
        <f t="shared" ref="F53:F54" si="253">D53*E53</f>
        <v>7920</v>
      </c>
      <c r="G53" s="3">
        <v>220</v>
      </c>
      <c r="H53" s="3">
        <v>60</v>
      </c>
      <c r="I53" s="27">
        <f t="shared" ref="I53:I54" si="254">G53*H53</f>
        <v>13200</v>
      </c>
      <c r="J53" s="3">
        <f t="shared" ref="J53:J54" si="255">D53-G53</f>
        <v>-88</v>
      </c>
      <c r="K53" s="7">
        <v>60</v>
      </c>
      <c r="L53" s="7">
        <f t="shared" ref="L53:L54" si="256">J53*K53</f>
        <v>-5280</v>
      </c>
      <c r="M53" s="7">
        <v>0</v>
      </c>
      <c r="N53" s="6">
        <f t="shared" ref="N53:N54" si="257">L53-M53</f>
        <v>-5280</v>
      </c>
      <c r="O53" s="34"/>
      <c r="P53" s="3">
        <v>240</v>
      </c>
      <c r="Q53" s="3">
        <v>100</v>
      </c>
      <c r="R53" s="3">
        <f t="shared" ref="R53:R54" si="258">P53*Q53</f>
        <v>24000</v>
      </c>
      <c r="S53" s="3">
        <v>78</v>
      </c>
      <c r="T53" s="3">
        <v>100</v>
      </c>
      <c r="U53" s="3">
        <f t="shared" ref="U53:U54" si="259">S53*T53</f>
        <v>7800</v>
      </c>
      <c r="V53" s="3">
        <f t="shared" ref="V53:V54" si="260">P53-S53</f>
        <v>162</v>
      </c>
      <c r="W53" s="7">
        <v>100</v>
      </c>
      <c r="X53" s="7">
        <f>V53*W53</f>
        <v>16200</v>
      </c>
      <c r="Y53" s="7">
        <v>0</v>
      </c>
      <c r="Z53" s="6">
        <f t="shared" ref="Z53:Z54" si="261">X53-Y53</f>
        <v>16200</v>
      </c>
      <c r="AA53" s="82"/>
      <c r="AB53" s="3">
        <v>240</v>
      </c>
      <c r="AC53" s="3">
        <v>50</v>
      </c>
      <c r="AD53" s="3">
        <f t="shared" ref="AD53:AD54" si="262">AB53*AC53</f>
        <v>12000</v>
      </c>
      <c r="AE53" s="3">
        <v>0</v>
      </c>
      <c r="AF53" s="3">
        <v>50</v>
      </c>
      <c r="AG53" s="3">
        <f t="shared" ref="AG53:AG54" si="263">AE53*AF53</f>
        <v>0</v>
      </c>
      <c r="AH53" s="3">
        <f t="shared" ref="AH53:AH54" si="264">AB53-AE53</f>
        <v>240</v>
      </c>
      <c r="AI53" s="3">
        <v>50</v>
      </c>
      <c r="AJ53" s="7">
        <f t="shared" ref="AJ53:AJ54" si="265">AH53*AI53</f>
        <v>12000</v>
      </c>
      <c r="AK53" s="7">
        <v>0</v>
      </c>
      <c r="AL53" s="6">
        <f t="shared" ref="AL53:AL54" si="266">AJ53-AK53</f>
        <v>12000</v>
      </c>
      <c r="AM53" s="6">
        <f t="shared" ref="AM53:AM54" si="267">L53+X53+AJ53</f>
        <v>22920</v>
      </c>
      <c r="AN53" s="6">
        <f t="shared" ref="AN53:AN54" si="268">M53+Y53+AK53</f>
        <v>0</v>
      </c>
      <c r="AO53" s="6">
        <f t="shared" ref="AO53:AO54" si="269">AM53-AN53</f>
        <v>22920</v>
      </c>
      <c r="AP53" s="3" t="s">
        <v>462</v>
      </c>
      <c r="AQ53" s="3">
        <f t="shared" ref="AQ53:AQ54" si="270">AO53</f>
        <v>22920</v>
      </c>
      <c r="AR53" s="3">
        <f t="shared" si="251"/>
        <v>22920</v>
      </c>
      <c r="AS53" s="3">
        <f t="shared" si="252"/>
        <v>0</v>
      </c>
      <c r="AT53" s="3"/>
    </row>
    <row r="54" spans="1:46" x14ac:dyDescent="0.35">
      <c r="A54" s="3"/>
      <c r="B54" s="172" t="s">
        <v>463</v>
      </c>
      <c r="C54" s="3" t="s">
        <v>182</v>
      </c>
      <c r="D54" s="7">
        <v>168</v>
      </c>
      <c r="E54" s="3">
        <v>55</v>
      </c>
      <c r="F54" s="1">
        <f t="shared" si="253"/>
        <v>9240</v>
      </c>
      <c r="G54" s="3">
        <v>0</v>
      </c>
      <c r="H54" s="3">
        <v>55</v>
      </c>
      <c r="I54" s="27">
        <f t="shared" si="254"/>
        <v>0</v>
      </c>
      <c r="J54" s="3">
        <f t="shared" si="255"/>
        <v>168</v>
      </c>
      <c r="K54" s="7">
        <v>55</v>
      </c>
      <c r="L54" s="7">
        <f t="shared" si="256"/>
        <v>9240</v>
      </c>
      <c r="M54" s="7">
        <v>0</v>
      </c>
      <c r="N54" s="6">
        <f t="shared" si="257"/>
        <v>9240</v>
      </c>
      <c r="O54" s="34"/>
      <c r="P54" s="3">
        <v>0</v>
      </c>
      <c r="Q54" s="3">
        <v>100</v>
      </c>
      <c r="R54" s="3">
        <f t="shared" si="258"/>
        <v>0</v>
      </c>
      <c r="S54" s="3">
        <v>0</v>
      </c>
      <c r="T54" s="3">
        <v>100</v>
      </c>
      <c r="U54" s="3">
        <f t="shared" si="259"/>
        <v>0</v>
      </c>
      <c r="V54" s="3">
        <f t="shared" si="260"/>
        <v>0</v>
      </c>
      <c r="W54" s="7">
        <v>100</v>
      </c>
      <c r="X54" s="7">
        <f>V54*W54</f>
        <v>0</v>
      </c>
      <c r="Y54" s="7">
        <v>0</v>
      </c>
      <c r="Z54" s="6">
        <f t="shared" si="261"/>
        <v>0</v>
      </c>
      <c r="AA54" s="82"/>
      <c r="AB54" s="3">
        <v>0</v>
      </c>
      <c r="AC54" s="3">
        <v>50</v>
      </c>
      <c r="AD54" s="3">
        <f t="shared" si="262"/>
        <v>0</v>
      </c>
      <c r="AE54" s="3">
        <v>0</v>
      </c>
      <c r="AF54" s="3">
        <v>50</v>
      </c>
      <c r="AG54" s="3">
        <f t="shared" si="263"/>
        <v>0</v>
      </c>
      <c r="AH54" s="3">
        <f t="shared" si="264"/>
        <v>0</v>
      </c>
      <c r="AI54" s="3">
        <v>50</v>
      </c>
      <c r="AJ54" s="7">
        <f t="shared" si="265"/>
        <v>0</v>
      </c>
      <c r="AK54" s="7">
        <v>0</v>
      </c>
      <c r="AL54" s="6">
        <f t="shared" si="266"/>
        <v>0</v>
      </c>
      <c r="AM54" s="6">
        <f t="shared" si="267"/>
        <v>9240</v>
      </c>
      <c r="AN54" s="6">
        <f t="shared" si="268"/>
        <v>0</v>
      </c>
      <c r="AO54" s="6">
        <f t="shared" si="269"/>
        <v>9240</v>
      </c>
      <c r="AP54" s="3" t="s">
        <v>462</v>
      </c>
      <c r="AQ54" s="3">
        <f t="shared" si="270"/>
        <v>9240</v>
      </c>
      <c r="AR54" s="3">
        <f t="shared" si="251"/>
        <v>9240</v>
      </c>
      <c r="AS54" s="3">
        <f t="shared" si="252"/>
        <v>0</v>
      </c>
      <c r="AT54" s="3"/>
    </row>
    <row r="55" spans="1:46" x14ac:dyDescent="0.35">
      <c r="A55" s="3"/>
      <c r="B55" s="172" t="s">
        <v>415</v>
      </c>
      <c r="C55" s="3" t="s">
        <v>33</v>
      </c>
      <c r="D55" s="7">
        <v>165</v>
      </c>
      <c r="E55" s="3">
        <v>60</v>
      </c>
      <c r="F55" s="1">
        <f t="shared" si="232"/>
        <v>9900</v>
      </c>
      <c r="G55" s="3">
        <v>0</v>
      </c>
      <c r="H55" s="3">
        <v>60</v>
      </c>
      <c r="I55" s="27">
        <f t="shared" si="233"/>
        <v>0</v>
      </c>
      <c r="J55" s="3">
        <f t="shared" si="234"/>
        <v>165</v>
      </c>
      <c r="K55" s="7">
        <v>60</v>
      </c>
      <c r="L55" s="7">
        <f t="shared" si="235"/>
        <v>9900</v>
      </c>
      <c r="M55" s="3">
        <f>J55*5</f>
        <v>825</v>
      </c>
      <c r="N55" s="6">
        <f t="shared" si="236"/>
        <v>9075</v>
      </c>
      <c r="O55" s="34"/>
      <c r="P55" s="3">
        <v>192</v>
      </c>
      <c r="Q55" s="3">
        <v>100</v>
      </c>
      <c r="R55" s="3">
        <f t="shared" si="237"/>
        <v>19200</v>
      </c>
      <c r="S55" s="3">
        <v>0</v>
      </c>
      <c r="T55" s="3">
        <v>100</v>
      </c>
      <c r="U55" s="3">
        <f t="shared" si="238"/>
        <v>0</v>
      </c>
      <c r="V55" s="3">
        <f t="shared" si="239"/>
        <v>192</v>
      </c>
      <c r="W55" s="7">
        <v>100</v>
      </c>
      <c r="X55" s="7">
        <f t="shared" ref="X55:X60" si="271">V55*W55</f>
        <v>19200</v>
      </c>
      <c r="Y55" s="3">
        <f>V55*10</f>
        <v>1920</v>
      </c>
      <c r="Z55" s="6">
        <f t="shared" si="241"/>
        <v>17280</v>
      </c>
      <c r="AA55" s="82"/>
      <c r="AB55" s="3">
        <v>168</v>
      </c>
      <c r="AC55" s="3">
        <v>50</v>
      </c>
      <c r="AD55" s="3">
        <f t="shared" si="242"/>
        <v>8400</v>
      </c>
      <c r="AE55" s="3">
        <v>0</v>
      </c>
      <c r="AF55" s="3">
        <v>50</v>
      </c>
      <c r="AG55" s="3">
        <f t="shared" si="243"/>
        <v>0</v>
      </c>
      <c r="AH55" s="3">
        <f t="shared" si="244"/>
        <v>168</v>
      </c>
      <c r="AI55" s="3">
        <v>50</v>
      </c>
      <c r="AJ55" s="7">
        <f t="shared" si="245"/>
        <v>8400</v>
      </c>
      <c r="AK55" s="3">
        <f>AH55*5</f>
        <v>840</v>
      </c>
      <c r="AL55" s="6">
        <f t="shared" si="246"/>
        <v>7560</v>
      </c>
      <c r="AM55" s="6">
        <f t="shared" si="247"/>
        <v>37500</v>
      </c>
      <c r="AN55" s="6">
        <f t="shared" si="248"/>
        <v>3585</v>
      </c>
      <c r="AO55" s="6">
        <f t="shared" si="249"/>
        <v>33915</v>
      </c>
      <c r="AP55" s="3" t="s">
        <v>462</v>
      </c>
      <c r="AQ55" s="3">
        <f t="shared" si="250"/>
        <v>33915</v>
      </c>
      <c r="AR55" s="3">
        <f t="shared" si="251"/>
        <v>33915</v>
      </c>
      <c r="AS55" s="3">
        <f t="shared" si="252"/>
        <v>0</v>
      </c>
      <c r="AT55" s="3"/>
    </row>
    <row r="56" spans="1:46" x14ac:dyDescent="0.35">
      <c r="A56" s="3"/>
      <c r="B56" s="172" t="s">
        <v>326</v>
      </c>
      <c r="C56" s="3" t="s">
        <v>33</v>
      </c>
      <c r="D56" s="7">
        <v>30</v>
      </c>
      <c r="E56" s="3">
        <v>60</v>
      </c>
      <c r="F56" s="1">
        <f t="shared" si="232"/>
        <v>1800</v>
      </c>
      <c r="G56" s="3">
        <v>0</v>
      </c>
      <c r="H56" s="3">
        <v>60</v>
      </c>
      <c r="I56" s="27">
        <f t="shared" si="233"/>
        <v>0</v>
      </c>
      <c r="J56" s="3">
        <f t="shared" si="234"/>
        <v>30</v>
      </c>
      <c r="K56" s="7">
        <v>60</v>
      </c>
      <c r="L56" s="7">
        <f t="shared" si="235"/>
        <v>1800</v>
      </c>
      <c r="M56" s="3">
        <v>0</v>
      </c>
      <c r="N56" s="6">
        <f t="shared" si="236"/>
        <v>1800</v>
      </c>
      <c r="O56" s="34"/>
      <c r="P56" s="3">
        <v>60</v>
      </c>
      <c r="Q56" s="3">
        <v>100</v>
      </c>
      <c r="R56" s="3">
        <f t="shared" si="237"/>
        <v>6000</v>
      </c>
      <c r="S56" s="3">
        <v>11</v>
      </c>
      <c r="T56" s="3">
        <v>100</v>
      </c>
      <c r="U56" s="3">
        <f t="shared" si="238"/>
        <v>1100</v>
      </c>
      <c r="V56" s="3">
        <f t="shared" si="239"/>
        <v>49</v>
      </c>
      <c r="W56" s="7">
        <v>100</v>
      </c>
      <c r="X56" s="7">
        <f t="shared" si="271"/>
        <v>4900</v>
      </c>
      <c r="Y56" s="3">
        <v>0</v>
      </c>
      <c r="Z56" s="6">
        <f t="shared" si="241"/>
        <v>4900</v>
      </c>
      <c r="AA56" s="82"/>
      <c r="AB56" s="3">
        <v>60</v>
      </c>
      <c r="AC56" s="3">
        <v>50</v>
      </c>
      <c r="AD56" s="3">
        <f t="shared" si="242"/>
        <v>3000</v>
      </c>
      <c r="AE56" s="3">
        <v>12</v>
      </c>
      <c r="AF56" s="3">
        <v>50</v>
      </c>
      <c r="AG56" s="3">
        <f t="shared" si="243"/>
        <v>600</v>
      </c>
      <c r="AH56" s="3">
        <f t="shared" si="244"/>
        <v>48</v>
      </c>
      <c r="AI56" s="3">
        <v>50</v>
      </c>
      <c r="AJ56" s="7">
        <f t="shared" si="245"/>
        <v>2400</v>
      </c>
      <c r="AK56" s="3">
        <v>0</v>
      </c>
      <c r="AL56" s="6">
        <f t="shared" si="246"/>
        <v>2400</v>
      </c>
      <c r="AM56" s="6">
        <f t="shared" si="247"/>
        <v>9100</v>
      </c>
      <c r="AN56" s="6">
        <f t="shared" si="248"/>
        <v>0</v>
      </c>
      <c r="AO56" s="6">
        <f t="shared" si="249"/>
        <v>9100</v>
      </c>
      <c r="AP56" s="3" t="s">
        <v>462</v>
      </c>
      <c r="AQ56" s="3">
        <f t="shared" si="250"/>
        <v>9100</v>
      </c>
      <c r="AR56" s="3">
        <f>AQ56</f>
        <v>9100</v>
      </c>
      <c r="AS56" s="3">
        <f t="shared" si="252"/>
        <v>0</v>
      </c>
      <c r="AT56" s="3"/>
    </row>
    <row r="57" spans="1:46" x14ac:dyDescent="0.35">
      <c r="A57" s="3"/>
      <c r="B57" s="172" t="s">
        <v>326</v>
      </c>
      <c r="C57" s="3" t="s">
        <v>387</v>
      </c>
      <c r="D57" s="7">
        <v>0</v>
      </c>
      <c r="E57" s="3">
        <v>50</v>
      </c>
      <c r="F57" s="1">
        <f>D57*E57</f>
        <v>0</v>
      </c>
      <c r="G57" s="3">
        <v>0</v>
      </c>
      <c r="H57" s="3">
        <v>50</v>
      </c>
      <c r="I57" s="27">
        <f>G57*H57</f>
        <v>0</v>
      </c>
      <c r="J57" s="3">
        <f>D57-G57</f>
        <v>0</v>
      </c>
      <c r="K57" s="7">
        <v>50</v>
      </c>
      <c r="L57" s="7">
        <f>J57*K57</f>
        <v>0</v>
      </c>
      <c r="M57" s="3">
        <v>0</v>
      </c>
      <c r="N57" s="6">
        <f>L57-M57</f>
        <v>0</v>
      </c>
      <c r="O57" s="34"/>
      <c r="P57" s="3">
        <v>0</v>
      </c>
      <c r="Q57" s="3">
        <v>90</v>
      </c>
      <c r="R57" s="3">
        <f>P57*Q57</f>
        <v>0</v>
      </c>
      <c r="S57" s="3">
        <v>0</v>
      </c>
      <c r="T57" s="3">
        <v>90</v>
      </c>
      <c r="U57" s="3">
        <f>S57*T57</f>
        <v>0</v>
      </c>
      <c r="V57" s="3">
        <f>P57-S57</f>
        <v>0</v>
      </c>
      <c r="W57" s="7">
        <v>90</v>
      </c>
      <c r="X57" s="7">
        <f>V57*W57</f>
        <v>0</v>
      </c>
      <c r="Y57" s="3">
        <v>0</v>
      </c>
      <c r="Z57" s="6">
        <f>X57-Y57</f>
        <v>0</v>
      </c>
      <c r="AA57" s="82"/>
      <c r="AB57" s="3">
        <v>0</v>
      </c>
      <c r="AC57" s="3">
        <v>45</v>
      </c>
      <c r="AD57" s="3">
        <f>AB57*AC57</f>
        <v>0</v>
      </c>
      <c r="AE57" s="3">
        <v>0</v>
      </c>
      <c r="AF57" s="3">
        <v>45</v>
      </c>
      <c r="AG57" s="3">
        <f>AE57*AF57</f>
        <v>0</v>
      </c>
      <c r="AH57" s="3">
        <f>AB57-AE57</f>
        <v>0</v>
      </c>
      <c r="AI57" s="3">
        <v>45</v>
      </c>
      <c r="AJ57" s="7">
        <f>AH57*AI57</f>
        <v>0</v>
      </c>
      <c r="AK57" s="3">
        <v>0</v>
      </c>
      <c r="AL57" s="6">
        <f>AJ57-AK57</f>
        <v>0</v>
      </c>
      <c r="AM57" s="6">
        <f>L57+X57+AJ57</f>
        <v>0</v>
      </c>
      <c r="AN57" s="6">
        <f>M57+Y57+AK57</f>
        <v>0</v>
      </c>
      <c r="AO57" s="6">
        <f>AM57-AN57</f>
        <v>0</v>
      </c>
      <c r="AP57" s="3" t="s">
        <v>462</v>
      </c>
      <c r="AQ57" s="3">
        <f>AO57</f>
        <v>0</v>
      </c>
      <c r="AR57" s="3">
        <f>AQ57</f>
        <v>0</v>
      </c>
      <c r="AS57" s="3">
        <f>AQ57-AR57</f>
        <v>0</v>
      </c>
      <c r="AT57" s="3"/>
    </row>
    <row r="58" spans="1:46" x14ac:dyDescent="0.35">
      <c r="A58" s="3"/>
      <c r="B58" s="172" t="s">
        <v>283</v>
      </c>
      <c r="C58" s="3" t="s">
        <v>33</v>
      </c>
      <c r="D58" s="7">
        <v>30</v>
      </c>
      <c r="E58" s="3">
        <v>60</v>
      </c>
      <c r="F58" s="1">
        <f t="shared" si="232"/>
        <v>1800</v>
      </c>
      <c r="G58" s="3">
        <v>3</v>
      </c>
      <c r="H58" s="3">
        <v>60</v>
      </c>
      <c r="I58" s="27">
        <f t="shared" si="233"/>
        <v>180</v>
      </c>
      <c r="J58" s="3">
        <f t="shared" si="234"/>
        <v>27</v>
      </c>
      <c r="K58" s="7">
        <v>60</v>
      </c>
      <c r="L58" s="7">
        <f t="shared" si="235"/>
        <v>1620</v>
      </c>
      <c r="M58" s="3">
        <v>0</v>
      </c>
      <c r="N58" s="6">
        <f t="shared" si="236"/>
        <v>1620</v>
      </c>
      <c r="O58" s="34"/>
      <c r="P58" s="3">
        <v>51</v>
      </c>
      <c r="Q58" s="3">
        <v>100</v>
      </c>
      <c r="R58" s="3">
        <f t="shared" si="237"/>
        <v>5100</v>
      </c>
      <c r="S58" s="3">
        <v>3</v>
      </c>
      <c r="T58" s="3">
        <v>100</v>
      </c>
      <c r="U58" s="3">
        <f t="shared" si="238"/>
        <v>300</v>
      </c>
      <c r="V58" s="3">
        <f t="shared" si="239"/>
        <v>48</v>
      </c>
      <c r="W58" s="7">
        <v>100</v>
      </c>
      <c r="X58" s="7">
        <f t="shared" si="271"/>
        <v>4800</v>
      </c>
      <c r="Y58" s="3">
        <v>0</v>
      </c>
      <c r="Z58" s="6">
        <f t="shared" si="241"/>
        <v>4800</v>
      </c>
      <c r="AA58" s="82"/>
      <c r="AB58" s="3">
        <v>38</v>
      </c>
      <c r="AC58" s="3">
        <v>50</v>
      </c>
      <c r="AD58" s="3">
        <f t="shared" si="242"/>
        <v>1900</v>
      </c>
      <c r="AE58" s="3">
        <v>27</v>
      </c>
      <c r="AF58" s="3">
        <v>50</v>
      </c>
      <c r="AG58" s="3">
        <f t="shared" si="243"/>
        <v>1350</v>
      </c>
      <c r="AH58" s="3">
        <f t="shared" si="244"/>
        <v>11</v>
      </c>
      <c r="AI58" s="3">
        <v>50</v>
      </c>
      <c r="AJ58" s="7">
        <f t="shared" si="245"/>
        <v>550</v>
      </c>
      <c r="AK58" s="3">
        <v>0</v>
      </c>
      <c r="AL58" s="6">
        <f t="shared" si="246"/>
        <v>550</v>
      </c>
      <c r="AM58" s="6">
        <f t="shared" si="247"/>
        <v>6970</v>
      </c>
      <c r="AN58" s="6">
        <f t="shared" si="248"/>
        <v>0</v>
      </c>
      <c r="AO58" s="6">
        <f t="shared" si="249"/>
        <v>6970</v>
      </c>
      <c r="AP58" s="3" t="s">
        <v>462</v>
      </c>
      <c r="AQ58" s="3">
        <f t="shared" si="250"/>
        <v>6970</v>
      </c>
      <c r="AR58" s="3">
        <f>AQ58</f>
        <v>6970</v>
      </c>
      <c r="AS58" s="3">
        <f>AQ58-AR58</f>
        <v>0</v>
      </c>
      <c r="AT58" s="3"/>
    </row>
    <row r="59" spans="1:46" x14ac:dyDescent="0.35">
      <c r="A59" s="3"/>
      <c r="B59" s="3" t="s">
        <v>287</v>
      </c>
      <c r="C59" s="3" t="s">
        <v>331</v>
      </c>
      <c r="D59" s="7">
        <v>0</v>
      </c>
      <c r="E59" s="3">
        <v>60</v>
      </c>
      <c r="F59" s="1">
        <f t="shared" ref="F59" si="272">D59*E59</f>
        <v>0</v>
      </c>
      <c r="G59" s="7">
        <v>0</v>
      </c>
      <c r="H59" s="3">
        <v>60</v>
      </c>
      <c r="I59" s="27">
        <f t="shared" si="233"/>
        <v>0</v>
      </c>
      <c r="J59" s="3">
        <f t="shared" ref="J59" si="273">D59-G59</f>
        <v>0</v>
      </c>
      <c r="K59" s="7">
        <v>60</v>
      </c>
      <c r="L59" s="7">
        <f t="shared" ref="L59:L60" si="274">J59*K59</f>
        <v>0</v>
      </c>
      <c r="M59" s="3">
        <f>J59*5</f>
        <v>0</v>
      </c>
      <c r="N59" s="6">
        <f t="shared" si="236"/>
        <v>0</v>
      </c>
      <c r="O59" s="34"/>
      <c r="P59" s="7">
        <v>0</v>
      </c>
      <c r="Q59" s="3">
        <v>100</v>
      </c>
      <c r="R59" s="3">
        <f t="shared" ref="R59" si="275">P59*Q59</f>
        <v>0</v>
      </c>
      <c r="S59" s="7">
        <v>0</v>
      </c>
      <c r="T59" s="3">
        <v>100</v>
      </c>
      <c r="U59" s="3">
        <f t="shared" si="238"/>
        <v>0</v>
      </c>
      <c r="V59" s="3">
        <f t="shared" ref="V59" si="276">P59-S59</f>
        <v>0</v>
      </c>
      <c r="W59" s="7">
        <v>100</v>
      </c>
      <c r="X59" s="7">
        <f t="shared" si="271"/>
        <v>0</v>
      </c>
      <c r="Y59" s="3">
        <f>V59*10</f>
        <v>0</v>
      </c>
      <c r="Z59" s="6">
        <f t="shared" si="241"/>
        <v>0</v>
      </c>
      <c r="AA59" s="82"/>
      <c r="AB59" s="7">
        <v>0</v>
      </c>
      <c r="AC59" s="3">
        <v>50</v>
      </c>
      <c r="AD59" s="3">
        <f t="shared" ref="AD59" si="277">AB59*AC59</f>
        <v>0</v>
      </c>
      <c r="AE59" s="7">
        <v>0</v>
      </c>
      <c r="AF59" s="3">
        <v>50</v>
      </c>
      <c r="AG59" s="3">
        <f t="shared" si="243"/>
        <v>0</v>
      </c>
      <c r="AH59" s="3">
        <f t="shared" ref="AH59" si="278">AB59-AE59</f>
        <v>0</v>
      </c>
      <c r="AI59" s="3">
        <v>50</v>
      </c>
      <c r="AJ59" s="7">
        <f t="shared" si="245"/>
        <v>0</v>
      </c>
      <c r="AK59" s="3">
        <f>AH59*5</f>
        <v>0</v>
      </c>
      <c r="AL59" s="6">
        <f t="shared" si="246"/>
        <v>0</v>
      </c>
      <c r="AM59" s="6">
        <f t="shared" si="247"/>
        <v>0</v>
      </c>
      <c r="AN59" s="6">
        <f t="shared" si="248"/>
        <v>0</v>
      </c>
      <c r="AO59" s="6">
        <f t="shared" si="249"/>
        <v>0</v>
      </c>
      <c r="AP59" s="3" t="s">
        <v>462</v>
      </c>
      <c r="AQ59" s="3">
        <f t="shared" si="250"/>
        <v>0</v>
      </c>
      <c r="AR59" s="3">
        <f>AQ59</f>
        <v>0</v>
      </c>
      <c r="AS59" s="3">
        <f t="shared" ref="AS59:AS60" si="279">AQ59-AR59</f>
        <v>0</v>
      </c>
      <c r="AT59" s="3"/>
    </row>
    <row r="60" spans="1:46" x14ac:dyDescent="0.35">
      <c r="A60" s="3"/>
      <c r="B60" s="3" t="s">
        <v>287</v>
      </c>
      <c r="C60" s="3" t="s">
        <v>332</v>
      </c>
      <c r="D60" s="7">
        <v>0</v>
      </c>
      <c r="E60" s="3">
        <v>60</v>
      </c>
      <c r="F60" s="1">
        <v>0</v>
      </c>
      <c r="G60" s="7">
        <v>0</v>
      </c>
      <c r="H60" s="3">
        <v>60</v>
      </c>
      <c r="I60" s="27">
        <f t="shared" si="233"/>
        <v>0</v>
      </c>
      <c r="J60" s="3">
        <v>0</v>
      </c>
      <c r="K60" s="7">
        <v>60</v>
      </c>
      <c r="L60" s="7">
        <f t="shared" si="274"/>
        <v>0</v>
      </c>
      <c r="M60" s="3">
        <v>0</v>
      </c>
      <c r="N60" s="6">
        <f t="shared" si="236"/>
        <v>0</v>
      </c>
      <c r="O60" s="34"/>
      <c r="P60" s="7">
        <v>0</v>
      </c>
      <c r="Q60" s="3">
        <v>100</v>
      </c>
      <c r="R60" s="3">
        <v>0</v>
      </c>
      <c r="S60" s="7">
        <v>0</v>
      </c>
      <c r="T60" s="3">
        <v>100</v>
      </c>
      <c r="U60" s="3">
        <f t="shared" si="238"/>
        <v>0</v>
      </c>
      <c r="V60" s="3">
        <v>0</v>
      </c>
      <c r="W60" s="7">
        <v>100</v>
      </c>
      <c r="X60" s="7">
        <f t="shared" si="271"/>
        <v>0</v>
      </c>
      <c r="Y60" s="3">
        <v>0</v>
      </c>
      <c r="Z60" s="6">
        <f t="shared" si="241"/>
        <v>0</v>
      </c>
      <c r="AA60" s="82"/>
      <c r="AB60" s="7">
        <v>0</v>
      </c>
      <c r="AC60" s="3">
        <v>50</v>
      </c>
      <c r="AD60" s="3">
        <v>0</v>
      </c>
      <c r="AE60" s="7">
        <v>0</v>
      </c>
      <c r="AF60" s="3">
        <v>50</v>
      </c>
      <c r="AG60" s="3">
        <f t="shared" si="243"/>
        <v>0</v>
      </c>
      <c r="AH60" s="3">
        <v>0</v>
      </c>
      <c r="AI60" s="3">
        <v>50</v>
      </c>
      <c r="AJ60" s="7">
        <f t="shared" si="245"/>
        <v>0</v>
      </c>
      <c r="AK60" s="3">
        <v>0</v>
      </c>
      <c r="AL60" s="6">
        <f t="shared" si="246"/>
        <v>0</v>
      </c>
      <c r="AM60" s="6">
        <f t="shared" si="247"/>
        <v>0</v>
      </c>
      <c r="AN60" s="6">
        <f t="shared" si="248"/>
        <v>0</v>
      </c>
      <c r="AO60" s="6">
        <f t="shared" si="249"/>
        <v>0</v>
      </c>
      <c r="AP60" s="3" t="s">
        <v>462</v>
      </c>
      <c r="AQ60" s="3">
        <f t="shared" si="250"/>
        <v>0</v>
      </c>
      <c r="AR60" s="3">
        <f t="shared" ref="AR60" si="280">AQ60</f>
        <v>0</v>
      </c>
      <c r="AS60" s="3">
        <f t="shared" si="279"/>
        <v>0</v>
      </c>
      <c r="AT60" s="3"/>
    </row>
    <row r="61" spans="1:46" x14ac:dyDescent="0.35">
      <c r="A61" s="19"/>
      <c r="B61" s="19" t="s">
        <v>36</v>
      </c>
      <c r="C61" s="19"/>
      <c r="D61" s="19">
        <f>SUM(D51:D60)</f>
        <v>750</v>
      </c>
      <c r="E61" s="19"/>
      <c r="F61" s="19">
        <f>SUM(F51:F60)</f>
        <v>43860</v>
      </c>
      <c r="G61" s="19">
        <f>SUM(G51:G60)</f>
        <v>301</v>
      </c>
      <c r="H61" s="19"/>
      <c r="I61" s="19">
        <f>SUM(I51:I60)</f>
        <v>18060</v>
      </c>
      <c r="J61" s="19">
        <f>SUM(J51:J60)</f>
        <v>449</v>
      </c>
      <c r="K61" s="19"/>
      <c r="L61" s="19">
        <f>SUM(L51:L60)</f>
        <v>25800</v>
      </c>
      <c r="M61" s="19">
        <f>SUM(M51:M60)</f>
        <v>825</v>
      </c>
      <c r="N61" s="19">
        <f>SUM(N51:N60)</f>
        <v>24975</v>
      </c>
      <c r="O61" s="34"/>
      <c r="P61" s="19">
        <f>SUM(P51:P60)</f>
        <v>759</v>
      </c>
      <c r="Q61" s="19"/>
      <c r="R61" s="19">
        <f>SUM(R51:R60)</f>
        <v>75900</v>
      </c>
      <c r="S61" s="19">
        <f>SUM(S51:S60)</f>
        <v>92</v>
      </c>
      <c r="T61" s="19"/>
      <c r="U61" s="19">
        <f>SUM(U51:U60)</f>
        <v>9200</v>
      </c>
      <c r="V61" s="19">
        <f>SUM(V51:V60)</f>
        <v>667</v>
      </c>
      <c r="W61" s="19"/>
      <c r="X61" s="19">
        <f>SUM(X51:X60)</f>
        <v>66700</v>
      </c>
      <c r="Y61" s="19">
        <f>SUM(Y51:Y60)</f>
        <v>1920</v>
      </c>
      <c r="Z61" s="19">
        <f>SUM(Z51:Z60)</f>
        <v>64780</v>
      </c>
      <c r="AA61" s="34"/>
      <c r="AB61" s="19">
        <f>SUM(AB51:AB60)</f>
        <v>686</v>
      </c>
      <c r="AC61" s="19"/>
      <c r="AD61" s="19">
        <f>SUM(AD51:AD60)</f>
        <v>34300</v>
      </c>
      <c r="AE61" s="19">
        <f>SUM(AE51:AE60)</f>
        <v>40</v>
      </c>
      <c r="AF61" s="19"/>
      <c r="AG61" s="19">
        <f>SUM(AG51:AG60)</f>
        <v>2000</v>
      </c>
      <c r="AH61" s="19">
        <f>SUM(AH51:AH60)</f>
        <v>646</v>
      </c>
      <c r="AI61" s="19"/>
      <c r="AJ61" s="19">
        <f t="shared" ref="AJ61:AO61" si="281">SUM(AJ51:AJ60)</f>
        <v>32300</v>
      </c>
      <c r="AK61" s="19">
        <f t="shared" si="281"/>
        <v>840</v>
      </c>
      <c r="AL61" s="19">
        <f t="shared" si="281"/>
        <v>31460</v>
      </c>
      <c r="AM61" s="19">
        <f t="shared" si="281"/>
        <v>124800</v>
      </c>
      <c r="AN61" s="19">
        <f t="shared" si="281"/>
        <v>3585</v>
      </c>
      <c r="AO61" s="19">
        <f t="shared" si="281"/>
        <v>121215</v>
      </c>
      <c r="AP61" s="19"/>
      <c r="AQ61" s="19">
        <f>SUM(AQ51:AQ60)</f>
        <v>121215</v>
      </c>
      <c r="AR61" s="19">
        <f>SUM(AR51:AR60)</f>
        <v>121215</v>
      </c>
      <c r="AS61" s="19">
        <f>SUM(AS51:AS60)</f>
        <v>0</v>
      </c>
      <c r="AT61" s="74"/>
    </row>
    <row r="62" spans="1:46" x14ac:dyDescent="0.35">
      <c r="A62" s="3" t="s">
        <v>464</v>
      </c>
      <c r="B62" s="172" t="s">
        <v>276</v>
      </c>
      <c r="C62" s="3" t="s">
        <v>33</v>
      </c>
      <c r="D62" s="7">
        <f>225-60</f>
        <v>165</v>
      </c>
      <c r="E62" s="3">
        <v>60</v>
      </c>
      <c r="F62" s="1">
        <f t="shared" ref="F62:F70" si="282">D62*E62</f>
        <v>9900</v>
      </c>
      <c r="G62" s="7">
        <v>47</v>
      </c>
      <c r="H62" s="3">
        <v>60</v>
      </c>
      <c r="I62" s="27">
        <f t="shared" ref="I62:I71" si="283">G62*H62</f>
        <v>2820</v>
      </c>
      <c r="J62" s="3">
        <f t="shared" ref="J62:J63" si="284">D62-G62</f>
        <v>118</v>
      </c>
      <c r="K62" s="7">
        <v>60</v>
      </c>
      <c r="L62" s="7">
        <f t="shared" ref="L62:L71" si="285">J62*K62</f>
        <v>7080</v>
      </c>
      <c r="M62" s="3">
        <v>0</v>
      </c>
      <c r="N62" s="6">
        <f t="shared" ref="N62:N71" si="286">L62-M62</f>
        <v>7080</v>
      </c>
      <c r="O62" s="34"/>
      <c r="P62" s="7">
        <v>204</v>
      </c>
      <c r="Q62" s="3">
        <v>100</v>
      </c>
      <c r="R62" s="3">
        <f t="shared" ref="R62:R70" si="287">P62*Q62</f>
        <v>20400</v>
      </c>
      <c r="S62" s="7">
        <v>12</v>
      </c>
      <c r="T62" s="3">
        <v>100</v>
      </c>
      <c r="U62" s="3">
        <f t="shared" ref="U62:U71" si="288">S62*T62</f>
        <v>1200</v>
      </c>
      <c r="V62" s="3">
        <f t="shared" ref="V62:V70" si="289">P62-S62</f>
        <v>192</v>
      </c>
      <c r="W62" s="7">
        <v>100</v>
      </c>
      <c r="X62" s="7">
        <f t="shared" ref="X62" si="290">V62*W62</f>
        <v>19200</v>
      </c>
      <c r="Y62" s="3">
        <v>0</v>
      </c>
      <c r="Z62" s="6">
        <f t="shared" ref="Z62:Z71" si="291">X62-Y62</f>
        <v>19200</v>
      </c>
      <c r="AA62" s="82"/>
      <c r="AB62" s="7">
        <v>180</v>
      </c>
      <c r="AC62" s="3">
        <v>50</v>
      </c>
      <c r="AD62" s="3">
        <f t="shared" ref="AD62:AD70" si="292">AB62*AC62</f>
        <v>9000</v>
      </c>
      <c r="AE62" s="7">
        <v>0</v>
      </c>
      <c r="AF62" s="3">
        <v>50</v>
      </c>
      <c r="AG62" s="3">
        <f t="shared" ref="AG62:AG71" si="293">AE62*AF62</f>
        <v>0</v>
      </c>
      <c r="AH62" s="3">
        <f t="shared" ref="AH62:AH70" si="294">AB62-AE62</f>
        <v>180</v>
      </c>
      <c r="AI62" s="3">
        <v>50</v>
      </c>
      <c r="AJ62" s="7">
        <f t="shared" ref="AJ62:AJ71" si="295">AH62*AI62</f>
        <v>9000</v>
      </c>
      <c r="AK62" s="3">
        <v>0</v>
      </c>
      <c r="AL62" s="6">
        <f t="shared" ref="AL62:AL71" si="296">AJ62-AK62</f>
        <v>9000</v>
      </c>
      <c r="AM62" s="6">
        <f t="shared" ref="AM62:AM71" si="297">L62+X62+AJ62</f>
        <v>35280</v>
      </c>
      <c r="AN62" s="6">
        <f t="shared" ref="AN62:AN71" si="298">M62+Y62+AK62</f>
        <v>0</v>
      </c>
      <c r="AO62" s="6">
        <f t="shared" ref="AO62:AO71" si="299">AM62-AN62</f>
        <v>35280</v>
      </c>
      <c r="AP62" s="3" t="s">
        <v>464</v>
      </c>
      <c r="AQ62" s="3">
        <f t="shared" ref="AQ62:AQ71" si="300">AO62</f>
        <v>35280</v>
      </c>
      <c r="AR62" s="3">
        <f t="shared" ref="AR62:AR64" si="301">AQ62</f>
        <v>35280</v>
      </c>
      <c r="AS62" s="3">
        <f t="shared" ref="AS62:AS71" si="302">AQ62-AR62</f>
        <v>0</v>
      </c>
      <c r="AT62" s="3"/>
    </row>
    <row r="63" spans="1:46" x14ac:dyDescent="0.35">
      <c r="A63" s="3"/>
      <c r="B63" s="172" t="s">
        <v>276</v>
      </c>
      <c r="C63" s="3" t="s">
        <v>182</v>
      </c>
      <c r="D63" s="7">
        <v>60</v>
      </c>
      <c r="E63" s="3">
        <v>55</v>
      </c>
      <c r="F63" s="1">
        <f t="shared" si="282"/>
        <v>3300</v>
      </c>
      <c r="G63" s="7">
        <v>0</v>
      </c>
      <c r="H63" s="3">
        <v>55</v>
      </c>
      <c r="I63" s="27">
        <f t="shared" si="283"/>
        <v>0</v>
      </c>
      <c r="J63" s="3">
        <f t="shared" si="284"/>
        <v>60</v>
      </c>
      <c r="K63" s="7">
        <v>55</v>
      </c>
      <c r="L63" s="7">
        <f t="shared" si="285"/>
        <v>3300</v>
      </c>
      <c r="M63" s="7">
        <v>0</v>
      </c>
      <c r="N63" s="6">
        <f t="shared" si="286"/>
        <v>3300</v>
      </c>
      <c r="O63" s="34"/>
      <c r="P63" s="7">
        <v>0</v>
      </c>
      <c r="Q63" s="3">
        <v>100</v>
      </c>
      <c r="R63" s="3">
        <f t="shared" si="287"/>
        <v>0</v>
      </c>
      <c r="S63" s="7">
        <v>0</v>
      </c>
      <c r="T63" s="3">
        <v>100</v>
      </c>
      <c r="U63" s="3">
        <f t="shared" si="288"/>
        <v>0</v>
      </c>
      <c r="V63" s="3">
        <f t="shared" si="289"/>
        <v>0</v>
      </c>
      <c r="W63" s="7">
        <v>100</v>
      </c>
      <c r="X63" s="7">
        <f>V63*W63</f>
        <v>0</v>
      </c>
      <c r="Y63" s="7">
        <v>0</v>
      </c>
      <c r="Z63" s="6">
        <f t="shared" si="291"/>
        <v>0</v>
      </c>
      <c r="AA63" s="82"/>
      <c r="AB63" s="7">
        <v>0</v>
      </c>
      <c r="AC63" s="3">
        <v>50</v>
      </c>
      <c r="AD63" s="3">
        <f t="shared" si="292"/>
        <v>0</v>
      </c>
      <c r="AE63" s="7">
        <v>0</v>
      </c>
      <c r="AF63" s="3">
        <v>50</v>
      </c>
      <c r="AG63" s="3">
        <f t="shared" si="293"/>
        <v>0</v>
      </c>
      <c r="AH63" s="3">
        <f t="shared" si="294"/>
        <v>0</v>
      </c>
      <c r="AI63" s="3">
        <v>50</v>
      </c>
      <c r="AJ63" s="7">
        <f t="shared" si="295"/>
        <v>0</v>
      </c>
      <c r="AK63" s="7">
        <v>0</v>
      </c>
      <c r="AL63" s="6">
        <f t="shared" si="296"/>
        <v>0</v>
      </c>
      <c r="AM63" s="6">
        <f t="shared" si="297"/>
        <v>3300</v>
      </c>
      <c r="AN63" s="6">
        <f t="shared" si="298"/>
        <v>0</v>
      </c>
      <c r="AO63" s="6">
        <f t="shared" si="299"/>
        <v>3300</v>
      </c>
      <c r="AP63" s="3" t="s">
        <v>464</v>
      </c>
      <c r="AQ63" s="3">
        <f t="shared" si="300"/>
        <v>3300</v>
      </c>
      <c r="AR63" s="3">
        <f t="shared" si="301"/>
        <v>3300</v>
      </c>
      <c r="AS63" s="3">
        <f t="shared" si="302"/>
        <v>0</v>
      </c>
      <c r="AT63" s="3"/>
    </row>
    <row r="64" spans="1:46" x14ac:dyDescent="0.35">
      <c r="A64" s="3"/>
      <c r="B64" s="172" t="s">
        <v>386</v>
      </c>
      <c r="C64" s="3" t="s">
        <v>33</v>
      </c>
      <c r="D64" s="7">
        <v>300</v>
      </c>
      <c r="E64" s="3">
        <v>60</v>
      </c>
      <c r="F64" s="1">
        <f t="shared" si="282"/>
        <v>18000</v>
      </c>
      <c r="G64" s="7">
        <v>177</v>
      </c>
      <c r="H64" s="3">
        <v>60</v>
      </c>
      <c r="I64" s="27">
        <f t="shared" si="283"/>
        <v>10620</v>
      </c>
      <c r="J64" s="3">
        <f t="shared" ref="J64:J70" si="303">D64-G64</f>
        <v>123</v>
      </c>
      <c r="K64" s="7">
        <v>60</v>
      </c>
      <c r="L64" s="7">
        <f t="shared" si="285"/>
        <v>7380</v>
      </c>
      <c r="M64" s="7">
        <v>0</v>
      </c>
      <c r="N64" s="6">
        <f t="shared" si="286"/>
        <v>7380</v>
      </c>
      <c r="O64" s="34"/>
      <c r="P64" s="7">
        <v>276</v>
      </c>
      <c r="Q64" s="3">
        <v>100</v>
      </c>
      <c r="R64" s="3">
        <f t="shared" si="287"/>
        <v>27600</v>
      </c>
      <c r="S64" s="7">
        <v>21</v>
      </c>
      <c r="T64" s="3">
        <v>100</v>
      </c>
      <c r="U64" s="3">
        <f t="shared" si="288"/>
        <v>2100</v>
      </c>
      <c r="V64" s="3">
        <f t="shared" si="289"/>
        <v>255</v>
      </c>
      <c r="W64" s="7">
        <v>100</v>
      </c>
      <c r="X64" s="7">
        <f>V64*W64</f>
        <v>25500</v>
      </c>
      <c r="Y64" s="7">
        <v>0</v>
      </c>
      <c r="Z64" s="6">
        <f t="shared" si="291"/>
        <v>25500</v>
      </c>
      <c r="AA64" s="82"/>
      <c r="AB64" s="7">
        <f>516-400</f>
        <v>116</v>
      </c>
      <c r="AC64" s="3">
        <v>50</v>
      </c>
      <c r="AD64" s="3">
        <f t="shared" si="292"/>
        <v>5800</v>
      </c>
      <c r="AE64" s="7">
        <v>13</v>
      </c>
      <c r="AF64" s="3">
        <v>50</v>
      </c>
      <c r="AG64" s="3">
        <f t="shared" si="293"/>
        <v>650</v>
      </c>
      <c r="AH64" s="3">
        <f t="shared" si="294"/>
        <v>103</v>
      </c>
      <c r="AI64" s="3">
        <v>50</v>
      </c>
      <c r="AJ64" s="7">
        <f t="shared" si="295"/>
        <v>5150</v>
      </c>
      <c r="AK64" s="7">
        <v>0</v>
      </c>
      <c r="AL64" s="6">
        <f t="shared" si="296"/>
        <v>5150</v>
      </c>
      <c r="AM64" s="6">
        <f t="shared" si="297"/>
        <v>38030</v>
      </c>
      <c r="AN64" s="6">
        <f t="shared" si="298"/>
        <v>0</v>
      </c>
      <c r="AO64" s="6">
        <f t="shared" si="299"/>
        <v>38030</v>
      </c>
      <c r="AP64" s="3" t="s">
        <v>464</v>
      </c>
      <c r="AQ64" s="3">
        <f t="shared" si="300"/>
        <v>38030</v>
      </c>
      <c r="AR64" s="3">
        <f t="shared" si="301"/>
        <v>38030</v>
      </c>
      <c r="AS64" s="3">
        <f t="shared" si="302"/>
        <v>0</v>
      </c>
      <c r="AT64" s="3"/>
    </row>
    <row r="65" spans="1:46" x14ac:dyDescent="0.35">
      <c r="A65" s="3"/>
      <c r="B65" s="172" t="s">
        <v>386</v>
      </c>
      <c r="C65" s="3" t="s">
        <v>182</v>
      </c>
      <c r="D65" s="7">
        <v>0</v>
      </c>
      <c r="E65" s="3">
        <v>55</v>
      </c>
      <c r="F65" s="1">
        <f t="shared" ref="F65" si="304">D65*E65</f>
        <v>0</v>
      </c>
      <c r="G65" s="7">
        <v>0</v>
      </c>
      <c r="H65" s="3">
        <v>55</v>
      </c>
      <c r="I65" s="27">
        <f t="shared" ref="I65" si="305">G65*H65</f>
        <v>0</v>
      </c>
      <c r="J65" s="3">
        <f t="shared" si="303"/>
        <v>0</v>
      </c>
      <c r="K65" s="7">
        <v>55</v>
      </c>
      <c r="L65" s="7">
        <f t="shared" ref="L65" si="306">J65*K65</f>
        <v>0</v>
      </c>
      <c r="M65" s="7">
        <v>0</v>
      </c>
      <c r="N65" s="6">
        <f t="shared" ref="N65" si="307">L65-M65</f>
        <v>0</v>
      </c>
      <c r="O65" s="34"/>
      <c r="P65" s="7">
        <v>0</v>
      </c>
      <c r="Q65" s="3">
        <v>100</v>
      </c>
      <c r="R65" s="3">
        <f t="shared" ref="R65" si="308">P65*Q65</f>
        <v>0</v>
      </c>
      <c r="S65" s="7">
        <v>0</v>
      </c>
      <c r="T65" s="3">
        <v>100</v>
      </c>
      <c r="U65" s="3">
        <f t="shared" ref="U65" si="309">S65*T65</f>
        <v>0</v>
      </c>
      <c r="V65" s="3">
        <f t="shared" ref="V65" si="310">P65-S65</f>
        <v>0</v>
      </c>
      <c r="W65" s="7">
        <v>100</v>
      </c>
      <c r="X65" s="7">
        <f>V65*W65</f>
        <v>0</v>
      </c>
      <c r="Y65" s="7">
        <v>0</v>
      </c>
      <c r="Z65" s="6">
        <f t="shared" ref="Z65" si="311">X65-Y65</f>
        <v>0</v>
      </c>
      <c r="AA65" s="82"/>
      <c r="AB65" s="7">
        <v>400</v>
      </c>
      <c r="AC65" s="3">
        <v>45</v>
      </c>
      <c r="AD65" s="3">
        <f t="shared" ref="AD65" si="312">AB65*AC65</f>
        <v>18000</v>
      </c>
      <c r="AE65" s="7">
        <v>0</v>
      </c>
      <c r="AF65" s="3">
        <v>45</v>
      </c>
      <c r="AG65" s="3">
        <f t="shared" ref="AG65" si="313">AE65*AF65</f>
        <v>0</v>
      </c>
      <c r="AH65" s="3">
        <f t="shared" ref="AH65" si="314">AB65-AE65</f>
        <v>400</v>
      </c>
      <c r="AI65" s="3">
        <v>45</v>
      </c>
      <c r="AJ65" s="7">
        <f t="shared" ref="AJ65" si="315">AH65*AI65</f>
        <v>18000</v>
      </c>
      <c r="AK65" s="7">
        <v>0</v>
      </c>
      <c r="AL65" s="6">
        <f t="shared" ref="AL65" si="316">AJ65-AK65</f>
        <v>18000</v>
      </c>
      <c r="AM65" s="6">
        <f t="shared" ref="AM65" si="317">L65+X65+AJ65</f>
        <v>18000</v>
      </c>
      <c r="AN65" s="6">
        <f t="shared" ref="AN65" si="318">M65+Y65+AK65</f>
        <v>0</v>
      </c>
      <c r="AO65" s="6">
        <f t="shared" ref="AO65" si="319">AM65-AN65</f>
        <v>18000</v>
      </c>
      <c r="AP65" s="3" t="s">
        <v>464</v>
      </c>
      <c r="AQ65" s="3">
        <f t="shared" ref="AQ65" si="320">AO65</f>
        <v>18000</v>
      </c>
      <c r="AR65" s="3">
        <f t="shared" ref="AR65" si="321">AQ65</f>
        <v>18000</v>
      </c>
      <c r="AS65" s="3">
        <f t="shared" ref="AS65" si="322">AQ65-AR65</f>
        <v>0</v>
      </c>
      <c r="AT65" s="3"/>
    </row>
    <row r="66" spans="1:46" x14ac:dyDescent="0.35">
      <c r="A66" s="3"/>
      <c r="B66" s="172" t="s">
        <v>415</v>
      </c>
      <c r="C66" s="3" t="s">
        <v>33</v>
      </c>
      <c r="D66" s="7">
        <v>180</v>
      </c>
      <c r="E66" s="3">
        <v>60</v>
      </c>
      <c r="F66" s="1">
        <f t="shared" si="282"/>
        <v>10800</v>
      </c>
      <c r="G66" s="7">
        <v>0</v>
      </c>
      <c r="H66" s="3">
        <v>60</v>
      </c>
      <c r="I66" s="27">
        <f t="shared" si="283"/>
        <v>0</v>
      </c>
      <c r="J66" s="3">
        <f t="shared" si="303"/>
        <v>180</v>
      </c>
      <c r="K66" s="7">
        <v>60</v>
      </c>
      <c r="L66" s="7">
        <f t="shared" si="285"/>
        <v>10800</v>
      </c>
      <c r="M66" s="3">
        <f>J66*5</f>
        <v>900</v>
      </c>
      <c r="N66" s="6">
        <f t="shared" si="286"/>
        <v>9900</v>
      </c>
      <c r="O66" s="34"/>
      <c r="P66" s="7">
        <v>252</v>
      </c>
      <c r="Q66" s="3">
        <v>100</v>
      </c>
      <c r="R66" s="3">
        <f t="shared" si="287"/>
        <v>25200</v>
      </c>
      <c r="S66" s="7">
        <v>4</v>
      </c>
      <c r="T66" s="3">
        <v>100</v>
      </c>
      <c r="U66" s="3">
        <f t="shared" si="288"/>
        <v>400</v>
      </c>
      <c r="V66" s="3">
        <f t="shared" si="289"/>
        <v>248</v>
      </c>
      <c r="W66" s="7">
        <v>100</v>
      </c>
      <c r="X66" s="7">
        <f t="shared" ref="X66:X71" si="323">V66*W66</f>
        <v>24800</v>
      </c>
      <c r="Y66" s="3">
        <f>V66*10</f>
        <v>2480</v>
      </c>
      <c r="Z66" s="6">
        <f t="shared" si="291"/>
        <v>22320</v>
      </c>
      <c r="AA66" s="82"/>
      <c r="AB66" s="7">
        <v>156</v>
      </c>
      <c r="AC66" s="3">
        <v>50</v>
      </c>
      <c r="AD66" s="3">
        <f t="shared" si="292"/>
        <v>7800</v>
      </c>
      <c r="AE66" s="7">
        <v>0</v>
      </c>
      <c r="AF66" s="3">
        <v>50</v>
      </c>
      <c r="AG66" s="3">
        <f t="shared" si="293"/>
        <v>0</v>
      </c>
      <c r="AH66" s="3">
        <f t="shared" si="294"/>
        <v>156</v>
      </c>
      <c r="AI66" s="3">
        <v>50</v>
      </c>
      <c r="AJ66" s="7">
        <f t="shared" si="295"/>
        <v>7800</v>
      </c>
      <c r="AK66" s="3">
        <f>AH66*5</f>
        <v>780</v>
      </c>
      <c r="AL66" s="6">
        <f t="shared" si="296"/>
        <v>7020</v>
      </c>
      <c r="AM66" s="6">
        <f t="shared" si="297"/>
        <v>43400</v>
      </c>
      <c r="AN66" s="6">
        <f t="shared" si="298"/>
        <v>4160</v>
      </c>
      <c r="AO66" s="6">
        <f t="shared" si="299"/>
        <v>39240</v>
      </c>
      <c r="AP66" s="3" t="s">
        <v>464</v>
      </c>
      <c r="AQ66" s="3">
        <f t="shared" si="300"/>
        <v>39240</v>
      </c>
      <c r="AR66" s="3">
        <f>AQ66</f>
        <v>39240</v>
      </c>
      <c r="AS66" s="3">
        <f t="shared" si="302"/>
        <v>0</v>
      </c>
      <c r="AT66" s="3"/>
    </row>
    <row r="67" spans="1:46" x14ac:dyDescent="0.35">
      <c r="A67" s="3"/>
      <c r="B67" s="172" t="s">
        <v>326</v>
      </c>
      <c r="C67" s="3" t="s">
        <v>33</v>
      </c>
      <c r="D67" s="7">
        <v>30</v>
      </c>
      <c r="E67" s="3">
        <v>60</v>
      </c>
      <c r="F67" s="1">
        <f t="shared" si="282"/>
        <v>1800</v>
      </c>
      <c r="G67" s="3">
        <v>0</v>
      </c>
      <c r="H67" s="3">
        <v>60</v>
      </c>
      <c r="I67" s="27">
        <f t="shared" si="283"/>
        <v>0</v>
      </c>
      <c r="J67" s="3">
        <f t="shared" si="303"/>
        <v>30</v>
      </c>
      <c r="K67" s="7">
        <v>60</v>
      </c>
      <c r="L67" s="7">
        <f t="shared" si="285"/>
        <v>1800</v>
      </c>
      <c r="M67" s="3">
        <v>0</v>
      </c>
      <c r="N67" s="6">
        <f t="shared" si="286"/>
        <v>1800</v>
      </c>
      <c r="O67" s="34"/>
      <c r="P67" s="3">
        <v>60</v>
      </c>
      <c r="Q67" s="3">
        <v>100</v>
      </c>
      <c r="R67" s="3">
        <f t="shared" si="287"/>
        <v>6000</v>
      </c>
      <c r="S67" s="3">
        <v>3</v>
      </c>
      <c r="T67" s="3">
        <v>100</v>
      </c>
      <c r="U67" s="3">
        <f t="shared" si="288"/>
        <v>300</v>
      </c>
      <c r="V67" s="3">
        <f t="shared" si="289"/>
        <v>57</v>
      </c>
      <c r="W67" s="7">
        <v>100</v>
      </c>
      <c r="X67" s="7">
        <f t="shared" si="323"/>
        <v>5700</v>
      </c>
      <c r="Y67" s="3">
        <v>0</v>
      </c>
      <c r="Z67" s="6">
        <f t="shared" si="291"/>
        <v>5700</v>
      </c>
      <c r="AA67" s="82"/>
      <c r="AB67" s="3">
        <v>60</v>
      </c>
      <c r="AC67" s="3">
        <v>50</v>
      </c>
      <c r="AD67" s="3">
        <f t="shared" si="292"/>
        <v>3000</v>
      </c>
      <c r="AE67" s="3">
        <v>0</v>
      </c>
      <c r="AF67" s="3">
        <v>50</v>
      </c>
      <c r="AG67" s="3">
        <f t="shared" si="293"/>
        <v>0</v>
      </c>
      <c r="AH67" s="3">
        <f t="shared" si="294"/>
        <v>60</v>
      </c>
      <c r="AI67" s="3">
        <v>50</v>
      </c>
      <c r="AJ67" s="7">
        <f t="shared" si="295"/>
        <v>3000</v>
      </c>
      <c r="AK67" s="3">
        <v>0</v>
      </c>
      <c r="AL67" s="6">
        <f t="shared" si="296"/>
        <v>3000</v>
      </c>
      <c r="AM67" s="6">
        <f t="shared" si="297"/>
        <v>10500</v>
      </c>
      <c r="AN67" s="6">
        <f t="shared" si="298"/>
        <v>0</v>
      </c>
      <c r="AO67" s="6">
        <f t="shared" si="299"/>
        <v>10500</v>
      </c>
      <c r="AP67" s="3" t="s">
        <v>464</v>
      </c>
      <c r="AQ67" s="3">
        <f t="shared" si="300"/>
        <v>10500</v>
      </c>
      <c r="AR67" s="3">
        <f>AQ67</f>
        <v>10500</v>
      </c>
      <c r="AS67" s="3">
        <f t="shared" si="302"/>
        <v>0</v>
      </c>
      <c r="AT67" s="3"/>
    </row>
    <row r="68" spans="1:46" x14ac:dyDescent="0.35">
      <c r="A68" s="3"/>
      <c r="B68" s="172" t="s">
        <v>283</v>
      </c>
      <c r="C68" s="3" t="s">
        <v>33</v>
      </c>
      <c r="D68" s="7">
        <v>8</v>
      </c>
      <c r="E68" s="3">
        <v>60</v>
      </c>
      <c r="F68" s="1">
        <f t="shared" si="282"/>
        <v>480</v>
      </c>
      <c r="G68" s="7">
        <v>1</v>
      </c>
      <c r="H68" s="3">
        <v>60</v>
      </c>
      <c r="I68" s="27">
        <f t="shared" si="283"/>
        <v>60</v>
      </c>
      <c r="J68" s="3">
        <f t="shared" si="303"/>
        <v>7</v>
      </c>
      <c r="K68" s="7">
        <v>60</v>
      </c>
      <c r="L68" s="7">
        <f t="shared" si="285"/>
        <v>420</v>
      </c>
      <c r="M68" s="3">
        <v>0</v>
      </c>
      <c r="N68" s="6">
        <f t="shared" si="286"/>
        <v>420</v>
      </c>
      <c r="O68" s="34"/>
      <c r="P68" s="7">
        <v>36</v>
      </c>
      <c r="Q68" s="3">
        <v>100</v>
      </c>
      <c r="R68" s="3">
        <f t="shared" si="287"/>
        <v>3600</v>
      </c>
      <c r="S68" s="7">
        <v>1</v>
      </c>
      <c r="T68" s="3">
        <v>100</v>
      </c>
      <c r="U68" s="3">
        <f t="shared" si="288"/>
        <v>100</v>
      </c>
      <c r="V68" s="3">
        <f t="shared" si="289"/>
        <v>35</v>
      </c>
      <c r="W68" s="7">
        <v>100</v>
      </c>
      <c r="X68" s="7">
        <f t="shared" si="323"/>
        <v>3500</v>
      </c>
      <c r="Y68" s="3">
        <v>0</v>
      </c>
      <c r="Z68" s="6">
        <f t="shared" si="291"/>
        <v>3500</v>
      </c>
      <c r="AA68" s="82"/>
      <c r="AB68" s="7">
        <v>40</v>
      </c>
      <c r="AC68" s="3">
        <v>50</v>
      </c>
      <c r="AD68" s="3">
        <f t="shared" si="292"/>
        <v>2000</v>
      </c>
      <c r="AE68" s="7">
        <v>22</v>
      </c>
      <c r="AF68" s="3">
        <v>50</v>
      </c>
      <c r="AG68" s="3">
        <f t="shared" si="293"/>
        <v>1100</v>
      </c>
      <c r="AH68" s="3">
        <f t="shared" si="294"/>
        <v>18</v>
      </c>
      <c r="AI68" s="3">
        <v>50</v>
      </c>
      <c r="AJ68" s="7">
        <f t="shared" si="295"/>
        <v>900</v>
      </c>
      <c r="AK68" s="3">
        <v>0</v>
      </c>
      <c r="AL68" s="6">
        <f t="shared" si="296"/>
        <v>900</v>
      </c>
      <c r="AM68" s="6">
        <f t="shared" si="297"/>
        <v>4820</v>
      </c>
      <c r="AN68" s="6">
        <f t="shared" si="298"/>
        <v>0</v>
      </c>
      <c r="AO68" s="6">
        <f t="shared" si="299"/>
        <v>4820</v>
      </c>
      <c r="AP68" s="3" t="s">
        <v>464</v>
      </c>
      <c r="AQ68" s="3">
        <f t="shared" si="300"/>
        <v>4820</v>
      </c>
      <c r="AR68" s="3">
        <f t="shared" ref="AR68:AR71" si="324">AQ68</f>
        <v>4820</v>
      </c>
      <c r="AS68" s="3">
        <f t="shared" si="302"/>
        <v>0</v>
      </c>
      <c r="AT68" s="3"/>
    </row>
    <row r="69" spans="1:46" x14ac:dyDescent="0.35">
      <c r="A69" s="3"/>
      <c r="B69" s="172" t="s">
        <v>283</v>
      </c>
      <c r="C69" s="3" t="s">
        <v>182</v>
      </c>
      <c r="D69" s="7">
        <v>0</v>
      </c>
      <c r="E69" s="3">
        <v>50</v>
      </c>
      <c r="F69" s="1">
        <f>D69*E69</f>
        <v>0</v>
      </c>
      <c r="G69" s="3">
        <v>0</v>
      </c>
      <c r="H69" s="3">
        <v>50</v>
      </c>
      <c r="I69" s="27">
        <f>G69*H69</f>
        <v>0</v>
      </c>
      <c r="J69" s="3">
        <f>D69-G69</f>
        <v>0</v>
      </c>
      <c r="K69" s="7">
        <v>50</v>
      </c>
      <c r="L69" s="7">
        <f>J69*K69</f>
        <v>0</v>
      </c>
      <c r="M69" s="3">
        <v>0</v>
      </c>
      <c r="N69" s="6">
        <f>L69-M69</f>
        <v>0</v>
      </c>
      <c r="O69" s="34"/>
      <c r="P69" s="3">
        <v>12</v>
      </c>
      <c r="Q69" s="3">
        <v>90</v>
      </c>
      <c r="R69" s="3">
        <f>P69*Q69</f>
        <v>1080</v>
      </c>
      <c r="S69" s="3">
        <v>0</v>
      </c>
      <c r="T69" s="3">
        <v>90</v>
      </c>
      <c r="U69" s="3">
        <f>S69*T69</f>
        <v>0</v>
      </c>
      <c r="V69" s="3">
        <f>P69-S69</f>
        <v>12</v>
      </c>
      <c r="W69" s="7">
        <v>90</v>
      </c>
      <c r="X69" s="7">
        <f>V69*W69</f>
        <v>1080</v>
      </c>
      <c r="Y69" s="3">
        <v>0</v>
      </c>
      <c r="Z69" s="6">
        <f>X69-Y69</f>
        <v>1080</v>
      </c>
      <c r="AA69" s="82"/>
      <c r="AB69" s="3">
        <v>0</v>
      </c>
      <c r="AC69" s="3">
        <v>45</v>
      </c>
      <c r="AD69" s="3">
        <f>AB69*AC69</f>
        <v>0</v>
      </c>
      <c r="AE69" s="3">
        <v>0</v>
      </c>
      <c r="AF69" s="3">
        <v>45</v>
      </c>
      <c r="AG69" s="3">
        <f>AE69*AF69</f>
        <v>0</v>
      </c>
      <c r="AH69" s="3">
        <f>AB69-AE69</f>
        <v>0</v>
      </c>
      <c r="AI69" s="3">
        <v>45</v>
      </c>
      <c r="AJ69" s="7">
        <f>AH69*AI69</f>
        <v>0</v>
      </c>
      <c r="AK69" s="3">
        <v>0</v>
      </c>
      <c r="AL69" s="6">
        <f>AJ69-AK69</f>
        <v>0</v>
      </c>
      <c r="AM69" s="6">
        <f>L69+X69+AJ69</f>
        <v>1080</v>
      </c>
      <c r="AN69" s="6">
        <f>M69+Y69+AK69</f>
        <v>0</v>
      </c>
      <c r="AO69" s="6">
        <f>AM69-AN69</f>
        <v>1080</v>
      </c>
      <c r="AP69" s="3" t="s">
        <v>464</v>
      </c>
      <c r="AQ69" s="3">
        <f>AO69</f>
        <v>1080</v>
      </c>
      <c r="AR69" s="3">
        <f>AQ69</f>
        <v>1080</v>
      </c>
      <c r="AS69" s="3">
        <f>AQ69-AR69</f>
        <v>0</v>
      </c>
      <c r="AT69" s="3"/>
    </row>
    <row r="70" spans="1:46" x14ac:dyDescent="0.35">
      <c r="A70" s="3"/>
      <c r="B70" s="172" t="s">
        <v>308</v>
      </c>
      <c r="C70" s="3" t="s">
        <v>470</v>
      </c>
      <c r="D70" s="7">
        <v>247</v>
      </c>
      <c r="E70" s="3">
        <v>60</v>
      </c>
      <c r="F70" s="1">
        <f t="shared" si="282"/>
        <v>14820</v>
      </c>
      <c r="G70" s="3">
        <v>50</v>
      </c>
      <c r="H70" s="3">
        <v>60</v>
      </c>
      <c r="I70" s="27">
        <f t="shared" si="283"/>
        <v>3000</v>
      </c>
      <c r="J70" s="3">
        <f t="shared" si="303"/>
        <v>197</v>
      </c>
      <c r="K70" s="7">
        <v>60</v>
      </c>
      <c r="L70" s="7">
        <f t="shared" si="285"/>
        <v>11820</v>
      </c>
      <c r="M70" s="3">
        <f>J70*5</f>
        <v>985</v>
      </c>
      <c r="N70" s="6">
        <f t="shared" si="286"/>
        <v>10835</v>
      </c>
      <c r="O70" s="34"/>
      <c r="P70" s="3">
        <v>121</v>
      </c>
      <c r="Q70" s="3">
        <v>100</v>
      </c>
      <c r="R70" s="3">
        <f t="shared" si="287"/>
        <v>12100</v>
      </c>
      <c r="S70" s="3">
        <v>4</v>
      </c>
      <c r="T70" s="3">
        <v>100</v>
      </c>
      <c r="U70" s="3">
        <f t="shared" si="288"/>
        <v>400</v>
      </c>
      <c r="V70" s="3">
        <f t="shared" si="289"/>
        <v>117</v>
      </c>
      <c r="W70" s="7">
        <v>100</v>
      </c>
      <c r="X70" s="7">
        <f t="shared" si="323"/>
        <v>11700</v>
      </c>
      <c r="Y70" s="3">
        <f>V70*5</f>
        <v>585</v>
      </c>
      <c r="Z70" s="6">
        <f t="shared" si="291"/>
        <v>11115</v>
      </c>
      <c r="AA70" s="82">
        <v>195</v>
      </c>
      <c r="AB70" s="3">
        <v>185</v>
      </c>
      <c r="AC70" s="3">
        <v>50</v>
      </c>
      <c r="AD70" s="3">
        <f t="shared" si="292"/>
        <v>9250</v>
      </c>
      <c r="AE70" s="3">
        <v>0</v>
      </c>
      <c r="AF70" s="3">
        <v>50</v>
      </c>
      <c r="AG70" s="3">
        <f t="shared" si="293"/>
        <v>0</v>
      </c>
      <c r="AH70" s="3">
        <f t="shared" si="294"/>
        <v>185</v>
      </c>
      <c r="AI70" s="3">
        <v>50</v>
      </c>
      <c r="AJ70" s="7">
        <f t="shared" si="295"/>
        <v>9250</v>
      </c>
      <c r="AK70" s="3">
        <f>AH70*5</f>
        <v>925</v>
      </c>
      <c r="AL70" s="6">
        <f t="shared" si="296"/>
        <v>8325</v>
      </c>
      <c r="AM70" s="6">
        <f t="shared" si="297"/>
        <v>32770</v>
      </c>
      <c r="AN70" s="6">
        <f t="shared" si="298"/>
        <v>2495</v>
      </c>
      <c r="AO70" s="6">
        <f t="shared" si="299"/>
        <v>30275</v>
      </c>
      <c r="AP70" s="3" t="s">
        <v>464</v>
      </c>
      <c r="AQ70" s="3">
        <f t="shared" si="300"/>
        <v>30275</v>
      </c>
      <c r="AR70" s="3">
        <f t="shared" si="324"/>
        <v>30275</v>
      </c>
      <c r="AS70" s="3">
        <f t="shared" si="302"/>
        <v>0</v>
      </c>
      <c r="AT70" s="3"/>
    </row>
    <row r="71" spans="1:46" x14ac:dyDescent="0.35">
      <c r="A71" s="3"/>
      <c r="B71" s="172" t="s">
        <v>308</v>
      </c>
      <c r="C71" s="3" t="s">
        <v>471</v>
      </c>
      <c r="D71" s="7">
        <v>155</v>
      </c>
      <c r="E71" s="3">
        <v>60</v>
      </c>
      <c r="F71" s="1">
        <v>0</v>
      </c>
      <c r="G71" s="7">
        <v>0</v>
      </c>
      <c r="H71" s="3">
        <v>60</v>
      </c>
      <c r="I71" s="27">
        <f t="shared" si="283"/>
        <v>0</v>
      </c>
      <c r="J71" s="3">
        <v>0</v>
      </c>
      <c r="K71" s="7">
        <v>60</v>
      </c>
      <c r="L71" s="7">
        <f t="shared" si="285"/>
        <v>0</v>
      </c>
      <c r="M71" s="3">
        <v>0</v>
      </c>
      <c r="N71" s="6">
        <f t="shared" si="286"/>
        <v>0</v>
      </c>
      <c r="O71" s="34"/>
      <c r="P71" s="7">
        <v>124</v>
      </c>
      <c r="Q71" s="3">
        <v>100</v>
      </c>
      <c r="R71" s="3">
        <v>0</v>
      </c>
      <c r="S71" s="7">
        <v>0</v>
      </c>
      <c r="T71" s="3">
        <v>100</v>
      </c>
      <c r="U71" s="3">
        <f t="shared" si="288"/>
        <v>0</v>
      </c>
      <c r="V71" s="3">
        <v>0</v>
      </c>
      <c r="W71" s="7">
        <v>100</v>
      </c>
      <c r="X71" s="7">
        <f t="shared" si="323"/>
        <v>0</v>
      </c>
      <c r="Y71" s="3">
        <v>0</v>
      </c>
      <c r="Z71" s="6">
        <f t="shared" si="291"/>
        <v>0</v>
      </c>
      <c r="AA71" s="82"/>
      <c r="AB71" s="7">
        <v>179</v>
      </c>
      <c r="AC71" s="3">
        <v>50</v>
      </c>
      <c r="AD71" s="3">
        <v>0</v>
      </c>
      <c r="AE71" s="7">
        <v>0</v>
      </c>
      <c r="AF71" s="3">
        <v>50</v>
      </c>
      <c r="AG71" s="3">
        <f t="shared" si="293"/>
        <v>0</v>
      </c>
      <c r="AH71" s="3">
        <v>0</v>
      </c>
      <c r="AI71" s="3">
        <v>50</v>
      </c>
      <c r="AJ71" s="7">
        <f t="shared" si="295"/>
        <v>0</v>
      </c>
      <c r="AK71" s="3">
        <v>0</v>
      </c>
      <c r="AL71" s="6">
        <f t="shared" si="296"/>
        <v>0</v>
      </c>
      <c r="AM71" s="6">
        <f t="shared" si="297"/>
        <v>0</v>
      </c>
      <c r="AN71" s="6">
        <f t="shared" si="298"/>
        <v>0</v>
      </c>
      <c r="AO71" s="6">
        <f t="shared" si="299"/>
        <v>0</v>
      </c>
      <c r="AP71" s="3" t="s">
        <v>464</v>
      </c>
      <c r="AQ71" s="3">
        <f t="shared" si="300"/>
        <v>0</v>
      </c>
      <c r="AR71" s="3">
        <f t="shared" si="324"/>
        <v>0</v>
      </c>
      <c r="AS71" s="3">
        <f t="shared" si="302"/>
        <v>0</v>
      </c>
      <c r="AT71" s="3"/>
    </row>
    <row r="72" spans="1:46" x14ac:dyDescent="0.35">
      <c r="A72" s="3"/>
      <c r="B72" s="3" t="s">
        <v>287</v>
      </c>
      <c r="C72" s="3" t="s">
        <v>331</v>
      </c>
      <c r="D72" s="7">
        <v>0</v>
      </c>
      <c r="E72" s="3">
        <v>60</v>
      </c>
      <c r="F72" s="1">
        <f t="shared" ref="F72" si="325">D72*E72</f>
        <v>0</v>
      </c>
      <c r="G72" s="7">
        <v>0</v>
      </c>
      <c r="H72" s="3">
        <v>60</v>
      </c>
      <c r="I72" s="27">
        <f t="shared" ref="I72:I73" si="326">G72*H72</f>
        <v>0</v>
      </c>
      <c r="J72" s="3">
        <f t="shared" ref="J72" si="327">D72-G72</f>
        <v>0</v>
      </c>
      <c r="K72" s="7">
        <v>60</v>
      </c>
      <c r="L72" s="7">
        <f t="shared" ref="L72:L73" si="328">J72*K72</f>
        <v>0</v>
      </c>
      <c r="M72" s="3">
        <f>J72*5</f>
        <v>0</v>
      </c>
      <c r="N72" s="6">
        <f t="shared" ref="N72:N73" si="329">L72-M72</f>
        <v>0</v>
      </c>
      <c r="O72" s="34"/>
      <c r="P72" s="7">
        <v>0</v>
      </c>
      <c r="Q72" s="3">
        <v>100</v>
      </c>
      <c r="R72" s="3">
        <f t="shared" ref="R72" si="330">P72*Q72</f>
        <v>0</v>
      </c>
      <c r="S72" s="7">
        <v>0</v>
      </c>
      <c r="T72" s="3">
        <v>100</v>
      </c>
      <c r="U72" s="3">
        <f t="shared" ref="U72:U73" si="331">S72*T72</f>
        <v>0</v>
      </c>
      <c r="V72" s="3">
        <f t="shared" ref="V72" si="332">P72-S72</f>
        <v>0</v>
      </c>
      <c r="W72" s="7">
        <v>100</v>
      </c>
      <c r="X72" s="7">
        <f t="shared" ref="X72:X73" si="333">V72*W72</f>
        <v>0</v>
      </c>
      <c r="Y72" s="3">
        <f>V72*10</f>
        <v>0</v>
      </c>
      <c r="Z72" s="6">
        <f t="shared" ref="Z72:Z73" si="334">X72-Y72</f>
        <v>0</v>
      </c>
      <c r="AA72" s="82"/>
      <c r="AB72" s="7">
        <v>0</v>
      </c>
      <c r="AC72" s="3">
        <v>50</v>
      </c>
      <c r="AD72" s="3">
        <f t="shared" ref="AD72" si="335">AB72*AC72</f>
        <v>0</v>
      </c>
      <c r="AE72" s="7">
        <v>0</v>
      </c>
      <c r="AF72" s="3">
        <v>50</v>
      </c>
      <c r="AG72" s="3">
        <f t="shared" ref="AG72:AG73" si="336">AE72*AF72</f>
        <v>0</v>
      </c>
      <c r="AH72" s="3">
        <f t="shared" ref="AH72" si="337">AB72-AE72</f>
        <v>0</v>
      </c>
      <c r="AI72" s="3">
        <v>50</v>
      </c>
      <c r="AJ72" s="7">
        <f t="shared" ref="AJ72:AJ73" si="338">AH72*AI72</f>
        <v>0</v>
      </c>
      <c r="AK72" s="3">
        <f>AH72*5</f>
        <v>0</v>
      </c>
      <c r="AL72" s="6">
        <f t="shared" ref="AL72:AL73" si="339">AJ72-AK72</f>
        <v>0</v>
      </c>
      <c r="AM72" s="6">
        <f t="shared" ref="AM72:AM73" si="340">L72+X72+AJ72</f>
        <v>0</v>
      </c>
      <c r="AN72" s="6">
        <f t="shared" ref="AN72:AN73" si="341">M72+Y72+AK72</f>
        <v>0</v>
      </c>
      <c r="AO72" s="6">
        <f t="shared" ref="AO72:AO73" si="342">AM72-AN72</f>
        <v>0</v>
      </c>
      <c r="AP72" s="3" t="s">
        <v>464</v>
      </c>
      <c r="AQ72" s="3">
        <f t="shared" ref="AQ72:AQ73" si="343">AO72</f>
        <v>0</v>
      </c>
      <c r="AR72" s="3">
        <f>AQ72</f>
        <v>0</v>
      </c>
      <c r="AS72" s="3">
        <f t="shared" ref="AS72:AS73" si="344">AQ72-AR72</f>
        <v>0</v>
      </c>
      <c r="AT72" s="3"/>
    </row>
    <row r="73" spans="1:46" x14ac:dyDescent="0.35">
      <c r="A73" s="3"/>
      <c r="B73" s="3" t="s">
        <v>287</v>
      </c>
      <c r="C73" s="3" t="s">
        <v>332</v>
      </c>
      <c r="D73" s="7">
        <v>0</v>
      </c>
      <c r="E73" s="3">
        <v>60</v>
      </c>
      <c r="F73" s="1">
        <v>0</v>
      </c>
      <c r="G73" s="7">
        <v>0</v>
      </c>
      <c r="H73" s="3">
        <v>60</v>
      </c>
      <c r="I73" s="27">
        <f t="shared" si="326"/>
        <v>0</v>
      </c>
      <c r="J73" s="3">
        <v>0</v>
      </c>
      <c r="K73" s="7">
        <v>60</v>
      </c>
      <c r="L73" s="7">
        <f t="shared" si="328"/>
        <v>0</v>
      </c>
      <c r="M73" s="3">
        <v>0</v>
      </c>
      <c r="N73" s="6">
        <f t="shared" si="329"/>
        <v>0</v>
      </c>
      <c r="O73" s="34"/>
      <c r="P73" s="7">
        <v>0</v>
      </c>
      <c r="Q73" s="3">
        <v>100</v>
      </c>
      <c r="R73" s="3">
        <v>0</v>
      </c>
      <c r="S73" s="7">
        <v>0</v>
      </c>
      <c r="T73" s="3">
        <v>100</v>
      </c>
      <c r="U73" s="3">
        <f t="shared" si="331"/>
        <v>0</v>
      </c>
      <c r="V73" s="3">
        <v>0</v>
      </c>
      <c r="W73" s="7">
        <v>100</v>
      </c>
      <c r="X73" s="7">
        <f t="shared" si="333"/>
        <v>0</v>
      </c>
      <c r="Y73" s="3">
        <v>0</v>
      </c>
      <c r="Z73" s="6">
        <f t="shared" si="334"/>
        <v>0</v>
      </c>
      <c r="AA73" s="82"/>
      <c r="AB73" s="7">
        <v>0</v>
      </c>
      <c r="AC73" s="3">
        <v>50</v>
      </c>
      <c r="AD73" s="3">
        <v>0</v>
      </c>
      <c r="AE73" s="7">
        <v>0</v>
      </c>
      <c r="AF73" s="3">
        <v>50</v>
      </c>
      <c r="AG73" s="3">
        <f t="shared" si="336"/>
        <v>0</v>
      </c>
      <c r="AH73" s="3">
        <v>0</v>
      </c>
      <c r="AI73" s="3">
        <v>50</v>
      </c>
      <c r="AJ73" s="7">
        <f t="shared" si="338"/>
        <v>0</v>
      </c>
      <c r="AK73" s="3">
        <v>0</v>
      </c>
      <c r="AL73" s="6">
        <f t="shared" si="339"/>
        <v>0</v>
      </c>
      <c r="AM73" s="6">
        <f t="shared" si="340"/>
        <v>0</v>
      </c>
      <c r="AN73" s="6">
        <f t="shared" si="341"/>
        <v>0</v>
      </c>
      <c r="AO73" s="6">
        <f t="shared" si="342"/>
        <v>0</v>
      </c>
      <c r="AP73" s="3" t="s">
        <v>464</v>
      </c>
      <c r="AQ73" s="3">
        <f t="shared" si="343"/>
        <v>0</v>
      </c>
      <c r="AR73" s="3">
        <f t="shared" ref="AR73" si="345">AQ73</f>
        <v>0</v>
      </c>
      <c r="AS73" s="3">
        <f t="shared" si="344"/>
        <v>0</v>
      </c>
      <c r="AT73" s="3"/>
    </row>
    <row r="74" spans="1:46" x14ac:dyDescent="0.35">
      <c r="A74" s="19"/>
      <c r="B74" s="19" t="s">
        <v>36</v>
      </c>
      <c r="C74" s="19"/>
      <c r="D74" s="19">
        <f>SUM(D62:D73)</f>
        <v>1145</v>
      </c>
      <c r="E74" s="19"/>
      <c r="F74" s="19">
        <f>SUM(F62:F73)</f>
        <v>59100</v>
      </c>
      <c r="G74" s="19">
        <f>SUM(G62:G73)</f>
        <v>275</v>
      </c>
      <c r="H74" s="19"/>
      <c r="I74" s="19">
        <f>SUM(I62:I73)</f>
        <v>16500</v>
      </c>
      <c r="J74" s="19">
        <f>SUM(J62:J73)</f>
        <v>715</v>
      </c>
      <c r="K74" s="19"/>
      <c r="L74" s="19">
        <f>SUM(L62:L73)</f>
        <v>42600</v>
      </c>
      <c r="M74" s="19">
        <f>SUM(M62:M73)</f>
        <v>1885</v>
      </c>
      <c r="N74" s="19">
        <f>SUM(N62:N73)</f>
        <v>40715</v>
      </c>
      <c r="O74" s="34"/>
      <c r="P74" s="19">
        <f>SUM(P62:P73)</f>
        <v>1085</v>
      </c>
      <c r="Q74" s="19"/>
      <c r="R74" s="19">
        <f>SUM(R62:R73)</f>
        <v>95980</v>
      </c>
      <c r="S74" s="19">
        <f>SUM(S62:S73)</f>
        <v>45</v>
      </c>
      <c r="T74" s="19"/>
      <c r="U74" s="19">
        <f>SUM(U62:U73)</f>
        <v>4500</v>
      </c>
      <c r="V74" s="19">
        <f>SUM(V62:V73)</f>
        <v>916</v>
      </c>
      <c r="W74" s="19"/>
      <c r="X74" s="19">
        <f>SUM(X62:X73)</f>
        <v>91480</v>
      </c>
      <c r="Y74" s="19">
        <f>SUM(Y62:Y73)</f>
        <v>3065</v>
      </c>
      <c r="Z74" s="19">
        <f>SUM(Z62:Z73)</f>
        <v>88415</v>
      </c>
      <c r="AA74" s="34"/>
      <c r="AB74" s="19">
        <f>SUM(AB62:AB73)</f>
        <v>1316</v>
      </c>
      <c r="AC74" s="19"/>
      <c r="AD74" s="19">
        <f>SUM(AD62:AD73)</f>
        <v>54850</v>
      </c>
      <c r="AE74" s="19">
        <f>SUM(AE62:AE73)</f>
        <v>35</v>
      </c>
      <c r="AF74" s="19"/>
      <c r="AG74" s="19">
        <f>SUM(AG62:AG73)</f>
        <v>1750</v>
      </c>
      <c r="AH74" s="19">
        <f>SUM(AH62:AH73)</f>
        <v>1102</v>
      </c>
      <c r="AI74" s="19"/>
      <c r="AJ74" s="19">
        <f t="shared" ref="AJ74:AO74" si="346">SUM(AJ62:AJ73)</f>
        <v>53100</v>
      </c>
      <c r="AK74" s="19">
        <f t="shared" si="346"/>
        <v>1705</v>
      </c>
      <c r="AL74" s="19">
        <f t="shared" si="346"/>
        <v>51395</v>
      </c>
      <c r="AM74" s="19">
        <f t="shared" si="346"/>
        <v>187180</v>
      </c>
      <c r="AN74" s="19">
        <f t="shared" si="346"/>
        <v>6655</v>
      </c>
      <c r="AO74" s="19">
        <f t="shared" si="346"/>
        <v>180525</v>
      </c>
      <c r="AP74" s="19"/>
      <c r="AQ74" s="19">
        <f>SUM(AQ62:AQ73)</f>
        <v>180525</v>
      </c>
      <c r="AR74" s="19">
        <f>SUM(AR62:AR73)</f>
        <v>180525</v>
      </c>
      <c r="AS74" s="19">
        <f>SUM(AS62:AS73)</f>
        <v>0</v>
      </c>
      <c r="AT74" s="74"/>
    </row>
    <row r="75" spans="1:46" x14ac:dyDescent="0.35">
      <c r="A75" s="3" t="s">
        <v>465</v>
      </c>
      <c r="B75" s="172" t="s">
        <v>415</v>
      </c>
      <c r="C75" s="3" t="s">
        <v>33</v>
      </c>
      <c r="D75" s="7">
        <f>225-60</f>
        <v>165</v>
      </c>
      <c r="E75" s="3">
        <v>60</v>
      </c>
      <c r="F75" s="1">
        <f t="shared" ref="F75:F81" si="347">D75*E75</f>
        <v>9900</v>
      </c>
      <c r="G75" s="7">
        <v>15</v>
      </c>
      <c r="H75" s="3">
        <v>60</v>
      </c>
      <c r="I75" s="27">
        <f t="shared" ref="I75:I81" si="348">G75*H75</f>
        <v>900</v>
      </c>
      <c r="J75" s="3">
        <f t="shared" ref="J75:J81" si="349">D75-G75</f>
        <v>150</v>
      </c>
      <c r="K75" s="7">
        <v>60</v>
      </c>
      <c r="L75" s="7">
        <f t="shared" ref="L75:L79" si="350">J75*K75</f>
        <v>9000</v>
      </c>
      <c r="M75" s="3">
        <v>0</v>
      </c>
      <c r="N75" s="6">
        <f t="shared" ref="N75:N81" si="351">L75-M75</f>
        <v>9000</v>
      </c>
      <c r="O75" s="34"/>
      <c r="P75" s="7">
        <f>180-60</f>
        <v>120</v>
      </c>
      <c r="Q75" s="3">
        <v>100</v>
      </c>
      <c r="R75" s="3">
        <f t="shared" ref="R75:R81" si="352">P75*Q75</f>
        <v>12000</v>
      </c>
      <c r="S75" s="7">
        <v>0</v>
      </c>
      <c r="T75" s="3">
        <v>100</v>
      </c>
      <c r="U75" s="3">
        <f t="shared" ref="U75:U81" si="353">S75*T75</f>
        <v>0</v>
      </c>
      <c r="V75" s="3">
        <f t="shared" ref="V75:V81" si="354">P75-S75</f>
        <v>120</v>
      </c>
      <c r="W75" s="7">
        <v>100</v>
      </c>
      <c r="X75" s="7">
        <f t="shared" ref="X75" si="355">V75*W75</f>
        <v>12000</v>
      </c>
      <c r="Y75" s="3">
        <v>0</v>
      </c>
      <c r="Z75" s="6">
        <f t="shared" ref="Z75:Z81" si="356">X75-Y75</f>
        <v>12000</v>
      </c>
      <c r="AA75" s="82"/>
      <c r="AB75" s="7">
        <v>120</v>
      </c>
      <c r="AC75" s="3">
        <v>50</v>
      </c>
      <c r="AD75" s="3">
        <f t="shared" ref="AD75:AD81" si="357">AB75*AC75</f>
        <v>6000</v>
      </c>
      <c r="AE75" s="7">
        <v>0</v>
      </c>
      <c r="AF75" s="3">
        <v>50</v>
      </c>
      <c r="AG75" s="3">
        <f t="shared" ref="AG75:AG81" si="358">AE75*AF75</f>
        <v>0</v>
      </c>
      <c r="AH75" s="3">
        <f t="shared" ref="AH75:AH81" si="359">AB75-AE75</f>
        <v>120</v>
      </c>
      <c r="AI75" s="3">
        <v>50</v>
      </c>
      <c r="AJ75" s="7">
        <f t="shared" ref="AJ75:AJ81" si="360">AH75*AI75</f>
        <v>6000</v>
      </c>
      <c r="AK75" s="3">
        <v>0</v>
      </c>
      <c r="AL75" s="6">
        <f t="shared" ref="AL75:AL81" si="361">AJ75-AK75</f>
        <v>6000</v>
      </c>
      <c r="AM75" s="6">
        <f t="shared" ref="AM75:AM81" si="362">L75+X75+AJ75</f>
        <v>27000</v>
      </c>
      <c r="AN75" s="6">
        <f t="shared" ref="AN75:AN81" si="363">M75+Y75+AK75</f>
        <v>0</v>
      </c>
      <c r="AO75" s="6">
        <f t="shared" ref="AO75:AO81" si="364">AM75-AN75</f>
        <v>27000</v>
      </c>
      <c r="AP75" s="3" t="s">
        <v>465</v>
      </c>
      <c r="AQ75" s="3">
        <f t="shared" ref="AQ75:AQ81" si="365">AO75</f>
        <v>27000</v>
      </c>
      <c r="AR75" s="3">
        <f>AQ75</f>
        <v>27000</v>
      </c>
      <c r="AS75" s="3">
        <f t="shared" ref="AS75:AS81" si="366">AQ75-AR75</f>
        <v>0</v>
      </c>
      <c r="AT75" s="3"/>
    </row>
    <row r="76" spans="1:46" x14ac:dyDescent="0.35">
      <c r="A76" s="3"/>
      <c r="B76" s="172" t="s">
        <v>415</v>
      </c>
      <c r="C76" s="3" t="s">
        <v>182</v>
      </c>
      <c r="D76" s="7">
        <v>60</v>
      </c>
      <c r="E76" s="3">
        <v>55</v>
      </c>
      <c r="F76" s="1">
        <f t="shared" si="347"/>
        <v>3300</v>
      </c>
      <c r="G76" s="7">
        <v>0</v>
      </c>
      <c r="H76" s="3">
        <v>55</v>
      </c>
      <c r="I76" s="27">
        <f t="shared" si="348"/>
        <v>0</v>
      </c>
      <c r="J76" s="3">
        <f t="shared" si="349"/>
        <v>60</v>
      </c>
      <c r="K76" s="7">
        <v>55</v>
      </c>
      <c r="L76" s="7">
        <f t="shared" si="350"/>
        <v>3300</v>
      </c>
      <c r="M76" s="7">
        <v>0</v>
      </c>
      <c r="N76" s="6">
        <f t="shared" si="351"/>
        <v>3300</v>
      </c>
      <c r="O76" s="34"/>
      <c r="P76" s="7">
        <v>60</v>
      </c>
      <c r="Q76" s="3">
        <v>90</v>
      </c>
      <c r="R76" s="3">
        <f t="shared" si="352"/>
        <v>5400</v>
      </c>
      <c r="S76" s="7">
        <v>0</v>
      </c>
      <c r="T76" s="3">
        <v>90</v>
      </c>
      <c r="U76" s="3">
        <f t="shared" si="353"/>
        <v>0</v>
      </c>
      <c r="V76" s="3">
        <f t="shared" si="354"/>
        <v>60</v>
      </c>
      <c r="W76" s="7">
        <v>90</v>
      </c>
      <c r="X76" s="7">
        <f>V76*W76</f>
        <v>5400</v>
      </c>
      <c r="Y76" s="7">
        <v>0</v>
      </c>
      <c r="Z76" s="6">
        <f t="shared" si="356"/>
        <v>5400</v>
      </c>
      <c r="AA76" s="82"/>
      <c r="AB76" s="7">
        <v>0</v>
      </c>
      <c r="AC76" s="3">
        <v>50</v>
      </c>
      <c r="AD76" s="3">
        <f t="shared" si="357"/>
        <v>0</v>
      </c>
      <c r="AE76" s="7">
        <v>0</v>
      </c>
      <c r="AF76" s="3">
        <v>50</v>
      </c>
      <c r="AG76" s="3">
        <f t="shared" si="358"/>
        <v>0</v>
      </c>
      <c r="AH76" s="3">
        <f t="shared" si="359"/>
        <v>0</v>
      </c>
      <c r="AI76" s="3">
        <v>50</v>
      </c>
      <c r="AJ76" s="7">
        <f t="shared" si="360"/>
        <v>0</v>
      </c>
      <c r="AK76" s="7">
        <v>0</v>
      </c>
      <c r="AL76" s="6">
        <f t="shared" si="361"/>
        <v>0</v>
      </c>
      <c r="AM76" s="6">
        <f t="shared" si="362"/>
        <v>8700</v>
      </c>
      <c r="AN76" s="6">
        <f t="shared" si="363"/>
        <v>0</v>
      </c>
      <c r="AO76" s="6">
        <f t="shared" si="364"/>
        <v>8700</v>
      </c>
      <c r="AP76" s="3" t="s">
        <v>465</v>
      </c>
      <c r="AQ76" s="3">
        <f t="shared" si="365"/>
        <v>8700</v>
      </c>
      <c r="AR76" s="3">
        <f t="shared" ref="AR76" si="367">AQ76</f>
        <v>8700</v>
      </c>
      <c r="AS76" s="3">
        <f t="shared" si="366"/>
        <v>0</v>
      </c>
      <c r="AT76" s="3"/>
    </row>
    <row r="77" spans="1:46" x14ac:dyDescent="0.35">
      <c r="A77" s="3"/>
      <c r="B77" s="3" t="s">
        <v>385</v>
      </c>
      <c r="C77" s="3" t="s">
        <v>33</v>
      </c>
      <c r="D77" s="7">
        <v>0</v>
      </c>
      <c r="E77" s="3">
        <v>60</v>
      </c>
      <c r="F77" s="1">
        <f t="shared" si="347"/>
        <v>0</v>
      </c>
      <c r="G77" s="7">
        <v>0</v>
      </c>
      <c r="H77" s="3">
        <v>60</v>
      </c>
      <c r="I77" s="27">
        <f t="shared" si="348"/>
        <v>0</v>
      </c>
      <c r="J77" s="3">
        <f t="shared" si="349"/>
        <v>0</v>
      </c>
      <c r="K77" s="7">
        <v>60</v>
      </c>
      <c r="L77" s="7">
        <f t="shared" si="350"/>
        <v>0</v>
      </c>
      <c r="M77" s="7">
        <v>0</v>
      </c>
      <c r="N77" s="6">
        <f t="shared" si="351"/>
        <v>0</v>
      </c>
      <c r="O77" s="34"/>
      <c r="P77" s="7">
        <v>0</v>
      </c>
      <c r="Q77" s="3">
        <v>100</v>
      </c>
      <c r="R77" s="3">
        <f t="shared" si="352"/>
        <v>0</v>
      </c>
      <c r="S77" s="7">
        <v>0</v>
      </c>
      <c r="T77" s="3">
        <v>100</v>
      </c>
      <c r="U77" s="3">
        <f t="shared" si="353"/>
        <v>0</v>
      </c>
      <c r="V77" s="3">
        <f t="shared" si="354"/>
        <v>0</v>
      </c>
      <c r="W77" s="7">
        <v>100</v>
      </c>
      <c r="X77" s="7">
        <f>V77*W77</f>
        <v>0</v>
      </c>
      <c r="Y77" s="7">
        <v>0</v>
      </c>
      <c r="Z77" s="6">
        <f t="shared" si="356"/>
        <v>0</v>
      </c>
      <c r="AA77" s="82"/>
      <c r="AB77" s="7">
        <v>0</v>
      </c>
      <c r="AC77" s="3">
        <v>50</v>
      </c>
      <c r="AD77" s="3">
        <f t="shared" si="357"/>
        <v>0</v>
      </c>
      <c r="AE77" s="7">
        <v>0</v>
      </c>
      <c r="AF77" s="3">
        <v>50</v>
      </c>
      <c r="AG77" s="3">
        <f t="shared" si="358"/>
        <v>0</v>
      </c>
      <c r="AH77" s="3">
        <f t="shared" si="359"/>
        <v>0</v>
      </c>
      <c r="AI77" s="3">
        <v>50</v>
      </c>
      <c r="AJ77" s="7">
        <f t="shared" si="360"/>
        <v>0</v>
      </c>
      <c r="AK77" s="7">
        <v>0</v>
      </c>
      <c r="AL77" s="6">
        <f t="shared" si="361"/>
        <v>0</v>
      </c>
      <c r="AM77" s="6">
        <f t="shared" si="362"/>
        <v>0</v>
      </c>
      <c r="AN77" s="6">
        <f t="shared" si="363"/>
        <v>0</v>
      </c>
      <c r="AO77" s="6">
        <f t="shared" si="364"/>
        <v>0</v>
      </c>
      <c r="AP77" s="3" t="s">
        <v>465</v>
      </c>
      <c r="AQ77" s="3">
        <f t="shared" si="365"/>
        <v>0</v>
      </c>
      <c r="AR77" s="3">
        <f>AQ77</f>
        <v>0</v>
      </c>
      <c r="AS77" s="3">
        <f t="shared" si="366"/>
        <v>0</v>
      </c>
      <c r="AT77" s="3"/>
    </row>
    <row r="78" spans="1:46" x14ac:dyDescent="0.35">
      <c r="A78" s="3"/>
      <c r="B78" s="3" t="s">
        <v>18</v>
      </c>
      <c r="C78" s="3" t="s">
        <v>33</v>
      </c>
      <c r="D78" s="7">
        <v>0</v>
      </c>
      <c r="E78" s="3">
        <v>60</v>
      </c>
      <c r="F78" s="1">
        <f t="shared" si="347"/>
        <v>0</v>
      </c>
      <c r="G78" s="7">
        <v>0</v>
      </c>
      <c r="H78" s="3">
        <v>60</v>
      </c>
      <c r="I78" s="27">
        <f t="shared" si="348"/>
        <v>0</v>
      </c>
      <c r="J78" s="3">
        <f t="shared" si="349"/>
        <v>0</v>
      </c>
      <c r="K78" s="7">
        <v>60</v>
      </c>
      <c r="L78" s="7">
        <f t="shared" si="350"/>
        <v>0</v>
      </c>
      <c r="M78" s="3">
        <f>J78*5</f>
        <v>0</v>
      </c>
      <c r="N78" s="6">
        <f t="shared" si="351"/>
        <v>0</v>
      </c>
      <c r="O78" s="34"/>
      <c r="P78" s="7">
        <v>0</v>
      </c>
      <c r="Q78" s="3">
        <v>100</v>
      </c>
      <c r="R78" s="3">
        <f t="shared" si="352"/>
        <v>0</v>
      </c>
      <c r="S78" s="7">
        <v>0</v>
      </c>
      <c r="T78" s="3">
        <v>100</v>
      </c>
      <c r="U78" s="3">
        <f t="shared" si="353"/>
        <v>0</v>
      </c>
      <c r="V78" s="3">
        <f t="shared" si="354"/>
        <v>0</v>
      </c>
      <c r="W78" s="7">
        <v>100</v>
      </c>
      <c r="X78" s="7">
        <f t="shared" ref="X78:X81" si="368">V78*W78</f>
        <v>0</v>
      </c>
      <c r="Y78" s="3">
        <f>V78*10</f>
        <v>0</v>
      </c>
      <c r="Z78" s="6">
        <f t="shared" si="356"/>
        <v>0</v>
      </c>
      <c r="AA78" s="82"/>
      <c r="AB78" s="7">
        <v>0</v>
      </c>
      <c r="AC78" s="3">
        <v>50</v>
      </c>
      <c r="AD78" s="3">
        <f t="shared" si="357"/>
        <v>0</v>
      </c>
      <c r="AE78" s="7">
        <v>0</v>
      </c>
      <c r="AF78" s="3">
        <v>50</v>
      </c>
      <c r="AG78" s="3">
        <f t="shared" si="358"/>
        <v>0</v>
      </c>
      <c r="AH78" s="3">
        <f t="shared" si="359"/>
        <v>0</v>
      </c>
      <c r="AI78" s="3">
        <v>50</v>
      </c>
      <c r="AJ78" s="7">
        <f t="shared" si="360"/>
        <v>0</v>
      </c>
      <c r="AK78" s="3">
        <f>AH78*5</f>
        <v>0</v>
      </c>
      <c r="AL78" s="6">
        <f t="shared" si="361"/>
        <v>0</v>
      </c>
      <c r="AM78" s="6">
        <f t="shared" si="362"/>
        <v>0</v>
      </c>
      <c r="AN78" s="6">
        <f t="shared" si="363"/>
        <v>0</v>
      </c>
      <c r="AO78" s="6">
        <f t="shared" si="364"/>
        <v>0</v>
      </c>
      <c r="AP78" s="3" t="s">
        <v>465</v>
      </c>
      <c r="AQ78" s="3">
        <f t="shared" si="365"/>
        <v>0</v>
      </c>
      <c r="AR78" s="3">
        <f t="shared" ref="AR78:AR81" si="369">AQ78</f>
        <v>0</v>
      </c>
      <c r="AS78" s="3">
        <f t="shared" si="366"/>
        <v>0</v>
      </c>
      <c r="AT78" s="3"/>
    </row>
    <row r="79" spans="1:46" x14ac:dyDescent="0.35">
      <c r="A79" s="3"/>
      <c r="B79" s="3" t="s">
        <v>326</v>
      </c>
      <c r="C79" s="3" t="s">
        <v>33</v>
      </c>
      <c r="D79" s="7">
        <v>0</v>
      </c>
      <c r="E79" s="3">
        <v>60</v>
      </c>
      <c r="F79" s="1">
        <f t="shared" si="347"/>
        <v>0</v>
      </c>
      <c r="G79" s="7">
        <v>0</v>
      </c>
      <c r="H79" s="3">
        <v>60</v>
      </c>
      <c r="I79" s="27">
        <f t="shared" si="348"/>
        <v>0</v>
      </c>
      <c r="J79" s="3">
        <f t="shared" si="349"/>
        <v>0</v>
      </c>
      <c r="K79" s="7">
        <v>60</v>
      </c>
      <c r="L79" s="7">
        <f t="shared" si="350"/>
        <v>0</v>
      </c>
      <c r="M79" s="3">
        <v>0</v>
      </c>
      <c r="N79" s="6">
        <f t="shared" si="351"/>
        <v>0</v>
      </c>
      <c r="O79" s="34"/>
      <c r="P79" s="7">
        <v>0</v>
      </c>
      <c r="Q79" s="3">
        <v>100</v>
      </c>
      <c r="R79" s="3">
        <f t="shared" si="352"/>
        <v>0</v>
      </c>
      <c r="S79" s="7">
        <v>0</v>
      </c>
      <c r="T79" s="3">
        <v>100</v>
      </c>
      <c r="U79" s="3">
        <f t="shared" si="353"/>
        <v>0</v>
      </c>
      <c r="V79" s="3">
        <f t="shared" si="354"/>
        <v>0</v>
      </c>
      <c r="W79" s="7">
        <v>100</v>
      </c>
      <c r="X79" s="7">
        <f t="shared" si="368"/>
        <v>0</v>
      </c>
      <c r="Y79" s="3">
        <v>0</v>
      </c>
      <c r="Z79" s="6">
        <f t="shared" si="356"/>
        <v>0</v>
      </c>
      <c r="AA79" s="82"/>
      <c r="AB79" s="7">
        <v>0</v>
      </c>
      <c r="AC79" s="3">
        <v>50</v>
      </c>
      <c r="AD79" s="3">
        <f t="shared" si="357"/>
        <v>0</v>
      </c>
      <c r="AE79" s="7">
        <v>0</v>
      </c>
      <c r="AF79" s="3">
        <v>50</v>
      </c>
      <c r="AG79" s="3">
        <f t="shared" si="358"/>
        <v>0</v>
      </c>
      <c r="AH79" s="3">
        <f t="shared" si="359"/>
        <v>0</v>
      </c>
      <c r="AI79" s="3">
        <v>50</v>
      </c>
      <c r="AJ79" s="7">
        <f t="shared" si="360"/>
        <v>0</v>
      </c>
      <c r="AK79" s="3">
        <v>0</v>
      </c>
      <c r="AL79" s="6">
        <f t="shared" si="361"/>
        <v>0</v>
      </c>
      <c r="AM79" s="6">
        <f t="shared" si="362"/>
        <v>0</v>
      </c>
      <c r="AN79" s="6">
        <f t="shared" si="363"/>
        <v>0</v>
      </c>
      <c r="AO79" s="6">
        <f t="shared" si="364"/>
        <v>0</v>
      </c>
      <c r="AP79" s="3" t="s">
        <v>465</v>
      </c>
      <c r="AQ79" s="3">
        <f t="shared" si="365"/>
        <v>0</v>
      </c>
      <c r="AR79" s="3">
        <f t="shared" si="369"/>
        <v>0</v>
      </c>
      <c r="AS79" s="3">
        <f t="shared" si="366"/>
        <v>0</v>
      </c>
      <c r="AT79" s="3"/>
    </row>
    <row r="80" spans="1:46" x14ac:dyDescent="0.35">
      <c r="A80" s="3"/>
      <c r="B80" s="3" t="s">
        <v>326</v>
      </c>
      <c r="C80" s="3" t="s">
        <v>387</v>
      </c>
      <c r="D80" s="7">
        <v>0</v>
      </c>
      <c r="E80" s="3">
        <v>50</v>
      </c>
      <c r="F80" s="1">
        <f>D80*E80</f>
        <v>0</v>
      </c>
      <c r="G80" s="7">
        <v>0</v>
      </c>
      <c r="H80" s="3">
        <v>50</v>
      </c>
      <c r="I80" s="27">
        <f>G80*H80</f>
        <v>0</v>
      </c>
      <c r="J80" s="3">
        <f>D80-G80</f>
        <v>0</v>
      </c>
      <c r="K80" s="7">
        <v>50</v>
      </c>
      <c r="L80" s="7">
        <f>J80*K80</f>
        <v>0</v>
      </c>
      <c r="M80" s="3">
        <v>0</v>
      </c>
      <c r="N80" s="6">
        <f>L80-M80</f>
        <v>0</v>
      </c>
      <c r="O80" s="34"/>
      <c r="P80" s="7">
        <v>0</v>
      </c>
      <c r="Q80" s="3">
        <v>90</v>
      </c>
      <c r="R80" s="3">
        <f>P80*Q80</f>
        <v>0</v>
      </c>
      <c r="S80" s="7">
        <v>0</v>
      </c>
      <c r="T80" s="3">
        <v>90</v>
      </c>
      <c r="U80" s="3">
        <f>S80*T80</f>
        <v>0</v>
      </c>
      <c r="V80" s="3">
        <f>P80-S80</f>
        <v>0</v>
      </c>
      <c r="W80" s="7">
        <v>90</v>
      </c>
      <c r="X80" s="7">
        <f>V80*W80</f>
        <v>0</v>
      </c>
      <c r="Y80" s="3">
        <v>0</v>
      </c>
      <c r="Z80" s="6">
        <f>X80-Y80</f>
        <v>0</v>
      </c>
      <c r="AA80" s="82"/>
      <c r="AB80" s="7">
        <v>0</v>
      </c>
      <c r="AC80" s="3">
        <v>45</v>
      </c>
      <c r="AD80" s="3">
        <f>AB80*AC80</f>
        <v>0</v>
      </c>
      <c r="AE80" s="7">
        <v>0</v>
      </c>
      <c r="AF80" s="3">
        <v>45</v>
      </c>
      <c r="AG80" s="3">
        <f>AE80*AF80</f>
        <v>0</v>
      </c>
      <c r="AH80" s="3">
        <f>AB80-AE80</f>
        <v>0</v>
      </c>
      <c r="AI80" s="3">
        <v>45</v>
      </c>
      <c r="AJ80" s="7">
        <f>AH80*AI80</f>
        <v>0</v>
      </c>
      <c r="AK80" s="3">
        <v>0</v>
      </c>
      <c r="AL80" s="6">
        <f>AJ80-AK80</f>
        <v>0</v>
      </c>
      <c r="AM80" s="6">
        <f>L80+X80+AJ80</f>
        <v>0</v>
      </c>
      <c r="AN80" s="6">
        <f>M80+Y80+AK80</f>
        <v>0</v>
      </c>
      <c r="AO80" s="6">
        <f>AM80-AN80</f>
        <v>0</v>
      </c>
      <c r="AP80" s="3" t="s">
        <v>465</v>
      </c>
      <c r="AQ80" s="3">
        <f>AO80</f>
        <v>0</v>
      </c>
      <c r="AR80" s="3">
        <f>AQ80</f>
        <v>0</v>
      </c>
      <c r="AS80" s="3">
        <f>AQ80-AR80</f>
        <v>0</v>
      </c>
      <c r="AT80" s="3"/>
    </row>
    <row r="81" spans="1:49" x14ac:dyDescent="0.35">
      <c r="A81" s="3"/>
      <c r="B81" s="3" t="s">
        <v>283</v>
      </c>
      <c r="C81" s="3" t="s">
        <v>33</v>
      </c>
      <c r="D81" s="7">
        <v>0</v>
      </c>
      <c r="E81" s="3">
        <v>60</v>
      </c>
      <c r="F81" s="1">
        <f t="shared" si="347"/>
        <v>0</v>
      </c>
      <c r="G81" s="7">
        <v>0</v>
      </c>
      <c r="H81" s="3">
        <v>60</v>
      </c>
      <c r="I81" s="27">
        <f t="shared" si="348"/>
        <v>0</v>
      </c>
      <c r="J81" s="3">
        <f t="shared" si="349"/>
        <v>0</v>
      </c>
      <c r="K81" s="7">
        <v>60</v>
      </c>
      <c r="L81" s="7">
        <f>J81*K81</f>
        <v>0</v>
      </c>
      <c r="M81" s="3">
        <v>0</v>
      </c>
      <c r="N81" s="6">
        <f t="shared" si="351"/>
        <v>0</v>
      </c>
      <c r="O81" s="34"/>
      <c r="P81" s="7">
        <v>0</v>
      </c>
      <c r="Q81" s="3">
        <v>100</v>
      </c>
      <c r="R81" s="3">
        <f t="shared" si="352"/>
        <v>0</v>
      </c>
      <c r="S81" s="7">
        <v>0</v>
      </c>
      <c r="T81" s="3">
        <v>100</v>
      </c>
      <c r="U81" s="3">
        <f t="shared" si="353"/>
        <v>0</v>
      </c>
      <c r="V81" s="3">
        <f t="shared" si="354"/>
        <v>0</v>
      </c>
      <c r="W81" s="7">
        <v>100</v>
      </c>
      <c r="X81" s="7">
        <f t="shared" si="368"/>
        <v>0</v>
      </c>
      <c r="Y81" s="3">
        <v>0</v>
      </c>
      <c r="Z81" s="6">
        <f t="shared" si="356"/>
        <v>0</v>
      </c>
      <c r="AA81" s="82"/>
      <c r="AB81" s="7">
        <v>0</v>
      </c>
      <c r="AC81" s="3">
        <v>50</v>
      </c>
      <c r="AD81" s="3">
        <f t="shared" si="357"/>
        <v>0</v>
      </c>
      <c r="AE81" s="7">
        <v>0</v>
      </c>
      <c r="AF81" s="3">
        <v>50</v>
      </c>
      <c r="AG81" s="3">
        <f t="shared" si="358"/>
        <v>0</v>
      </c>
      <c r="AH81" s="3">
        <f t="shared" si="359"/>
        <v>0</v>
      </c>
      <c r="AI81" s="3">
        <v>50</v>
      </c>
      <c r="AJ81" s="7">
        <f t="shared" si="360"/>
        <v>0</v>
      </c>
      <c r="AK81" s="3">
        <v>0</v>
      </c>
      <c r="AL81" s="6">
        <f t="shared" si="361"/>
        <v>0</v>
      </c>
      <c r="AM81" s="6">
        <f t="shared" si="362"/>
        <v>0</v>
      </c>
      <c r="AN81" s="6">
        <f t="shared" si="363"/>
        <v>0</v>
      </c>
      <c r="AO81" s="6">
        <f t="shared" si="364"/>
        <v>0</v>
      </c>
      <c r="AP81" s="3" t="s">
        <v>465</v>
      </c>
      <c r="AQ81" s="3">
        <f t="shared" si="365"/>
        <v>0</v>
      </c>
      <c r="AR81" s="3">
        <f t="shared" si="369"/>
        <v>0</v>
      </c>
      <c r="AS81" s="3">
        <f t="shared" si="366"/>
        <v>0</v>
      </c>
      <c r="AT81" s="3"/>
      <c r="AW81">
        <f>15960-1040-240</f>
        <v>14680</v>
      </c>
    </row>
    <row r="82" spans="1:49" x14ac:dyDescent="0.35">
      <c r="A82" s="3"/>
      <c r="B82" s="3" t="s">
        <v>283</v>
      </c>
      <c r="C82" s="3" t="s">
        <v>182</v>
      </c>
      <c r="D82" s="7">
        <v>0</v>
      </c>
      <c r="E82" s="3">
        <v>50</v>
      </c>
      <c r="F82" s="1">
        <f>D82*E82</f>
        <v>0</v>
      </c>
      <c r="G82" s="7">
        <v>0</v>
      </c>
      <c r="H82" s="3">
        <v>50</v>
      </c>
      <c r="I82" s="27">
        <f>G82*H82</f>
        <v>0</v>
      </c>
      <c r="J82" s="3">
        <f>D82-G82</f>
        <v>0</v>
      </c>
      <c r="K82" s="7">
        <v>50</v>
      </c>
      <c r="L82" s="7">
        <f>J82*K82</f>
        <v>0</v>
      </c>
      <c r="M82" s="3">
        <v>0</v>
      </c>
      <c r="N82" s="6">
        <f>L82-M82</f>
        <v>0</v>
      </c>
      <c r="O82" s="34"/>
      <c r="P82" s="7">
        <v>0</v>
      </c>
      <c r="Q82" s="3">
        <v>95</v>
      </c>
      <c r="R82" s="3">
        <f>P82*Q82</f>
        <v>0</v>
      </c>
      <c r="S82" s="7">
        <v>0</v>
      </c>
      <c r="T82" s="3">
        <v>95</v>
      </c>
      <c r="U82" s="3">
        <f>S82*T82</f>
        <v>0</v>
      </c>
      <c r="V82" s="3">
        <f>P82-S82</f>
        <v>0</v>
      </c>
      <c r="W82" s="7">
        <v>95</v>
      </c>
      <c r="X82" s="7">
        <f>V82*W82</f>
        <v>0</v>
      </c>
      <c r="Y82" s="3">
        <v>0</v>
      </c>
      <c r="Z82" s="6">
        <f>X82-Y82</f>
        <v>0</v>
      </c>
      <c r="AA82" s="82"/>
      <c r="AB82" s="7">
        <v>0</v>
      </c>
      <c r="AC82" s="3">
        <v>45</v>
      </c>
      <c r="AD82" s="3">
        <f>AB82*AC82</f>
        <v>0</v>
      </c>
      <c r="AE82" s="7">
        <v>0</v>
      </c>
      <c r="AF82" s="3">
        <v>45</v>
      </c>
      <c r="AG82" s="3">
        <f>AE82*AF82</f>
        <v>0</v>
      </c>
      <c r="AH82" s="3">
        <f>AB82-AE82</f>
        <v>0</v>
      </c>
      <c r="AI82" s="3">
        <v>45</v>
      </c>
      <c r="AJ82" s="7">
        <f>AH82*AI82</f>
        <v>0</v>
      </c>
      <c r="AK82" s="3">
        <v>0</v>
      </c>
      <c r="AL82" s="6">
        <f>AJ82-AK82</f>
        <v>0</v>
      </c>
      <c r="AM82" s="6">
        <f>L82+X82+AJ82</f>
        <v>0</v>
      </c>
      <c r="AN82" s="6">
        <f>M82+Y82+AK82</f>
        <v>0</v>
      </c>
      <c r="AO82" s="6">
        <f>AM82-AN82</f>
        <v>0</v>
      </c>
      <c r="AP82" s="3" t="s">
        <v>465</v>
      </c>
      <c r="AQ82" s="3">
        <f>AO82</f>
        <v>0</v>
      </c>
      <c r="AR82" s="3">
        <f>AQ82</f>
        <v>0</v>
      </c>
      <c r="AS82" s="3">
        <f>AQ82-AR82</f>
        <v>0</v>
      </c>
      <c r="AT82" s="3"/>
      <c r="AW82">
        <f>9600+2760+3600</f>
        <v>15960</v>
      </c>
    </row>
    <row r="83" spans="1:49" x14ac:dyDescent="0.35">
      <c r="A83" s="3"/>
      <c r="B83" s="3" t="s">
        <v>287</v>
      </c>
      <c r="C83" s="3" t="s">
        <v>33</v>
      </c>
      <c r="D83" s="7">
        <v>0</v>
      </c>
      <c r="E83" s="3">
        <v>60</v>
      </c>
      <c r="F83" s="1">
        <f t="shared" ref="F83" si="370">D83*E83</f>
        <v>0</v>
      </c>
      <c r="G83" s="7">
        <v>0</v>
      </c>
      <c r="H83" s="3">
        <v>60</v>
      </c>
      <c r="I83" s="27">
        <f t="shared" ref="I83:I84" si="371">G83*H83</f>
        <v>0</v>
      </c>
      <c r="J83" s="3">
        <f t="shared" ref="J83" si="372">D83-G83</f>
        <v>0</v>
      </c>
      <c r="K83" s="7">
        <v>60</v>
      </c>
      <c r="L83" s="7">
        <f t="shared" ref="L83:L84" si="373">J83*K83</f>
        <v>0</v>
      </c>
      <c r="M83" s="3">
        <f>J83*5</f>
        <v>0</v>
      </c>
      <c r="N83" s="6">
        <f t="shared" ref="N83:N84" si="374">L83-M83</f>
        <v>0</v>
      </c>
      <c r="O83" s="34"/>
      <c r="P83" s="7">
        <v>0</v>
      </c>
      <c r="Q83" s="3">
        <v>100</v>
      </c>
      <c r="R83" s="3">
        <f t="shared" ref="R83" si="375">P83*Q83</f>
        <v>0</v>
      </c>
      <c r="S83" s="7">
        <v>0</v>
      </c>
      <c r="T83" s="3">
        <v>100</v>
      </c>
      <c r="U83" s="3">
        <f t="shared" ref="U83:U84" si="376">S83*T83</f>
        <v>0</v>
      </c>
      <c r="V83" s="3">
        <f t="shared" ref="V83" si="377">P83-S83</f>
        <v>0</v>
      </c>
      <c r="W83" s="7">
        <v>100</v>
      </c>
      <c r="X83" s="7">
        <f t="shared" ref="X83:X84" si="378">V83*W83</f>
        <v>0</v>
      </c>
      <c r="Y83" s="3">
        <f>V83*10</f>
        <v>0</v>
      </c>
      <c r="Z83" s="6">
        <f t="shared" ref="Z83:Z84" si="379">X83-Y83</f>
        <v>0</v>
      </c>
      <c r="AA83" s="82"/>
      <c r="AB83" s="7">
        <v>0</v>
      </c>
      <c r="AC83" s="3">
        <v>50</v>
      </c>
      <c r="AD83" s="3">
        <f t="shared" ref="AD83" si="380">AB83*AC83</f>
        <v>0</v>
      </c>
      <c r="AE83" s="7">
        <v>0</v>
      </c>
      <c r="AF83" s="3">
        <v>50</v>
      </c>
      <c r="AG83" s="3">
        <f t="shared" ref="AG83:AG84" si="381">AE83*AF83</f>
        <v>0</v>
      </c>
      <c r="AH83" s="3">
        <f t="shared" ref="AH83" si="382">AB83-AE83</f>
        <v>0</v>
      </c>
      <c r="AI83" s="3">
        <v>50</v>
      </c>
      <c r="AJ83" s="7">
        <f t="shared" ref="AJ83:AJ84" si="383">AH83*AI83</f>
        <v>0</v>
      </c>
      <c r="AK83" s="3">
        <f>AH83*5</f>
        <v>0</v>
      </c>
      <c r="AL83" s="6">
        <f t="shared" ref="AL83:AL84" si="384">AJ83-AK83</f>
        <v>0</v>
      </c>
      <c r="AM83" s="6">
        <f t="shared" ref="AM83:AM84" si="385">L83+X83+AJ83</f>
        <v>0</v>
      </c>
      <c r="AN83" s="6">
        <f t="shared" ref="AN83:AN84" si="386">M83+Y83+AK83</f>
        <v>0</v>
      </c>
      <c r="AO83" s="6">
        <f t="shared" ref="AO83:AO84" si="387">AM83-AN83</f>
        <v>0</v>
      </c>
      <c r="AP83" s="3" t="s">
        <v>465</v>
      </c>
      <c r="AQ83" s="3">
        <f t="shared" ref="AQ83:AQ84" si="388">AO83</f>
        <v>0</v>
      </c>
      <c r="AR83" s="3">
        <f>AQ83</f>
        <v>0</v>
      </c>
      <c r="AS83" s="3">
        <f t="shared" ref="AS83:AS84" si="389">AQ83-AR83</f>
        <v>0</v>
      </c>
      <c r="AT83" s="3"/>
    </row>
    <row r="84" spans="1:49" x14ac:dyDescent="0.35">
      <c r="A84" s="3"/>
      <c r="B84" s="3" t="s">
        <v>287</v>
      </c>
      <c r="C84" s="3" t="s">
        <v>11</v>
      </c>
      <c r="D84" s="7">
        <v>0</v>
      </c>
      <c r="E84" s="3">
        <v>60</v>
      </c>
      <c r="F84" s="1">
        <v>0</v>
      </c>
      <c r="G84" s="7">
        <v>0</v>
      </c>
      <c r="H84" s="3">
        <v>60</v>
      </c>
      <c r="I84" s="27">
        <f t="shared" si="371"/>
        <v>0</v>
      </c>
      <c r="J84" s="3">
        <v>0</v>
      </c>
      <c r="K84" s="7">
        <v>60</v>
      </c>
      <c r="L84" s="7">
        <f t="shared" si="373"/>
        <v>0</v>
      </c>
      <c r="M84" s="3">
        <v>0</v>
      </c>
      <c r="N84" s="6">
        <f t="shared" si="374"/>
        <v>0</v>
      </c>
      <c r="O84" s="34"/>
      <c r="P84" s="7">
        <v>0</v>
      </c>
      <c r="Q84" s="3">
        <v>100</v>
      </c>
      <c r="R84" s="3">
        <v>0</v>
      </c>
      <c r="S84" s="7">
        <v>0</v>
      </c>
      <c r="T84" s="3">
        <v>100</v>
      </c>
      <c r="U84" s="3">
        <f t="shared" si="376"/>
        <v>0</v>
      </c>
      <c r="V84" s="3">
        <v>0</v>
      </c>
      <c r="W84" s="7">
        <v>100</v>
      </c>
      <c r="X84" s="7">
        <f t="shared" si="378"/>
        <v>0</v>
      </c>
      <c r="Y84" s="3">
        <v>0</v>
      </c>
      <c r="Z84" s="6">
        <f t="shared" si="379"/>
        <v>0</v>
      </c>
      <c r="AA84" s="82"/>
      <c r="AB84" s="7">
        <v>0</v>
      </c>
      <c r="AC84" s="3">
        <v>50</v>
      </c>
      <c r="AD84" s="3">
        <v>0</v>
      </c>
      <c r="AE84" s="7">
        <v>0</v>
      </c>
      <c r="AF84" s="3">
        <v>50</v>
      </c>
      <c r="AG84" s="3">
        <f t="shared" si="381"/>
        <v>0</v>
      </c>
      <c r="AH84" s="3">
        <v>0</v>
      </c>
      <c r="AI84" s="3">
        <v>50</v>
      </c>
      <c r="AJ84" s="7">
        <f t="shared" si="383"/>
        <v>0</v>
      </c>
      <c r="AK84" s="3">
        <v>0</v>
      </c>
      <c r="AL84" s="6">
        <f t="shared" si="384"/>
        <v>0</v>
      </c>
      <c r="AM84" s="6">
        <f t="shared" si="385"/>
        <v>0</v>
      </c>
      <c r="AN84" s="6">
        <f t="shared" si="386"/>
        <v>0</v>
      </c>
      <c r="AO84" s="6">
        <f t="shared" si="387"/>
        <v>0</v>
      </c>
      <c r="AP84" s="3" t="s">
        <v>465</v>
      </c>
      <c r="AQ84" s="3">
        <f t="shared" si="388"/>
        <v>0</v>
      </c>
      <c r="AR84" s="3">
        <f t="shared" ref="AR84" si="390">AQ84</f>
        <v>0</v>
      </c>
      <c r="AS84" s="3">
        <f t="shared" si="389"/>
        <v>0</v>
      </c>
      <c r="AT84" s="3"/>
    </row>
    <row r="85" spans="1:49" x14ac:dyDescent="0.35">
      <c r="A85" s="19"/>
      <c r="B85" s="19" t="s">
        <v>36</v>
      </c>
      <c r="C85" s="19"/>
      <c r="D85" s="19">
        <f>SUM(D75:D84)</f>
        <v>225</v>
      </c>
      <c r="E85" s="19"/>
      <c r="F85" s="19">
        <f>SUM(F75:F84)</f>
        <v>13200</v>
      </c>
      <c r="G85" s="19">
        <f>SUM(G75:G84)</f>
        <v>15</v>
      </c>
      <c r="H85" s="19"/>
      <c r="I85" s="19">
        <f>SUM(I75:I84)</f>
        <v>900</v>
      </c>
      <c r="J85" s="19">
        <f>SUM(J75:J84)</f>
        <v>210</v>
      </c>
      <c r="K85" s="19"/>
      <c r="L85" s="19">
        <f>SUM(L75:L84)</f>
        <v>12300</v>
      </c>
      <c r="M85" s="19">
        <f>SUM(M75:M84)</f>
        <v>0</v>
      </c>
      <c r="N85" s="19">
        <f>SUM(N75:N84)</f>
        <v>12300</v>
      </c>
      <c r="O85" s="34"/>
      <c r="P85" s="19">
        <f>SUM(P75:P84)</f>
        <v>180</v>
      </c>
      <c r="Q85" s="19"/>
      <c r="R85" s="19">
        <f>SUM(R75:R84)</f>
        <v>17400</v>
      </c>
      <c r="S85" s="19">
        <f>SUM(S75:S84)</f>
        <v>0</v>
      </c>
      <c r="T85" s="19"/>
      <c r="U85" s="19">
        <f>SUM(U75:U84)</f>
        <v>0</v>
      </c>
      <c r="V85" s="19">
        <f>SUM(V75:V84)</f>
        <v>180</v>
      </c>
      <c r="W85" s="19"/>
      <c r="X85" s="19">
        <f>SUM(X75:X84)</f>
        <v>17400</v>
      </c>
      <c r="Y85" s="19">
        <f>SUM(Y75:Y84)</f>
        <v>0</v>
      </c>
      <c r="Z85" s="19">
        <f>SUM(Z75:Z84)</f>
        <v>17400</v>
      </c>
      <c r="AA85" s="34"/>
      <c r="AB85" s="19">
        <f>SUM(AB75:AB84)</f>
        <v>120</v>
      </c>
      <c r="AC85" s="19"/>
      <c r="AD85" s="19">
        <f>SUM(AD75:AD84)</f>
        <v>6000</v>
      </c>
      <c r="AE85" s="19">
        <f>SUM(AE75:AE84)</f>
        <v>0</v>
      </c>
      <c r="AF85" s="19"/>
      <c r="AG85" s="19">
        <f>SUM(AG75:AG84)</f>
        <v>0</v>
      </c>
      <c r="AH85" s="19">
        <f>SUM(AH75:AH84)</f>
        <v>120</v>
      </c>
      <c r="AI85" s="19"/>
      <c r="AJ85" s="19">
        <f t="shared" ref="AJ85:AO85" si="391">SUM(AJ75:AJ84)</f>
        <v>6000</v>
      </c>
      <c r="AK85" s="19">
        <f t="shared" si="391"/>
        <v>0</v>
      </c>
      <c r="AL85" s="19">
        <f t="shared" si="391"/>
        <v>6000</v>
      </c>
      <c r="AM85" s="19">
        <f t="shared" si="391"/>
        <v>35700</v>
      </c>
      <c r="AN85" s="19">
        <f t="shared" si="391"/>
        <v>0</v>
      </c>
      <c r="AO85" s="19">
        <f t="shared" si="391"/>
        <v>35700</v>
      </c>
      <c r="AP85" s="19"/>
      <c r="AQ85" s="19">
        <f>SUM(AQ75:AQ84)</f>
        <v>35700</v>
      </c>
      <c r="AR85" s="19">
        <f>SUM(AR75:AR84)</f>
        <v>35700</v>
      </c>
      <c r="AS85" s="19">
        <f>SUM(AS75:AS84)</f>
        <v>0</v>
      </c>
      <c r="AT85" s="74"/>
    </row>
    <row r="86" spans="1:49" x14ac:dyDescent="0.35">
      <c r="A86" s="3" t="s">
        <v>466</v>
      </c>
      <c r="B86" s="172" t="s">
        <v>276</v>
      </c>
      <c r="C86" s="3" t="s">
        <v>33</v>
      </c>
      <c r="D86" s="7">
        <f>225-60</f>
        <v>165</v>
      </c>
      <c r="E86" s="3">
        <v>60</v>
      </c>
      <c r="F86" s="1">
        <f t="shared" ref="F86:F93" si="392">D86*E86</f>
        <v>9900</v>
      </c>
      <c r="G86" s="3">
        <v>64</v>
      </c>
      <c r="H86" s="3">
        <v>60</v>
      </c>
      <c r="I86" s="27">
        <f t="shared" ref="I86:I93" si="393">G86*H86</f>
        <v>3840</v>
      </c>
      <c r="J86" s="3">
        <f t="shared" ref="J86:J93" si="394">D86-G86</f>
        <v>101</v>
      </c>
      <c r="K86" s="7">
        <v>60</v>
      </c>
      <c r="L86" s="7">
        <f t="shared" ref="L86:L93" si="395">J86*K86</f>
        <v>6060</v>
      </c>
      <c r="M86" s="3">
        <v>0</v>
      </c>
      <c r="N86" s="6">
        <f t="shared" ref="N86:N93" si="396">L86-M86</f>
        <v>6060</v>
      </c>
      <c r="O86" s="34"/>
      <c r="P86" s="3">
        <v>204</v>
      </c>
      <c r="Q86" s="3">
        <v>100</v>
      </c>
      <c r="R86" s="3">
        <f t="shared" ref="R86:R93" si="397">P86*Q86</f>
        <v>20400</v>
      </c>
      <c r="S86" s="3">
        <v>0</v>
      </c>
      <c r="T86" s="3">
        <v>100</v>
      </c>
      <c r="U86" s="3">
        <f t="shared" ref="U86:U93" si="398">S86*T86</f>
        <v>0</v>
      </c>
      <c r="V86" s="3">
        <f t="shared" ref="V86:V93" si="399">P86-S86</f>
        <v>204</v>
      </c>
      <c r="W86" s="7">
        <v>100</v>
      </c>
      <c r="X86" s="7">
        <f t="shared" ref="X86" si="400">V86*W86</f>
        <v>20400</v>
      </c>
      <c r="Y86" s="3">
        <v>0</v>
      </c>
      <c r="Z86" s="6">
        <f t="shared" ref="Z86:Z93" si="401">X86-Y86</f>
        <v>20400</v>
      </c>
      <c r="AA86" s="82"/>
      <c r="AB86" s="3">
        <v>180</v>
      </c>
      <c r="AC86" s="3">
        <v>50</v>
      </c>
      <c r="AD86" s="3">
        <f t="shared" ref="AD86:AD93" si="402">AB86*AC86</f>
        <v>9000</v>
      </c>
      <c r="AE86" s="3">
        <v>0</v>
      </c>
      <c r="AF86" s="3">
        <v>50</v>
      </c>
      <c r="AG86" s="3">
        <f t="shared" ref="AG86:AG93" si="403">AE86*AF86</f>
        <v>0</v>
      </c>
      <c r="AH86" s="3">
        <f t="shared" ref="AH86:AH93" si="404">AB86-AE86</f>
        <v>180</v>
      </c>
      <c r="AI86" s="3">
        <v>50</v>
      </c>
      <c r="AJ86" s="7">
        <f t="shared" ref="AJ86:AJ93" si="405">AH86*AI86</f>
        <v>9000</v>
      </c>
      <c r="AK86" s="3">
        <v>0</v>
      </c>
      <c r="AL86" s="6">
        <f t="shared" ref="AL86:AL93" si="406">AJ86-AK86</f>
        <v>9000</v>
      </c>
      <c r="AM86" s="6">
        <f t="shared" ref="AM86:AM93" si="407">L86+X86+AJ86</f>
        <v>35460</v>
      </c>
      <c r="AN86" s="6">
        <f t="shared" ref="AN86:AN93" si="408">M86+Y86+AK86</f>
        <v>0</v>
      </c>
      <c r="AO86" s="6">
        <f t="shared" ref="AO86:AO93" si="409">AM86-AN86</f>
        <v>35460</v>
      </c>
      <c r="AP86" s="3" t="s">
        <v>466</v>
      </c>
      <c r="AQ86" s="3">
        <f t="shared" ref="AQ86:AQ93" si="410">AO86</f>
        <v>35460</v>
      </c>
      <c r="AR86" s="3">
        <f t="shared" ref="AR86:AR93" si="411">AQ86</f>
        <v>35460</v>
      </c>
      <c r="AS86" s="3">
        <f t="shared" ref="AS86:AS93" si="412">AQ86-AR86</f>
        <v>0</v>
      </c>
      <c r="AT86" s="3"/>
    </row>
    <row r="87" spans="1:49" x14ac:dyDescent="0.35">
      <c r="A87" s="3"/>
      <c r="B87" s="172" t="s">
        <v>276</v>
      </c>
      <c r="C87" s="3" t="s">
        <v>182</v>
      </c>
      <c r="D87" s="7">
        <v>60</v>
      </c>
      <c r="E87" s="3">
        <v>55</v>
      </c>
      <c r="F87" s="1">
        <f t="shared" si="392"/>
        <v>3300</v>
      </c>
      <c r="G87" s="7">
        <v>0</v>
      </c>
      <c r="H87" s="3">
        <v>55</v>
      </c>
      <c r="I87" s="27">
        <f t="shared" si="393"/>
        <v>0</v>
      </c>
      <c r="J87" s="3">
        <f t="shared" si="394"/>
        <v>60</v>
      </c>
      <c r="K87" s="7">
        <v>55</v>
      </c>
      <c r="L87" s="7">
        <f t="shared" si="395"/>
        <v>3300</v>
      </c>
      <c r="M87" s="7">
        <v>0</v>
      </c>
      <c r="N87" s="6">
        <f t="shared" si="396"/>
        <v>3300</v>
      </c>
      <c r="O87" s="34"/>
      <c r="P87" s="7">
        <v>0</v>
      </c>
      <c r="Q87" s="3">
        <v>100</v>
      </c>
      <c r="R87" s="3">
        <f t="shared" si="397"/>
        <v>0</v>
      </c>
      <c r="S87" s="7">
        <v>0</v>
      </c>
      <c r="T87" s="3">
        <v>100</v>
      </c>
      <c r="U87" s="3">
        <f t="shared" si="398"/>
        <v>0</v>
      </c>
      <c r="V87" s="3">
        <f t="shared" si="399"/>
        <v>0</v>
      </c>
      <c r="W87" s="7">
        <v>100</v>
      </c>
      <c r="X87" s="7">
        <f>V87*W87</f>
        <v>0</v>
      </c>
      <c r="Y87" s="7">
        <v>0</v>
      </c>
      <c r="Z87" s="6">
        <f t="shared" si="401"/>
        <v>0</v>
      </c>
      <c r="AA87" s="82"/>
      <c r="AB87" s="7">
        <v>0</v>
      </c>
      <c r="AC87" s="3">
        <v>50</v>
      </c>
      <c r="AD87" s="3">
        <f t="shared" si="402"/>
        <v>0</v>
      </c>
      <c r="AE87" s="7">
        <v>0</v>
      </c>
      <c r="AF87" s="3">
        <v>50</v>
      </c>
      <c r="AG87" s="3">
        <f t="shared" si="403"/>
        <v>0</v>
      </c>
      <c r="AH87" s="3">
        <f t="shared" si="404"/>
        <v>0</v>
      </c>
      <c r="AI87" s="3">
        <v>50</v>
      </c>
      <c r="AJ87" s="7">
        <f t="shared" si="405"/>
        <v>0</v>
      </c>
      <c r="AK87" s="7">
        <v>0</v>
      </c>
      <c r="AL87" s="6">
        <f t="shared" si="406"/>
        <v>0</v>
      </c>
      <c r="AM87" s="6">
        <f t="shared" si="407"/>
        <v>3300</v>
      </c>
      <c r="AN87" s="6">
        <f t="shared" si="408"/>
        <v>0</v>
      </c>
      <c r="AO87" s="6">
        <f t="shared" si="409"/>
        <v>3300</v>
      </c>
      <c r="AP87" s="3" t="s">
        <v>466</v>
      </c>
      <c r="AQ87" s="3">
        <f t="shared" si="410"/>
        <v>3300</v>
      </c>
      <c r="AR87" s="3">
        <f t="shared" si="411"/>
        <v>3300</v>
      </c>
      <c r="AS87" s="3">
        <f t="shared" si="412"/>
        <v>0</v>
      </c>
      <c r="AT87" s="3"/>
    </row>
    <row r="88" spans="1:49" x14ac:dyDescent="0.35">
      <c r="A88" s="3"/>
      <c r="B88" s="172" t="s">
        <v>386</v>
      </c>
      <c r="C88" s="3" t="s">
        <v>33</v>
      </c>
      <c r="D88" s="7">
        <f>300-75</f>
        <v>225</v>
      </c>
      <c r="E88" s="3">
        <v>60</v>
      </c>
      <c r="F88" s="1">
        <f t="shared" si="392"/>
        <v>13500</v>
      </c>
      <c r="G88" s="3">
        <v>154</v>
      </c>
      <c r="H88" s="3">
        <v>60</v>
      </c>
      <c r="I88" s="27">
        <f t="shared" si="393"/>
        <v>9240</v>
      </c>
      <c r="J88" s="3">
        <f t="shared" si="394"/>
        <v>71</v>
      </c>
      <c r="K88" s="7">
        <v>60</v>
      </c>
      <c r="L88" s="7">
        <f t="shared" si="395"/>
        <v>4260</v>
      </c>
      <c r="M88" s="7">
        <v>0</v>
      </c>
      <c r="N88" s="6">
        <f t="shared" si="396"/>
        <v>4260</v>
      </c>
      <c r="O88" s="34"/>
      <c r="P88" s="3">
        <v>144</v>
      </c>
      <c r="Q88" s="3">
        <v>100</v>
      </c>
      <c r="R88" s="3">
        <f t="shared" si="397"/>
        <v>14400</v>
      </c>
      <c r="S88" s="3">
        <v>0</v>
      </c>
      <c r="T88" s="3">
        <v>100</v>
      </c>
      <c r="U88" s="3">
        <f t="shared" si="398"/>
        <v>0</v>
      </c>
      <c r="V88" s="3">
        <f t="shared" si="399"/>
        <v>144</v>
      </c>
      <c r="W88" s="7">
        <v>100</v>
      </c>
      <c r="X88" s="7">
        <f>V88*W88</f>
        <v>14400</v>
      </c>
      <c r="Y88" s="7">
        <v>0</v>
      </c>
      <c r="Z88" s="6">
        <f t="shared" si="401"/>
        <v>14400</v>
      </c>
      <c r="AA88" s="82"/>
      <c r="AB88" s="3">
        <v>120</v>
      </c>
      <c r="AC88" s="3">
        <v>50</v>
      </c>
      <c r="AD88" s="3">
        <f t="shared" si="402"/>
        <v>6000</v>
      </c>
      <c r="AE88" s="3">
        <v>0</v>
      </c>
      <c r="AF88" s="3">
        <v>50</v>
      </c>
      <c r="AG88" s="3">
        <f t="shared" si="403"/>
        <v>0</v>
      </c>
      <c r="AH88" s="3">
        <f t="shared" si="404"/>
        <v>120</v>
      </c>
      <c r="AI88" s="3">
        <v>50</v>
      </c>
      <c r="AJ88" s="7">
        <f t="shared" si="405"/>
        <v>6000</v>
      </c>
      <c r="AK88" s="7">
        <v>0</v>
      </c>
      <c r="AL88" s="6">
        <f t="shared" si="406"/>
        <v>6000</v>
      </c>
      <c r="AM88" s="6">
        <f t="shared" si="407"/>
        <v>24660</v>
      </c>
      <c r="AN88" s="6">
        <f t="shared" si="408"/>
        <v>0</v>
      </c>
      <c r="AO88" s="6">
        <f t="shared" si="409"/>
        <v>24660</v>
      </c>
      <c r="AP88" s="3" t="s">
        <v>466</v>
      </c>
      <c r="AQ88" s="3">
        <f t="shared" si="410"/>
        <v>24660</v>
      </c>
      <c r="AR88" s="3">
        <f t="shared" si="411"/>
        <v>24660</v>
      </c>
      <c r="AS88" s="3">
        <f t="shared" si="412"/>
        <v>0</v>
      </c>
      <c r="AT88" s="3"/>
    </row>
    <row r="89" spans="1:49" x14ac:dyDescent="0.35">
      <c r="A89" s="3"/>
      <c r="B89" s="172" t="s">
        <v>386</v>
      </c>
      <c r="C89" s="3" t="s">
        <v>182</v>
      </c>
      <c r="D89" s="7">
        <v>75</v>
      </c>
      <c r="E89" s="3">
        <v>55</v>
      </c>
      <c r="F89" s="1">
        <f t="shared" si="392"/>
        <v>4125</v>
      </c>
      <c r="G89" s="7">
        <v>0</v>
      </c>
      <c r="H89" s="3">
        <v>55</v>
      </c>
      <c r="I89" s="27">
        <f t="shared" si="393"/>
        <v>0</v>
      </c>
      <c r="J89" s="3">
        <f t="shared" si="394"/>
        <v>75</v>
      </c>
      <c r="K89" s="7">
        <v>55</v>
      </c>
      <c r="L89" s="7">
        <f t="shared" si="395"/>
        <v>4125</v>
      </c>
      <c r="M89" s="7">
        <v>0</v>
      </c>
      <c r="N89" s="6">
        <f t="shared" si="396"/>
        <v>4125</v>
      </c>
      <c r="O89" s="34"/>
      <c r="P89" s="7">
        <v>0</v>
      </c>
      <c r="Q89" s="3">
        <v>100</v>
      </c>
      <c r="R89" s="3">
        <f t="shared" si="397"/>
        <v>0</v>
      </c>
      <c r="S89" s="7">
        <v>0</v>
      </c>
      <c r="T89" s="3">
        <v>100</v>
      </c>
      <c r="U89" s="3">
        <f t="shared" si="398"/>
        <v>0</v>
      </c>
      <c r="V89" s="3">
        <f t="shared" si="399"/>
        <v>0</v>
      </c>
      <c r="W89" s="7">
        <v>100</v>
      </c>
      <c r="X89" s="7">
        <f>V89*W89</f>
        <v>0</v>
      </c>
      <c r="Y89" s="7">
        <v>0</v>
      </c>
      <c r="Z89" s="6">
        <f t="shared" si="401"/>
        <v>0</v>
      </c>
      <c r="AA89" s="82"/>
      <c r="AB89" s="7">
        <v>0</v>
      </c>
      <c r="AC89" s="3">
        <v>45</v>
      </c>
      <c r="AD89" s="3">
        <f t="shared" si="402"/>
        <v>0</v>
      </c>
      <c r="AE89" s="7">
        <v>0</v>
      </c>
      <c r="AF89" s="3">
        <v>45</v>
      </c>
      <c r="AG89" s="3">
        <f t="shared" si="403"/>
        <v>0</v>
      </c>
      <c r="AH89" s="3">
        <f t="shared" si="404"/>
        <v>0</v>
      </c>
      <c r="AI89" s="3">
        <v>45</v>
      </c>
      <c r="AJ89" s="7">
        <f t="shared" si="405"/>
        <v>0</v>
      </c>
      <c r="AK89" s="7">
        <v>0</v>
      </c>
      <c r="AL89" s="6">
        <f t="shared" si="406"/>
        <v>0</v>
      </c>
      <c r="AM89" s="6">
        <f t="shared" si="407"/>
        <v>4125</v>
      </c>
      <c r="AN89" s="6">
        <f t="shared" si="408"/>
        <v>0</v>
      </c>
      <c r="AO89" s="6">
        <f t="shared" si="409"/>
        <v>4125</v>
      </c>
      <c r="AP89" s="3" t="s">
        <v>466</v>
      </c>
      <c r="AQ89" s="3">
        <f t="shared" si="410"/>
        <v>4125</v>
      </c>
      <c r="AR89" s="3">
        <f t="shared" si="411"/>
        <v>4125</v>
      </c>
      <c r="AS89" s="3">
        <f t="shared" si="412"/>
        <v>0</v>
      </c>
      <c r="AT89" s="3"/>
    </row>
    <row r="90" spans="1:49" x14ac:dyDescent="0.35">
      <c r="A90" s="3"/>
      <c r="B90" s="172" t="s">
        <v>415</v>
      </c>
      <c r="C90" s="3" t="s">
        <v>33</v>
      </c>
      <c r="D90" s="7">
        <v>240</v>
      </c>
      <c r="E90" s="3">
        <v>60</v>
      </c>
      <c r="F90" s="1">
        <f t="shared" si="392"/>
        <v>14400</v>
      </c>
      <c r="G90" s="3">
        <v>15</v>
      </c>
      <c r="H90" s="3">
        <v>60</v>
      </c>
      <c r="I90" s="27">
        <f t="shared" si="393"/>
        <v>900</v>
      </c>
      <c r="J90" s="3">
        <f t="shared" si="394"/>
        <v>225</v>
      </c>
      <c r="K90" s="7">
        <v>60</v>
      </c>
      <c r="L90" s="7">
        <f t="shared" si="395"/>
        <v>13500</v>
      </c>
      <c r="M90" s="3">
        <f>J90*5</f>
        <v>1125</v>
      </c>
      <c r="N90" s="6">
        <f t="shared" si="396"/>
        <v>12375</v>
      </c>
      <c r="O90" s="34"/>
      <c r="P90" s="3">
        <v>240</v>
      </c>
      <c r="Q90" s="3">
        <v>100</v>
      </c>
      <c r="R90" s="3">
        <f t="shared" si="397"/>
        <v>24000</v>
      </c>
      <c r="S90" s="3">
        <v>28</v>
      </c>
      <c r="T90" s="3">
        <v>100</v>
      </c>
      <c r="U90" s="3">
        <f t="shared" si="398"/>
        <v>2800</v>
      </c>
      <c r="V90" s="3">
        <f t="shared" si="399"/>
        <v>212</v>
      </c>
      <c r="W90" s="7">
        <v>100</v>
      </c>
      <c r="X90" s="7">
        <f t="shared" ref="X90:X93" si="413">V90*W90</f>
        <v>21200</v>
      </c>
      <c r="Y90" s="3">
        <f>V90*10</f>
        <v>2120</v>
      </c>
      <c r="Z90" s="6">
        <f t="shared" si="401"/>
        <v>19080</v>
      </c>
      <c r="AA90" s="82"/>
      <c r="AB90" s="3">
        <v>144</v>
      </c>
      <c r="AC90" s="3">
        <v>50</v>
      </c>
      <c r="AD90" s="3">
        <f t="shared" si="402"/>
        <v>7200</v>
      </c>
      <c r="AE90" s="3">
        <v>7</v>
      </c>
      <c r="AF90" s="3">
        <v>50</v>
      </c>
      <c r="AG90" s="3">
        <f t="shared" si="403"/>
        <v>350</v>
      </c>
      <c r="AH90" s="3">
        <f t="shared" si="404"/>
        <v>137</v>
      </c>
      <c r="AI90" s="3">
        <v>50</v>
      </c>
      <c r="AJ90" s="7">
        <f t="shared" si="405"/>
        <v>6850</v>
      </c>
      <c r="AK90" s="3">
        <f>AH90*5</f>
        <v>685</v>
      </c>
      <c r="AL90" s="6">
        <f t="shared" si="406"/>
        <v>6165</v>
      </c>
      <c r="AM90" s="6">
        <f t="shared" si="407"/>
        <v>41550</v>
      </c>
      <c r="AN90" s="6">
        <f t="shared" si="408"/>
        <v>3930</v>
      </c>
      <c r="AO90" s="6">
        <f t="shared" si="409"/>
        <v>37620</v>
      </c>
      <c r="AP90" s="3" t="s">
        <v>466</v>
      </c>
      <c r="AQ90" s="3">
        <f t="shared" si="410"/>
        <v>37620</v>
      </c>
      <c r="AR90" s="3">
        <f t="shared" si="411"/>
        <v>37620</v>
      </c>
      <c r="AS90" s="3">
        <f t="shared" si="412"/>
        <v>0</v>
      </c>
      <c r="AT90" s="3"/>
    </row>
    <row r="91" spans="1:49" x14ac:dyDescent="0.35">
      <c r="A91" s="3"/>
      <c r="B91" s="172" t="s">
        <v>326</v>
      </c>
      <c r="C91" s="3" t="s">
        <v>33</v>
      </c>
      <c r="D91" s="7">
        <v>30</v>
      </c>
      <c r="E91" s="3">
        <v>60</v>
      </c>
      <c r="F91" s="1">
        <f t="shared" si="392"/>
        <v>1800</v>
      </c>
      <c r="G91" s="3">
        <v>0</v>
      </c>
      <c r="H91" s="3">
        <v>60</v>
      </c>
      <c r="I91" s="27">
        <f t="shared" si="393"/>
        <v>0</v>
      </c>
      <c r="J91" s="3">
        <f t="shared" si="394"/>
        <v>30</v>
      </c>
      <c r="K91" s="7">
        <v>60</v>
      </c>
      <c r="L91" s="7">
        <f t="shared" si="395"/>
        <v>1800</v>
      </c>
      <c r="M91" s="3">
        <v>0</v>
      </c>
      <c r="N91" s="6">
        <f t="shared" si="396"/>
        <v>1800</v>
      </c>
      <c r="O91" s="34"/>
      <c r="P91" s="3">
        <v>60</v>
      </c>
      <c r="Q91" s="3">
        <v>100</v>
      </c>
      <c r="R91" s="3">
        <f t="shared" si="397"/>
        <v>6000</v>
      </c>
      <c r="S91" s="3">
        <v>0</v>
      </c>
      <c r="T91" s="3">
        <v>100</v>
      </c>
      <c r="U91" s="3">
        <f t="shared" si="398"/>
        <v>0</v>
      </c>
      <c r="V91" s="3">
        <f t="shared" si="399"/>
        <v>60</v>
      </c>
      <c r="W91" s="7">
        <v>100</v>
      </c>
      <c r="X91" s="7">
        <f t="shared" si="413"/>
        <v>6000</v>
      </c>
      <c r="Y91" s="3">
        <v>0</v>
      </c>
      <c r="Z91" s="6">
        <f t="shared" si="401"/>
        <v>6000</v>
      </c>
      <c r="AA91" s="82"/>
      <c r="AB91" s="3">
        <v>60</v>
      </c>
      <c r="AC91" s="3">
        <v>50</v>
      </c>
      <c r="AD91" s="3">
        <f t="shared" si="402"/>
        <v>3000</v>
      </c>
      <c r="AE91" s="3">
        <v>5</v>
      </c>
      <c r="AF91" s="3">
        <v>50</v>
      </c>
      <c r="AG91" s="3">
        <f t="shared" si="403"/>
        <v>250</v>
      </c>
      <c r="AH91" s="3">
        <f t="shared" si="404"/>
        <v>55</v>
      </c>
      <c r="AI91" s="3">
        <v>50</v>
      </c>
      <c r="AJ91" s="7">
        <f t="shared" si="405"/>
        <v>2750</v>
      </c>
      <c r="AK91" s="3">
        <v>0</v>
      </c>
      <c r="AL91" s="6">
        <f t="shared" si="406"/>
        <v>2750</v>
      </c>
      <c r="AM91" s="6">
        <f t="shared" si="407"/>
        <v>10550</v>
      </c>
      <c r="AN91" s="6">
        <f t="shared" si="408"/>
        <v>0</v>
      </c>
      <c r="AO91" s="6">
        <f t="shared" si="409"/>
        <v>10550</v>
      </c>
      <c r="AP91" s="3" t="s">
        <v>466</v>
      </c>
      <c r="AQ91" s="3">
        <f t="shared" si="410"/>
        <v>10550</v>
      </c>
      <c r="AR91" s="3">
        <f t="shared" si="411"/>
        <v>10550</v>
      </c>
      <c r="AS91" s="3">
        <f t="shared" si="412"/>
        <v>0</v>
      </c>
      <c r="AT91" s="3"/>
    </row>
    <row r="92" spans="1:49" x14ac:dyDescent="0.35">
      <c r="A92" s="3"/>
      <c r="B92" s="172" t="s">
        <v>326</v>
      </c>
      <c r="C92" s="3" t="s">
        <v>329</v>
      </c>
      <c r="D92" s="7">
        <v>0</v>
      </c>
      <c r="E92" s="3">
        <v>50</v>
      </c>
      <c r="F92" s="1">
        <f t="shared" si="392"/>
        <v>0</v>
      </c>
      <c r="G92" s="3">
        <v>0</v>
      </c>
      <c r="H92" s="3">
        <v>50</v>
      </c>
      <c r="I92" s="27">
        <f t="shared" si="393"/>
        <v>0</v>
      </c>
      <c r="J92" s="3">
        <f t="shared" si="394"/>
        <v>0</v>
      </c>
      <c r="K92" s="7">
        <v>50</v>
      </c>
      <c r="L92" s="7">
        <f t="shared" si="395"/>
        <v>0</v>
      </c>
      <c r="M92" s="3">
        <v>0</v>
      </c>
      <c r="N92" s="6">
        <f t="shared" si="396"/>
        <v>0</v>
      </c>
      <c r="O92" s="34"/>
      <c r="P92" s="3">
        <v>0</v>
      </c>
      <c r="Q92" s="3">
        <v>50</v>
      </c>
      <c r="R92" s="3">
        <f t="shared" si="397"/>
        <v>0</v>
      </c>
      <c r="S92" s="3">
        <v>0</v>
      </c>
      <c r="T92" s="3">
        <v>50</v>
      </c>
      <c r="U92" s="3">
        <f t="shared" si="398"/>
        <v>0</v>
      </c>
      <c r="V92" s="3">
        <f t="shared" si="399"/>
        <v>0</v>
      </c>
      <c r="W92" s="7">
        <v>50</v>
      </c>
      <c r="X92" s="7">
        <f t="shared" si="413"/>
        <v>0</v>
      </c>
      <c r="Y92" s="3">
        <v>0</v>
      </c>
      <c r="Z92" s="6">
        <f t="shared" si="401"/>
        <v>0</v>
      </c>
      <c r="AA92" s="82"/>
      <c r="AB92" s="3">
        <v>0</v>
      </c>
      <c r="AC92" s="3">
        <v>50</v>
      </c>
      <c r="AD92" s="3">
        <f t="shared" si="402"/>
        <v>0</v>
      </c>
      <c r="AE92" s="3">
        <v>0</v>
      </c>
      <c r="AF92" s="3">
        <v>50</v>
      </c>
      <c r="AG92" s="3">
        <f t="shared" si="403"/>
        <v>0</v>
      </c>
      <c r="AH92" s="3">
        <f t="shared" si="404"/>
        <v>0</v>
      </c>
      <c r="AI92" s="3">
        <v>50</v>
      </c>
      <c r="AJ92" s="7">
        <f t="shared" si="405"/>
        <v>0</v>
      </c>
      <c r="AK92" s="3">
        <v>0</v>
      </c>
      <c r="AL92" s="6">
        <f t="shared" si="406"/>
        <v>0</v>
      </c>
      <c r="AM92" s="6">
        <f t="shared" si="407"/>
        <v>0</v>
      </c>
      <c r="AN92" s="6">
        <f t="shared" si="408"/>
        <v>0</v>
      </c>
      <c r="AO92" s="6">
        <f t="shared" si="409"/>
        <v>0</v>
      </c>
      <c r="AP92" s="3" t="s">
        <v>466</v>
      </c>
      <c r="AQ92" s="3">
        <f t="shared" si="410"/>
        <v>0</v>
      </c>
      <c r="AR92" s="3">
        <f>AQ92</f>
        <v>0</v>
      </c>
      <c r="AS92" s="3">
        <f t="shared" si="412"/>
        <v>0</v>
      </c>
      <c r="AT92" s="3"/>
    </row>
    <row r="93" spans="1:49" x14ac:dyDescent="0.35">
      <c r="A93" s="3"/>
      <c r="B93" s="172" t="s">
        <v>283</v>
      </c>
      <c r="C93" s="3" t="s">
        <v>33</v>
      </c>
      <c r="D93" s="7">
        <v>15</v>
      </c>
      <c r="E93" s="3">
        <v>60</v>
      </c>
      <c r="F93" s="1">
        <f t="shared" si="392"/>
        <v>900</v>
      </c>
      <c r="G93" s="3">
        <v>10</v>
      </c>
      <c r="H93" s="3">
        <v>60</v>
      </c>
      <c r="I93" s="27">
        <f t="shared" si="393"/>
        <v>600</v>
      </c>
      <c r="J93" s="3">
        <f t="shared" si="394"/>
        <v>5</v>
      </c>
      <c r="K93" s="7">
        <v>60</v>
      </c>
      <c r="L93" s="7">
        <f t="shared" si="395"/>
        <v>300</v>
      </c>
      <c r="M93" s="3">
        <v>0</v>
      </c>
      <c r="N93" s="6">
        <f t="shared" si="396"/>
        <v>300</v>
      </c>
      <c r="O93" s="34"/>
      <c r="P93" s="3">
        <f>24+15+100+1</f>
        <v>140</v>
      </c>
      <c r="Q93" s="3">
        <v>100</v>
      </c>
      <c r="R93" s="3">
        <f t="shared" si="397"/>
        <v>14000</v>
      </c>
      <c r="S93" s="3">
        <v>0</v>
      </c>
      <c r="T93" s="3">
        <v>100</v>
      </c>
      <c r="U93" s="3">
        <f t="shared" si="398"/>
        <v>0</v>
      </c>
      <c r="V93" s="3">
        <f t="shared" si="399"/>
        <v>140</v>
      </c>
      <c r="W93" s="7">
        <v>100</v>
      </c>
      <c r="X93" s="7">
        <f t="shared" si="413"/>
        <v>14000</v>
      </c>
      <c r="Y93" s="3">
        <v>0</v>
      </c>
      <c r="Z93" s="6">
        <f t="shared" si="401"/>
        <v>14000</v>
      </c>
      <c r="AA93" s="82"/>
      <c r="AB93" s="3">
        <v>21</v>
      </c>
      <c r="AC93" s="3">
        <v>50</v>
      </c>
      <c r="AD93" s="3">
        <f t="shared" si="402"/>
        <v>1050</v>
      </c>
      <c r="AE93" s="3">
        <v>3</v>
      </c>
      <c r="AF93" s="3">
        <v>50</v>
      </c>
      <c r="AG93" s="3">
        <f t="shared" si="403"/>
        <v>150</v>
      </c>
      <c r="AH93" s="3">
        <f t="shared" si="404"/>
        <v>18</v>
      </c>
      <c r="AI93" s="3">
        <v>50</v>
      </c>
      <c r="AJ93" s="7">
        <f t="shared" si="405"/>
        <v>900</v>
      </c>
      <c r="AK93" s="3">
        <v>0</v>
      </c>
      <c r="AL93" s="6">
        <f t="shared" si="406"/>
        <v>900</v>
      </c>
      <c r="AM93" s="6">
        <f t="shared" si="407"/>
        <v>15200</v>
      </c>
      <c r="AN93" s="6">
        <f t="shared" si="408"/>
        <v>0</v>
      </c>
      <c r="AO93" s="6">
        <f t="shared" si="409"/>
        <v>15200</v>
      </c>
      <c r="AP93" s="3" t="s">
        <v>466</v>
      </c>
      <c r="AQ93" s="3">
        <f t="shared" si="410"/>
        <v>15200</v>
      </c>
      <c r="AR93" s="3">
        <f t="shared" si="411"/>
        <v>15200</v>
      </c>
      <c r="AS93" s="3">
        <f t="shared" si="412"/>
        <v>0</v>
      </c>
      <c r="AT93" s="3"/>
    </row>
    <row r="94" spans="1:49" x14ac:dyDescent="0.35">
      <c r="A94" s="3"/>
      <c r="B94" s="172" t="s">
        <v>363</v>
      </c>
      <c r="C94" s="3" t="s">
        <v>351</v>
      </c>
      <c r="D94" s="7">
        <v>0</v>
      </c>
      <c r="E94" s="3">
        <v>60</v>
      </c>
      <c r="F94" s="1">
        <f t="shared" ref="F94" si="414">D94*E94</f>
        <v>0</v>
      </c>
      <c r="G94" s="3">
        <v>0</v>
      </c>
      <c r="H94" s="3">
        <v>60</v>
      </c>
      <c r="I94" s="27">
        <f t="shared" ref="I94" si="415">G94*H94</f>
        <v>0</v>
      </c>
      <c r="J94" s="3">
        <f t="shared" ref="J94" si="416">D94-G94</f>
        <v>0</v>
      </c>
      <c r="K94" s="7">
        <v>60</v>
      </c>
      <c r="L94" s="7">
        <f t="shared" ref="L94" si="417">J94*K94</f>
        <v>0</v>
      </c>
      <c r="M94" s="3">
        <v>0</v>
      </c>
      <c r="N94" s="6">
        <f t="shared" ref="N94" si="418">L94-M94</f>
        <v>0</v>
      </c>
      <c r="O94" s="34"/>
      <c r="P94" s="3">
        <f>72</f>
        <v>72</v>
      </c>
      <c r="Q94" s="3">
        <v>90</v>
      </c>
      <c r="R94" s="3">
        <f t="shared" ref="R94" si="419">P94*Q94</f>
        <v>6480</v>
      </c>
      <c r="S94" s="3">
        <v>0</v>
      </c>
      <c r="T94" s="3">
        <v>90</v>
      </c>
      <c r="U94" s="3">
        <f t="shared" ref="U94" si="420">S94*T94</f>
        <v>0</v>
      </c>
      <c r="V94" s="3">
        <f t="shared" ref="V94" si="421">P94-S94</f>
        <v>72</v>
      </c>
      <c r="W94" s="7">
        <v>90</v>
      </c>
      <c r="X94" s="7">
        <f t="shared" ref="X94" si="422">V94*W94</f>
        <v>6480</v>
      </c>
      <c r="Y94" s="3">
        <v>0</v>
      </c>
      <c r="Z94" s="6">
        <f t="shared" ref="Z94" si="423">X94-Y94</f>
        <v>6480</v>
      </c>
      <c r="AA94" s="82"/>
      <c r="AB94" s="3">
        <v>24</v>
      </c>
      <c r="AC94" s="3">
        <v>45</v>
      </c>
      <c r="AD94" s="3">
        <f t="shared" ref="AD94" si="424">AB94*AC94</f>
        <v>1080</v>
      </c>
      <c r="AE94" s="3">
        <v>0</v>
      </c>
      <c r="AF94" s="3">
        <v>45</v>
      </c>
      <c r="AG94" s="3">
        <f t="shared" ref="AG94" si="425">AE94*AF94</f>
        <v>0</v>
      </c>
      <c r="AH94" s="3">
        <f t="shared" ref="AH94" si="426">AB94-AE94</f>
        <v>24</v>
      </c>
      <c r="AI94" s="3">
        <v>45</v>
      </c>
      <c r="AJ94" s="7">
        <f t="shared" ref="AJ94" si="427">AH94*AI94</f>
        <v>1080</v>
      </c>
      <c r="AK94" s="3">
        <v>0</v>
      </c>
      <c r="AL94" s="6">
        <f t="shared" ref="AL94" si="428">AJ94-AK94</f>
        <v>1080</v>
      </c>
      <c r="AM94" s="6">
        <f t="shared" ref="AM94" si="429">L94+X94+AJ94</f>
        <v>7560</v>
      </c>
      <c r="AN94" s="6">
        <f t="shared" ref="AN94" si="430">M94+Y94+AK94</f>
        <v>0</v>
      </c>
      <c r="AO94" s="6">
        <f t="shared" ref="AO94" si="431">AM94-AN94</f>
        <v>7560</v>
      </c>
      <c r="AP94" s="3" t="s">
        <v>466</v>
      </c>
      <c r="AQ94" s="3">
        <f t="shared" ref="AQ94" si="432">AO94</f>
        <v>7560</v>
      </c>
      <c r="AR94" s="3">
        <f t="shared" ref="AR94" si="433">AQ94</f>
        <v>7560</v>
      </c>
      <c r="AS94" s="3">
        <f t="shared" ref="AS94" si="434">AQ94-AR94</f>
        <v>0</v>
      </c>
      <c r="AT94" s="3"/>
    </row>
    <row r="95" spans="1:49" x14ac:dyDescent="0.35">
      <c r="A95" s="3"/>
      <c r="B95" s="3" t="s">
        <v>287</v>
      </c>
      <c r="C95" s="3" t="s">
        <v>331</v>
      </c>
      <c r="D95" s="7">
        <v>0</v>
      </c>
      <c r="E95" s="3">
        <v>60</v>
      </c>
      <c r="F95" s="1">
        <f t="shared" ref="F95" si="435">D95*E95</f>
        <v>0</v>
      </c>
      <c r="G95" s="7">
        <v>0</v>
      </c>
      <c r="H95" s="3">
        <v>60</v>
      </c>
      <c r="I95" s="27">
        <f t="shared" ref="I95:I96" si="436">G95*H95</f>
        <v>0</v>
      </c>
      <c r="J95" s="3">
        <f t="shared" ref="J95" si="437">D95-G95</f>
        <v>0</v>
      </c>
      <c r="K95" s="7">
        <v>60</v>
      </c>
      <c r="L95" s="7">
        <f t="shared" ref="L95:L96" si="438">J95*K95</f>
        <v>0</v>
      </c>
      <c r="M95" s="3">
        <f>J95*5</f>
        <v>0</v>
      </c>
      <c r="N95" s="6">
        <f t="shared" ref="N95:N96" si="439">L95-M95</f>
        <v>0</v>
      </c>
      <c r="O95" s="34"/>
      <c r="P95" s="7">
        <v>0</v>
      </c>
      <c r="Q95" s="3">
        <v>100</v>
      </c>
      <c r="R95" s="3">
        <f t="shared" ref="R95" si="440">P95*Q95</f>
        <v>0</v>
      </c>
      <c r="S95" s="7">
        <v>0</v>
      </c>
      <c r="T95" s="3">
        <v>100</v>
      </c>
      <c r="U95" s="3">
        <f t="shared" ref="U95:U96" si="441">S95*T95</f>
        <v>0</v>
      </c>
      <c r="V95" s="3">
        <f t="shared" ref="V95" si="442">P95-S95</f>
        <v>0</v>
      </c>
      <c r="W95" s="7">
        <v>100</v>
      </c>
      <c r="X95" s="7">
        <f t="shared" ref="X95:X96" si="443">V95*W95</f>
        <v>0</v>
      </c>
      <c r="Y95" s="3">
        <f>V95*10</f>
        <v>0</v>
      </c>
      <c r="Z95" s="6">
        <f t="shared" ref="Z95:Z96" si="444">X95-Y95</f>
        <v>0</v>
      </c>
      <c r="AA95" s="82"/>
      <c r="AB95" s="7">
        <v>0</v>
      </c>
      <c r="AC95" s="3">
        <v>50</v>
      </c>
      <c r="AD95" s="3">
        <f t="shared" ref="AD95" si="445">AB95*AC95</f>
        <v>0</v>
      </c>
      <c r="AE95" s="7">
        <v>0</v>
      </c>
      <c r="AF95" s="3">
        <v>50</v>
      </c>
      <c r="AG95" s="3">
        <f t="shared" ref="AG95:AG96" si="446">AE95*AF95</f>
        <v>0</v>
      </c>
      <c r="AH95" s="3">
        <f t="shared" ref="AH95" si="447">AB95-AE95</f>
        <v>0</v>
      </c>
      <c r="AI95" s="3">
        <v>50</v>
      </c>
      <c r="AJ95" s="7">
        <f t="shared" ref="AJ95:AJ96" si="448">AH95*AI95</f>
        <v>0</v>
      </c>
      <c r="AK95" s="3">
        <f>AH95*5</f>
        <v>0</v>
      </c>
      <c r="AL95" s="6">
        <f t="shared" ref="AL95:AL96" si="449">AJ95-AK95</f>
        <v>0</v>
      </c>
      <c r="AM95" s="6">
        <f t="shared" ref="AM95:AM96" si="450">L95+X95+AJ95</f>
        <v>0</v>
      </c>
      <c r="AN95" s="6">
        <f t="shared" ref="AN95:AN96" si="451">M95+Y95+AK95</f>
        <v>0</v>
      </c>
      <c r="AO95" s="6">
        <f t="shared" ref="AO95:AO96" si="452">AM95-AN95</f>
        <v>0</v>
      </c>
      <c r="AP95" s="3" t="s">
        <v>466</v>
      </c>
      <c r="AQ95" s="3">
        <f t="shared" ref="AQ95:AQ96" si="453">AO95</f>
        <v>0</v>
      </c>
      <c r="AR95" s="3">
        <f>AQ95</f>
        <v>0</v>
      </c>
      <c r="AS95" s="3">
        <f t="shared" ref="AS95:AS96" si="454">AQ95-AR95</f>
        <v>0</v>
      </c>
      <c r="AT95" s="3"/>
    </row>
    <row r="96" spans="1:49" x14ac:dyDescent="0.35">
      <c r="A96" s="3"/>
      <c r="B96" s="3" t="s">
        <v>287</v>
      </c>
      <c r="C96" s="3" t="s">
        <v>11</v>
      </c>
      <c r="D96" s="7">
        <v>0</v>
      </c>
      <c r="E96" s="3">
        <v>60</v>
      </c>
      <c r="F96" s="1">
        <v>0</v>
      </c>
      <c r="G96" s="7">
        <v>0</v>
      </c>
      <c r="H96" s="3">
        <v>60</v>
      </c>
      <c r="I96" s="27">
        <f t="shared" si="436"/>
        <v>0</v>
      </c>
      <c r="J96" s="3">
        <v>0</v>
      </c>
      <c r="K96" s="7">
        <v>60</v>
      </c>
      <c r="L96" s="7">
        <f t="shared" si="438"/>
        <v>0</v>
      </c>
      <c r="M96" s="3">
        <v>0</v>
      </c>
      <c r="N96" s="6">
        <f t="shared" si="439"/>
        <v>0</v>
      </c>
      <c r="O96" s="34"/>
      <c r="P96" s="7">
        <v>0</v>
      </c>
      <c r="Q96" s="3">
        <v>100</v>
      </c>
      <c r="R96" s="3">
        <v>0</v>
      </c>
      <c r="S96" s="7">
        <v>0</v>
      </c>
      <c r="T96" s="3">
        <v>100</v>
      </c>
      <c r="U96" s="3">
        <f t="shared" si="441"/>
        <v>0</v>
      </c>
      <c r="V96" s="3">
        <v>0</v>
      </c>
      <c r="W96" s="7">
        <v>100</v>
      </c>
      <c r="X96" s="7">
        <f t="shared" si="443"/>
        <v>0</v>
      </c>
      <c r="Y96" s="3">
        <v>0</v>
      </c>
      <c r="Z96" s="6">
        <f t="shared" si="444"/>
        <v>0</v>
      </c>
      <c r="AA96" s="82"/>
      <c r="AB96" s="7">
        <v>0</v>
      </c>
      <c r="AC96" s="3">
        <v>50</v>
      </c>
      <c r="AD96" s="3">
        <v>0</v>
      </c>
      <c r="AE96" s="7">
        <v>0</v>
      </c>
      <c r="AF96" s="3">
        <v>50</v>
      </c>
      <c r="AG96" s="3">
        <f t="shared" si="446"/>
        <v>0</v>
      </c>
      <c r="AH96" s="3">
        <v>0</v>
      </c>
      <c r="AI96" s="3">
        <v>50</v>
      </c>
      <c r="AJ96" s="7">
        <f t="shared" si="448"/>
        <v>0</v>
      </c>
      <c r="AK96" s="3">
        <v>0</v>
      </c>
      <c r="AL96" s="6">
        <f t="shared" si="449"/>
        <v>0</v>
      </c>
      <c r="AM96" s="6">
        <f t="shared" si="450"/>
        <v>0</v>
      </c>
      <c r="AN96" s="6">
        <f t="shared" si="451"/>
        <v>0</v>
      </c>
      <c r="AO96" s="6">
        <f t="shared" si="452"/>
        <v>0</v>
      </c>
      <c r="AP96" s="3" t="s">
        <v>466</v>
      </c>
      <c r="AQ96" s="3">
        <f t="shared" si="453"/>
        <v>0</v>
      </c>
      <c r="AR96" s="3">
        <f t="shared" ref="AR96" si="455">AQ96</f>
        <v>0</v>
      </c>
      <c r="AS96" s="3">
        <f t="shared" si="454"/>
        <v>0</v>
      </c>
      <c r="AT96" s="3"/>
    </row>
    <row r="97" spans="1:46" x14ac:dyDescent="0.35">
      <c r="A97" s="19"/>
      <c r="B97" s="19" t="s">
        <v>36</v>
      </c>
      <c r="C97" s="19"/>
      <c r="D97" s="19">
        <f>SUM(D86:D96)</f>
        <v>810</v>
      </c>
      <c r="E97" s="19"/>
      <c r="F97" s="19">
        <f>SUM(F86:F96)</f>
        <v>47925</v>
      </c>
      <c r="G97" s="19">
        <f>SUM(G86:G96)</f>
        <v>243</v>
      </c>
      <c r="H97" s="19"/>
      <c r="I97" s="19">
        <f>SUM(I86:I96)</f>
        <v>14580</v>
      </c>
      <c r="J97" s="19">
        <f>SUM(J86:J96)</f>
        <v>567</v>
      </c>
      <c r="K97" s="19"/>
      <c r="L97" s="19">
        <f>SUM(L86:L96)</f>
        <v>33345</v>
      </c>
      <c r="M97" s="19">
        <f>SUM(M86:M96)</f>
        <v>1125</v>
      </c>
      <c r="N97" s="19">
        <f>SUM(N86:N96)</f>
        <v>32220</v>
      </c>
      <c r="O97" s="34"/>
      <c r="P97" s="19">
        <f>SUM(P86:P96)</f>
        <v>860</v>
      </c>
      <c r="Q97" s="19"/>
      <c r="R97" s="19">
        <f>SUM(R86:R96)</f>
        <v>85280</v>
      </c>
      <c r="S97" s="19">
        <f>SUM(S86:S96)</f>
        <v>28</v>
      </c>
      <c r="T97" s="19"/>
      <c r="U97" s="19">
        <f>SUM(U86:U96)</f>
        <v>2800</v>
      </c>
      <c r="V97" s="19">
        <f>SUM(V86:V96)</f>
        <v>832</v>
      </c>
      <c r="W97" s="19"/>
      <c r="X97" s="19">
        <f>SUM(X86:X96)</f>
        <v>82480</v>
      </c>
      <c r="Y97" s="19">
        <f>SUM(Y86:Y96)</f>
        <v>2120</v>
      </c>
      <c r="Z97" s="19">
        <f>SUM(Z86:Z96)</f>
        <v>80360</v>
      </c>
      <c r="AA97" s="34"/>
      <c r="AB97" s="19">
        <f>SUM(AB86:AB96)</f>
        <v>549</v>
      </c>
      <c r="AC97" s="19"/>
      <c r="AD97" s="19">
        <f>SUM(AD86:AD96)</f>
        <v>27330</v>
      </c>
      <c r="AE97" s="19">
        <f>SUM(AE86:AE96)</f>
        <v>15</v>
      </c>
      <c r="AF97" s="19"/>
      <c r="AG97" s="19">
        <f>SUM(AG86:AG96)</f>
        <v>750</v>
      </c>
      <c r="AH97" s="19">
        <f>SUM(AH86:AH96)</f>
        <v>534</v>
      </c>
      <c r="AI97" s="19"/>
      <c r="AJ97" s="19">
        <f t="shared" ref="AJ97:AO97" si="456">SUM(AJ86:AJ96)</f>
        <v>26580</v>
      </c>
      <c r="AK97" s="19">
        <f t="shared" si="456"/>
        <v>685</v>
      </c>
      <c r="AL97" s="19">
        <f t="shared" si="456"/>
        <v>25895</v>
      </c>
      <c r="AM97" s="19">
        <f t="shared" si="456"/>
        <v>142405</v>
      </c>
      <c r="AN97" s="19">
        <f t="shared" si="456"/>
        <v>3930</v>
      </c>
      <c r="AO97" s="19">
        <f t="shared" si="456"/>
        <v>138475</v>
      </c>
      <c r="AP97" s="19"/>
      <c r="AQ97" s="19">
        <f>SUM(AQ86:AQ96)</f>
        <v>138475</v>
      </c>
      <c r="AR97" s="19">
        <f>SUM(AR86:AR96)</f>
        <v>138475</v>
      </c>
      <c r="AS97" s="19">
        <f>SUM(AS86:AS96)</f>
        <v>0</v>
      </c>
      <c r="AT97" s="74"/>
    </row>
    <row r="98" spans="1:46" x14ac:dyDescent="0.35">
      <c r="A98" s="3" t="s">
        <v>467</v>
      </c>
      <c r="B98" s="172" t="s">
        <v>276</v>
      </c>
      <c r="C98" s="3" t="s">
        <v>33</v>
      </c>
      <c r="D98" s="7">
        <f>225-30</f>
        <v>195</v>
      </c>
      <c r="E98" s="3">
        <v>60</v>
      </c>
      <c r="F98" s="1">
        <f t="shared" ref="F98:F104" si="457">D98*E98</f>
        <v>11700</v>
      </c>
      <c r="G98" s="3">
        <v>137</v>
      </c>
      <c r="H98" s="3">
        <v>60</v>
      </c>
      <c r="I98" s="27">
        <f t="shared" ref="I98:I110" si="458">G98*H98</f>
        <v>8220</v>
      </c>
      <c r="J98" s="3">
        <f t="shared" ref="J98:J104" si="459">D98-G98</f>
        <v>58</v>
      </c>
      <c r="K98" s="7">
        <v>60</v>
      </c>
      <c r="L98" s="7">
        <f t="shared" ref="L98:L110" si="460">J98*K98</f>
        <v>3480</v>
      </c>
      <c r="M98" s="3">
        <v>0</v>
      </c>
      <c r="N98" s="6">
        <f t="shared" ref="N98:N110" si="461">L98-M98</f>
        <v>3480</v>
      </c>
      <c r="O98" s="34"/>
      <c r="P98" s="3">
        <v>216</v>
      </c>
      <c r="Q98" s="3">
        <v>100</v>
      </c>
      <c r="R98" s="3">
        <f t="shared" ref="R98:R104" si="462">P98*Q98</f>
        <v>21600</v>
      </c>
      <c r="S98" s="3">
        <v>0</v>
      </c>
      <c r="T98" s="3">
        <v>100</v>
      </c>
      <c r="U98" s="3">
        <f t="shared" ref="U98:U110" si="463">S98*T98</f>
        <v>0</v>
      </c>
      <c r="V98" s="3">
        <f t="shared" ref="V98:V104" si="464">P98-S98</f>
        <v>216</v>
      </c>
      <c r="W98" s="7">
        <v>100</v>
      </c>
      <c r="X98" s="7">
        <f t="shared" ref="X98" si="465">V98*W98</f>
        <v>21600</v>
      </c>
      <c r="Y98" s="3">
        <v>0</v>
      </c>
      <c r="Z98" s="6">
        <f t="shared" ref="Z98:Z110" si="466">X98-Y98</f>
        <v>21600</v>
      </c>
      <c r="AA98" s="82"/>
      <c r="AB98" s="3">
        <v>180</v>
      </c>
      <c r="AC98" s="3">
        <v>50</v>
      </c>
      <c r="AD98" s="3">
        <f t="shared" ref="AD98:AD104" si="467">AB98*AC98</f>
        <v>9000</v>
      </c>
      <c r="AE98" s="3">
        <v>7</v>
      </c>
      <c r="AF98" s="3">
        <v>50</v>
      </c>
      <c r="AG98" s="3">
        <f t="shared" ref="AG98:AG110" si="468">AE98*AF98</f>
        <v>350</v>
      </c>
      <c r="AH98" s="3">
        <f t="shared" ref="AH98:AH104" si="469">AB98-AE98</f>
        <v>173</v>
      </c>
      <c r="AI98" s="3">
        <v>50</v>
      </c>
      <c r="AJ98" s="7">
        <f t="shared" ref="AJ98:AJ110" si="470">AH98*AI98</f>
        <v>8650</v>
      </c>
      <c r="AK98" s="3">
        <v>0</v>
      </c>
      <c r="AL98" s="6">
        <f t="shared" ref="AL98:AL110" si="471">AJ98-AK98</f>
        <v>8650</v>
      </c>
      <c r="AM98" s="6">
        <f t="shared" ref="AM98:AM110" si="472">L98+X98+AJ98</f>
        <v>33730</v>
      </c>
      <c r="AN98" s="6">
        <f t="shared" ref="AN98:AN110" si="473">M98+Y98+AK98</f>
        <v>0</v>
      </c>
      <c r="AO98" s="6">
        <f t="shared" ref="AO98:AO110" si="474">AM98-AN98</f>
        <v>33730</v>
      </c>
      <c r="AP98" s="3" t="s">
        <v>467</v>
      </c>
      <c r="AQ98" s="3">
        <f t="shared" ref="AQ98:AQ110" si="475">AO98</f>
        <v>33730</v>
      </c>
      <c r="AR98" s="3">
        <f>AQ98</f>
        <v>33730</v>
      </c>
      <c r="AS98" s="3">
        <f t="shared" ref="AS98:AS110" si="476">AQ98-AR98</f>
        <v>0</v>
      </c>
      <c r="AT98" s="3"/>
    </row>
    <row r="99" spans="1:46" x14ac:dyDescent="0.35">
      <c r="A99" s="3"/>
      <c r="B99" s="172" t="s">
        <v>276</v>
      </c>
      <c r="C99" s="3" t="s">
        <v>182</v>
      </c>
      <c r="D99" s="7">
        <v>30</v>
      </c>
      <c r="E99" s="3">
        <v>55</v>
      </c>
      <c r="F99" s="1">
        <f t="shared" si="457"/>
        <v>1650</v>
      </c>
      <c r="G99" s="3">
        <v>0</v>
      </c>
      <c r="H99" s="3">
        <v>55</v>
      </c>
      <c r="I99" s="27">
        <f t="shared" si="458"/>
        <v>0</v>
      </c>
      <c r="J99" s="3">
        <f t="shared" si="459"/>
        <v>30</v>
      </c>
      <c r="K99" s="7">
        <v>55</v>
      </c>
      <c r="L99" s="7">
        <f t="shared" si="460"/>
        <v>1650</v>
      </c>
      <c r="M99" s="7">
        <v>0</v>
      </c>
      <c r="N99" s="6">
        <f t="shared" si="461"/>
        <v>1650</v>
      </c>
      <c r="O99" s="34"/>
      <c r="P99" s="3">
        <v>0</v>
      </c>
      <c r="Q99" s="3">
        <v>100</v>
      </c>
      <c r="R99" s="3">
        <f t="shared" si="462"/>
        <v>0</v>
      </c>
      <c r="S99" s="3">
        <v>0</v>
      </c>
      <c r="T99" s="3">
        <v>100</v>
      </c>
      <c r="U99" s="3">
        <f t="shared" si="463"/>
        <v>0</v>
      </c>
      <c r="V99" s="3">
        <f t="shared" si="464"/>
        <v>0</v>
      </c>
      <c r="W99" s="7">
        <v>100</v>
      </c>
      <c r="X99" s="7">
        <f>V99*W99</f>
        <v>0</v>
      </c>
      <c r="Y99" s="7">
        <v>0</v>
      </c>
      <c r="Z99" s="6">
        <f t="shared" si="466"/>
        <v>0</v>
      </c>
      <c r="AA99" s="82"/>
      <c r="AB99" s="3">
        <v>0</v>
      </c>
      <c r="AC99" s="3">
        <v>50</v>
      </c>
      <c r="AD99" s="3">
        <f t="shared" si="467"/>
        <v>0</v>
      </c>
      <c r="AE99" s="3">
        <v>0</v>
      </c>
      <c r="AF99" s="3">
        <v>50</v>
      </c>
      <c r="AG99" s="3">
        <f t="shared" si="468"/>
        <v>0</v>
      </c>
      <c r="AH99" s="3">
        <f t="shared" si="469"/>
        <v>0</v>
      </c>
      <c r="AI99" s="3">
        <v>50</v>
      </c>
      <c r="AJ99" s="7">
        <f t="shared" si="470"/>
        <v>0</v>
      </c>
      <c r="AK99" s="7">
        <v>0</v>
      </c>
      <c r="AL99" s="6">
        <f t="shared" si="471"/>
        <v>0</v>
      </c>
      <c r="AM99" s="6">
        <f t="shared" si="472"/>
        <v>1650</v>
      </c>
      <c r="AN99" s="6">
        <f t="shared" si="473"/>
        <v>0</v>
      </c>
      <c r="AO99" s="6">
        <f t="shared" si="474"/>
        <v>1650</v>
      </c>
      <c r="AP99" s="3" t="s">
        <v>467</v>
      </c>
      <c r="AQ99" s="3">
        <f t="shared" si="475"/>
        <v>1650</v>
      </c>
      <c r="AR99" s="3">
        <f t="shared" ref="AR99" si="477">AQ99</f>
        <v>1650</v>
      </c>
      <c r="AS99" s="3">
        <f t="shared" si="476"/>
        <v>0</v>
      </c>
      <c r="AT99" s="3"/>
    </row>
    <row r="100" spans="1:46" x14ac:dyDescent="0.35">
      <c r="A100" s="3"/>
      <c r="B100" s="172" t="s">
        <v>454</v>
      </c>
      <c r="C100" s="3" t="s">
        <v>33</v>
      </c>
      <c r="D100" s="7">
        <v>300</v>
      </c>
      <c r="E100" s="3">
        <v>60</v>
      </c>
      <c r="F100" s="1">
        <f t="shared" si="457"/>
        <v>18000</v>
      </c>
      <c r="G100" s="3">
        <v>199</v>
      </c>
      <c r="H100" s="3">
        <v>60</v>
      </c>
      <c r="I100" s="27">
        <f t="shared" si="458"/>
        <v>11940</v>
      </c>
      <c r="J100" s="3">
        <f t="shared" si="459"/>
        <v>101</v>
      </c>
      <c r="K100" s="7">
        <v>60</v>
      </c>
      <c r="L100" s="7">
        <f t="shared" si="460"/>
        <v>6060</v>
      </c>
      <c r="M100" s="7">
        <v>0</v>
      </c>
      <c r="N100" s="6">
        <f t="shared" si="461"/>
        <v>6060</v>
      </c>
      <c r="O100" s="34"/>
      <c r="P100" s="3">
        <v>151</v>
      </c>
      <c r="Q100" s="3">
        <v>100</v>
      </c>
      <c r="R100" s="3">
        <f t="shared" si="462"/>
        <v>15100</v>
      </c>
      <c r="S100" s="3">
        <v>0</v>
      </c>
      <c r="T100" s="3">
        <v>100</v>
      </c>
      <c r="U100" s="3">
        <f t="shared" si="463"/>
        <v>0</v>
      </c>
      <c r="V100" s="3">
        <f t="shared" si="464"/>
        <v>151</v>
      </c>
      <c r="W100" s="7">
        <v>100</v>
      </c>
      <c r="X100" s="7">
        <f>V100*W100</f>
        <v>15100</v>
      </c>
      <c r="Y100" s="7">
        <v>0</v>
      </c>
      <c r="Z100" s="6">
        <f t="shared" si="466"/>
        <v>15100</v>
      </c>
      <c r="AA100" s="82"/>
      <c r="AB100" s="3">
        <v>240</v>
      </c>
      <c r="AC100" s="3">
        <v>50</v>
      </c>
      <c r="AD100" s="3">
        <f t="shared" si="467"/>
        <v>12000</v>
      </c>
      <c r="AE100" s="3">
        <v>140</v>
      </c>
      <c r="AF100" s="3">
        <v>50</v>
      </c>
      <c r="AG100" s="3">
        <f t="shared" si="468"/>
        <v>7000</v>
      </c>
      <c r="AH100" s="3">
        <f t="shared" si="469"/>
        <v>100</v>
      </c>
      <c r="AI100" s="3">
        <v>50</v>
      </c>
      <c r="AJ100" s="7">
        <f t="shared" si="470"/>
        <v>5000</v>
      </c>
      <c r="AK100" s="7">
        <v>0</v>
      </c>
      <c r="AL100" s="6">
        <f t="shared" si="471"/>
        <v>5000</v>
      </c>
      <c r="AM100" s="6">
        <f t="shared" si="472"/>
        <v>26160</v>
      </c>
      <c r="AN100" s="6">
        <f t="shared" si="473"/>
        <v>0</v>
      </c>
      <c r="AO100" s="6">
        <f t="shared" si="474"/>
        <v>26160</v>
      </c>
      <c r="AP100" s="3" t="s">
        <v>467</v>
      </c>
      <c r="AQ100" s="3">
        <f t="shared" si="475"/>
        <v>26160</v>
      </c>
      <c r="AR100" s="3">
        <f t="shared" ref="AR100:AR104" si="478">AQ100</f>
        <v>26160</v>
      </c>
      <c r="AS100" s="3">
        <f t="shared" si="476"/>
        <v>0</v>
      </c>
      <c r="AT100" s="3"/>
    </row>
    <row r="101" spans="1:46" x14ac:dyDescent="0.35">
      <c r="A101" s="3"/>
      <c r="B101" s="172" t="s">
        <v>454</v>
      </c>
      <c r="C101" s="3" t="s">
        <v>182</v>
      </c>
      <c r="D101" s="7">
        <v>0</v>
      </c>
      <c r="E101" s="3">
        <v>55</v>
      </c>
      <c r="F101" s="1">
        <f t="shared" ref="F101:F102" si="479">D101*E101</f>
        <v>0</v>
      </c>
      <c r="G101" s="3">
        <v>0</v>
      </c>
      <c r="H101" s="3">
        <v>55</v>
      </c>
      <c r="I101" s="27">
        <f t="shared" ref="I101:I102" si="480">G101*H101</f>
        <v>0</v>
      </c>
      <c r="J101" s="3">
        <f t="shared" ref="J101:J102" si="481">D101-G101</f>
        <v>0</v>
      </c>
      <c r="K101" s="7">
        <v>55</v>
      </c>
      <c r="L101" s="7">
        <f t="shared" ref="L101:L102" si="482">J101*K101</f>
        <v>0</v>
      </c>
      <c r="M101" s="7">
        <v>0</v>
      </c>
      <c r="N101" s="6">
        <f t="shared" ref="N101:N102" si="483">L101-M101</f>
        <v>0</v>
      </c>
      <c r="O101" s="34"/>
      <c r="P101" s="3">
        <v>0</v>
      </c>
      <c r="Q101" s="3">
        <v>100</v>
      </c>
      <c r="R101" s="3">
        <f t="shared" ref="R101:R102" si="484">P101*Q101</f>
        <v>0</v>
      </c>
      <c r="S101" s="3">
        <v>0</v>
      </c>
      <c r="T101" s="3">
        <v>100</v>
      </c>
      <c r="U101" s="3">
        <f t="shared" ref="U101:U102" si="485">S101*T101</f>
        <v>0</v>
      </c>
      <c r="V101" s="3">
        <f t="shared" ref="V101:V102" si="486">P101-S101</f>
        <v>0</v>
      </c>
      <c r="W101" s="7">
        <v>100</v>
      </c>
      <c r="X101" s="7">
        <f>V101*W101</f>
        <v>0</v>
      </c>
      <c r="Y101" s="7">
        <v>0</v>
      </c>
      <c r="Z101" s="6">
        <f t="shared" ref="Z101:Z102" si="487">X101-Y101</f>
        <v>0</v>
      </c>
      <c r="AA101" s="82"/>
      <c r="AB101" s="3">
        <v>0</v>
      </c>
      <c r="AC101" s="3">
        <v>50</v>
      </c>
      <c r="AD101" s="3">
        <f t="shared" ref="AD101:AD102" si="488">AB101*AC101</f>
        <v>0</v>
      </c>
      <c r="AE101" s="3">
        <v>0</v>
      </c>
      <c r="AF101" s="3">
        <v>50</v>
      </c>
      <c r="AG101" s="3">
        <f t="shared" ref="AG101:AG102" si="489">AE101*AF101</f>
        <v>0</v>
      </c>
      <c r="AH101" s="3">
        <f t="shared" ref="AH101:AH102" si="490">AB101-AE101</f>
        <v>0</v>
      </c>
      <c r="AI101" s="3">
        <v>50</v>
      </c>
      <c r="AJ101" s="7">
        <f t="shared" ref="AJ101:AJ102" si="491">AH101*AI101</f>
        <v>0</v>
      </c>
      <c r="AK101" s="7">
        <v>0</v>
      </c>
      <c r="AL101" s="6">
        <f t="shared" ref="AL101:AL102" si="492">AJ101-AK101</f>
        <v>0</v>
      </c>
      <c r="AM101" s="6">
        <f t="shared" ref="AM101:AM102" si="493">L101+X101+AJ101</f>
        <v>0</v>
      </c>
      <c r="AN101" s="6">
        <f t="shared" ref="AN101:AN102" si="494">M101+Y101+AK101</f>
        <v>0</v>
      </c>
      <c r="AO101" s="6">
        <f t="shared" ref="AO101:AO102" si="495">AM101-AN101</f>
        <v>0</v>
      </c>
      <c r="AP101" s="3" t="s">
        <v>408</v>
      </c>
      <c r="AQ101" s="3">
        <f t="shared" ref="AQ101:AQ102" si="496">AO101</f>
        <v>0</v>
      </c>
      <c r="AR101" s="3">
        <f t="shared" si="478"/>
        <v>0</v>
      </c>
      <c r="AS101" s="3">
        <f t="shared" ref="AS101:AS102" si="497">AQ101-AR101</f>
        <v>0</v>
      </c>
      <c r="AT101" s="3"/>
    </row>
    <row r="102" spans="1:46" x14ac:dyDescent="0.35">
      <c r="A102" s="3"/>
      <c r="B102" s="172" t="s">
        <v>415</v>
      </c>
      <c r="C102" s="3" t="s">
        <v>33</v>
      </c>
      <c r="D102" s="7">
        <v>105</v>
      </c>
      <c r="E102" s="3">
        <v>60</v>
      </c>
      <c r="F102" s="1">
        <f t="shared" si="479"/>
        <v>6300</v>
      </c>
      <c r="G102" s="3">
        <v>12</v>
      </c>
      <c r="H102" s="3">
        <v>60</v>
      </c>
      <c r="I102" s="27">
        <f t="shared" si="480"/>
        <v>720</v>
      </c>
      <c r="J102" s="3">
        <f t="shared" si="481"/>
        <v>93</v>
      </c>
      <c r="K102" s="7">
        <v>60</v>
      </c>
      <c r="L102" s="7">
        <f t="shared" si="482"/>
        <v>5580</v>
      </c>
      <c r="M102" s="3">
        <f>J102*5</f>
        <v>465</v>
      </c>
      <c r="N102" s="6">
        <f t="shared" si="483"/>
        <v>5115</v>
      </c>
      <c r="O102" s="34"/>
      <c r="P102" s="3">
        <v>120</v>
      </c>
      <c r="Q102" s="3">
        <v>100</v>
      </c>
      <c r="R102" s="3">
        <f t="shared" si="484"/>
        <v>12000</v>
      </c>
      <c r="S102" s="3">
        <v>6</v>
      </c>
      <c r="T102" s="3">
        <v>100</v>
      </c>
      <c r="U102" s="3">
        <f t="shared" si="485"/>
        <v>600</v>
      </c>
      <c r="V102" s="3">
        <f t="shared" si="486"/>
        <v>114</v>
      </c>
      <c r="W102" s="7">
        <v>100</v>
      </c>
      <c r="X102" s="7">
        <f t="shared" ref="X102" si="498">V102*W102</f>
        <v>11400</v>
      </c>
      <c r="Y102" s="3">
        <f>V102*10</f>
        <v>1140</v>
      </c>
      <c r="Z102" s="6">
        <f t="shared" si="487"/>
        <v>10260</v>
      </c>
      <c r="AA102" s="82"/>
      <c r="AB102" s="3">
        <v>108</v>
      </c>
      <c r="AC102" s="3">
        <v>50</v>
      </c>
      <c r="AD102" s="3">
        <f t="shared" si="488"/>
        <v>5400</v>
      </c>
      <c r="AE102" s="3">
        <v>8</v>
      </c>
      <c r="AF102" s="3">
        <v>50</v>
      </c>
      <c r="AG102" s="3">
        <f t="shared" si="489"/>
        <v>400</v>
      </c>
      <c r="AH102" s="3">
        <f t="shared" si="490"/>
        <v>100</v>
      </c>
      <c r="AI102" s="3">
        <v>50</v>
      </c>
      <c r="AJ102" s="7">
        <f t="shared" si="491"/>
        <v>5000</v>
      </c>
      <c r="AK102" s="3">
        <f>AH102*5</f>
        <v>500</v>
      </c>
      <c r="AL102" s="6">
        <f t="shared" si="492"/>
        <v>4500</v>
      </c>
      <c r="AM102" s="6">
        <f t="shared" si="493"/>
        <v>21980</v>
      </c>
      <c r="AN102" s="6">
        <f t="shared" si="494"/>
        <v>2105</v>
      </c>
      <c r="AO102" s="6">
        <f t="shared" si="495"/>
        <v>19875</v>
      </c>
      <c r="AP102" s="3" t="s">
        <v>467</v>
      </c>
      <c r="AQ102" s="3">
        <f t="shared" si="496"/>
        <v>19875</v>
      </c>
      <c r="AR102" s="3">
        <f t="shared" si="478"/>
        <v>19875</v>
      </c>
      <c r="AS102" s="3">
        <f t="shared" si="497"/>
        <v>0</v>
      </c>
      <c r="AT102" s="3"/>
    </row>
    <row r="103" spans="1:46" x14ac:dyDescent="0.35">
      <c r="A103" s="3"/>
      <c r="B103" s="172" t="s">
        <v>326</v>
      </c>
      <c r="C103" s="3" t="s">
        <v>33</v>
      </c>
      <c r="D103" s="7">
        <v>30</v>
      </c>
      <c r="E103" s="3">
        <v>60</v>
      </c>
      <c r="F103" s="1">
        <f t="shared" si="457"/>
        <v>1800</v>
      </c>
      <c r="G103" s="3">
        <v>19</v>
      </c>
      <c r="H103" s="3">
        <v>60</v>
      </c>
      <c r="I103" s="27">
        <f t="shared" si="458"/>
        <v>1140</v>
      </c>
      <c r="J103" s="3">
        <f t="shared" si="459"/>
        <v>11</v>
      </c>
      <c r="K103" s="7">
        <v>60</v>
      </c>
      <c r="L103" s="7">
        <f t="shared" si="460"/>
        <v>660</v>
      </c>
      <c r="M103" s="3">
        <v>0</v>
      </c>
      <c r="N103" s="6">
        <f t="shared" si="461"/>
        <v>660</v>
      </c>
      <c r="O103" s="34"/>
      <c r="P103" s="3">
        <v>60</v>
      </c>
      <c r="Q103" s="3">
        <v>100</v>
      </c>
      <c r="R103" s="3">
        <f t="shared" si="462"/>
        <v>6000</v>
      </c>
      <c r="S103" s="3">
        <v>11</v>
      </c>
      <c r="T103" s="3">
        <v>100</v>
      </c>
      <c r="U103" s="3">
        <f t="shared" si="463"/>
        <v>1100</v>
      </c>
      <c r="V103" s="3">
        <f t="shared" si="464"/>
        <v>49</v>
      </c>
      <c r="W103" s="7">
        <v>100</v>
      </c>
      <c r="X103" s="7">
        <f t="shared" ref="X103:X110" si="499">V103*W103</f>
        <v>4900</v>
      </c>
      <c r="Y103" s="3">
        <v>0</v>
      </c>
      <c r="Z103" s="6">
        <f t="shared" si="466"/>
        <v>4900</v>
      </c>
      <c r="AA103" s="82"/>
      <c r="AB103" s="3">
        <v>60</v>
      </c>
      <c r="AC103" s="3">
        <v>50</v>
      </c>
      <c r="AD103" s="3">
        <f t="shared" si="467"/>
        <v>3000</v>
      </c>
      <c r="AE103" s="3">
        <v>5</v>
      </c>
      <c r="AF103" s="3">
        <v>50</v>
      </c>
      <c r="AG103" s="3">
        <f t="shared" si="468"/>
        <v>250</v>
      </c>
      <c r="AH103" s="3">
        <f t="shared" si="469"/>
        <v>55</v>
      </c>
      <c r="AI103" s="3">
        <v>50</v>
      </c>
      <c r="AJ103" s="7">
        <f t="shared" si="470"/>
        <v>2750</v>
      </c>
      <c r="AK103" s="3">
        <v>0</v>
      </c>
      <c r="AL103" s="6">
        <f t="shared" si="471"/>
        <v>2750</v>
      </c>
      <c r="AM103" s="6">
        <f t="shared" si="472"/>
        <v>8310</v>
      </c>
      <c r="AN103" s="6">
        <f t="shared" si="473"/>
        <v>0</v>
      </c>
      <c r="AO103" s="6">
        <f t="shared" si="474"/>
        <v>8310</v>
      </c>
      <c r="AP103" s="3" t="s">
        <v>467</v>
      </c>
      <c r="AQ103" s="3">
        <f t="shared" si="475"/>
        <v>8310</v>
      </c>
      <c r="AR103" s="3">
        <f t="shared" si="478"/>
        <v>8310</v>
      </c>
      <c r="AS103" s="3">
        <f t="shared" si="476"/>
        <v>0</v>
      </c>
      <c r="AT103" s="3"/>
    </row>
    <row r="104" spans="1:46" x14ac:dyDescent="0.35">
      <c r="A104" s="3"/>
      <c r="B104" s="172" t="s">
        <v>363</v>
      </c>
      <c r="C104" s="3" t="s">
        <v>351</v>
      </c>
      <c r="D104" s="7">
        <v>28</v>
      </c>
      <c r="E104" s="3">
        <v>50</v>
      </c>
      <c r="F104" s="1">
        <f t="shared" si="457"/>
        <v>1400</v>
      </c>
      <c r="G104" s="3">
        <v>0</v>
      </c>
      <c r="H104" s="3">
        <v>50</v>
      </c>
      <c r="I104" s="27">
        <f t="shared" si="458"/>
        <v>0</v>
      </c>
      <c r="J104" s="3">
        <f t="shared" si="459"/>
        <v>28</v>
      </c>
      <c r="K104" s="7">
        <v>50</v>
      </c>
      <c r="L104" s="7">
        <f t="shared" si="460"/>
        <v>1400</v>
      </c>
      <c r="M104" s="3">
        <v>0</v>
      </c>
      <c r="N104" s="6">
        <f t="shared" si="461"/>
        <v>1400</v>
      </c>
      <c r="O104" s="34"/>
      <c r="P104" s="3">
        <v>0</v>
      </c>
      <c r="Q104" s="3">
        <v>90</v>
      </c>
      <c r="R104" s="3">
        <f t="shared" si="462"/>
        <v>0</v>
      </c>
      <c r="S104" s="3">
        <v>0</v>
      </c>
      <c r="T104" s="3">
        <v>90</v>
      </c>
      <c r="U104" s="3">
        <f t="shared" si="463"/>
        <v>0</v>
      </c>
      <c r="V104" s="3">
        <f t="shared" si="464"/>
        <v>0</v>
      </c>
      <c r="W104" s="7">
        <v>90</v>
      </c>
      <c r="X104" s="7">
        <f t="shared" si="499"/>
        <v>0</v>
      </c>
      <c r="Y104" s="3">
        <v>0</v>
      </c>
      <c r="Z104" s="6">
        <f t="shared" si="466"/>
        <v>0</v>
      </c>
      <c r="AA104" s="82"/>
      <c r="AB104" s="3">
        <v>0</v>
      </c>
      <c r="AC104" s="3">
        <v>45</v>
      </c>
      <c r="AD104" s="3">
        <f t="shared" si="467"/>
        <v>0</v>
      </c>
      <c r="AE104" s="3">
        <v>0</v>
      </c>
      <c r="AF104" s="3">
        <v>45</v>
      </c>
      <c r="AG104" s="3">
        <f t="shared" si="468"/>
        <v>0</v>
      </c>
      <c r="AH104" s="3">
        <f t="shared" si="469"/>
        <v>0</v>
      </c>
      <c r="AI104" s="3">
        <v>45</v>
      </c>
      <c r="AJ104" s="7">
        <f t="shared" si="470"/>
        <v>0</v>
      </c>
      <c r="AK104" s="3">
        <v>0</v>
      </c>
      <c r="AL104" s="6">
        <f t="shared" si="471"/>
        <v>0</v>
      </c>
      <c r="AM104" s="6">
        <f t="shared" si="472"/>
        <v>1400</v>
      </c>
      <c r="AN104" s="6">
        <f t="shared" si="473"/>
        <v>0</v>
      </c>
      <c r="AO104" s="6">
        <f t="shared" si="474"/>
        <v>1400</v>
      </c>
      <c r="AP104" s="3" t="s">
        <v>467</v>
      </c>
      <c r="AQ104" s="3">
        <f t="shared" si="475"/>
        <v>1400</v>
      </c>
      <c r="AR104" s="3">
        <f t="shared" si="478"/>
        <v>1400</v>
      </c>
      <c r="AS104" s="3">
        <f t="shared" si="476"/>
        <v>0</v>
      </c>
      <c r="AT104" s="3"/>
    </row>
    <row r="105" spans="1:46" x14ac:dyDescent="0.35">
      <c r="A105" s="3"/>
      <c r="B105" s="172" t="s">
        <v>283</v>
      </c>
      <c r="C105" s="3" t="s">
        <v>33</v>
      </c>
      <c r="D105" s="7">
        <v>19</v>
      </c>
      <c r="E105" s="3">
        <v>60</v>
      </c>
      <c r="F105" s="1">
        <f>D105*E105</f>
        <v>1140</v>
      </c>
      <c r="G105" s="3">
        <v>16</v>
      </c>
      <c r="H105" s="3">
        <v>60</v>
      </c>
      <c r="I105" s="27">
        <f>G105*H105</f>
        <v>960</v>
      </c>
      <c r="J105" s="3">
        <f>D105-G105</f>
        <v>3</v>
      </c>
      <c r="K105" s="7">
        <v>60</v>
      </c>
      <c r="L105" s="7">
        <f>J105*K105</f>
        <v>180</v>
      </c>
      <c r="M105" s="3">
        <v>0</v>
      </c>
      <c r="N105" s="6">
        <f>L105-M105</f>
        <v>180</v>
      </c>
      <c r="O105" s="34"/>
      <c r="P105" s="3">
        <f>24+12+97</f>
        <v>133</v>
      </c>
      <c r="Q105" s="3">
        <v>100</v>
      </c>
      <c r="R105" s="3">
        <f>P105*Q105</f>
        <v>13300</v>
      </c>
      <c r="S105" s="3">
        <v>3</v>
      </c>
      <c r="T105" s="3">
        <v>100</v>
      </c>
      <c r="U105" s="3">
        <f>S105*T105</f>
        <v>300</v>
      </c>
      <c r="V105" s="3">
        <f>P105-S105</f>
        <v>130</v>
      </c>
      <c r="W105" s="7">
        <v>100</v>
      </c>
      <c r="X105" s="7">
        <f>V105*W105</f>
        <v>13000</v>
      </c>
      <c r="Y105" s="3">
        <v>0</v>
      </c>
      <c r="Z105" s="6">
        <f>X105-Y105</f>
        <v>13000</v>
      </c>
      <c r="AA105" s="82"/>
      <c r="AB105" s="3">
        <v>36</v>
      </c>
      <c r="AC105" s="3">
        <v>50</v>
      </c>
      <c r="AD105" s="3">
        <f>AB105*AC105</f>
        <v>1800</v>
      </c>
      <c r="AE105" s="3">
        <v>0</v>
      </c>
      <c r="AF105" s="3">
        <v>50</v>
      </c>
      <c r="AG105" s="3">
        <f>AE105*AF105</f>
        <v>0</v>
      </c>
      <c r="AH105" s="3">
        <f>AB105-AE105</f>
        <v>36</v>
      </c>
      <c r="AI105" s="3">
        <v>50</v>
      </c>
      <c r="AJ105" s="7">
        <f>AH105*AI105</f>
        <v>1800</v>
      </c>
      <c r="AK105" s="3">
        <v>0</v>
      </c>
      <c r="AL105" s="6">
        <f>AJ105-AK105</f>
        <v>1800</v>
      </c>
      <c r="AM105" s="6">
        <f>L105+X105+AJ105</f>
        <v>14980</v>
      </c>
      <c r="AN105" s="6">
        <f>M105+Y105+AK105</f>
        <v>0</v>
      </c>
      <c r="AO105" s="6">
        <f>AM105-AN105</f>
        <v>14980</v>
      </c>
      <c r="AP105" s="3" t="s">
        <v>467</v>
      </c>
      <c r="AQ105" s="3">
        <f>AO105</f>
        <v>14980</v>
      </c>
      <c r="AR105" s="3">
        <f>AQ105</f>
        <v>14980</v>
      </c>
      <c r="AS105" s="3">
        <f>AQ105-AR105</f>
        <v>0</v>
      </c>
      <c r="AT105" s="3"/>
    </row>
    <row r="106" spans="1:46" x14ac:dyDescent="0.35">
      <c r="A106" s="3"/>
      <c r="B106" s="172" t="s">
        <v>363</v>
      </c>
      <c r="C106" s="3" t="s">
        <v>182</v>
      </c>
      <c r="D106" s="7">
        <v>0</v>
      </c>
      <c r="E106" s="3">
        <v>60</v>
      </c>
      <c r="F106" s="1">
        <f t="shared" ref="F106:F107" si="500">D106*E106</f>
        <v>0</v>
      </c>
      <c r="G106" s="3">
        <v>0</v>
      </c>
      <c r="H106" s="3">
        <v>60</v>
      </c>
      <c r="I106" s="27">
        <f t="shared" ref="I106:I108" si="501">G106*H106</f>
        <v>0</v>
      </c>
      <c r="J106" s="3">
        <f t="shared" ref="J106:J107" si="502">D106-G106</f>
        <v>0</v>
      </c>
      <c r="K106" s="7">
        <v>60</v>
      </c>
      <c r="L106" s="7">
        <f t="shared" ref="L106:L108" si="503">J106*K106</f>
        <v>0</v>
      </c>
      <c r="M106" s="3">
        <v>0</v>
      </c>
      <c r="N106" s="6">
        <f t="shared" ref="N106:N108" si="504">L106-M106</f>
        <v>0</v>
      </c>
      <c r="O106" s="34"/>
      <c r="P106" s="3">
        <v>72</v>
      </c>
      <c r="Q106" s="3">
        <v>90</v>
      </c>
      <c r="R106" s="3">
        <f t="shared" ref="R106:R107" si="505">P106*Q106</f>
        <v>6480</v>
      </c>
      <c r="S106" s="3">
        <v>0</v>
      </c>
      <c r="T106" s="3">
        <v>90</v>
      </c>
      <c r="U106" s="3">
        <f t="shared" ref="U106:U108" si="506">S106*T106</f>
        <v>0</v>
      </c>
      <c r="V106" s="3">
        <f t="shared" ref="V106:V107" si="507">P106-S106</f>
        <v>72</v>
      </c>
      <c r="W106" s="7">
        <v>90</v>
      </c>
      <c r="X106" s="7">
        <f t="shared" ref="X106:X108" si="508">V106*W106</f>
        <v>6480</v>
      </c>
      <c r="Y106" s="3">
        <v>0</v>
      </c>
      <c r="Z106" s="6">
        <f t="shared" ref="Z106:Z108" si="509">X106-Y106</f>
        <v>6480</v>
      </c>
      <c r="AA106" s="82"/>
      <c r="AB106" s="3">
        <v>24</v>
      </c>
      <c r="AC106" s="3">
        <v>45</v>
      </c>
      <c r="AD106" s="3">
        <f t="shared" ref="AD106:AD107" si="510">AB106*AC106</f>
        <v>1080</v>
      </c>
      <c r="AE106" s="3">
        <v>0</v>
      </c>
      <c r="AF106" s="3">
        <v>45</v>
      </c>
      <c r="AG106" s="3">
        <f t="shared" ref="AG106:AG108" si="511">AE106*AF106</f>
        <v>0</v>
      </c>
      <c r="AH106" s="3">
        <f t="shared" ref="AH106:AH107" si="512">AB106-AE106</f>
        <v>24</v>
      </c>
      <c r="AI106" s="3">
        <v>45</v>
      </c>
      <c r="AJ106" s="7">
        <f t="shared" ref="AJ106:AJ108" si="513">AH106*AI106</f>
        <v>1080</v>
      </c>
      <c r="AK106" s="3">
        <v>0</v>
      </c>
      <c r="AL106" s="6">
        <f t="shared" ref="AL106:AL108" si="514">AJ106-AK106</f>
        <v>1080</v>
      </c>
      <c r="AM106" s="6">
        <f t="shared" ref="AM106:AM108" si="515">L106+X106+AJ106</f>
        <v>7560</v>
      </c>
      <c r="AN106" s="6">
        <f t="shared" ref="AN106:AN108" si="516">M106+Y106+AK106</f>
        <v>0</v>
      </c>
      <c r="AO106" s="6">
        <f t="shared" ref="AO106:AO108" si="517">AM106-AN106</f>
        <v>7560</v>
      </c>
      <c r="AP106" s="3" t="s">
        <v>467</v>
      </c>
      <c r="AQ106" s="3">
        <f t="shared" ref="AQ106:AQ108" si="518">AO106</f>
        <v>7560</v>
      </c>
      <c r="AR106" s="3">
        <f t="shared" ref="AR106:AR108" si="519">AQ106</f>
        <v>7560</v>
      </c>
      <c r="AS106" s="3">
        <f t="shared" ref="AS106:AS108" si="520">AQ106-AR106</f>
        <v>0</v>
      </c>
      <c r="AT106" s="3"/>
    </row>
    <row r="107" spans="1:46" x14ac:dyDescent="0.35">
      <c r="A107" s="3"/>
      <c r="B107" s="172" t="s">
        <v>308</v>
      </c>
      <c r="C107" s="3" t="s">
        <v>472</v>
      </c>
      <c r="D107" s="7">
        <v>155</v>
      </c>
      <c r="E107" s="3">
        <v>60</v>
      </c>
      <c r="F107" s="1">
        <f t="shared" si="500"/>
        <v>9300</v>
      </c>
      <c r="G107" s="3">
        <v>36</v>
      </c>
      <c r="H107" s="3">
        <v>60</v>
      </c>
      <c r="I107" s="27">
        <f t="shared" si="501"/>
        <v>2160</v>
      </c>
      <c r="J107" s="3">
        <f t="shared" si="502"/>
        <v>119</v>
      </c>
      <c r="K107" s="7">
        <v>60</v>
      </c>
      <c r="L107" s="7">
        <f t="shared" si="503"/>
        <v>7140</v>
      </c>
      <c r="M107" s="3">
        <f>J107*5</f>
        <v>595</v>
      </c>
      <c r="N107" s="6">
        <f t="shared" si="504"/>
        <v>6545</v>
      </c>
      <c r="O107" s="34"/>
      <c r="P107" s="3">
        <v>124</v>
      </c>
      <c r="Q107" s="3">
        <v>100</v>
      </c>
      <c r="R107" s="3">
        <f t="shared" si="505"/>
        <v>12400</v>
      </c>
      <c r="S107" s="3">
        <v>6</v>
      </c>
      <c r="T107" s="3">
        <v>100</v>
      </c>
      <c r="U107" s="3">
        <f t="shared" si="506"/>
        <v>600</v>
      </c>
      <c r="V107" s="3">
        <f t="shared" si="507"/>
        <v>118</v>
      </c>
      <c r="W107" s="7">
        <v>100</v>
      </c>
      <c r="X107" s="7">
        <f t="shared" si="508"/>
        <v>11800</v>
      </c>
      <c r="Y107" s="3">
        <f>V107*10</f>
        <v>1180</v>
      </c>
      <c r="Z107" s="6">
        <f t="shared" si="509"/>
        <v>10620</v>
      </c>
      <c r="AA107" s="82">
        <v>195</v>
      </c>
      <c r="AB107" s="3">
        <v>179</v>
      </c>
      <c r="AC107" s="3">
        <v>50</v>
      </c>
      <c r="AD107" s="3">
        <f t="shared" si="510"/>
        <v>8950</v>
      </c>
      <c r="AE107" s="3">
        <v>0</v>
      </c>
      <c r="AF107" s="3">
        <v>50</v>
      </c>
      <c r="AG107" s="3">
        <f t="shared" si="511"/>
        <v>0</v>
      </c>
      <c r="AH107" s="3">
        <f t="shared" si="512"/>
        <v>179</v>
      </c>
      <c r="AI107" s="3">
        <v>50</v>
      </c>
      <c r="AJ107" s="7">
        <f t="shared" si="513"/>
        <v>8950</v>
      </c>
      <c r="AK107" s="3">
        <f>AH107*5</f>
        <v>895</v>
      </c>
      <c r="AL107" s="6">
        <f t="shared" si="514"/>
        <v>8055</v>
      </c>
      <c r="AM107" s="6">
        <f t="shared" si="515"/>
        <v>27890</v>
      </c>
      <c r="AN107" s="6">
        <f t="shared" si="516"/>
        <v>2670</v>
      </c>
      <c r="AO107" s="6">
        <f t="shared" si="517"/>
        <v>25220</v>
      </c>
      <c r="AP107" s="3" t="s">
        <v>467</v>
      </c>
      <c r="AQ107" s="3">
        <f t="shared" si="518"/>
        <v>25220</v>
      </c>
      <c r="AR107" s="3">
        <f t="shared" si="519"/>
        <v>25220</v>
      </c>
      <c r="AS107" s="3">
        <f t="shared" si="520"/>
        <v>0</v>
      </c>
      <c r="AT107" s="3"/>
    </row>
    <row r="108" spans="1:46" x14ac:dyDescent="0.35">
      <c r="A108" s="3"/>
      <c r="B108" s="172" t="s">
        <v>308</v>
      </c>
      <c r="C108" s="3" t="s">
        <v>473</v>
      </c>
      <c r="D108" s="7">
        <v>103</v>
      </c>
      <c r="E108" s="3">
        <v>60</v>
      </c>
      <c r="F108" s="1">
        <v>0</v>
      </c>
      <c r="G108" s="7">
        <v>0</v>
      </c>
      <c r="H108" s="3">
        <v>60</v>
      </c>
      <c r="I108" s="27">
        <f t="shared" si="501"/>
        <v>0</v>
      </c>
      <c r="J108" s="3">
        <v>0</v>
      </c>
      <c r="K108" s="7">
        <v>60</v>
      </c>
      <c r="L108" s="7">
        <f t="shared" si="503"/>
        <v>0</v>
      </c>
      <c r="M108" s="3">
        <v>0</v>
      </c>
      <c r="N108" s="6">
        <f t="shared" si="504"/>
        <v>0</v>
      </c>
      <c r="O108" s="34"/>
      <c r="P108" s="7">
        <v>126</v>
      </c>
      <c r="Q108" s="3">
        <v>100</v>
      </c>
      <c r="R108" s="3">
        <v>0</v>
      </c>
      <c r="S108" s="7">
        <v>0</v>
      </c>
      <c r="T108" s="3">
        <v>100</v>
      </c>
      <c r="U108" s="3">
        <f t="shared" si="506"/>
        <v>0</v>
      </c>
      <c r="V108" s="3">
        <v>0</v>
      </c>
      <c r="W108" s="7">
        <v>100</v>
      </c>
      <c r="X108" s="7">
        <f t="shared" si="508"/>
        <v>0</v>
      </c>
      <c r="Y108" s="3">
        <v>0</v>
      </c>
      <c r="Z108" s="6">
        <f t="shared" si="509"/>
        <v>0</v>
      </c>
      <c r="AA108" s="82"/>
      <c r="AB108" s="7">
        <v>180</v>
      </c>
      <c r="AC108" s="3">
        <v>50</v>
      </c>
      <c r="AD108" s="3">
        <v>0</v>
      </c>
      <c r="AE108" s="7">
        <v>0</v>
      </c>
      <c r="AF108" s="3">
        <v>50</v>
      </c>
      <c r="AG108" s="3">
        <f t="shared" si="511"/>
        <v>0</v>
      </c>
      <c r="AH108" s="3">
        <v>0</v>
      </c>
      <c r="AI108" s="3">
        <v>50</v>
      </c>
      <c r="AJ108" s="7">
        <f t="shared" si="513"/>
        <v>0</v>
      </c>
      <c r="AK108" s="3">
        <v>0</v>
      </c>
      <c r="AL108" s="6">
        <f t="shared" si="514"/>
        <v>0</v>
      </c>
      <c r="AM108" s="6">
        <f t="shared" si="515"/>
        <v>0</v>
      </c>
      <c r="AN108" s="6">
        <f t="shared" si="516"/>
        <v>0</v>
      </c>
      <c r="AO108" s="6">
        <f t="shared" si="517"/>
        <v>0</v>
      </c>
      <c r="AP108" s="3" t="s">
        <v>467</v>
      </c>
      <c r="AQ108" s="3">
        <f t="shared" si="518"/>
        <v>0</v>
      </c>
      <c r="AR108" s="3">
        <f t="shared" si="519"/>
        <v>0</v>
      </c>
      <c r="AS108" s="3">
        <f t="shared" si="520"/>
        <v>0</v>
      </c>
      <c r="AT108" s="3"/>
    </row>
    <row r="109" spans="1:46" x14ac:dyDescent="0.35">
      <c r="A109" s="3"/>
      <c r="B109" s="3" t="s">
        <v>287</v>
      </c>
      <c r="C109" s="3" t="s">
        <v>33</v>
      </c>
      <c r="D109" s="7">
        <v>0</v>
      </c>
      <c r="E109" s="3">
        <v>60</v>
      </c>
      <c r="F109" s="1">
        <f t="shared" ref="F109" si="521">D109*E109</f>
        <v>0</v>
      </c>
      <c r="G109" s="7">
        <v>0</v>
      </c>
      <c r="H109" s="3">
        <v>60</v>
      </c>
      <c r="I109" s="27">
        <f t="shared" si="458"/>
        <v>0</v>
      </c>
      <c r="J109" s="3">
        <f t="shared" ref="J109" si="522">D109-G109</f>
        <v>0</v>
      </c>
      <c r="K109" s="7">
        <v>60</v>
      </c>
      <c r="L109" s="7">
        <f t="shared" si="460"/>
        <v>0</v>
      </c>
      <c r="M109" s="3">
        <f>J109*5</f>
        <v>0</v>
      </c>
      <c r="N109" s="6">
        <f t="shared" si="461"/>
        <v>0</v>
      </c>
      <c r="O109" s="34"/>
      <c r="P109" s="7">
        <v>0</v>
      </c>
      <c r="Q109" s="3">
        <v>100</v>
      </c>
      <c r="R109" s="3">
        <f t="shared" ref="R109" si="523">P109*Q109</f>
        <v>0</v>
      </c>
      <c r="S109" s="7">
        <v>0</v>
      </c>
      <c r="T109" s="3">
        <v>100</v>
      </c>
      <c r="U109" s="3">
        <f t="shared" si="463"/>
        <v>0</v>
      </c>
      <c r="V109" s="3">
        <f t="shared" ref="V109" si="524">P109-S109</f>
        <v>0</v>
      </c>
      <c r="W109" s="7">
        <v>100</v>
      </c>
      <c r="X109" s="7">
        <f t="shared" si="499"/>
        <v>0</v>
      </c>
      <c r="Y109" s="3">
        <f>V109*10</f>
        <v>0</v>
      </c>
      <c r="Z109" s="6">
        <f t="shared" si="466"/>
        <v>0</v>
      </c>
      <c r="AA109" s="82"/>
      <c r="AB109" s="7">
        <v>0</v>
      </c>
      <c r="AC109" s="3">
        <v>50</v>
      </c>
      <c r="AD109" s="3">
        <f t="shared" ref="AD109" si="525">AB109*AC109</f>
        <v>0</v>
      </c>
      <c r="AE109" s="7">
        <v>0</v>
      </c>
      <c r="AF109" s="3">
        <v>50</v>
      </c>
      <c r="AG109" s="3">
        <f t="shared" si="468"/>
        <v>0</v>
      </c>
      <c r="AH109" s="3">
        <f t="shared" ref="AH109" si="526">AB109-AE109</f>
        <v>0</v>
      </c>
      <c r="AI109" s="3">
        <v>50</v>
      </c>
      <c r="AJ109" s="7">
        <f t="shared" si="470"/>
        <v>0</v>
      </c>
      <c r="AK109" s="3">
        <f>AH109*5</f>
        <v>0</v>
      </c>
      <c r="AL109" s="6">
        <f t="shared" si="471"/>
        <v>0</v>
      </c>
      <c r="AM109" s="6">
        <f t="shared" si="472"/>
        <v>0</v>
      </c>
      <c r="AN109" s="6">
        <f t="shared" si="473"/>
        <v>0</v>
      </c>
      <c r="AO109" s="6">
        <f t="shared" si="474"/>
        <v>0</v>
      </c>
      <c r="AP109" s="3" t="s">
        <v>467</v>
      </c>
      <c r="AQ109" s="3">
        <f t="shared" si="475"/>
        <v>0</v>
      </c>
      <c r="AR109" s="3">
        <f>AQ109</f>
        <v>0</v>
      </c>
      <c r="AS109" s="3">
        <f t="shared" si="476"/>
        <v>0</v>
      </c>
      <c r="AT109" s="3"/>
    </row>
    <row r="110" spans="1:46" x14ac:dyDescent="0.35">
      <c r="A110" s="3"/>
      <c r="B110" s="3" t="s">
        <v>287</v>
      </c>
      <c r="C110" s="3" t="s">
        <v>11</v>
      </c>
      <c r="D110" s="7">
        <v>0</v>
      </c>
      <c r="E110" s="3">
        <v>60</v>
      </c>
      <c r="F110" s="1">
        <v>0</v>
      </c>
      <c r="G110" s="7">
        <v>0</v>
      </c>
      <c r="H110" s="3">
        <v>60</v>
      </c>
      <c r="I110" s="27">
        <f t="shared" si="458"/>
        <v>0</v>
      </c>
      <c r="J110" s="3">
        <v>0</v>
      </c>
      <c r="K110" s="7">
        <v>60</v>
      </c>
      <c r="L110" s="7">
        <f t="shared" si="460"/>
        <v>0</v>
      </c>
      <c r="M110" s="3">
        <v>0</v>
      </c>
      <c r="N110" s="6">
        <f t="shared" si="461"/>
        <v>0</v>
      </c>
      <c r="O110" s="34"/>
      <c r="P110" s="7">
        <v>0</v>
      </c>
      <c r="Q110" s="3">
        <v>100</v>
      </c>
      <c r="R110" s="3">
        <v>0</v>
      </c>
      <c r="S110" s="7">
        <v>0</v>
      </c>
      <c r="T110" s="3">
        <v>100</v>
      </c>
      <c r="U110" s="3">
        <f t="shared" si="463"/>
        <v>0</v>
      </c>
      <c r="V110" s="3">
        <v>0</v>
      </c>
      <c r="W110" s="7">
        <v>100</v>
      </c>
      <c r="X110" s="7">
        <f t="shared" si="499"/>
        <v>0</v>
      </c>
      <c r="Y110" s="3">
        <v>0</v>
      </c>
      <c r="Z110" s="6">
        <f t="shared" si="466"/>
        <v>0</v>
      </c>
      <c r="AA110" s="82"/>
      <c r="AB110" s="7">
        <v>0</v>
      </c>
      <c r="AC110" s="3">
        <v>50</v>
      </c>
      <c r="AD110" s="3">
        <v>0</v>
      </c>
      <c r="AE110" s="7">
        <v>0</v>
      </c>
      <c r="AF110" s="3">
        <v>50</v>
      </c>
      <c r="AG110" s="3">
        <f t="shared" si="468"/>
        <v>0</v>
      </c>
      <c r="AH110" s="3">
        <v>0</v>
      </c>
      <c r="AI110" s="3">
        <v>50</v>
      </c>
      <c r="AJ110" s="7">
        <f t="shared" si="470"/>
        <v>0</v>
      </c>
      <c r="AK110" s="3">
        <v>0</v>
      </c>
      <c r="AL110" s="6">
        <f t="shared" si="471"/>
        <v>0</v>
      </c>
      <c r="AM110" s="6">
        <f t="shared" si="472"/>
        <v>0</v>
      </c>
      <c r="AN110" s="6">
        <f t="shared" si="473"/>
        <v>0</v>
      </c>
      <c r="AO110" s="6">
        <f t="shared" si="474"/>
        <v>0</v>
      </c>
      <c r="AP110" s="3" t="s">
        <v>467</v>
      </c>
      <c r="AQ110" s="3">
        <f t="shared" si="475"/>
        <v>0</v>
      </c>
      <c r="AR110" s="3">
        <f t="shared" ref="AR110" si="527">AQ110</f>
        <v>0</v>
      </c>
      <c r="AS110" s="3">
        <f t="shared" si="476"/>
        <v>0</v>
      </c>
      <c r="AT110" s="3"/>
    </row>
    <row r="111" spans="1:46" x14ac:dyDescent="0.35">
      <c r="A111" s="19"/>
      <c r="B111" s="19" t="s">
        <v>36</v>
      </c>
      <c r="C111" s="19"/>
      <c r="D111" s="19">
        <f>SUM(D98:D110)</f>
        <v>965</v>
      </c>
      <c r="E111" s="19"/>
      <c r="F111" s="19">
        <f>SUM(F98:F110)</f>
        <v>51290</v>
      </c>
      <c r="G111" s="19">
        <f>SUM(G98:G110)</f>
        <v>419</v>
      </c>
      <c r="H111" s="19"/>
      <c r="I111" s="19">
        <f>SUM(I98:I110)</f>
        <v>25140</v>
      </c>
      <c r="J111" s="19">
        <f>SUM(J98:J110)</f>
        <v>443</v>
      </c>
      <c r="K111" s="19"/>
      <c r="L111" s="19">
        <f>SUM(L98:L110)</f>
        <v>26150</v>
      </c>
      <c r="M111" s="19">
        <f>SUM(M98:M110)</f>
        <v>1060</v>
      </c>
      <c r="N111" s="19">
        <f>SUM(N98:N110)</f>
        <v>25090</v>
      </c>
      <c r="O111" s="34"/>
      <c r="P111" s="19">
        <f>SUM(P98:P110)</f>
        <v>1002</v>
      </c>
      <c r="Q111" s="19"/>
      <c r="R111" s="19">
        <f>SUM(R98:R110)</f>
        <v>86880</v>
      </c>
      <c r="S111" s="19">
        <f>SUM(S98:S110)</f>
        <v>26</v>
      </c>
      <c r="T111" s="19"/>
      <c r="U111" s="19">
        <f>SUM(U98:U110)</f>
        <v>2600</v>
      </c>
      <c r="V111" s="19">
        <f>SUM(V98:V110)</f>
        <v>850</v>
      </c>
      <c r="W111" s="19"/>
      <c r="X111" s="19">
        <f>SUM(X98:X110)</f>
        <v>84280</v>
      </c>
      <c r="Y111" s="19">
        <f>SUM(Y98:Y110)</f>
        <v>2320</v>
      </c>
      <c r="Z111" s="19">
        <f>SUM(Z98:Z110)</f>
        <v>81960</v>
      </c>
      <c r="AA111" s="34"/>
      <c r="AB111" s="19">
        <f>SUM(AB98:AB110)</f>
        <v>1007</v>
      </c>
      <c r="AC111" s="19"/>
      <c r="AD111" s="19">
        <f>SUM(AD98:AD110)</f>
        <v>41230</v>
      </c>
      <c r="AE111" s="19">
        <f>SUM(AE98:AE110)</f>
        <v>160</v>
      </c>
      <c r="AF111" s="19"/>
      <c r="AG111" s="19">
        <f>SUM(AG98:AG110)</f>
        <v>8000</v>
      </c>
      <c r="AH111" s="19">
        <f>SUM(AH98:AH110)</f>
        <v>667</v>
      </c>
      <c r="AI111" s="19"/>
      <c r="AJ111" s="19">
        <f t="shared" ref="AJ111:AO111" si="528">SUM(AJ98:AJ110)</f>
        <v>33230</v>
      </c>
      <c r="AK111" s="19">
        <f t="shared" si="528"/>
        <v>1395</v>
      </c>
      <c r="AL111" s="19">
        <f t="shared" si="528"/>
        <v>31835</v>
      </c>
      <c r="AM111" s="19">
        <f t="shared" si="528"/>
        <v>143660</v>
      </c>
      <c r="AN111" s="19">
        <f t="shared" si="528"/>
        <v>4775</v>
      </c>
      <c r="AO111" s="19">
        <f t="shared" si="528"/>
        <v>138885</v>
      </c>
      <c r="AP111" s="19"/>
      <c r="AQ111" s="19">
        <f>SUM(AQ98:AQ110)</f>
        <v>138885</v>
      </c>
      <c r="AR111" s="19">
        <f>SUM(AR98:AR110)</f>
        <v>138885</v>
      </c>
      <c r="AS111" s="19">
        <f>SUM(AS98:AS110)</f>
        <v>0</v>
      </c>
      <c r="AT111" s="74"/>
    </row>
    <row r="112" spans="1:46" x14ac:dyDescent="0.35">
      <c r="A112" s="3" t="s">
        <v>474</v>
      </c>
      <c r="B112" s="172" t="s">
        <v>276</v>
      </c>
      <c r="C112" s="3" t="s">
        <v>33</v>
      </c>
      <c r="D112" s="7">
        <v>225</v>
      </c>
      <c r="E112" s="3">
        <v>60</v>
      </c>
      <c r="F112" s="1">
        <f t="shared" ref="F112:F120" si="529">D112*E112</f>
        <v>13500</v>
      </c>
      <c r="G112" s="7">
        <v>175</v>
      </c>
      <c r="H112" s="3">
        <v>60</v>
      </c>
      <c r="I112" s="27">
        <f t="shared" ref="I112:I122" si="530">G112*H112</f>
        <v>10500</v>
      </c>
      <c r="J112" s="3">
        <f t="shared" ref="J112:J120" si="531">D112-G112</f>
        <v>50</v>
      </c>
      <c r="K112" s="7">
        <v>60</v>
      </c>
      <c r="L112" s="7">
        <f t="shared" ref="L112:L120" si="532">J112*K112</f>
        <v>3000</v>
      </c>
      <c r="M112" s="3">
        <v>0</v>
      </c>
      <c r="N112" s="6">
        <f t="shared" ref="N112:N122" si="533">L112-M112</f>
        <v>3000</v>
      </c>
      <c r="O112" s="34"/>
      <c r="P112" s="7">
        <f>180</f>
        <v>180</v>
      </c>
      <c r="Q112" s="3">
        <v>100</v>
      </c>
      <c r="R112" s="3">
        <f t="shared" ref="R112:R120" si="534">P112*Q112</f>
        <v>18000</v>
      </c>
      <c r="S112" s="7">
        <v>0</v>
      </c>
      <c r="T112" s="3">
        <v>100</v>
      </c>
      <c r="U112" s="3">
        <f t="shared" ref="U112:U122" si="535">S112*T112</f>
        <v>0</v>
      </c>
      <c r="V112" s="3">
        <f t="shared" ref="V112:V120" si="536">P112-S112</f>
        <v>180</v>
      </c>
      <c r="W112" s="7">
        <v>100</v>
      </c>
      <c r="X112" s="7">
        <f t="shared" ref="X112" si="537">V112*W112</f>
        <v>18000</v>
      </c>
      <c r="Y112" s="3">
        <v>0</v>
      </c>
      <c r="Z112" s="6">
        <f t="shared" ref="Z112:Z122" si="538">X112-Y112</f>
        <v>18000</v>
      </c>
      <c r="AA112" s="82"/>
      <c r="AB112" s="7">
        <v>180</v>
      </c>
      <c r="AC112" s="3">
        <v>50</v>
      </c>
      <c r="AD112" s="3">
        <f t="shared" ref="AD112:AD120" si="539">AB112*AC112</f>
        <v>9000</v>
      </c>
      <c r="AE112" s="7">
        <v>26</v>
      </c>
      <c r="AF112" s="3">
        <v>50</v>
      </c>
      <c r="AG112" s="3">
        <f t="shared" ref="AG112:AG122" si="540">AE112*AF112</f>
        <v>1300</v>
      </c>
      <c r="AH112" s="3">
        <f t="shared" ref="AH112:AH120" si="541">AB112-AE112</f>
        <v>154</v>
      </c>
      <c r="AI112" s="3">
        <v>50</v>
      </c>
      <c r="AJ112" s="7">
        <f t="shared" ref="AJ112:AJ122" si="542">AH112*AI112</f>
        <v>7700</v>
      </c>
      <c r="AK112" s="3">
        <v>0</v>
      </c>
      <c r="AL112" s="6">
        <f t="shared" ref="AL112:AL122" si="543">AJ112-AK112</f>
        <v>7700</v>
      </c>
      <c r="AM112" s="6">
        <f t="shared" ref="AM112:AM122" si="544">L112+X112+AJ112</f>
        <v>28700</v>
      </c>
      <c r="AN112" s="6">
        <f t="shared" ref="AN112:AN122" si="545">M112+Y112+AK112</f>
        <v>0</v>
      </c>
      <c r="AO112" s="6">
        <f t="shared" ref="AO112:AO116" si="546">AM112-AN112</f>
        <v>28700</v>
      </c>
      <c r="AP112" s="3" t="s">
        <v>474</v>
      </c>
      <c r="AQ112" s="3">
        <f t="shared" ref="AQ112:AQ122" si="547">AO112</f>
        <v>28700</v>
      </c>
      <c r="AR112" s="3">
        <f>AQ112</f>
        <v>28700</v>
      </c>
      <c r="AS112" s="3">
        <f t="shared" ref="AS112:AS122" si="548">AQ112-AR112</f>
        <v>0</v>
      </c>
      <c r="AT112" s="3"/>
    </row>
    <row r="113" spans="1:46" x14ac:dyDescent="0.35">
      <c r="A113" s="3"/>
      <c r="B113" s="172" t="s">
        <v>276</v>
      </c>
      <c r="C113" s="3" t="s">
        <v>182</v>
      </c>
      <c r="D113" s="7">
        <v>0</v>
      </c>
      <c r="E113" s="3">
        <v>55</v>
      </c>
      <c r="F113" s="1">
        <f t="shared" si="529"/>
        <v>0</v>
      </c>
      <c r="G113" s="7">
        <v>0</v>
      </c>
      <c r="H113" s="3">
        <v>55</v>
      </c>
      <c r="I113" s="27">
        <f t="shared" si="530"/>
        <v>0</v>
      </c>
      <c r="J113" s="3">
        <f t="shared" si="531"/>
        <v>0</v>
      </c>
      <c r="K113" s="7">
        <v>55</v>
      </c>
      <c r="L113" s="7">
        <f t="shared" si="532"/>
        <v>0</v>
      </c>
      <c r="M113" s="7">
        <v>0</v>
      </c>
      <c r="N113" s="6">
        <f t="shared" si="533"/>
        <v>0</v>
      </c>
      <c r="O113" s="34"/>
      <c r="P113" s="7">
        <v>0</v>
      </c>
      <c r="Q113" s="3">
        <v>100</v>
      </c>
      <c r="R113" s="3">
        <f t="shared" si="534"/>
        <v>0</v>
      </c>
      <c r="S113" s="7">
        <v>0</v>
      </c>
      <c r="T113" s="3">
        <v>100</v>
      </c>
      <c r="U113" s="3">
        <f t="shared" si="535"/>
        <v>0</v>
      </c>
      <c r="V113" s="3">
        <f t="shared" si="536"/>
        <v>0</v>
      </c>
      <c r="W113" s="7">
        <v>100</v>
      </c>
      <c r="X113" s="7">
        <f>V113*W113</f>
        <v>0</v>
      </c>
      <c r="Y113" s="7">
        <v>0</v>
      </c>
      <c r="Z113" s="6">
        <f t="shared" si="538"/>
        <v>0</v>
      </c>
      <c r="AA113" s="82"/>
      <c r="AB113" s="7">
        <v>0</v>
      </c>
      <c r="AC113" s="3">
        <v>50</v>
      </c>
      <c r="AD113" s="3">
        <f t="shared" si="539"/>
        <v>0</v>
      </c>
      <c r="AE113" s="7">
        <v>0</v>
      </c>
      <c r="AF113" s="3">
        <v>50</v>
      </c>
      <c r="AG113" s="3">
        <f t="shared" si="540"/>
        <v>0</v>
      </c>
      <c r="AH113" s="3">
        <f t="shared" si="541"/>
        <v>0</v>
      </c>
      <c r="AI113" s="3">
        <v>50</v>
      </c>
      <c r="AJ113" s="7">
        <f t="shared" si="542"/>
        <v>0</v>
      </c>
      <c r="AK113" s="7">
        <v>0</v>
      </c>
      <c r="AL113" s="6">
        <f t="shared" si="543"/>
        <v>0</v>
      </c>
      <c r="AM113" s="6">
        <f t="shared" si="544"/>
        <v>0</v>
      </c>
      <c r="AN113" s="6">
        <f t="shared" si="545"/>
        <v>0</v>
      </c>
      <c r="AO113" s="6">
        <f t="shared" si="546"/>
        <v>0</v>
      </c>
      <c r="AP113" s="3" t="s">
        <v>474</v>
      </c>
      <c r="AQ113" s="3">
        <f t="shared" si="547"/>
        <v>0</v>
      </c>
      <c r="AR113" s="3">
        <f t="shared" ref="AR113:AR120" si="549">AQ113</f>
        <v>0</v>
      </c>
      <c r="AS113" s="3">
        <f t="shared" si="548"/>
        <v>0</v>
      </c>
      <c r="AT113" s="3"/>
    </row>
    <row r="114" spans="1:46" x14ac:dyDescent="0.35">
      <c r="A114" s="3"/>
      <c r="B114" s="172" t="s">
        <v>463</v>
      </c>
      <c r="C114" s="3" t="s">
        <v>33</v>
      </c>
      <c r="D114" s="7">
        <v>300</v>
      </c>
      <c r="E114" s="3">
        <v>60</v>
      </c>
      <c r="F114" s="1">
        <f t="shared" si="529"/>
        <v>18000</v>
      </c>
      <c r="G114" s="7">
        <v>221</v>
      </c>
      <c r="H114" s="3">
        <v>60</v>
      </c>
      <c r="I114" s="27">
        <f t="shared" si="530"/>
        <v>13260</v>
      </c>
      <c r="J114" s="3">
        <f t="shared" si="531"/>
        <v>79</v>
      </c>
      <c r="K114" s="7">
        <v>60</v>
      </c>
      <c r="L114" s="7">
        <f t="shared" si="532"/>
        <v>4740</v>
      </c>
      <c r="M114" s="7">
        <v>0</v>
      </c>
      <c r="N114" s="6">
        <f t="shared" si="533"/>
        <v>4740</v>
      </c>
      <c r="O114" s="34"/>
      <c r="P114" s="7">
        <v>240</v>
      </c>
      <c r="Q114" s="3">
        <v>100</v>
      </c>
      <c r="R114" s="3">
        <f t="shared" si="534"/>
        <v>24000</v>
      </c>
      <c r="S114" s="7">
        <v>48</v>
      </c>
      <c r="T114" s="3">
        <v>100</v>
      </c>
      <c r="U114" s="3">
        <f t="shared" si="535"/>
        <v>4800</v>
      </c>
      <c r="V114" s="3">
        <f t="shared" si="536"/>
        <v>192</v>
      </c>
      <c r="W114" s="7">
        <v>100</v>
      </c>
      <c r="X114" s="7">
        <f>V114*W114</f>
        <v>19200</v>
      </c>
      <c r="Y114" s="7">
        <v>0</v>
      </c>
      <c r="Z114" s="6">
        <f t="shared" si="538"/>
        <v>19200</v>
      </c>
      <c r="AA114" s="82"/>
      <c r="AB114" s="7">
        <v>240</v>
      </c>
      <c r="AC114" s="3">
        <v>50</v>
      </c>
      <c r="AD114" s="3">
        <f t="shared" si="539"/>
        <v>12000</v>
      </c>
      <c r="AE114" s="7">
        <v>150</v>
      </c>
      <c r="AF114" s="3">
        <v>50</v>
      </c>
      <c r="AG114" s="3">
        <f t="shared" si="540"/>
        <v>7500</v>
      </c>
      <c r="AH114" s="3">
        <f t="shared" si="541"/>
        <v>90</v>
      </c>
      <c r="AI114" s="3">
        <v>50</v>
      </c>
      <c r="AJ114" s="7">
        <f t="shared" si="542"/>
        <v>4500</v>
      </c>
      <c r="AK114" s="7">
        <v>0</v>
      </c>
      <c r="AL114" s="6">
        <f t="shared" si="543"/>
        <v>4500</v>
      </c>
      <c r="AM114" s="6">
        <f>L114+X114+AJ114</f>
        <v>28440</v>
      </c>
      <c r="AN114" s="6">
        <f t="shared" si="545"/>
        <v>0</v>
      </c>
      <c r="AO114" s="6">
        <f t="shared" si="546"/>
        <v>28440</v>
      </c>
      <c r="AP114" s="3" t="s">
        <v>474</v>
      </c>
      <c r="AQ114" s="3">
        <f t="shared" si="547"/>
        <v>28440</v>
      </c>
      <c r="AR114" s="3">
        <f>AQ114</f>
        <v>28440</v>
      </c>
      <c r="AS114" s="3">
        <f t="shared" si="548"/>
        <v>0</v>
      </c>
      <c r="AT114" s="3"/>
    </row>
    <row r="115" spans="1:46" x14ac:dyDescent="0.35">
      <c r="A115" s="3"/>
      <c r="B115" s="172" t="s">
        <v>463</v>
      </c>
      <c r="C115" s="3" t="s">
        <v>182</v>
      </c>
      <c r="D115" s="7">
        <v>0</v>
      </c>
      <c r="E115" s="3">
        <v>55</v>
      </c>
      <c r="F115" s="1">
        <f t="shared" si="529"/>
        <v>0</v>
      </c>
      <c r="G115" s="7">
        <v>0</v>
      </c>
      <c r="H115" s="3">
        <v>55</v>
      </c>
      <c r="I115" s="27">
        <f t="shared" si="530"/>
        <v>0</v>
      </c>
      <c r="J115" s="3">
        <f t="shared" si="531"/>
        <v>0</v>
      </c>
      <c r="K115" s="7">
        <v>55</v>
      </c>
      <c r="L115" s="7">
        <f t="shared" si="532"/>
        <v>0</v>
      </c>
      <c r="M115" s="7">
        <v>0</v>
      </c>
      <c r="N115" s="6">
        <f t="shared" si="533"/>
        <v>0</v>
      </c>
      <c r="O115" s="34"/>
      <c r="P115" s="7">
        <v>0</v>
      </c>
      <c r="Q115" s="3">
        <v>100</v>
      </c>
      <c r="R115" s="3">
        <f t="shared" si="534"/>
        <v>0</v>
      </c>
      <c r="S115" s="7">
        <v>0</v>
      </c>
      <c r="T115" s="3">
        <v>100</v>
      </c>
      <c r="U115" s="3">
        <f t="shared" si="535"/>
        <v>0</v>
      </c>
      <c r="V115" s="3">
        <f t="shared" si="536"/>
        <v>0</v>
      </c>
      <c r="W115" s="7">
        <v>100</v>
      </c>
      <c r="X115" s="7">
        <f>V115*W115</f>
        <v>0</v>
      </c>
      <c r="Y115" s="7">
        <v>0</v>
      </c>
      <c r="Z115" s="6">
        <f t="shared" si="538"/>
        <v>0</v>
      </c>
      <c r="AA115" s="82"/>
      <c r="AB115" s="7">
        <v>0</v>
      </c>
      <c r="AC115" s="3">
        <v>50</v>
      </c>
      <c r="AD115" s="3">
        <f t="shared" si="539"/>
        <v>0</v>
      </c>
      <c r="AE115" s="7">
        <v>0</v>
      </c>
      <c r="AF115" s="3">
        <v>50</v>
      </c>
      <c r="AG115" s="3">
        <f t="shared" si="540"/>
        <v>0</v>
      </c>
      <c r="AH115" s="3">
        <f t="shared" si="541"/>
        <v>0</v>
      </c>
      <c r="AI115" s="3">
        <v>50</v>
      </c>
      <c r="AJ115" s="7">
        <f t="shared" si="542"/>
        <v>0</v>
      </c>
      <c r="AK115" s="7">
        <v>0</v>
      </c>
      <c r="AL115" s="6">
        <f t="shared" si="543"/>
        <v>0</v>
      </c>
      <c r="AM115" s="6">
        <f t="shared" ref="AM115" si="550">L115+X115+AJ115</f>
        <v>0</v>
      </c>
      <c r="AN115" s="6">
        <f t="shared" si="545"/>
        <v>0</v>
      </c>
      <c r="AO115" s="6">
        <f t="shared" si="546"/>
        <v>0</v>
      </c>
      <c r="AP115" s="3" t="s">
        <v>474</v>
      </c>
      <c r="AQ115" s="3">
        <f t="shared" si="547"/>
        <v>0</v>
      </c>
      <c r="AR115" s="3">
        <f t="shared" ref="AR115" si="551">AQ115</f>
        <v>0</v>
      </c>
      <c r="AS115" s="3">
        <f t="shared" si="548"/>
        <v>0</v>
      </c>
      <c r="AT115" s="3"/>
    </row>
    <row r="116" spans="1:46" x14ac:dyDescent="0.35">
      <c r="A116" s="3"/>
      <c r="B116" s="172" t="s">
        <v>415</v>
      </c>
      <c r="C116" s="3" t="s">
        <v>33</v>
      </c>
      <c r="D116" s="7">
        <v>120</v>
      </c>
      <c r="E116" s="3">
        <v>60</v>
      </c>
      <c r="F116" s="1">
        <f t="shared" si="529"/>
        <v>7200</v>
      </c>
      <c r="G116" s="7">
        <v>18</v>
      </c>
      <c r="H116" s="3">
        <v>60</v>
      </c>
      <c r="I116" s="27">
        <f t="shared" si="530"/>
        <v>1080</v>
      </c>
      <c r="J116" s="3">
        <f t="shared" si="531"/>
        <v>102</v>
      </c>
      <c r="K116" s="7">
        <v>60</v>
      </c>
      <c r="L116" s="7">
        <f t="shared" si="532"/>
        <v>6120</v>
      </c>
      <c r="M116" s="3">
        <f>J116*5</f>
        <v>510</v>
      </c>
      <c r="N116" s="6">
        <f t="shared" si="533"/>
        <v>5610</v>
      </c>
      <c r="O116" s="34"/>
      <c r="P116" s="7">
        <v>132</v>
      </c>
      <c r="Q116" s="3">
        <v>100</v>
      </c>
      <c r="R116" s="3">
        <f t="shared" si="534"/>
        <v>13200</v>
      </c>
      <c r="S116" s="7">
        <v>7</v>
      </c>
      <c r="T116" s="3">
        <v>100</v>
      </c>
      <c r="U116" s="3">
        <f t="shared" si="535"/>
        <v>700</v>
      </c>
      <c r="V116" s="3">
        <f t="shared" si="536"/>
        <v>125</v>
      </c>
      <c r="W116" s="7">
        <v>100</v>
      </c>
      <c r="X116" s="7">
        <f t="shared" ref="X116:X122" si="552">V116*W116</f>
        <v>12500</v>
      </c>
      <c r="Y116" s="3">
        <f>V116*10</f>
        <v>1250</v>
      </c>
      <c r="Z116" s="6">
        <f t="shared" si="538"/>
        <v>11250</v>
      </c>
      <c r="AA116" s="82"/>
      <c r="AB116" s="7">
        <v>108</v>
      </c>
      <c r="AC116" s="3">
        <v>50</v>
      </c>
      <c r="AD116" s="3">
        <f t="shared" si="539"/>
        <v>5400</v>
      </c>
      <c r="AE116" s="7">
        <v>0</v>
      </c>
      <c r="AF116" s="3">
        <v>50</v>
      </c>
      <c r="AG116" s="3">
        <f t="shared" si="540"/>
        <v>0</v>
      </c>
      <c r="AH116" s="3">
        <f t="shared" si="541"/>
        <v>108</v>
      </c>
      <c r="AI116" s="3">
        <v>50</v>
      </c>
      <c r="AJ116" s="7">
        <f t="shared" si="542"/>
        <v>5400</v>
      </c>
      <c r="AK116" s="3">
        <f>AH116*5</f>
        <v>540</v>
      </c>
      <c r="AL116" s="6">
        <f t="shared" si="543"/>
        <v>4860</v>
      </c>
      <c r="AM116" s="6">
        <f t="shared" si="544"/>
        <v>24020</v>
      </c>
      <c r="AN116" s="6">
        <f t="shared" si="545"/>
        <v>2300</v>
      </c>
      <c r="AO116" s="6">
        <f t="shared" si="546"/>
        <v>21720</v>
      </c>
      <c r="AP116" s="3" t="s">
        <v>474</v>
      </c>
      <c r="AQ116" s="3">
        <f t="shared" si="547"/>
        <v>21720</v>
      </c>
      <c r="AR116" s="3">
        <f t="shared" si="549"/>
        <v>21720</v>
      </c>
      <c r="AS116" s="3">
        <f t="shared" si="548"/>
        <v>0</v>
      </c>
      <c r="AT116" s="3"/>
    </row>
    <row r="117" spans="1:46" x14ac:dyDescent="0.35">
      <c r="A117" s="3"/>
      <c r="B117" s="172" t="s">
        <v>326</v>
      </c>
      <c r="C117" s="3" t="s">
        <v>33</v>
      </c>
      <c r="D117" s="7">
        <v>30</v>
      </c>
      <c r="E117" s="3">
        <v>60</v>
      </c>
      <c r="F117" s="1">
        <f t="shared" si="529"/>
        <v>1800</v>
      </c>
      <c r="G117" s="7">
        <v>21</v>
      </c>
      <c r="H117" s="3">
        <v>60</v>
      </c>
      <c r="I117" s="27">
        <f t="shared" si="530"/>
        <v>1260</v>
      </c>
      <c r="J117" s="3">
        <f t="shared" si="531"/>
        <v>9</v>
      </c>
      <c r="K117" s="7">
        <v>60</v>
      </c>
      <c r="L117" s="7">
        <f t="shared" si="532"/>
        <v>540</v>
      </c>
      <c r="M117" s="3">
        <v>0</v>
      </c>
      <c r="N117" s="6">
        <f t="shared" si="533"/>
        <v>540</v>
      </c>
      <c r="O117" s="34"/>
      <c r="P117" s="7">
        <v>60</v>
      </c>
      <c r="Q117" s="3">
        <v>100</v>
      </c>
      <c r="R117" s="3">
        <f t="shared" si="534"/>
        <v>6000</v>
      </c>
      <c r="S117" s="7">
        <v>12</v>
      </c>
      <c r="T117" s="3">
        <v>100</v>
      </c>
      <c r="U117" s="3">
        <f t="shared" si="535"/>
        <v>1200</v>
      </c>
      <c r="V117" s="3">
        <f t="shared" si="536"/>
        <v>48</v>
      </c>
      <c r="W117" s="7">
        <v>100</v>
      </c>
      <c r="X117" s="7">
        <f t="shared" si="552"/>
        <v>4800</v>
      </c>
      <c r="Y117" s="3">
        <v>0</v>
      </c>
      <c r="Z117" s="6">
        <f t="shared" si="538"/>
        <v>4800</v>
      </c>
      <c r="AA117" s="82"/>
      <c r="AB117" s="7">
        <v>48</v>
      </c>
      <c r="AC117" s="3">
        <v>50</v>
      </c>
      <c r="AD117" s="3">
        <f t="shared" si="539"/>
        <v>2400</v>
      </c>
      <c r="AE117" s="7">
        <v>0</v>
      </c>
      <c r="AF117" s="3">
        <v>50</v>
      </c>
      <c r="AG117" s="3">
        <f t="shared" si="540"/>
        <v>0</v>
      </c>
      <c r="AH117" s="3">
        <f t="shared" si="541"/>
        <v>48</v>
      </c>
      <c r="AI117" s="3">
        <v>50</v>
      </c>
      <c r="AJ117" s="7">
        <f t="shared" si="542"/>
        <v>2400</v>
      </c>
      <c r="AK117" s="3">
        <v>0</v>
      </c>
      <c r="AL117" s="6">
        <f t="shared" si="543"/>
        <v>2400</v>
      </c>
      <c r="AM117" s="6">
        <f>L117+X117+AJ117</f>
        <v>7740</v>
      </c>
      <c r="AN117" s="6">
        <f t="shared" si="545"/>
        <v>0</v>
      </c>
      <c r="AO117" s="6">
        <f>AM117-AN117</f>
        <v>7740</v>
      </c>
      <c r="AP117" s="3" t="s">
        <v>474</v>
      </c>
      <c r="AQ117" s="3">
        <f>AO117</f>
        <v>7740</v>
      </c>
      <c r="AR117" s="3">
        <f t="shared" si="549"/>
        <v>7740</v>
      </c>
      <c r="AS117" s="3">
        <f t="shared" si="548"/>
        <v>0</v>
      </c>
      <c r="AT117" s="3"/>
    </row>
    <row r="118" spans="1:46" x14ac:dyDescent="0.35">
      <c r="A118" s="3"/>
      <c r="B118" s="172" t="s">
        <v>326</v>
      </c>
      <c r="C118" s="3" t="s">
        <v>329</v>
      </c>
      <c r="D118" s="7">
        <v>22</v>
      </c>
      <c r="E118" s="3">
        <v>50</v>
      </c>
      <c r="F118" s="1">
        <f t="shared" si="529"/>
        <v>1100</v>
      </c>
      <c r="G118" s="3">
        <v>0</v>
      </c>
      <c r="H118" s="3">
        <v>50</v>
      </c>
      <c r="I118" s="27">
        <f t="shared" si="530"/>
        <v>0</v>
      </c>
      <c r="J118" s="3">
        <f t="shared" si="531"/>
        <v>22</v>
      </c>
      <c r="K118" s="7">
        <v>50</v>
      </c>
      <c r="L118" s="7">
        <f t="shared" si="532"/>
        <v>1100</v>
      </c>
      <c r="M118" s="3">
        <v>0</v>
      </c>
      <c r="N118" s="6">
        <f t="shared" si="533"/>
        <v>1100</v>
      </c>
      <c r="O118" s="34"/>
      <c r="P118" s="3">
        <v>0</v>
      </c>
      <c r="Q118" s="3">
        <v>50</v>
      </c>
      <c r="R118" s="3">
        <f t="shared" si="534"/>
        <v>0</v>
      </c>
      <c r="S118" s="3">
        <v>0</v>
      </c>
      <c r="T118" s="3">
        <v>50</v>
      </c>
      <c r="U118" s="3">
        <f t="shared" si="535"/>
        <v>0</v>
      </c>
      <c r="V118" s="3">
        <f t="shared" si="536"/>
        <v>0</v>
      </c>
      <c r="W118" s="7">
        <v>50</v>
      </c>
      <c r="X118" s="7">
        <f t="shared" si="552"/>
        <v>0</v>
      </c>
      <c r="Y118" s="3">
        <v>0</v>
      </c>
      <c r="Z118" s="6">
        <f t="shared" si="538"/>
        <v>0</v>
      </c>
      <c r="AA118" s="82"/>
      <c r="AB118" s="3">
        <v>0</v>
      </c>
      <c r="AC118" s="3">
        <v>50</v>
      </c>
      <c r="AD118" s="3">
        <f t="shared" si="539"/>
        <v>0</v>
      </c>
      <c r="AE118" s="3">
        <v>0</v>
      </c>
      <c r="AF118" s="3">
        <v>50</v>
      </c>
      <c r="AG118" s="3">
        <f t="shared" si="540"/>
        <v>0</v>
      </c>
      <c r="AH118" s="3">
        <f t="shared" si="541"/>
        <v>0</v>
      </c>
      <c r="AI118" s="3">
        <v>50</v>
      </c>
      <c r="AJ118" s="7">
        <f t="shared" si="542"/>
        <v>0</v>
      </c>
      <c r="AK118" s="3">
        <v>0</v>
      </c>
      <c r="AL118" s="6">
        <f t="shared" si="543"/>
        <v>0</v>
      </c>
      <c r="AM118" s="6">
        <f t="shared" ref="AM118" si="553">L118+X118+AJ118</f>
        <v>1100</v>
      </c>
      <c r="AN118" s="6">
        <f t="shared" si="545"/>
        <v>0</v>
      </c>
      <c r="AO118" s="6">
        <f t="shared" ref="AO118" si="554">AM118-AN118</f>
        <v>1100</v>
      </c>
      <c r="AP118" s="3" t="s">
        <v>474</v>
      </c>
      <c r="AQ118" s="3">
        <f t="shared" ref="AQ118" si="555">AO118</f>
        <v>1100</v>
      </c>
      <c r="AR118" s="3">
        <f>AQ118</f>
        <v>1100</v>
      </c>
      <c r="AS118" s="3">
        <f t="shared" si="548"/>
        <v>0</v>
      </c>
      <c r="AT118" s="3"/>
    </row>
    <row r="119" spans="1:46" x14ac:dyDescent="0.35">
      <c r="A119" s="3"/>
      <c r="B119" s="172" t="s">
        <v>283</v>
      </c>
      <c r="C119" s="3" t="s">
        <v>33</v>
      </c>
      <c r="D119" s="7">
        <v>47</v>
      </c>
      <c r="E119" s="3">
        <v>60</v>
      </c>
      <c r="F119" s="1">
        <f t="shared" si="529"/>
        <v>2820</v>
      </c>
      <c r="G119" s="7">
        <v>9</v>
      </c>
      <c r="H119" s="3">
        <v>60</v>
      </c>
      <c r="I119" s="27">
        <f t="shared" si="530"/>
        <v>540</v>
      </c>
      <c r="J119" s="3">
        <f t="shared" si="531"/>
        <v>38</v>
      </c>
      <c r="K119" s="7">
        <v>60</v>
      </c>
      <c r="L119" s="7">
        <f t="shared" si="532"/>
        <v>2280</v>
      </c>
      <c r="M119" s="3">
        <v>0</v>
      </c>
      <c r="N119" s="6">
        <f t="shared" si="533"/>
        <v>2280</v>
      </c>
      <c r="O119" s="34"/>
      <c r="P119" s="7">
        <f>36+20</f>
        <v>56</v>
      </c>
      <c r="Q119" s="3">
        <v>100</v>
      </c>
      <c r="R119" s="3">
        <f t="shared" si="534"/>
        <v>5600</v>
      </c>
      <c r="S119" s="7">
        <v>8</v>
      </c>
      <c r="T119" s="3">
        <v>100</v>
      </c>
      <c r="U119" s="3">
        <f t="shared" si="535"/>
        <v>800</v>
      </c>
      <c r="V119" s="3">
        <f t="shared" si="536"/>
        <v>48</v>
      </c>
      <c r="W119" s="7">
        <v>100</v>
      </c>
      <c r="X119" s="7">
        <f t="shared" si="552"/>
        <v>4800</v>
      </c>
      <c r="Y119" s="3">
        <v>0</v>
      </c>
      <c r="Z119" s="6">
        <f t="shared" si="538"/>
        <v>4800</v>
      </c>
      <c r="AA119" s="82"/>
      <c r="AB119" s="7">
        <v>24</v>
      </c>
      <c r="AC119" s="3">
        <v>50</v>
      </c>
      <c r="AD119" s="3">
        <f t="shared" si="539"/>
        <v>1200</v>
      </c>
      <c r="AE119" s="7">
        <v>9</v>
      </c>
      <c r="AF119" s="3">
        <v>50</v>
      </c>
      <c r="AG119" s="3">
        <f t="shared" si="540"/>
        <v>450</v>
      </c>
      <c r="AH119" s="3">
        <f t="shared" si="541"/>
        <v>15</v>
      </c>
      <c r="AI119" s="3">
        <v>50</v>
      </c>
      <c r="AJ119" s="7">
        <f t="shared" si="542"/>
        <v>750</v>
      </c>
      <c r="AK119" s="3">
        <v>0</v>
      </c>
      <c r="AL119" s="6">
        <f t="shared" si="543"/>
        <v>750</v>
      </c>
      <c r="AM119" s="6">
        <f t="shared" si="544"/>
        <v>7830</v>
      </c>
      <c r="AN119" s="6">
        <f t="shared" si="545"/>
        <v>0</v>
      </c>
      <c r="AO119" s="6">
        <f>AM119-AN119</f>
        <v>7830</v>
      </c>
      <c r="AP119" s="3" t="s">
        <v>474</v>
      </c>
      <c r="AQ119" s="3">
        <f t="shared" si="547"/>
        <v>7830</v>
      </c>
      <c r="AR119" s="3">
        <f t="shared" si="549"/>
        <v>7830</v>
      </c>
      <c r="AS119" s="3">
        <f t="shared" si="548"/>
        <v>0</v>
      </c>
      <c r="AT119" s="3"/>
    </row>
    <row r="120" spans="1:46" x14ac:dyDescent="0.35">
      <c r="A120" s="3"/>
      <c r="B120" s="172" t="s">
        <v>363</v>
      </c>
      <c r="C120" s="3" t="s">
        <v>182</v>
      </c>
      <c r="D120" s="7">
        <v>0</v>
      </c>
      <c r="E120" s="3">
        <v>60</v>
      </c>
      <c r="F120" s="1">
        <f t="shared" si="529"/>
        <v>0</v>
      </c>
      <c r="G120" s="3">
        <v>0</v>
      </c>
      <c r="H120" s="3">
        <v>60</v>
      </c>
      <c r="I120" s="27">
        <f t="shared" si="530"/>
        <v>0</v>
      </c>
      <c r="J120" s="3">
        <f t="shared" si="531"/>
        <v>0</v>
      </c>
      <c r="K120" s="7">
        <v>60</v>
      </c>
      <c r="L120" s="7">
        <f t="shared" si="532"/>
        <v>0</v>
      </c>
      <c r="M120" s="3">
        <v>0</v>
      </c>
      <c r="N120" s="6">
        <f t="shared" si="533"/>
        <v>0</v>
      </c>
      <c r="O120" s="34"/>
      <c r="P120" s="3">
        <v>60</v>
      </c>
      <c r="Q120" s="3">
        <v>90</v>
      </c>
      <c r="R120" s="3">
        <f t="shared" si="534"/>
        <v>5400</v>
      </c>
      <c r="S120" s="3">
        <v>0</v>
      </c>
      <c r="T120" s="3">
        <v>90</v>
      </c>
      <c r="U120" s="3">
        <f t="shared" si="535"/>
        <v>0</v>
      </c>
      <c r="V120" s="3">
        <f t="shared" si="536"/>
        <v>60</v>
      </c>
      <c r="W120" s="7">
        <v>90</v>
      </c>
      <c r="X120" s="7">
        <f t="shared" si="552"/>
        <v>5400</v>
      </c>
      <c r="Y120" s="3">
        <v>0</v>
      </c>
      <c r="Z120" s="6">
        <f t="shared" si="538"/>
        <v>5400</v>
      </c>
      <c r="AA120" s="82"/>
      <c r="AB120" s="3">
        <v>48</v>
      </c>
      <c r="AC120" s="3">
        <v>45</v>
      </c>
      <c r="AD120" s="3">
        <f t="shared" si="539"/>
        <v>2160</v>
      </c>
      <c r="AE120" s="3">
        <v>0</v>
      </c>
      <c r="AF120" s="3">
        <v>45</v>
      </c>
      <c r="AG120" s="3">
        <f t="shared" si="540"/>
        <v>0</v>
      </c>
      <c r="AH120" s="3">
        <f t="shared" si="541"/>
        <v>48</v>
      </c>
      <c r="AI120" s="3">
        <v>45</v>
      </c>
      <c r="AJ120" s="7">
        <f t="shared" si="542"/>
        <v>2160</v>
      </c>
      <c r="AK120" s="3">
        <v>0</v>
      </c>
      <c r="AL120" s="6">
        <f t="shared" si="543"/>
        <v>2160</v>
      </c>
      <c r="AM120" s="6">
        <f t="shared" si="544"/>
        <v>7560</v>
      </c>
      <c r="AN120" s="6">
        <f t="shared" si="545"/>
        <v>0</v>
      </c>
      <c r="AO120" s="6">
        <f t="shared" ref="AO120" si="556">AM120-AN120</f>
        <v>7560</v>
      </c>
      <c r="AP120" s="3" t="s">
        <v>474</v>
      </c>
      <c r="AQ120" s="3">
        <f t="shared" si="547"/>
        <v>7560</v>
      </c>
      <c r="AR120" s="3">
        <f t="shared" si="549"/>
        <v>7560</v>
      </c>
      <c r="AS120" s="3">
        <f t="shared" si="548"/>
        <v>0</v>
      </c>
      <c r="AT120" s="3"/>
    </row>
    <row r="121" spans="1:46" x14ac:dyDescent="0.35">
      <c r="A121" s="3"/>
      <c r="B121" s="3" t="s">
        <v>287</v>
      </c>
      <c r="C121" s="3" t="s">
        <v>33</v>
      </c>
      <c r="D121" s="7">
        <v>0</v>
      </c>
      <c r="E121" s="3">
        <v>60</v>
      </c>
      <c r="F121" s="1">
        <f t="shared" ref="F121" si="557">D121*E121</f>
        <v>0</v>
      </c>
      <c r="G121" s="7">
        <v>0</v>
      </c>
      <c r="H121" s="3">
        <v>60</v>
      </c>
      <c r="I121" s="27">
        <f t="shared" si="530"/>
        <v>0</v>
      </c>
      <c r="J121" s="3">
        <f t="shared" ref="J121" si="558">D121-G121</f>
        <v>0</v>
      </c>
      <c r="K121" s="7">
        <v>60</v>
      </c>
      <c r="L121" s="7">
        <f t="shared" ref="L121:L122" si="559">J121*K121</f>
        <v>0</v>
      </c>
      <c r="M121" s="3">
        <f>J121*5</f>
        <v>0</v>
      </c>
      <c r="N121" s="6">
        <f t="shared" si="533"/>
        <v>0</v>
      </c>
      <c r="O121" s="34"/>
      <c r="P121" s="7">
        <v>0</v>
      </c>
      <c r="Q121" s="3">
        <v>100</v>
      </c>
      <c r="R121" s="3">
        <f t="shared" ref="R121" si="560">P121*Q121</f>
        <v>0</v>
      </c>
      <c r="S121" s="7">
        <v>0</v>
      </c>
      <c r="T121" s="3">
        <v>100</v>
      </c>
      <c r="U121" s="3">
        <f t="shared" si="535"/>
        <v>0</v>
      </c>
      <c r="V121" s="3">
        <f t="shared" ref="V121" si="561">P121-S121</f>
        <v>0</v>
      </c>
      <c r="W121" s="7">
        <v>100</v>
      </c>
      <c r="X121" s="7">
        <f t="shared" si="552"/>
        <v>0</v>
      </c>
      <c r="Y121" s="3">
        <f>V121*10</f>
        <v>0</v>
      </c>
      <c r="Z121" s="6">
        <f t="shared" si="538"/>
        <v>0</v>
      </c>
      <c r="AA121" s="82"/>
      <c r="AB121" s="7">
        <v>0</v>
      </c>
      <c r="AC121" s="3">
        <v>50</v>
      </c>
      <c r="AD121" s="3">
        <f t="shared" ref="AD121" si="562">AB121*AC121</f>
        <v>0</v>
      </c>
      <c r="AE121" s="7">
        <v>0</v>
      </c>
      <c r="AF121" s="3">
        <v>50</v>
      </c>
      <c r="AG121" s="3">
        <f t="shared" si="540"/>
        <v>0</v>
      </c>
      <c r="AH121" s="3">
        <f t="shared" ref="AH121" si="563">AB121-AE121</f>
        <v>0</v>
      </c>
      <c r="AI121" s="3">
        <v>50</v>
      </c>
      <c r="AJ121" s="7">
        <f t="shared" si="542"/>
        <v>0</v>
      </c>
      <c r="AK121" s="3">
        <f>AH121*5</f>
        <v>0</v>
      </c>
      <c r="AL121" s="6">
        <f t="shared" si="543"/>
        <v>0</v>
      </c>
      <c r="AM121" s="6">
        <f t="shared" si="544"/>
        <v>0</v>
      </c>
      <c r="AN121" s="6">
        <f t="shared" si="545"/>
        <v>0</v>
      </c>
      <c r="AO121" s="6">
        <f t="shared" ref="AO121:AO122" si="564">AM121-AN121</f>
        <v>0</v>
      </c>
      <c r="AP121" s="3" t="s">
        <v>474</v>
      </c>
      <c r="AQ121" s="3">
        <f t="shared" si="547"/>
        <v>0</v>
      </c>
      <c r="AR121" s="3">
        <f>AQ121</f>
        <v>0</v>
      </c>
      <c r="AS121" s="3">
        <f t="shared" si="548"/>
        <v>0</v>
      </c>
      <c r="AT121" s="3"/>
    </row>
    <row r="122" spans="1:46" x14ac:dyDescent="0.35">
      <c r="A122" s="3"/>
      <c r="B122" s="3" t="s">
        <v>287</v>
      </c>
      <c r="C122" s="3" t="s">
        <v>11</v>
      </c>
      <c r="D122" s="7">
        <v>0</v>
      </c>
      <c r="E122" s="3">
        <v>60</v>
      </c>
      <c r="F122" s="1">
        <v>0</v>
      </c>
      <c r="G122" s="7">
        <v>0</v>
      </c>
      <c r="H122" s="3">
        <v>60</v>
      </c>
      <c r="I122" s="27">
        <f t="shared" si="530"/>
        <v>0</v>
      </c>
      <c r="J122" s="3">
        <v>0</v>
      </c>
      <c r="K122" s="7">
        <v>60</v>
      </c>
      <c r="L122" s="7">
        <f t="shared" si="559"/>
        <v>0</v>
      </c>
      <c r="M122" s="3">
        <v>0</v>
      </c>
      <c r="N122" s="6">
        <f t="shared" si="533"/>
        <v>0</v>
      </c>
      <c r="O122" s="34"/>
      <c r="P122" s="7">
        <v>0</v>
      </c>
      <c r="Q122" s="3">
        <v>100</v>
      </c>
      <c r="R122" s="3">
        <v>0</v>
      </c>
      <c r="S122" s="7">
        <v>0</v>
      </c>
      <c r="T122" s="3">
        <v>100</v>
      </c>
      <c r="U122" s="3">
        <f t="shared" si="535"/>
        <v>0</v>
      </c>
      <c r="V122" s="3">
        <v>0</v>
      </c>
      <c r="W122" s="7">
        <v>100</v>
      </c>
      <c r="X122" s="7">
        <f t="shared" si="552"/>
        <v>0</v>
      </c>
      <c r="Y122" s="3">
        <v>0</v>
      </c>
      <c r="Z122" s="6">
        <f t="shared" si="538"/>
        <v>0</v>
      </c>
      <c r="AA122" s="82"/>
      <c r="AB122" s="7">
        <v>0</v>
      </c>
      <c r="AC122" s="3">
        <v>50</v>
      </c>
      <c r="AD122" s="3">
        <v>0</v>
      </c>
      <c r="AE122" s="7">
        <v>0</v>
      </c>
      <c r="AF122" s="3">
        <v>50</v>
      </c>
      <c r="AG122" s="3">
        <f t="shared" si="540"/>
        <v>0</v>
      </c>
      <c r="AH122" s="3">
        <v>0</v>
      </c>
      <c r="AI122" s="3">
        <v>50</v>
      </c>
      <c r="AJ122" s="7">
        <f t="shared" si="542"/>
        <v>0</v>
      </c>
      <c r="AK122" s="3">
        <v>0</v>
      </c>
      <c r="AL122" s="6">
        <f t="shared" si="543"/>
        <v>0</v>
      </c>
      <c r="AM122" s="6">
        <f t="shared" si="544"/>
        <v>0</v>
      </c>
      <c r="AN122" s="6">
        <f t="shared" si="545"/>
        <v>0</v>
      </c>
      <c r="AO122" s="6">
        <f t="shared" si="564"/>
        <v>0</v>
      </c>
      <c r="AP122" s="3" t="s">
        <v>474</v>
      </c>
      <c r="AQ122" s="3">
        <f t="shared" si="547"/>
        <v>0</v>
      </c>
      <c r="AR122" s="3">
        <f t="shared" ref="AR122" si="565">AQ122</f>
        <v>0</v>
      </c>
      <c r="AS122" s="3">
        <f t="shared" si="548"/>
        <v>0</v>
      </c>
      <c r="AT122" s="3"/>
    </row>
    <row r="123" spans="1:46" x14ac:dyDescent="0.35">
      <c r="A123" s="19"/>
      <c r="B123" s="19" t="s">
        <v>36</v>
      </c>
      <c r="C123" s="19"/>
      <c r="D123" s="19">
        <f>SUM(D112:D122)</f>
        <v>744</v>
      </c>
      <c r="E123" s="19"/>
      <c r="F123" s="19">
        <f>SUM(F112:F122)</f>
        <v>44420</v>
      </c>
      <c r="G123" s="19">
        <f>SUM(G112:G122)</f>
        <v>444</v>
      </c>
      <c r="H123" s="19"/>
      <c r="I123" s="19">
        <f>SUM(I112:I122)</f>
        <v>26640</v>
      </c>
      <c r="J123" s="19">
        <f>SUM(J112:J122)</f>
        <v>300</v>
      </c>
      <c r="K123" s="19"/>
      <c r="L123" s="19">
        <f>SUM(L112:L122)</f>
        <v>17780</v>
      </c>
      <c r="M123" s="19">
        <f>SUM(M112:M122)</f>
        <v>510</v>
      </c>
      <c r="N123" s="19">
        <f>SUM(N112:N122)</f>
        <v>17270</v>
      </c>
      <c r="O123" s="34"/>
      <c r="P123" s="19">
        <f>SUM(P112:P122)</f>
        <v>728</v>
      </c>
      <c r="Q123" s="19"/>
      <c r="R123" s="19">
        <f>SUM(R112:R122)</f>
        <v>72200</v>
      </c>
      <c r="S123" s="19">
        <f>SUM(S112:S122)</f>
        <v>75</v>
      </c>
      <c r="T123" s="19"/>
      <c r="U123" s="19">
        <f>SUM(U112:U122)</f>
        <v>7500</v>
      </c>
      <c r="V123" s="19">
        <f>SUM(V112:V122)</f>
        <v>653</v>
      </c>
      <c r="W123" s="19"/>
      <c r="X123" s="19">
        <f>SUM(X112:X122)</f>
        <v>64700</v>
      </c>
      <c r="Y123" s="19">
        <f>SUM(Y112:Y122)</f>
        <v>1250</v>
      </c>
      <c r="Z123" s="19">
        <f>SUM(Z112:Z122)</f>
        <v>63450</v>
      </c>
      <c r="AA123" s="34"/>
      <c r="AB123" s="19">
        <f>SUM(AB112:AB122)</f>
        <v>648</v>
      </c>
      <c r="AC123" s="19"/>
      <c r="AD123" s="19">
        <f>SUM(AD112:AD122)</f>
        <v>32160</v>
      </c>
      <c r="AE123" s="19">
        <f>SUM(AE112:AE122)</f>
        <v>185</v>
      </c>
      <c r="AF123" s="19"/>
      <c r="AG123" s="19">
        <f>SUM(AG112:AG122)</f>
        <v>9250</v>
      </c>
      <c r="AH123" s="19">
        <f>SUM(AH112:AH122)</f>
        <v>463</v>
      </c>
      <c r="AI123" s="19"/>
      <c r="AJ123" s="19">
        <f t="shared" ref="AJ123:AO123" si="566">SUM(AJ112:AJ122)</f>
        <v>22910</v>
      </c>
      <c r="AK123" s="19">
        <f t="shared" si="566"/>
        <v>540</v>
      </c>
      <c r="AL123" s="19">
        <f t="shared" si="566"/>
        <v>22370</v>
      </c>
      <c r="AM123" s="19">
        <f t="shared" si="566"/>
        <v>105390</v>
      </c>
      <c r="AN123" s="19">
        <f t="shared" si="566"/>
        <v>2300</v>
      </c>
      <c r="AO123" s="19">
        <f t="shared" si="566"/>
        <v>103090</v>
      </c>
      <c r="AP123" s="19"/>
      <c r="AQ123" s="19">
        <f>SUM(AQ112:AQ122)</f>
        <v>103090</v>
      </c>
      <c r="AR123" s="19">
        <f>SUM(AR112:AR122)</f>
        <v>103090</v>
      </c>
      <c r="AS123" s="19">
        <f>SUM(AS112:AS122)</f>
        <v>0</v>
      </c>
      <c r="AT123" s="74"/>
    </row>
    <row r="124" spans="1:46" x14ac:dyDescent="0.35">
      <c r="A124" s="3" t="s">
        <v>475</v>
      </c>
      <c r="B124" s="172" t="s">
        <v>276</v>
      </c>
      <c r="C124" s="3" t="s">
        <v>33</v>
      </c>
      <c r="D124" s="7">
        <f>225-60</f>
        <v>165</v>
      </c>
      <c r="E124" s="3">
        <v>60</v>
      </c>
      <c r="F124" s="1">
        <f t="shared" ref="F124:F132" si="567">D124*E124</f>
        <v>9900</v>
      </c>
      <c r="G124" s="3">
        <v>93</v>
      </c>
      <c r="H124" s="3">
        <v>60</v>
      </c>
      <c r="I124" s="27">
        <f t="shared" ref="I124:I135" si="568">G124*H124</f>
        <v>5580</v>
      </c>
      <c r="J124" s="3">
        <f t="shared" ref="J124:J125" si="569">D124-G124</f>
        <v>72</v>
      </c>
      <c r="K124" s="7">
        <v>60</v>
      </c>
      <c r="L124" s="7">
        <f t="shared" ref="L124:L133" si="570">J124*K124</f>
        <v>4320</v>
      </c>
      <c r="M124" s="3">
        <v>0</v>
      </c>
      <c r="N124" s="6">
        <f t="shared" ref="N124:N135" si="571">L124-M124</f>
        <v>4320</v>
      </c>
      <c r="O124" s="34"/>
      <c r="P124" s="3">
        <v>180</v>
      </c>
      <c r="Q124" s="3">
        <v>100</v>
      </c>
      <c r="R124" s="3">
        <f t="shared" ref="R124:R132" si="572">P124*Q124</f>
        <v>18000</v>
      </c>
      <c r="S124" s="3">
        <v>14</v>
      </c>
      <c r="T124" s="3">
        <v>100</v>
      </c>
      <c r="U124" s="3">
        <f t="shared" ref="U124:U135" si="573">S124*T124</f>
        <v>1400</v>
      </c>
      <c r="V124" s="3">
        <f t="shared" ref="V124:V132" si="574">P124-S124</f>
        <v>166</v>
      </c>
      <c r="W124" s="7">
        <v>100</v>
      </c>
      <c r="X124" s="7">
        <f t="shared" ref="X124" si="575">V124*W124</f>
        <v>16600</v>
      </c>
      <c r="Y124" s="3">
        <v>0</v>
      </c>
      <c r="Z124" s="6">
        <f t="shared" ref="Z124:Z135" si="576">X124-Y124</f>
        <v>16600</v>
      </c>
      <c r="AA124" s="82"/>
      <c r="AB124" s="3">
        <v>180</v>
      </c>
      <c r="AC124" s="3">
        <v>50</v>
      </c>
      <c r="AD124" s="3">
        <f t="shared" ref="AD124:AD132" si="577">AB124*AC124</f>
        <v>9000</v>
      </c>
      <c r="AE124" s="3">
        <v>3</v>
      </c>
      <c r="AF124" s="3">
        <v>50</v>
      </c>
      <c r="AG124" s="3">
        <v>0</v>
      </c>
      <c r="AH124" s="3">
        <f t="shared" ref="AH124:AH132" si="578">AB124-AE124</f>
        <v>177</v>
      </c>
      <c r="AI124" s="3">
        <v>50</v>
      </c>
      <c r="AJ124" s="7">
        <f t="shared" ref="AJ124:AJ135" si="579">AH124*AI124</f>
        <v>8850</v>
      </c>
      <c r="AK124" s="3">
        <v>0</v>
      </c>
      <c r="AL124" s="6">
        <f t="shared" ref="AL124:AL135" si="580">AJ124-AK124</f>
        <v>8850</v>
      </c>
      <c r="AM124" s="6">
        <f t="shared" ref="AM124:AM135" si="581">L124+X124+AJ124</f>
        <v>29770</v>
      </c>
      <c r="AN124" s="6">
        <f t="shared" ref="AN124:AN135" si="582">M124+Y124+AK124</f>
        <v>0</v>
      </c>
      <c r="AO124" s="6">
        <f t="shared" ref="AO124:AO135" si="583">AM124-AN124</f>
        <v>29770</v>
      </c>
      <c r="AP124" s="3" t="s">
        <v>475</v>
      </c>
      <c r="AQ124" s="3">
        <f t="shared" ref="AQ124:AQ135" si="584">AO124</f>
        <v>29770</v>
      </c>
      <c r="AR124" s="3">
        <f>AQ124</f>
        <v>29770</v>
      </c>
      <c r="AS124" s="3">
        <f t="shared" ref="AS124:AS135" si="585">AQ124-AR124</f>
        <v>0</v>
      </c>
      <c r="AT124" s="3"/>
    </row>
    <row r="125" spans="1:46" x14ac:dyDescent="0.35">
      <c r="A125" s="3"/>
      <c r="B125" s="172" t="s">
        <v>276</v>
      </c>
      <c r="C125" s="3" t="s">
        <v>182</v>
      </c>
      <c r="D125" s="7">
        <v>60</v>
      </c>
      <c r="E125" s="3">
        <v>55</v>
      </c>
      <c r="F125" s="1">
        <f t="shared" si="567"/>
        <v>3300</v>
      </c>
      <c r="G125" s="3">
        <v>0</v>
      </c>
      <c r="H125" s="3">
        <v>55</v>
      </c>
      <c r="I125" s="27">
        <f t="shared" si="568"/>
        <v>0</v>
      </c>
      <c r="J125" s="3">
        <f t="shared" si="569"/>
        <v>60</v>
      </c>
      <c r="K125" s="7">
        <v>55</v>
      </c>
      <c r="L125" s="7">
        <f t="shared" si="570"/>
        <v>3300</v>
      </c>
      <c r="M125" s="7">
        <v>0</v>
      </c>
      <c r="N125" s="6">
        <f t="shared" si="571"/>
        <v>3300</v>
      </c>
      <c r="O125" s="34"/>
      <c r="P125" s="3">
        <v>0</v>
      </c>
      <c r="Q125" s="3">
        <v>100</v>
      </c>
      <c r="R125" s="3">
        <f t="shared" si="572"/>
        <v>0</v>
      </c>
      <c r="S125" s="3">
        <v>0</v>
      </c>
      <c r="T125" s="3">
        <v>100</v>
      </c>
      <c r="U125" s="3">
        <f t="shared" si="573"/>
        <v>0</v>
      </c>
      <c r="V125" s="3">
        <f t="shared" si="574"/>
        <v>0</v>
      </c>
      <c r="W125" s="7">
        <v>100</v>
      </c>
      <c r="X125" s="7">
        <f>V125*W125</f>
        <v>0</v>
      </c>
      <c r="Y125" s="7">
        <v>0</v>
      </c>
      <c r="Z125" s="6">
        <f t="shared" si="576"/>
        <v>0</v>
      </c>
      <c r="AA125" s="82"/>
      <c r="AB125" s="3">
        <v>0</v>
      </c>
      <c r="AC125" s="3">
        <v>50</v>
      </c>
      <c r="AD125" s="3">
        <f t="shared" si="577"/>
        <v>0</v>
      </c>
      <c r="AE125" s="3">
        <v>0</v>
      </c>
      <c r="AF125" s="3">
        <v>50</v>
      </c>
      <c r="AG125" s="3">
        <f t="shared" ref="AG125" si="586">AE125*AF125</f>
        <v>0</v>
      </c>
      <c r="AH125" s="3">
        <f t="shared" si="578"/>
        <v>0</v>
      </c>
      <c r="AI125" s="3">
        <v>50</v>
      </c>
      <c r="AJ125" s="7">
        <f t="shared" si="579"/>
        <v>0</v>
      </c>
      <c r="AK125" s="7">
        <v>0</v>
      </c>
      <c r="AL125" s="6">
        <f t="shared" si="580"/>
        <v>0</v>
      </c>
      <c r="AM125" s="6">
        <f t="shared" si="581"/>
        <v>3300</v>
      </c>
      <c r="AN125" s="6">
        <f t="shared" si="582"/>
        <v>0</v>
      </c>
      <c r="AO125" s="6">
        <f t="shared" si="583"/>
        <v>3300</v>
      </c>
      <c r="AP125" s="3" t="s">
        <v>475</v>
      </c>
      <c r="AQ125" s="3">
        <f t="shared" si="584"/>
        <v>3300</v>
      </c>
      <c r="AR125" s="3">
        <f t="shared" ref="AR125" si="587">AQ125</f>
        <v>3300</v>
      </c>
      <c r="AS125" s="3">
        <f t="shared" si="585"/>
        <v>0</v>
      </c>
      <c r="AT125" s="3"/>
    </row>
    <row r="126" spans="1:46" x14ac:dyDescent="0.35">
      <c r="A126" s="3"/>
      <c r="B126" s="172" t="s">
        <v>463</v>
      </c>
      <c r="C126" s="3" t="s">
        <v>33</v>
      </c>
      <c r="D126" s="7">
        <v>300</v>
      </c>
      <c r="E126" s="3">
        <v>60</v>
      </c>
      <c r="F126" s="1">
        <f t="shared" si="567"/>
        <v>18000</v>
      </c>
      <c r="G126" s="3">
        <v>250</v>
      </c>
      <c r="H126" s="3">
        <v>60</v>
      </c>
      <c r="I126" s="27">
        <f t="shared" si="568"/>
        <v>15000</v>
      </c>
      <c r="J126" s="3">
        <f t="shared" ref="J126:J132" si="588">D126-G126</f>
        <v>50</v>
      </c>
      <c r="K126" s="7">
        <v>60</v>
      </c>
      <c r="L126" s="7">
        <f t="shared" si="570"/>
        <v>3000</v>
      </c>
      <c r="M126" s="7">
        <v>0</v>
      </c>
      <c r="N126" s="6">
        <f t="shared" si="571"/>
        <v>3000</v>
      </c>
      <c r="O126" s="34"/>
      <c r="P126" s="3">
        <v>240</v>
      </c>
      <c r="Q126" s="3">
        <v>100</v>
      </c>
      <c r="R126" s="3">
        <f t="shared" si="572"/>
        <v>24000</v>
      </c>
      <c r="S126" s="3">
        <v>44</v>
      </c>
      <c r="T126" s="3">
        <v>100</v>
      </c>
      <c r="U126" s="3">
        <f t="shared" si="573"/>
        <v>4400</v>
      </c>
      <c r="V126" s="3">
        <f t="shared" si="574"/>
        <v>196</v>
      </c>
      <c r="W126" s="7">
        <v>100</v>
      </c>
      <c r="X126" s="7">
        <f>V126*W126</f>
        <v>19600</v>
      </c>
      <c r="Y126" s="7">
        <v>0</v>
      </c>
      <c r="Z126" s="6">
        <f t="shared" si="576"/>
        <v>19600</v>
      </c>
      <c r="AA126" s="82"/>
      <c r="AB126" s="3">
        <v>240</v>
      </c>
      <c r="AC126" s="3">
        <v>50</v>
      </c>
      <c r="AD126" s="3">
        <f t="shared" si="577"/>
        <v>12000</v>
      </c>
      <c r="AE126" s="3">
        <v>181</v>
      </c>
      <c r="AF126" s="3">
        <v>50</v>
      </c>
      <c r="AG126" s="3">
        <f t="shared" ref="AG126:AG129" si="589">AE126*AF126</f>
        <v>9050</v>
      </c>
      <c r="AH126" s="3">
        <f t="shared" si="578"/>
        <v>59</v>
      </c>
      <c r="AI126" s="3">
        <v>50</v>
      </c>
      <c r="AJ126" s="7">
        <f t="shared" si="579"/>
        <v>2950</v>
      </c>
      <c r="AK126" s="7">
        <v>0</v>
      </c>
      <c r="AL126" s="6">
        <f t="shared" si="580"/>
        <v>2950</v>
      </c>
      <c r="AM126" s="6">
        <f t="shared" si="581"/>
        <v>25550</v>
      </c>
      <c r="AN126" s="6">
        <f t="shared" si="582"/>
        <v>0</v>
      </c>
      <c r="AO126" s="6">
        <f t="shared" si="583"/>
        <v>25550</v>
      </c>
      <c r="AP126" s="3" t="s">
        <v>475</v>
      </c>
      <c r="AQ126" s="3">
        <f t="shared" si="584"/>
        <v>25550</v>
      </c>
      <c r="AR126" s="3">
        <f>AQ126</f>
        <v>25550</v>
      </c>
      <c r="AS126" s="3">
        <f t="shared" si="585"/>
        <v>0</v>
      </c>
      <c r="AT126" s="3"/>
    </row>
    <row r="127" spans="1:46" x14ac:dyDescent="0.35">
      <c r="A127" s="3"/>
      <c r="B127" s="172" t="s">
        <v>463</v>
      </c>
      <c r="C127" s="3" t="s">
        <v>182</v>
      </c>
      <c r="D127" s="7">
        <v>0</v>
      </c>
      <c r="E127" s="3">
        <v>55</v>
      </c>
      <c r="F127" s="1">
        <f t="shared" si="567"/>
        <v>0</v>
      </c>
      <c r="G127" s="3">
        <v>0</v>
      </c>
      <c r="H127" s="3">
        <v>55</v>
      </c>
      <c r="I127" s="27">
        <f t="shared" si="568"/>
        <v>0</v>
      </c>
      <c r="J127" s="3">
        <f t="shared" si="588"/>
        <v>0</v>
      </c>
      <c r="K127" s="7">
        <v>55</v>
      </c>
      <c r="L127" s="7">
        <f t="shared" si="570"/>
        <v>0</v>
      </c>
      <c r="M127" s="7">
        <v>0</v>
      </c>
      <c r="N127" s="6">
        <f t="shared" si="571"/>
        <v>0</v>
      </c>
      <c r="O127" s="34"/>
      <c r="P127" s="3">
        <v>0</v>
      </c>
      <c r="Q127" s="3">
        <v>100</v>
      </c>
      <c r="R127" s="3">
        <f t="shared" si="572"/>
        <v>0</v>
      </c>
      <c r="S127" s="3">
        <v>0</v>
      </c>
      <c r="T127" s="3">
        <v>100</v>
      </c>
      <c r="U127" s="3">
        <f t="shared" si="573"/>
        <v>0</v>
      </c>
      <c r="V127" s="3">
        <f t="shared" si="574"/>
        <v>0</v>
      </c>
      <c r="W127" s="7">
        <v>100</v>
      </c>
      <c r="X127" s="7">
        <f>V127*W127</f>
        <v>0</v>
      </c>
      <c r="Y127" s="7">
        <v>0</v>
      </c>
      <c r="Z127" s="6">
        <f t="shared" si="576"/>
        <v>0</v>
      </c>
      <c r="AA127" s="82"/>
      <c r="AB127" s="3">
        <v>0</v>
      </c>
      <c r="AC127" s="3">
        <v>50</v>
      </c>
      <c r="AD127" s="3">
        <f t="shared" si="577"/>
        <v>0</v>
      </c>
      <c r="AE127" s="3">
        <v>0</v>
      </c>
      <c r="AF127" s="3">
        <v>50</v>
      </c>
      <c r="AG127" s="3">
        <f t="shared" si="589"/>
        <v>0</v>
      </c>
      <c r="AH127" s="3">
        <f t="shared" si="578"/>
        <v>0</v>
      </c>
      <c r="AI127" s="3">
        <v>50</v>
      </c>
      <c r="AJ127" s="7">
        <f t="shared" si="579"/>
        <v>0</v>
      </c>
      <c r="AK127" s="7">
        <v>0</v>
      </c>
      <c r="AL127" s="6">
        <f t="shared" si="580"/>
        <v>0</v>
      </c>
      <c r="AM127" s="6">
        <f t="shared" si="581"/>
        <v>0</v>
      </c>
      <c r="AN127" s="6">
        <f t="shared" si="582"/>
        <v>0</v>
      </c>
      <c r="AO127" s="6">
        <f t="shared" si="583"/>
        <v>0</v>
      </c>
      <c r="AP127" s="3" t="s">
        <v>475</v>
      </c>
      <c r="AQ127" s="3">
        <f t="shared" si="584"/>
        <v>0</v>
      </c>
      <c r="AR127" s="3">
        <f t="shared" ref="AR127" si="590">AQ127</f>
        <v>0</v>
      </c>
      <c r="AS127" s="3">
        <f t="shared" si="585"/>
        <v>0</v>
      </c>
      <c r="AT127" s="3"/>
    </row>
    <row r="128" spans="1:46" x14ac:dyDescent="0.35">
      <c r="A128" s="3"/>
      <c r="B128" s="172" t="s">
        <v>415</v>
      </c>
      <c r="C128" s="3" t="s">
        <v>33</v>
      </c>
      <c r="D128" s="7">
        <v>105</v>
      </c>
      <c r="E128" s="3">
        <v>60</v>
      </c>
      <c r="F128" s="1">
        <f t="shared" si="567"/>
        <v>6300</v>
      </c>
      <c r="G128" s="3">
        <v>38</v>
      </c>
      <c r="H128" s="3">
        <v>60</v>
      </c>
      <c r="I128" s="27">
        <f t="shared" si="568"/>
        <v>2280</v>
      </c>
      <c r="J128" s="3">
        <f t="shared" si="588"/>
        <v>67</v>
      </c>
      <c r="K128" s="7">
        <v>60</v>
      </c>
      <c r="L128" s="7">
        <f t="shared" si="570"/>
        <v>4020</v>
      </c>
      <c r="M128" s="3">
        <f>J128*5</f>
        <v>335</v>
      </c>
      <c r="N128" s="6">
        <f t="shared" si="571"/>
        <v>3685</v>
      </c>
      <c r="O128" s="34"/>
      <c r="P128" s="3">
        <v>132</v>
      </c>
      <c r="Q128" s="3">
        <v>100</v>
      </c>
      <c r="R128" s="3">
        <f t="shared" si="572"/>
        <v>13200</v>
      </c>
      <c r="S128" s="3">
        <v>60</v>
      </c>
      <c r="T128" s="3">
        <v>100</v>
      </c>
      <c r="U128" s="3">
        <f t="shared" si="573"/>
        <v>6000</v>
      </c>
      <c r="V128" s="3">
        <f t="shared" si="574"/>
        <v>72</v>
      </c>
      <c r="W128" s="7">
        <v>100</v>
      </c>
      <c r="X128" s="7">
        <f t="shared" ref="X128:X135" si="591">V128*W128</f>
        <v>7200</v>
      </c>
      <c r="Y128" s="3">
        <f>V128*10</f>
        <v>720</v>
      </c>
      <c r="Z128" s="6">
        <f t="shared" si="576"/>
        <v>6480</v>
      </c>
      <c r="AA128" s="82"/>
      <c r="AB128" s="3">
        <v>96</v>
      </c>
      <c r="AC128" s="3">
        <v>50</v>
      </c>
      <c r="AD128" s="3">
        <f t="shared" si="577"/>
        <v>4800</v>
      </c>
      <c r="AE128" s="3">
        <v>36</v>
      </c>
      <c r="AF128" s="3">
        <v>50</v>
      </c>
      <c r="AG128" s="3">
        <f t="shared" si="589"/>
        <v>1800</v>
      </c>
      <c r="AH128" s="3">
        <f t="shared" si="578"/>
        <v>60</v>
      </c>
      <c r="AI128" s="3">
        <v>50</v>
      </c>
      <c r="AJ128" s="7">
        <f t="shared" si="579"/>
        <v>3000</v>
      </c>
      <c r="AK128" s="3">
        <f>AH128*5</f>
        <v>300</v>
      </c>
      <c r="AL128" s="6">
        <f t="shared" si="580"/>
        <v>2700</v>
      </c>
      <c r="AM128" s="6">
        <f t="shared" si="581"/>
        <v>14220</v>
      </c>
      <c r="AN128" s="6">
        <f t="shared" si="582"/>
        <v>1355</v>
      </c>
      <c r="AO128" s="6">
        <f t="shared" si="583"/>
        <v>12865</v>
      </c>
      <c r="AP128" s="3" t="s">
        <v>475</v>
      </c>
      <c r="AQ128" s="3">
        <f t="shared" si="584"/>
        <v>12865</v>
      </c>
      <c r="AR128" s="3">
        <f>AQ128</f>
        <v>12865</v>
      </c>
      <c r="AS128" s="3">
        <f>AQ128-AR128</f>
        <v>0</v>
      </c>
      <c r="AT128" s="3"/>
    </row>
    <row r="129" spans="1:46" x14ac:dyDescent="0.35">
      <c r="A129" s="3"/>
      <c r="B129" s="172" t="s">
        <v>326</v>
      </c>
      <c r="C129" s="3" t="s">
        <v>33</v>
      </c>
      <c r="D129" s="7">
        <v>30</v>
      </c>
      <c r="E129" s="3">
        <v>60</v>
      </c>
      <c r="F129" s="1">
        <f t="shared" si="567"/>
        <v>1800</v>
      </c>
      <c r="G129" s="3">
        <v>23</v>
      </c>
      <c r="H129" s="3">
        <v>60</v>
      </c>
      <c r="I129" s="27">
        <f t="shared" si="568"/>
        <v>1380</v>
      </c>
      <c r="J129" s="3">
        <f t="shared" si="588"/>
        <v>7</v>
      </c>
      <c r="K129" s="7">
        <v>60</v>
      </c>
      <c r="L129" s="7">
        <f t="shared" si="570"/>
        <v>420</v>
      </c>
      <c r="M129" s="3">
        <v>0</v>
      </c>
      <c r="N129" s="6">
        <f t="shared" si="571"/>
        <v>420</v>
      </c>
      <c r="O129" s="34"/>
      <c r="P129" s="3">
        <v>60</v>
      </c>
      <c r="Q129" s="3">
        <v>100</v>
      </c>
      <c r="R129" s="3">
        <f t="shared" si="572"/>
        <v>6000</v>
      </c>
      <c r="S129" s="3">
        <v>17</v>
      </c>
      <c r="T129" s="3">
        <v>100</v>
      </c>
      <c r="U129" s="3">
        <f t="shared" si="573"/>
        <v>1700</v>
      </c>
      <c r="V129" s="3">
        <f t="shared" si="574"/>
        <v>43</v>
      </c>
      <c r="W129" s="7">
        <v>100</v>
      </c>
      <c r="X129" s="7">
        <f t="shared" si="591"/>
        <v>4300</v>
      </c>
      <c r="Y129" s="3">
        <v>0</v>
      </c>
      <c r="Z129" s="6">
        <f t="shared" si="576"/>
        <v>4300</v>
      </c>
      <c r="AA129" s="82"/>
      <c r="AB129" s="3">
        <v>60</v>
      </c>
      <c r="AC129" s="3">
        <v>50</v>
      </c>
      <c r="AD129" s="3">
        <f t="shared" si="577"/>
        <v>3000</v>
      </c>
      <c r="AE129" s="3">
        <v>4</v>
      </c>
      <c r="AF129" s="3">
        <v>50</v>
      </c>
      <c r="AG129" s="3">
        <f t="shared" si="589"/>
        <v>200</v>
      </c>
      <c r="AH129" s="3">
        <f t="shared" si="578"/>
        <v>56</v>
      </c>
      <c r="AI129" s="3">
        <v>50</v>
      </c>
      <c r="AJ129" s="7">
        <f t="shared" si="579"/>
        <v>2800</v>
      </c>
      <c r="AK129" s="3">
        <v>0</v>
      </c>
      <c r="AL129" s="6">
        <f t="shared" si="580"/>
        <v>2800</v>
      </c>
      <c r="AM129" s="6">
        <f t="shared" si="581"/>
        <v>7520</v>
      </c>
      <c r="AN129" s="6">
        <f t="shared" si="582"/>
        <v>0</v>
      </c>
      <c r="AO129" s="6">
        <f t="shared" si="583"/>
        <v>7520</v>
      </c>
      <c r="AP129" s="3" t="s">
        <v>475</v>
      </c>
      <c r="AQ129" s="3">
        <f t="shared" si="584"/>
        <v>7520</v>
      </c>
      <c r="AR129" s="3">
        <f>AQ129</f>
        <v>7520</v>
      </c>
      <c r="AS129" s="3">
        <f t="shared" si="585"/>
        <v>0</v>
      </c>
      <c r="AT129" s="3"/>
    </row>
    <row r="130" spans="1:46" x14ac:dyDescent="0.35">
      <c r="A130" s="3"/>
      <c r="B130" s="172" t="s">
        <v>326</v>
      </c>
      <c r="C130" s="3" t="s">
        <v>329</v>
      </c>
      <c r="D130" s="7">
        <v>0</v>
      </c>
      <c r="E130" s="3">
        <v>60</v>
      </c>
      <c r="F130" s="1">
        <f t="shared" ref="F130" si="592">D130*E130</f>
        <v>0</v>
      </c>
      <c r="G130" s="3">
        <v>0</v>
      </c>
      <c r="H130" s="3">
        <v>50</v>
      </c>
      <c r="I130" s="27">
        <f t="shared" ref="I130" si="593">G130*H130</f>
        <v>0</v>
      </c>
      <c r="J130" s="3">
        <f t="shared" ref="J130" si="594">D130-G130</f>
        <v>0</v>
      </c>
      <c r="K130" s="7">
        <v>50</v>
      </c>
      <c r="L130" s="7">
        <f t="shared" ref="L130" si="595">J130*K130</f>
        <v>0</v>
      </c>
      <c r="M130" s="3">
        <v>0</v>
      </c>
      <c r="N130" s="6">
        <f t="shared" ref="N130" si="596">L130-M130</f>
        <v>0</v>
      </c>
      <c r="O130" s="34"/>
      <c r="P130" s="3">
        <v>0</v>
      </c>
      <c r="Q130" s="3">
        <v>100</v>
      </c>
      <c r="R130" s="3">
        <f t="shared" ref="R130" si="597">P130*Q130</f>
        <v>0</v>
      </c>
      <c r="S130" s="3">
        <v>0</v>
      </c>
      <c r="T130" s="3">
        <v>100</v>
      </c>
      <c r="U130" s="3">
        <f t="shared" ref="U130" si="598">S130*T130</f>
        <v>0</v>
      </c>
      <c r="V130" s="3">
        <f t="shared" ref="V130" si="599">P130-S130</f>
        <v>0</v>
      </c>
      <c r="W130" s="7">
        <v>100</v>
      </c>
      <c r="X130" s="7">
        <f t="shared" ref="X130" si="600">V130*W130</f>
        <v>0</v>
      </c>
      <c r="Y130" s="3">
        <v>0</v>
      </c>
      <c r="Z130" s="6">
        <f t="shared" ref="Z130" si="601">X130-Y130</f>
        <v>0</v>
      </c>
      <c r="AA130" s="82"/>
      <c r="AB130" s="3">
        <v>0</v>
      </c>
      <c r="AC130" s="3">
        <v>50</v>
      </c>
      <c r="AD130" s="3">
        <f t="shared" ref="AD130" si="602">AB130*AC130</f>
        <v>0</v>
      </c>
      <c r="AE130" s="3">
        <v>0</v>
      </c>
      <c r="AF130" s="3">
        <v>50</v>
      </c>
      <c r="AG130" s="3">
        <f t="shared" ref="AG130" si="603">AE130*AF130</f>
        <v>0</v>
      </c>
      <c r="AH130" s="3">
        <f t="shared" ref="AH130" si="604">AB130-AE130</f>
        <v>0</v>
      </c>
      <c r="AI130" s="3">
        <v>50</v>
      </c>
      <c r="AJ130" s="7">
        <f t="shared" ref="AJ130" si="605">AH130*AI130</f>
        <v>0</v>
      </c>
      <c r="AK130" s="3">
        <v>0</v>
      </c>
      <c r="AL130" s="6">
        <f t="shared" ref="AL130" si="606">AJ130-AK130</f>
        <v>0</v>
      </c>
      <c r="AM130" s="6">
        <f t="shared" ref="AM130" si="607">L130+X130+AJ130</f>
        <v>0</v>
      </c>
      <c r="AN130" s="6">
        <f t="shared" ref="AN130" si="608">M130+Y130+AK130</f>
        <v>0</v>
      </c>
      <c r="AO130" s="6">
        <f t="shared" ref="AO130" si="609">AM130-AN130</f>
        <v>0</v>
      </c>
      <c r="AP130" s="3" t="s">
        <v>475</v>
      </c>
      <c r="AQ130" s="3">
        <f t="shared" ref="AQ130" si="610">AO130</f>
        <v>0</v>
      </c>
      <c r="AR130" s="3">
        <f>AQ130</f>
        <v>0</v>
      </c>
      <c r="AS130" s="3">
        <f t="shared" ref="AS130" si="611">AQ130-AR130</f>
        <v>0</v>
      </c>
      <c r="AT130" s="3"/>
    </row>
    <row r="131" spans="1:46" x14ac:dyDescent="0.35">
      <c r="A131" s="3"/>
      <c r="B131" s="172" t="s">
        <v>283</v>
      </c>
      <c r="C131" s="3" t="s">
        <v>33</v>
      </c>
      <c r="D131" s="7">
        <v>15</v>
      </c>
      <c r="E131" s="3">
        <v>60</v>
      </c>
      <c r="F131" s="1">
        <f t="shared" si="567"/>
        <v>900</v>
      </c>
      <c r="G131" s="3">
        <v>7</v>
      </c>
      <c r="H131" s="3">
        <v>60</v>
      </c>
      <c r="I131" s="27">
        <f t="shared" si="568"/>
        <v>420</v>
      </c>
      <c r="J131" s="3">
        <f t="shared" si="588"/>
        <v>8</v>
      </c>
      <c r="K131" s="7">
        <v>60</v>
      </c>
      <c r="L131" s="7">
        <f t="shared" si="570"/>
        <v>480</v>
      </c>
      <c r="M131" s="3">
        <v>0</v>
      </c>
      <c r="N131" s="6">
        <f t="shared" si="571"/>
        <v>480</v>
      </c>
      <c r="O131" s="34"/>
      <c r="P131" s="3">
        <f>36+95</f>
        <v>131</v>
      </c>
      <c r="Q131" s="3">
        <v>100</v>
      </c>
      <c r="R131" s="3">
        <f t="shared" si="572"/>
        <v>13100</v>
      </c>
      <c r="S131" s="3">
        <v>4</v>
      </c>
      <c r="T131" s="3">
        <v>100</v>
      </c>
      <c r="U131" s="3">
        <f t="shared" si="573"/>
        <v>400</v>
      </c>
      <c r="V131" s="3">
        <f t="shared" si="574"/>
        <v>127</v>
      </c>
      <c r="W131" s="7">
        <v>100</v>
      </c>
      <c r="X131" s="7">
        <f t="shared" si="591"/>
        <v>12700</v>
      </c>
      <c r="Y131" s="3">
        <v>0</v>
      </c>
      <c r="Z131" s="6">
        <f t="shared" si="576"/>
        <v>12700</v>
      </c>
      <c r="AA131" s="82"/>
      <c r="AB131" s="3">
        <v>36</v>
      </c>
      <c r="AC131" s="3">
        <v>50</v>
      </c>
      <c r="AD131" s="3">
        <f t="shared" si="577"/>
        <v>1800</v>
      </c>
      <c r="AE131" s="3">
        <v>3</v>
      </c>
      <c r="AF131" s="3">
        <v>50</v>
      </c>
      <c r="AG131" s="3">
        <v>0</v>
      </c>
      <c r="AH131" s="3">
        <f t="shared" si="578"/>
        <v>33</v>
      </c>
      <c r="AI131" s="3">
        <v>50</v>
      </c>
      <c r="AJ131" s="7">
        <f t="shared" si="579"/>
        <v>1650</v>
      </c>
      <c r="AK131" s="3">
        <v>0</v>
      </c>
      <c r="AL131" s="6">
        <f t="shared" si="580"/>
        <v>1650</v>
      </c>
      <c r="AM131" s="6">
        <f t="shared" si="581"/>
        <v>14830</v>
      </c>
      <c r="AN131" s="6">
        <f t="shared" si="582"/>
        <v>0</v>
      </c>
      <c r="AO131" s="6">
        <f t="shared" si="583"/>
        <v>14830</v>
      </c>
      <c r="AP131" s="3" t="s">
        <v>475</v>
      </c>
      <c r="AQ131" s="3">
        <f t="shared" si="584"/>
        <v>14830</v>
      </c>
      <c r="AR131" s="3">
        <f t="shared" ref="AR131:AR133" si="612">AQ131</f>
        <v>14830</v>
      </c>
      <c r="AS131" s="3">
        <f t="shared" si="585"/>
        <v>0</v>
      </c>
      <c r="AT131" s="3"/>
    </row>
    <row r="132" spans="1:46" x14ac:dyDescent="0.35">
      <c r="A132" s="3"/>
      <c r="B132" s="172" t="s">
        <v>308</v>
      </c>
      <c r="C132" s="3" t="s">
        <v>477</v>
      </c>
      <c r="D132" s="7">
        <v>103</v>
      </c>
      <c r="E132" s="3">
        <v>60</v>
      </c>
      <c r="F132" s="1">
        <f t="shared" si="567"/>
        <v>6180</v>
      </c>
      <c r="G132" s="3">
        <v>14</v>
      </c>
      <c r="H132" s="3">
        <v>60</v>
      </c>
      <c r="I132" s="27">
        <f t="shared" si="568"/>
        <v>840</v>
      </c>
      <c r="J132" s="3">
        <f t="shared" si="588"/>
        <v>89</v>
      </c>
      <c r="K132" s="7">
        <v>60</v>
      </c>
      <c r="L132" s="7">
        <f t="shared" si="570"/>
        <v>5340</v>
      </c>
      <c r="M132" s="3">
        <f>J132*5</f>
        <v>445</v>
      </c>
      <c r="N132" s="6">
        <f t="shared" si="571"/>
        <v>4895</v>
      </c>
      <c r="O132" s="34"/>
      <c r="P132" s="3">
        <v>126</v>
      </c>
      <c r="Q132" s="3">
        <v>100</v>
      </c>
      <c r="R132" s="3">
        <f t="shared" si="572"/>
        <v>12600</v>
      </c>
      <c r="S132" s="3">
        <v>38</v>
      </c>
      <c r="T132" s="3">
        <v>100</v>
      </c>
      <c r="U132" s="3">
        <f t="shared" si="573"/>
        <v>3800</v>
      </c>
      <c r="V132" s="3">
        <f t="shared" si="574"/>
        <v>88</v>
      </c>
      <c r="W132" s="7">
        <v>100</v>
      </c>
      <c r="X132" s="7">
        <f t="shared" si="591"/>
        <v>8800</v>
      </c>
      <c r="Y132" s="3">
        <f>V132*10</f>
        <v>880</v>
      </c>
      <c r="Z132" s="6">
        <f t="shared" si="576"/>
        <v>7920</v>
      </c>
      <c r="AA132" s="82">
        <v>195</v>
      </c>
      <c r="AB132" s="3">
        <v>180</v>
      </c>
      <c r="AC132" s="3">
        <v>50</v>
      </c>
      <c r="AD132" s="3">
        <f t="shared" si="577"/>
        <v>9000</v>
      </c>
      <c r="AE132" s="3">
        <v>9</v>
      </c>
      <c r="AF132" s="3">
        <v>50</v>
      </c>
      <c r="AG132" s="3">
        <f t="shared" ref="AG132:AG133" si="613">AE132*AF132</f>
        <v>450</v>
      </c>
      <c r="AH132" s="3">
        <f t="shared" si="578"/>
        <v>171</v>
      </c>
      <c r="AI132" s="3">
        <v>50</v>
      </c>
      <c r="AJ132" s="7">
        <f t="shared" si="579"/>
        <v>8550</v>
      </c>
      <c r="AK132" s="3">
        <f>AH132*5</f>
        <v>855</v>
      </c>
      <c r="AL132" s="6">
        <f t="shared" si="580"/>
        <v>7695</v>
      </c>
      <c r="AM132" s="6">
        <f t="shared" si="581"/>
        <v>22690</v>
      </c>
      <c r="AN132" s="6">
        <f t="shared" si="582"/>
        <v>2180</v>
      </c>
      <c r="AO132" s="6">
        <f t="shared" si="583"/>
        <v>20510</v>
      </c>
      <c r="AP132" s="3" t="s">
        <v>475</v>
      </c>
      <c r="AQ132" s="3">
        <f t="shared" si="584"/>
        <v>20510</v>
      </c>
      <c r="AR132" s="3">
        <f t="shared" si="612"/>
        <v>20510</v>
      </c>
      <c r="AS132" s="3">
        <f t="shared" si="585"/>
        <v>0</v>
      </c>
      <c r="AT132" s="3"/>
    </row>
    <row r="133" spans="1:46" x14ac:dyDescent="0.35">
      <c r="A133" s="3"/>
      <c r="B133" s="172" t="s">
        <v>308</v>
      </c>
      <c r="C133" s="3" t="s">
        <v>478</v>
      </c>
      <c r="D133" s="7">
        <v>164</v>
      </c>
      <c r="E133" s="3">
        <v>60</v>
      </c>
      <c r="F133" s="1">
        <v>0</v>
      </c>
      <c r="G133" s="7">
        <v>0</v>
      </c>
      <c r="H133" s="3">
        <v>60</v>
      </c>
      <c r="I133" s="27">
        <f t="shared" si="568"/>
        <v>0</v>
      </c>
      <c r="J133" s="3">
        <v>0</v>
      </c>
      <c r="K133" s="7">
        <v>60</v>
      </c>
      <c r="L133" s="7">
        <f t="shared" si="570"/>
        <v>0</v>
      </c>
      <c r="M133" s="3">
        <v>0</v>
      </c>
      <c r="N133" s="6">
        <f t="shared" si="571"/>
        <v>0</v>
      </c>
      <c r="O133" s="34"/>
      <c r="P133" s="7">
        <v>122</v>
      </c>
      <c r="Q133" s="3">
        <v>100</v>
      </c>
      <c r="R133" s="3">
        <v>0</v>
      </c>
      <c r="S133" s="7">
        <v>0</v>
      </c>
      <c r="T133" s="3">
        <v>100</v>
      </c>
      <c r="U133" s="3">
        <f t="shared" si="573"/>
        <v>0</v>
      </c>
      <c r="V133" s="3">
        <v>0</v>
      </c>
      <c r="W133" s="7">
        <v>100</v>
      </c>
      <c r="X133" s="7">
        <f t="shared" si="591"/>
        <v>0</v>
      </c>
      <c r="Y133" s="3">
        <v>0</v>
      </c>
      <c r="Z133" s="6">
        <f t="shared" si="576"/>
        <v>0</v>
      </c>
      <c r="AA133" s="82"/>
      <c r="AB133" s="7">
        <v>189</v>
      </c>
      <c r="AC133" s="3">
        <v>50</v>
      </c>
      <c r="AD133" s="3">
        <v>0</v>
      </c>
      <c r="AE133" s="7">
        <v>0</v>
      </c>
      <c r="AF133" s="3">
        <v>50</v>
      </c>
      <c r="AG133" s="3">
        <f t="shared" si="613"/>
        <v>0</v>
      </c>
      <c r="AH133" s="3">
        <v>0</v>
      </c>
      <c r="AI133" s="3">
        <v>50</v>
      </c>
      <c r="AJ133" s="7">
        <f t="shared" si="579"/>
        <v>0</v>
      </c>
      <c r="AK133" s="3">
        <v>0</v>
      </c>
      <c r="AL133" s="6">
        <f t="shared" si="580"/>
        <v>0</v>
      </c>
      <c r="AM133" s="6">
        <f t="shared" si="581"/>
        <v>0</v>
      </c>
      <c r="AN133" s="6">
        <f t="shared" si="582"/>
        <v>0</v>
      </c>
      <c r="AO133" s="6">
        <f t="shared" si="583"/>
        <v>0</v>
      </c>
      <c r="AP133" s="3" t="s">
        <v>475</v>
      </c>
      <c r="AQ133" s="3">
        <f t="shared" si="584"/>
        <v>0</v>
      </c>
      <c r="AR133" s="3">
        <f t="shared" si="612"/>
        <v>0</v>
      </c>
      <c r="AS133" s="3">
        <f t="shared" si="585"/>
        <v>0</v>
      </c>
      <c r="AT133" s="3"/>
    </row>
    <row r="134" spans="1:46" x14ac:dyDescent="0.35">
      <c r="A134" s="3"/>
      <c r="B134" s="3" t="s">
        <v>287</v>
      </c>
      <c r="C134" s="3" t="s">
        <v>331</v>
      </c>
      <c r="D134" s="7">
        <v>0</v>
      </c>
      <c r="E134" s="3">
        <v>60</v>
      </c>
      <c r="F134" s="1">
        <f t="shared" ref="F134" si="614">D134*E134</f>
        <v>0</v>
      </c>
      <c r="G134" s="7">
        <v>0</v>
      </c>
      <c r="H134" s="3">
        <v>60</v>
      </c>
      <c r="I134" s="27">
        <f t="shared" si="568"/>
        <v>0</v>
      </c>
      <c r="J134" s="3">
        <f t="shared" ref="J134" si="615">D134-G134</f>
        <v>0</v>
      </c>
      <c r="K134" s="7">
        <v>60</v>
      </c>
      <c r="L134" s="7">
        <f t="shared" ref="L134:L135" si="616">J134*K134</f>
        <v>0</v>
      </c>
      <c r="M134" s="3">
        <f>J134*5</f>
        <v>0</v>
      </c>
      <c r="N134" s="6">
        <f t="shared" si="571"/>
        <v>0</v>
      </c>
      <c r="O134" s="34"/>
      <c r="P134" s="7">
        <v>0</v>
      </c>
      <c r="Q134" s="3">
        <v>100</v>
      </c>
      <c r="R134" s="3">
        <f t="shared" ref="R134" si="617">P134*Q134</f>
        <v>0</v>
      </c>
      <c r="S134" s="7">
        <v>0</v>
      </c>
      <c r="T134" s="3">
        <v>100</v>
      </c>
      <c r="U134" s="3">
        <f t="shared" si="573"/>
        <v>0</v>
      </c>
      <c r="V134" s="3">
        <f t="shared" ref="V134" si="618">P134-S134</f>
        <v>0</v>
      </c>
      <c r="W134" s="7">
        <v>100</v>
      </c>
      <c r="X134" s="7">
        <f t="shared" si="591"/>
        <v>0</v>
      </c>
      <c r="Y134" s="3">
        <f>V134*10</f>
        <v>0</v>
      </c>
      <c r="Z134" s="6">
        <f t="shared" si="576"/>
        <v>0</v>
      </c>
      <c r="AA134" s="82"/>
      <c r="AB134" s="7">
        <v>0</v>
      </c>
      <c r="AC134" s="3">
        <v>50</v>
      </c>
      <c r="AD134" s="3">
        <f t="shared" ref="AD134" si="619">AB134*AC134</f>
        <v>0</v>
      </c>
      <c r="AE134" s="7">
        <v>0</v>
      </c>
      <c r="AF134" s="3">
        <v>50</v>
      </c>
      <c r="AG134" s="3">
        <f t="shared" ref="AG134:AG135" si="620">AE134*AF134</f>
        <v>0</v>
      </c>
      <c r="AH134" s="3">
        <f t="shared" ref="AH134" si="621">AB134-AE134</f>
        <v>0</v>
      </c>
      <c r="AI134" s="3">
        <v>50</v>
      </c>
      <c r="AJ134" s="7">
        <f t="shared" si="579"/>
        <v>0</v>
      </c>
      <c r="AK134" s="3">
        <f>AH134*5</f>
        <v>0</v>
      </c>
      <c r="AL134" s="6">
        <f t="shared" si="580"/>
        <v>0</v>
      </c>
      <c r="AM134" s="6">
        <f t="shared" si="581"/>
        <v>0</v>
      </c>
      <c r="AN134" s="6">
        <f t="shared" si="582"/>
        <v>0</v>
      </c>
      <c r="AO134" s="6">
        <f t="shared" si="583"/>
        <v>0</v>
      </c>
      <c r="AP134" s="3" t="s">
        <v>475</v>
      </c>
      <c r="AQ134" s="3">
        <f t="shared" si="584"/>
        <v>0</v>
      </c>
      <c r="AR134" s="3">
        <f>AQ134</f>
        <v>0</v>
      </c>
      <c r="AS134" s="3">
        <f t="shared" si="585"/>
        <v>0</v>
      </c>
      <c r="AT134" s="3"/>
    </row>
    <row r="135" spans="1:46" x14ac:dyDescent="0.35">
      <c r="A135" s="3"/>
      <c r="B135" s="3" t="s">
        <v>287</v>
      </c>
      <c r="C135" s="3" t="s">
        <v>332</v>
      </c>
      <c r="D135" s="7">
        <v>0</v>
      </c>
      <c r="E135" s="3">
        <v>60</v>
      </c>
      <c r="F135" s="1">
        <v>0</v>
      </c>
      <c r="G135" s="7">
        <v>0</v>
      </c>
      <c r="H135" s="3">
        <v>60</v>
      </c>
      <c r="I135" s="27">
        <f t="shared" si="568"/>
        <v>0</v>
      </c>
      <c r="J135" s="3">
        <v>0</v>
      </c>
      <c r="K135" s="7">
        <v>60</v>
      </c>
      <c r="L135" s="7">
        <f t="shared" si="616"/>
        <v>0</v>
      </c>
      <c r="M135" s="3">
        <v>0</v>
      </c>
      <c r="N135" s="6">
        <f t="shared" si="571"/>
        <v>0</v>
      </c>
      <c r="O135" s="34"/>
      <c r="P135" s="7">
        <v>0</v>
      </c>
      <c r="Q135" s="3">
        <v>100</v>
      </c>
      <c r="R135" s="3">
        <v>0</v>
      </c>
      <c r="S135" s="7">
        <v>0</v>
      </c>
      <c r="T135" s="3">
        <v>100</v>
      </c>
      <c r="U135" s="3">
        <f t="shared" si="573"/>
        <v>0</v>
      </c>
      <c r="V135" s="3">
        <v>0</v>
      </c>
      <c r="W135" s="7">
        <v>100</v>
      </c>
      <c r="X135" s="7">
        <f t="shared" si="591"/>
        <v>0</v>
      </c>
      <c r="Y135" s="3">
        <v>0</v>
      </c>
      <c r="Z135" s="6">
        <f t="shared" si="576"/>
        <v>0</v>
      </c>
      <c r="AA135" s="82"/>
      <c r="AB135" s="7">
        <v>0</v>
      </c>
      <c r="AC135" s="3">
        <v>50</v>
      </c>
      <c r="AD135" s="3">
        <v>0</v>
      </c>
      <c r="AE135" s="7">
        <v>0</v>
      </c>
      <c r="AF135" s="3">
        <v>50</v>
      </c>
      <c r="AG135" s="3">
        <f t="shared" si="620"/>
        <v>0</v>
      </c>
      <c r="AH135" s="3">
        <v>0</v>
      </c>
      <c r="AI135" s="3">
        <v>50</v>
      </c>
      <c r="AJ135" s="7">
        <f t="shared" si="579"/>
        <v>0</v>
      </c>
      <c r="AK135" s="3">
        <v>0</v>
      </c>
      <c r="AL135" s="6">
        <f t="shared" si="580"/>
        <v>0</v>
      </c>
      <c r="AM135" s="6">
        <f t="shared" si="581"/>
        <v>0</v>
      </c>
      <c r="AN135" s="6">
        <f t="shared" si="582"/>
        <v>0</v>
      </c>
      <c r="AO135" s="6">
        <f t="shared" si="583"/>
        <v>0</v>
      </c>
      <c r="AP135" s="3" t="s">
        <v>475</v>
      </c>
      <c r="AQ135" s="3">
        <f t="shared" si="584"/>
        <v>0</v>
      </c>
      <c r="AR135" s="3">
        <f t="shared" ref="AR135" si="622">AQ135</f>
        <v>0</v>
      </c>
      <c r="AS135" s="3">
        <f t="shared" si="585"/>
        <v>0</v>
      </c>
      <c r="AT135" s="3"/>
    </row>
    <row r="136" spans="1:46" x14ac:dyDescent="0.35">
      <c r="A136" s="19"/>
      <c r="B136" s="19" t="s">
        <v>36</v>
      </c>
      <c r="C136" s="19"/>
      <c r="D136" s="19">
        <f>SUM(D124:D135)</f>
        <v>942</v>
      </c>
      <c r="E136" s="19"/>
      <c r="F136" s="19">
        <f>SUM(F124:F135)</f>
        <v>46380</v>
      </c>
      <c r="G136" s="19">
        <f>SUM(G124:G135)</f>
        <v>425</v>
      </c>
      <c r="H136" s="19"/>
      <c r="I136" s="19">
        <f>SUM(I124:I135)</f>
        <v>25500</v>
      </c>
      <c r="J136" s="19">
        <f>SUM(J124:J135)</f>
        <v>353</v>
      </c>
      <c r="K136" s="19"/>
      <c r="L136" s="19">
        <f>SUM(L124:L135)</f>
        <v>20880</v>
      </c>
      <c r="M136" s="19">
        <f>SUM(M124:M135)</f>
        <v>780</v>
      </c>
      <c r="N136" s="19">
        <f>SUM(N124:N135)</f>
        <v>20100</v>
      </c>
      <c r="O136" s="34"/>
      <c r="P136" s="19">
        <f>SUM(P124:P135)</f>
        <v>991</v>
      </c>
      <c r="Q136" s="19"/>
      <c r="R136" s="19">
        <f>SUM(R124:R135)</f>
        <v>86900</v>
      </c>
      <c r="S136" s="19">
        <f>SUM(S124:S135)</f>
        <v>177</v>
      </c>
      <c r="T136" s="19"/>
      <c r="U136" s="19">
        <f>SUM(U124:U135)</f>
        <v>17700</v>
      </c>
      <c r="V136" s="19">
        <f>SUM(V124:V135)</f>
        <v>692</v>
      </c>
      <c r="W136" s="19"/>
      <c r="X136" s="19">
        <f>SUM(X124:X135)</f>
        <v>69200</v>
      </c>
      <c r="Y136" s="19">
        <f>SUM(Y124:Y135)</f>
        <v>1600</v>
      </c>
      <c r="Z136" s="19">
        <f>SUM(Z124:Z135)</f>
        <v>67600</v>
      </c>
      <c r="AA136" s="34"/>
      <c r="AB136" s="19">
        <f>SUM(AB124:AB135)</f>
        <v>981</v>
      </c>
      <c r="AC136" s="19"/>
      <c r="AD136" s="19">
        <f>SUM(AD124:AD135)</f>
        <v>39600</v>
      </c>
      <c r="AE136" s="19">
        <f>SUM(AE124:AE135)</f>
        <v>236</v>
      </c>
      <c r="AF136" s="19"/>
      <c r="AG136" s="19">
        <f>SUM(AG124:AG135)</f>
        <v>11500</v>
      </c>
      <c r="AH136" s="19">
        <f>SUM(AH124:AH135)</f>
        <v>556</v>
      </c>
      <c r="AI136" s="19"/>
      <c r="AJ136" s="19">
        <f t="shared" ref="AJ136:AO136" si="623">SUM(AJ124:AJ135)</f>
        <v>27800</v>
      </c>
      <c r="AK136" s="19">
        <f t="shared" si="623"/>
        <v>1155</v>
      </c>
      <c r="AL136" s="19">
        <f t="shared" si="623"/>
        <v>26645</v>
      </c>
      <c r="AM136" s="19">
        <f t="shared" si="623"/>
        <v>117880</v>
      </c>
      <c r="AN136" s="19">
        <f t="shared" si="623"/>
        <v>3535</v>
      </c>
      <c r="AO136" s="19">
        <f t="shared" si="623"/>
        <v>114345</v>
      </c>
      <c r="AP136" s="19"/>
      <c r="AQ136" s="19">
        <f>SUM(AQ124:AQ135)</f>
        <v>114345</v>
      </c>
      <c r="AR136" s="19">
        <f>SUM(AR124:AR135)</f>
        <v>114345</v>
      </c>
      <c r="AS136" s="19">
        <f>SUM(AS124:AS135)</f>
        <v>0</v>
      </c>
      <c r="AT136" s="74"/>
    </row>
    <row r="137" spans="1:46" x14ac:dyDescent="0.35">
      <c r="A137" s="3" t="s">
        <v>479</v>
      </c>
      <c r="B137" s="172" t="s">
        <v>276</v>
      </c>
      <c r="C137" s="3" t="s">
        <v>33</v>
      </c>
      <c r="D137" s="7">
        <f>225-30</f>
        <v>195</v>
      </c>
      <c r="E137" s="3">
        <v>60</v>
      </c>
      <c r="F137" s="1">
        <f t="shared" ref="F137:F144" si="624">D137*E137</f>
        <v>11700</v>
      </c>
      <c r="G137" s="7">
        <v>122</v>
      </c>
      <c r="H137" s="3">
        <v>60</v>
      </c>
      <c r="I137" s="27">
        <f t="shared" ref="I137:I147" si="625">G137*H137</f>
        <v>7320</v>
      </c>
      <c r="J137" s="3">
        <f t="shared" ref="J137:J144" si="626">D137-G137</f>
        <v>73</v>
      </c>
      <c r="K137" s="7">
        <v>60</v>
      </c>
      <c r="L137" s="7">
        <f t="shared" ref="L137:L147" si="627">J137*K137</f>
        <v>4380</v>
      </c>
      <c r="M137" s="3">
        <v>0</v>
      </c>
      <c r="N137" s="6">
        <f t="shared" ref="N137:N147" si="628">L137-M137</f>
        <v>4380</v>
      </c>
      <c r="O137" s="34"/>
      <c r="P137" s="7">
        <v>180</v>
      </c>
      <c r="Q137" s="3">
        <v>100</v>
      </c>
      <c r="R137" s="3">
        <f t="shared" ref="R137:R144" si="629">P137*Q137</f>
        <v>18000</v>
      </c>
      <c r="S137" s="7">
        <v>59</v>
      </c>
      <c r="T137" s="3">
        <v>100</v>
      </c>
      <c r="U137" s="3">
        <f t="shared" ref="U137:U147" si="630">S137*T137</f>
        <v>5900</v>
      </c>
      <c r="V137" s="3">
        <f t="shared" ref="V137:V144" si="631">P137-S137</f>
        <v>121</v>
      </c>
      <c r="W137" s="7">
        <v>100</v>
      </c>
      <c r="X137" s="7">
        <f t="shared" ref="X137" si="632">V137*W137</f>
        <v>12100</v>
      </c>
      <c r="Y137" s="3">
        <v>0</v>
      </c>
      <c r="Z137" s="6">
        <f t="shared" ref="Z137:Z147" si="633">X137-Y137</f>
        <v>12100</v>
      </c>
      <c r="AA137" s="82"/>
      <c r="AB137" s="7">
        <v>180</v>
      </c>
      <c r="AC137" s="3">
        <v>50</v>
      </c>
      <c r="AD137" s="3">
        <f t="shared" ref="AD137:AD144" si="634">AB137*AC137</f>
        <v>9000</v>
      </c>
      <c r="AE137" s="7">
        <v>41</v>
      </c>
      <c r="AF137" s="3">
        <v>50</v>
      </c>
      <c r="AG137" s="3">
        <f t="shared" ref="AG137:AG141" si="635">AE137*AF137</f>
        <v>2050</v>
      </c>
      <c r="AH137" s="3">
        <f t="shared" ref="AH137:AH144" si="636">AB137-AE137</f>
        <v>139</v>
      </c>
      <c r="AI137" s="3">
        <v>50</v>
      </c>
      <c r="AJ137" s="7">
        <f t="shared" ref="AJ137:AJ147" si="637">AH137*AI137</f>
        <v>6950</v>
      </c>
      <c r="AK137" s="3">
        <v>0</v>
      </c>
      <c r="AL137" s="6">
        <f t="shared" ref="AL137:AL147" si="638">AJ137-AK137</f>
        <v>6950</v>
      </c>
      <c r="AM137" s="6">
        <f t="shared" ref="AM137:AM147" si="639">L137+X137+AJ137</f>
        <v>23430</v>
      </c>
      <c r="AN137" s="6">
        <f t="shared" ref="AN137:AN147" si="640">M137+Y137+AK137</f>
        <v>0</v>
      </c>
      <c r="AO137" s="6">
        <f t="shared" ref="AO137:AO147" si="641">AM137-AN137</f>
        <v>23430</v>
      </c>
      <c r="AP137" s="3" t="s">
        <v>479</v>
      </c>
      <c r="AQ137" s="3">
        <f t="shared" ref="AQ137:AQ147" si="642">AO137</f>
        <v>23430</v>
      </c>
      <c r="AR137" s="3">
        <f>AQ137</f>
        <v>23430</v>
      </c>
      <c r="AS137" s="3">
        <f t="shared" ref="AS137:AS139" si="643">AQ137-AR137</f>
        <v>0</v>
      </c>
      <c r="AT137" s="3"/>
    </row>
    <row r="138" spans="1:46" x14ac:dyDescent="0.35">
      <c r="A138" s="3"/>
      <c r="B138" s="172" t="s">
        <v>276</v>
      </c>
      <c r="C138" s="3" t="s">
        <v>182</v>
      </c>
      <c r="D138" s="7">
        <v>30</v>
      </c>
      <c r="E138" s="3">
        <v>55</v>
      </c>
      <c r="F138" s="1">
        <f t="shared" si="624"/>
        <v>1650</v>
      </c>
      <c r="G138" s="7">
        <v>0</v>
      </c>
      <c r="H138" s="3">
        <v>55</v>
      </c>
      <c r="I138" s="27">
        <f t="shared" si="625"/>
        <v>0</v>
      </c>
      <c r="J138" s="3">
        <f t="shared" si="626"/>
        <v>30</v>
      </c>
      <c r="K138" s="7">
        <v>55</v>
      </c>
      <c r="L138" s="7">
        <f t="shared" si="627"/>
        <v>1650</v>
      </c>
      <c r="M138" s="7">
        <v>0</v>
      </c>
      <c r="N138" s="6">
        <f t="shared" si="628"/>
        <v>1650</v>
      </c>
      <c r="O138" s="34"/>
      <c r="P138" s="7">
        <v>0</v>
      </c>
      <c r="Q138" s="3">
        <v>100</v>
      </c>
      <c r="R138" s="3">
        <f t="shared" si="629"/>
        <v>0</v>
      </c>
      <c r="S138" s="7">
        <v>0</v>
      </c>
      <c r="T138" s="3">
        <v>100</v>
      </c>
      <c r="U138" s="3">
        <f t="shared" si="630"/>
        <v>0</v>
      </c>
      <c r="V138" s="3">
        <f t="shared" si="631"/>
        <v>0</v>
      </c>
      <c r="W138" s="7">
        <v>100</v>
      </c>
      <c r="X138" s="7">
        <f>V138*W138</f>
        <v>0</v>
      </c>
      <c r="Y138" s="7">
        <v>0</v>
      </c>
      <c r="Z138" s="6">
        <f t="shared" si="633"/>
        <v>0</v>
      </c>
      <c r="AA138" s="82"/>
      <c r="AB138" s="7">
        <v>0</v>
      </c>
      <c r="AC138" s="3">
        <v>50</v>
      </c>
      <c r="AD138" s="3">
        <f t="shared" si="634"/>
        <v>0</v>
      </c>
      <c r="AE138" s="7">
        <v>0</v>
      </c>
      <c r="AF138" s="3">
        <v>50</v>
      </c>
      <c r="AG138" s="3">
        <f t="shared" si="635"/>
        <v>0</v>
      </c>
      <c r="AH138" s="3">
        <f t="shared" si="636"/>
        <v>0</v>
      </c>
      <c r="AI138" s="3">
        <v>50</v>
      </c>
      <c r="AJ138" s="7">
        <f t="shared" si="637"/>
        <v>0</v>
      </c>
      <c r="AK138" s="7">
        <v>0</v>
      </c>
      <c r="AL138" s="6">
        <f t="shared" si="638"/>
        <v>0</v>
      </c>
      <c r="AM138" s="6">
        <f t="shared" si="639"/>
        <v>1650</v>
      </c>
      <c r="AN138" s="6">
        <f t="shared" si="640"/>
        <v>0</v>
      </c>
      <c r="AO138" s="6">
        <f t="shared" si="641"/>
        <v>1650</v>
      </c>
      <c r="AP138" s="3" t="s">
        <v>479</v>
      </c>
      <c r="AQ138" s="3">
        <f t="shared" si="642"/>
        <v>1650</v>
      </c>
      <c r="AR138" s="3">
        <f t="shared" ref="AR138" si="644">AQ138</f>
        <v>1650</v>
      </c>
      <c r="AS138" s="3">
        <f t="shared" si="643"/>
        <v>0</v>
      </c>
      <c r="AT138" s="3"/>
    </row>
    <row r="139" spans="1:46" x14ac:dyDescent="0.35">
      <c r="A139" s="3"/>
      <c r="B139" s="172" t="s">
        <v>463</v>
      </c>
      <c r="C139" s="3" t="s">
        <v>33</v>
      </c>
      <c r="D139" s="7">
        <v>300</v>
      </c>
      <c r="E139" s="3">
        <v>60</v>
      </c>
      <c r="F139" s="1">
        <f t="shared" si="624"/>
        <v>18000</v>
      </c>
      <c r="G139" s="7">
        <v>210</v>
      </c>
      <c r="H139" s="3">
        <v>60</v>
      </c>
      <c r="I139" s="27">
        <f t="shared" si="625"/>
        <v>12600</v>
      </c>
      <c r="J139" s="3">
        <f t="shared" si="626"/>
        <v>90</v>
      </c>
      <c r="K139" s="7">
        <v>60</v>
      </c>
      <c r="L139" s="7">
        <f t="shared" si="627"/>
        <v>5400</v>
      </c>
      <c r="M139" s="7">
        <v>0</v>
      </c>
      <c r="N139" s="6">
        <f t="shared" si="628"/>
        <v>5400</v>
      </c>
      <c r="O139" s="34"/>
      <c r="P139" s="7">
        <v>240</v>
      </c>
      <c r="Q139" s="3">
        <v>100</v>
      </c>
      <c r="R139" s="3">
        <f t="shared" si="629"/>
        <v>24000</v>
      </c>
      <c r="S139" s="7">
        <v>104</v>
      </c>
      <c r="T139" s="3">
        <v>100</v>
      </c>
      <c r="U139" s="3">
        <f t="shared" si="630"/>
        <v>10400</v>
      </c>
      <c r="V139" s="3">
        <f t="shared" si="631"/>
        <v>136</v>
      </c>
      <c r="W139" s="7">
        <v>100</v>
      </c>
      <c r="X139" s="7">
        <f>V139*W139</f>
        <v>13600</v>
      </c>
      <c r="Y139" s="7">
        <v>0</v>
      </c>
      <c r="Z139" s="6">
        <f t="shared" si="633"/>
        <v>13600</v>
      </c>
      <c r="AA139" s="82"/>
      <c r="AB139" s="7">
        <v>240</v>
      </c>
      <c r="AC139" s="3">
        <v>50</v>
      </c>
      <c r="AD139" s="3">
        <f t="shared" si="634"/>
        <v>12000</v>
      </c>
      <c r="AE139" s="7">
        <v>146</v>
      </c>
      <c r="AF139" s="3">
        <v>50</v>
      </c>
      <c r="AG139" s="3">
        <f t="shared" si="635"/>
        <v>7300</v>
      </c>
      <c r="AH139" s="3">
        <f t="shared" si="636"/>
        <v>94</v>
      </c>
      <c r="AI139" s="3">
        <v>50</v>
      </c>
      <c r="AJ139" s="7">
        <f t="shared" si="637"/>
        <v>4700</v>
      </c>
      <c r="AK139" s="7">
        <v>0</v>
      </c>
      <c r="AL139" s="6">
        <f t="shared" si="638"/>
        <v>4700</v>
      </c>
      <c r="AM139" s="6">
        <f t="shared" si="639"/>
        <v>23700</v>
      </c>
      <c r="AN139" s="6">
        <f t="shared" si="640"/>
        <v>0</v>
      </c>
      <c r="AO139" s="6">
        <f t="shared" si="641"/>
        <v>23700</v>
      </c>
      <c r="AP139" s="3" t="s">
        <v>479</v>
      </c>
      <c r="AQ139" s="3">
        <f t="shared" si="642"/>
        <v>23700</v>
      </c>
      <c r="AR139" s="3">
        <f>AQ139</f>
        <v>23700</v>
      </c>
      <c r="AS139" s="3">
        <f t="shared" si="643"/>
        <v>0</v>
      </c>
      <c r="AT139" s="3"/>
    </row>
    <row r="140" spans="1:46" x14ac:dyDescent="0.35">
      <c r="A140" s="3"/>
      <c r="B140" s="172" t="s">
        <v>415</v>
      </c>
      <c r="C140" s="3" t="s">
        <v>33</v>
      </c>
      <c r="D140" s="7">
        <v>180</v>
      </c>
      <c r="E140" s="3">
        <v>60</v>
      </c>
      <c r="F140" s="1">
        <f t="shared" si="624"/>
        <v>10800</v>
      </c>
      <c r="G140" s="7">
        <v>5</v>
      </c>
      <c r="H140" s="3">
        <v>60</v>
      </c>
      <c r="I140" s="27">
        <f t="shared" si="625"/>
        <v>300</v>
      </c>
      <c r="J140" s="3">
        <f t="shared" si="626"/>
        <v>175</v>
      </c>
      <c r="K140" s="7">
        <v>60</v>
      </c>
      <c r="L140" s="7">
        <f t="shared" si="627"/>
        <v>10500</v>
      </c>
      <c r="M140" s="3">
        <f>J140*5</f>
        <v>875</v>
      </c>
      <c r="N140" s="6">
        <f t="shared" si="628"/>
        <v>9625</v>
      </c>
      <c r="O140" s="34"/>
      <c r="P140" s="7">
        <v>168</v>
      </c>
      <c r="Q140" s="3">
        <v>100</v>
      </c>
      <c r="R140" s="3">
        <f t="shared" si="629"/>
        <v>16800</v>
      </c>
      <c r="S140" s="7">
        <v>10</v>
      </c>
      <c r="T140" s="3">
        <v>100</v>
      </c>
      <c r="U140" s="3">
        <f t="shared" si="630"/>
        <v>1000</v>
      </c>
      <c r="V140" s="3">
        <f t="shared" si="631"/>
        <v>158</v>
      </c>
      <c r="W140" s="7">
        <v>100</v>
      </c>
      <c r="X140" s="7">
        <f t="shared" ref="X140:X147" si="645">V140*W140</f>
        <v>15800</v>
      </c>
      <c r="Y140" s="3">
        <f>V140*10</f>
        <v>1580</v>
      </c>
      <c r="Z140" s="6">
        <f t="shared" si="633"/>
        <v>14220</v>
      </c>
      <c r="AA140" s="82"/>
      <c r="AB140" s="7">
        <v>144</v>
      </c>
      <c r="AC140" s="3">
        <v>50</v>
      </c>
      <c r="AD140" s="3">
        <f t="shared" si="634"/>
        <v>7200</v>
      </c>
      <c r="AE140" s="7">
        <v>0</v>
      </c>
      <c r="AF140" s="3">
        <v>50</v>
      </c>
      <c r="AG140" s="3">
        <f t="shared" si="635"/>
        <v>0</v>
      </c>
      <c r="AH140" s="3">
        <f t="shared" si="636"/>
        <v>144</v>
      </c>
      <c r="AI140" s="3">
        <v>50</v>
      </c>
      <c r="AJ140" s="7">
        <f t="shared" si="637"/>
        <v>7200</v>
      </c>
      <c r="AK140" s="3">
        <f>AH140*5</f>
        <v>720</v>
      </c>
      <c r="AL140" s="6">
        <f t="shared" si="638"/>
        <v>6480</v>
      </c>
      <c r="AM140" s="6">
        <f t="shared" si="639"/>
        <v>33500</v>
      </c>
      <c r="AN140" s="6">
        <f t="shared" si="640"/>
        <v>3175</v>
      </c>
      <c r="AO140" s="6">
        <f t="shared" si="641"/>
        <v>30325</v>
      </c>
      <c r="AP140" s="3" t="s">
        <v>479</v>
      </c>
      <c r="AQ140" s="3">
        <f t="shared" si="642"/>
        <v>30325</v>
      </c>
      <c r="AR140" s="3">
        <f>AQ140</f>
        <v>30325</v>
      </c>
      <c r="AS140" s="3">
        <f>AQ140-AR140</f>
        <v>0</v>
      </c>
      <c r="AT140" s="3"/>
    </row>
    <row r="141" spans="1:46" x14ac:dyDescent="0.35">
      <c r="A141" s="3"/>
      <c r="B141" s="172" t="s">
        <v>326</v>
      </c>
      <c r="C141" s="3" t="s">
        <v>33</v>
      </c>
      <c r="D141" s="7">
        <v>30</v>
      </c>
      <c r="E141" s="3">
        <v>60</v>
      </c>
      <c r="F141" s="1">
        <f t="shared" si="624"/>
        <v>1800</v>
      </c>
      <c r="G141" s="7">
        <v>18</v>
      </c>
      <c r="H141" s="3">
        <v>60</v>
      </c>
      <c r="I141" s="27">
        <f t="shared" si="625"/>
        <v>1080</v>
      </c>
      <c r="J141" s="3">
        <f t="shared" si="626"/>
        <v>12</v>
      </c>
      <c r="K141" s="7">
        <v>60</v>
      </c>
      <c r="L141" s="7">
        <f t="shared" si="627"/>
        <v>720</v>
      </c>
      <c r="M141" s="3">
        <v>0</v>
      </c>
      <c r="N141" s="6">
        <f t="shared" si="628"/>
        <v>720</v>
      </c>
      <c r="O141" s="34"/>
      <c r="P141" s="7">
        <v>60</v>
      </c>
      <c r="Q141" s="3">
        <v>100</v>
      </c>
      <c r="R141" s="3">
        <f t="shared" si="629"/>
        <v>6000</v>
      </c>
      <c r="S141" s="7">
        <v>14</v>
      </c>
      <c r="T141" s="3">
        <v>100</v>
      </c>
      <c r="U141" s="3">
        <f t="shared" si="630"/>
        <v>1400</v>
      </c>
      <c r="V141" s="3">
        <f t="shared" si="631"/>
        <v>46</v>
      </c>
      <c r="W141" s="7">
        <v>100</v>
      </c>
      <c r="X141" s="7">
        <f t="shared" si="645"/>
        <v>4600</v>
      </c>
      <c r="Y141" s="3">
        <v>0</v>
      </c>
      <c r="Z141" s="6">
        <f t="shared" si="633"/>
        <v>4600</v>
      </c>
      <c r="AA141" s="82"/>
      <c r="AB141" s="7">
        <v>60</v>
      </c>
      <c r="AC141" s="3">
        <v>50</v>
      </c>
      <c r="AD141" s="3">
        <f t="shared" si="634"/>
        <v>3000</v>
      </c>
      <c r="AE141" s="7">
        <v>0</v>
      </c>
      <c r="AF141" s="3">
        <v>50</v>
      </c>
      <c r="AG141" s="3">
        <f t="shared" si="635"/>
        <v>0</v>
      </c>
      <c r="AH141" s="3">
        <f t="shared" si="636"/>
        <v>60</v>
      </c>
      <c r="AI141" s="3">
        <v>50</v>
      </c>
      <c r="AJ141" s="7">
        <f t="shared" si="637"/>
        <v>3000</v>
      </c>
      <c r="AK141" s="3">
        <v>0</v>
      </c>
      <c r="AL141" s="6">
        <f t="shared" si="638"/>
        <v>3000</v>
      </c>
      <c r="AM141" s="6">
        <f t="shared" si="639"/>
        <v>8320</v>
      </c>
      <c r="AN141" s="6">
        <f t="shared" si="640"/>
        <v>0</v>
      </c>
      <c r="AO141" s="6">
        <f t="shared" si="641"/>
        <v>8320</v>
      </c>
      <c r="AP141" s="3" t="s">
        <v>479</v>
      </c>
      <c r="AQ141" s="3">
        <f t="shared" si="642"/>
        <v>8320</v>
      </c>
      <c r="AR141" s="3">
        <f>AQ141</f>
        <v>8320</v>
      </c>
      <c r="AS141" s="3">
        <f t="shared" ref="AS141:AS147" si="646">AQ141-AR141</f>
        <v>0</v>
      </c>
      <c r="AT141" s="3"/>
    </row>
    <row r="142" spans="1:46" x14ac:dyDescent="0.35">
      <c r="A142" s="3"/>
      <c r="B142" s="172" t="s">
        <v>283</v>
      </c>
      <c r="C142" s="3" t="s">
        <v>33</v>
      </c>
      <c r="D142" s="7">
        <v>20</v>
      </c>
      <c r="E142" s="3">
        <v>60</v>
      </c>
      <c r="F142" s="1">
        <f t="shared" si="624"/>
        <v>1200</v>
      </c>
      <c r="G142" s="7">
        <v>4</v>
      </c>
      <c r="H142" s="3">
        <v>60</v>
      </c>
      <c r="I142" s="27">
        <f t="shared" si="625"/>
        <v>240</v>
      </c>
      <c r="J142" s="3">
        <f t="shared" si="626"/>
        <v>16</v>
      </c>
      <c r="K142" s="7">
        <v>60</v>
      </c>
      <c r="L142" s="7">
        <f t="shared" si="627"/>
        <v>960</v>
      </c>
      <c r="M142" s="3">
        <v>0</v>
      </c>
      <c r="N142" s="6">
        <f t="shared" si="628"/>
        <v>960</v>
      </c>
      <c r="O142" s="34"/>
      <c r="P142" s="7">
        <v>37</v>
      </c>
      <c r="Q142" s="3">
        <v>100</v>
      </c>
      <c r="R142" s="3">
        <f t="shared" si="629"/>
        <v>3700</v>
      </c>
      <c r="S142" s="7">
        <v>9</v>
      </c>
      <c r="T142" s="3">
        <v>100</v>
      </c>
      <c r="U142" s="3">
        <f t="shared" si="630"/>
        <v>900</v>
      </c>
      <c r="V142" s="3">
        <f t="shared" si="631"/>
        <v>28</v>
      </c>
      <c r="W142" s="7">
        <v>100</v>
      </c>
      <c r="X142" s="7">
        <f t="shared" si="645"/>
        <v>2800</v>
      </c>
      <c r="Y142" s="3">
        <v>0</v>
      </c>
      <c r="Z142" s="6">
        <f t="shared" si="633"/>
        <v>2800</v>
      </c>
      <c r="AA142" s="82"/>
      <c r="AB142" s="7">
        <v>36</v>
      </c>
      <c r="AC142" s="3">
        <v>50</v>
      </c>
      <c r="AD142" s="3">
        <f t="shared" si="634"/>
        <v>1800</v>
      </c>
      <c r="AE142" s="7">
        <v>0</v>
      </c>
      <c r="AF142" s="3">
        <v>50</v>
      </c>
      <c r="AG142" s="3">
        <v>0</v>
      </c>
      <c r="AH142" s="3">
        <f t="shared" si="636"/>
        <v>36</v>
      </c>
      <c r="AI142" s="3">
        <v>50</v>
      </c>
      <c r="AJ142" s="7">
        <f t="shared" si="637"/>
        <v>1800</v>
      </c>
      <c r="AK142" s="3">
        <v>0</v>
      </c>
      <c r="AL142" s="6">
        <f t="shared" si="638"/>
        <v>1800</v>
      </c>
      <c r="AM142" s="6">
        <f t="shared" si="639"/>
        <v>5560</v>
      </c>
      <c r="AN142" s="6">
        <f t="shared" si="640"/>
        <v>0</v>
      </c>
      <c r="AO142" s="6">
        <f t="shared" si="641"/>
        <v>5560</v>
      </c>
      <c r="AP142" s="3" t="s">
        <v>479</v>
      </c>
      <c r="AQ142" s="3">
        <f t="shared" si="642"/>
        <v>5560</v>
      </c>
      <c r="AR142" s="3">
        <f t="shared" ref="AR142" si="647">AQ142</f>
        <v>5560</v>
      </c>
      <c r="AS142" s="3">
        <f t="shared" si="646"/>
        <v>0</v>
      </c>
      <c r="AT142" s="3"/>
    </row>
    <row r="143" spans="1:46" x14ac:dyDescent="0.35">
      <c r="A143" s="3"/>
      <c r="B143" s="172" t="s">
        <v>283</v>
      </c>
      <c r="C143" s="3" t="s">
        <v>182</v>
      </c>
      <c r="D143" s="7">
        <v>2</v>
      </c>
      <c r="E143" s="3">
        <v>55</v>
      </c>
      <c r="F143" s="1">
        <f t="shared" si="624"/>
        <v>110</v>
      </c>
      <c r="G143" s="7">
        <v>0</v>
      </c>
      <c r="H143" s="3">
        <v>55</v>
      </c>
      <c r="I143" s="27">
        <f t="shared" si="625"/>
        <v>0</v>
      </c>
      <c r="J143" s="3">
        <f t="shared" si="626"/>
        <v>2</v>
      </c>
      <c r="K143" s="7">
        <v>55</v>
      </c>
      <c r="L143" s="7">
        <f t="shared" si="627"/>
        <v>110</v>
      </c>
      <c r="M143" s="3">
        <v>0</v>
      </c>
      <c r="N143" s="6">
        <f t="shared" si="628"/>
        <v>110</v>
      </c>
      <c r="O143" s="34"/>
      <c r="P143" s="7">
        <v>96</v>
      </c>
      <c r="Q143" s="3">
        <v>90</v>
      </c>
      <c r="R143" s="3">
        <f t="shared" si="629"/>
        <v>8640</v>
      </c>
      <c r="S143" s="7">
        <v>0</v>
      </c>
      <c r="T143" s="3">
        <v>90</v>
      </c>
      <c r="U143" s="3">
        <f t="shared" si="630"/>
        <v>0</v>
      </c>
      <c r="V143" s="3">
        <f t="shared" si="631"/>
        <v>96</v>
      </c>
      <c r="W143" s="7">
        <v>90</v>
      </c>
      <c r="X143" s="7">
        <f t="shared" si="645"/>
        <v>8640</v>
      </c>
      <c r="Y143" s="3">
        <v>0</v>
      </c>
      <c r="Z143" s="6">
        <f t="shared" si="633"/>
        <v>8640</v>
      </c>
      <c r="AA143" s="82"/>
      <c r="AB143" s="7">
        <v>24</v>
      </c>
      <c r="AC143" s="3">
        <v>45</v>
      </c>
      <c r="AD143" s="3">
        <f t="shared" si="634"/>
        <v>1080</v>
      </c>
      <c r="AE143" s="7">
        <v>0</v>
      </c>
      <c r="AF143" s="3">
        <v>45</v>
      </c>
      <c r="AG143" s="3">
        <f t="shared" ref="AG143:AG145" si="648">AE143*AF143</f>
        <v>0</v>
      </c>
      <c r="AH143" s="3">
        <f t="shared" si="636"/>
        <v>24</v>
      </c>
      <c r="AI143" s="3">
        <v>45</v>
      </c>
      <c r="AJ143" s="7">
        <f t="shared" si="637"/>
        <v>1080</v>
      </c>
      <c r="AK143" s="3">
        <v>0</v>
      </c>
      <c r="AL143" s="6">
        <f t="shared" si="638"/>
        <v>1080</v>
      </c>
      <c r="AM143" s="6">
        <f t="shared" si="639"/>
        <v>9830</v>
      </c>
      <c r="AN143" s="6">
        <f t="shared" si="640"/>
        <v>0</v>
      </c>
      <c r="AO143" s="6">
        <f t="shared" si="641"/>
        <v>9830</v>
      </c>
      <c r="AP143" s="3" t="s">
        <v>479</v>
      </c>
      <c r="AQ143" s="3">
        <f t="shared" si="642"/>
        <v>9830</v>
      </c>
      <c r="AR143" s="3">
        <f>AQ143</f>
        <v>9830</v>
      </c>
      <c r="AS143" s="3">
        <f t="shared" si="646"/>
        <v>0</v>
      </c>
      <c r="AT143" s="3"/>
    </row>
    <row r="144" spans="1:46" x14ac:dyDescent="0.35">
      <c r="A144" s="3"/>
      <c r="B144" s="3" t="s">
        <v>308</v>
      </c>
      <c r="C144" s="3" t="s">
        <v>331</v>
      </c>
      <c r="D144" s="7">
        <v>0</v>
      </c>
      <c r="E144" s="3">
        <v>60</v>
      </c>
      <c r="F144" s="1">
        <f t="shared" si="624"/>
        <v>0</v>
      </c>
      <c r="G144" s="7">
        <v>0</v>
      </c>
      <c r="H144" s="3">
        <v>60</v>
      </c>
      <c r="I144" s="27">
        <f t="shared" si="625"/>
        <v>0</v>
      </c>
      <c r="J144" s="3">
        <f t="shared" si="626"/>
        <v>0</v>
      </c>
      <c r="K144" s="7">
        <v>60</v>
      </c>
      <c r="L144" s="7">
        <f t="shared" si="627"/>
        <v>0</v>
      </c>
      <c r="M144" s="3">
        <f>J144*5</f>
        <v>0</v>
      </c>
      <c r="N144" s="6">
        <f t="shared" si="628"/>
        <v>0</v>
      </c>
      <c r="O144" s="34"/>
      <c r="P144" s="7">
        <v>0</v>
      </c>
      <c r="Q144" s="3">
        <v>100</v>
      </c>
      <c r="R144" s="3">
        <f t="shared" si="629"/>
        <v>0</v>
      </c>
      <c r="S144" s="7">
        <v>0</v>
      </c>
      <c r="T144" s="3">
        <v>100</v>
      </c>
      <c r="U144" s="3">
        <f t="shared" si="630"/>
        <v>0</v>
      </c>
      <c r="V144" s="3">
        <f t="shared" si="631"/>
        <v>0</v>
      </c>
      <c r="W144" s="7">
        <v>100</v>
      </c>
      <c r="X144" s="7">
        <f t="shared" si="645"/>
        <v>0</v>
      </c>
      <c r="Y144" s="3">
        <f>V144*5</f>
        <v>0</v>
      </c>
      <c r="Z144" s="6">
        <f t="shared" si="633"/>
        <v>0</v>
      </c>
      <c r="AA144" s="82">
        <v>195</v>
      </c>
      <c r="AB144" s="7">
        <v>0</v>
      </c>
      <c r="AC144" s="3">
        <v>50</v>
      </c>
      <c r="AD144" s="3">
        <f t="shared" si="634"/>
        <v>0</v>
      </c>
      <c r="AE144" s="7">
        <v>0</v>
      </c>
      <c r="AF144" s="3">
        <v>50</v>
      </c>
      <c r="AG144" s="3">
        <f t="shared" si="648"/>
        <v>0</v>
      </c>
      <c r="AH144" s="3">
        <f t="shared" si="636"/>
        <v>0</v>
      </c>
      <c r="AI144" s="3">
        <v>50</v>
      </c>
      <c r="AJ144" s="7">
        <f t="shared" si="637"/>
        <v>0</v>
      </c>
      <c r="AK144" s="3">
        <f>AH144*5</f>
        <v>0</v>
      </c>
      <c r="AL144" s="6">
        <f t="shared" si="638"/>
        <v>0</v>
      </c>
      <c r="AM144" s="6">
        <f t="shared" si="639"/>
        <v>0</v>
      </c>
      <c r="AN144" s="6">
        <f t="shared" si="640"/>
        <v>0</v>
      </c>
      <c r="AO144" s="6">
        <f t="shared" si="641"/>
        <v>0</v>
      </c>
      <c r="AP144" s="3" t="s">
        <v>414</v>
      </c>
      <c r="AQ144" s="3">
        <f t="shared" si="642"/>
        <v>0</v>
      </c>
      <c r="AR144" s="3">
        <f t="shared" ref="AR144:AR145" si="649">AQ144</f>
        <v>0</v>
      </c>
      <c r="AS144" s="3">
        <f t="shared" si="646"/>
        <v>0</v>
      </c>
      <c r="AT144" s="3"/>
    </row>
    <row r="145" spans="1:46" x14ac:dyDescent="0.35">
      <c r="A145" s="3"/>
      <c r="B145" s="3" t="s">
        <v>308</v>
      </c>
      <c r="C145" s="3" t="s">
        <v>332</v>
      </c>
      <c r="D145" s="7">
        <v>0</v>
      </c>
      <c r="E145" s="3">
        <v>60</v>
      </c>
      <c r="F145" s="1">
        <v>0</v>
      </c>
      <c r="G145" s="7">
        <v>0</v>
      </c>
      <c r="H145" s="3">
        <v>60</v>
      </c>
      <c r="I145" s="27">
        <f t="shared" si="625"/>
        <v>0</v>
      </c>
      <c r="J145" s="3">
        <v>0</v>
      </c>
      <c r="K145" s="7">
        <v>60</v>
      </c>
      <c r="L145" s="7">
        <f t="shared" si="627"/>
        <v>0</v>
      </c>
      <c r="M145" s="3">
        <v>0</v>
      </c>
      <c r="N145" s="6">
        <f t="shared" si="628"/>
        <v>0</v>
      </c>
      <c r="O145" s="34"/>
      <c r="P145" s="7">
        <v>0</v>
      </c>
      <c r="Q145" s="3">
        <v>100</v>
      </c>
      <c r="R145" s="3">
        <v>0</v>
      </c>
      <c r="S145" s="7">
        <v>0</v>
      </c>
      <c r="T145" s="3">
        <v>100</v>
      </c>
      <c r="U145" s="3">
        <f t="shared" si="630"/>
        <v>0</v>
      </c>
      <c r="V145" s="3">
        <v>0</v>
      </c>
      <c r="W145" s="7">
        <v>100</v>
      </c>
      <c r="X145" s="7">
        <f t="shared" si="645"/>
        <v>0</v>
      </c>
      <c r="Y145" s="3">
        <v>0</v>
      </c>
      <c r="Z145" s="6">
        <f t="shared" si="633"/>
        <v>0</v>
      </c>
      <c r="AA145" s="82"/>
      <c r="AB145" s="7">
        <v>0</v>
      </c>
      <c r="AC145" s="3">
        <v>50</v>
      </c>
      <c r="AD145" s="3">
        <v>0</v>
      </c>
      <c r="AE145" s="7">
        <v>0</v>
      </c>
      <c r="AF145" s="3">
        <v>50</v>
      </c>
      <c r="AG145" s="3">
        <f t="shared" si="648"/>
        <v>0</v>
      </c>
      <c r="AH145" s="3">
        <v>0</v>
      </c>
      <c r="AI145" s="3">
        <v>50</v>
      </c>
      <c r="AJ145" s="7">
        <f t="shared" si="637"/>
        <v>0</v>
      </c>
      <c r="AK145" s="3">
        <v>0</v>
      </c>
      <c r="AL145" s="6">
        <f t="shared" si="638"/>
        <v>0</v>
      </c>
      <c r="AM145" s="6">
        <f t="shared" si="639"/>
        <v>0</v>
      </c>
      <c r="AN145" s="6">
        <f t="shared" si="640"/>
        <v>0</v>
      </c>
      <c r="AO145" s="6">
        <f t="shared" si="641"/>
        <v>0</v>
      </c>
      <c r="AP145" s="3" t="s">
        <v>414</v>
      </c>
      <c r="AQ145" s="3">
        <f t="shared" si="642"/>
        <v>0</v>
      </c>
      <c r="AR145" s="3">
        <f t="shared" si="649"/>
        <v>0</v>
      </c>
      <c r="AS145" s="3">
        <f t="shared" si="646"/>
        <v>0</v>
      </c>
      <c r="AT145" s="3"/>
    </row>
    <row r="146" spans="1:46" x14ac:dyDescent="0.35">
      <c r="A146" s="3"/>
      <c r="B146" s="3" t="s">
        <v>287</v>
      </c>
      <c r="C146" s="3" t="s">
        <v>331</v>
      </c>
      <c r="D146" s="7">
        <v>0</v>
      </c>
      <c r="E146" s="3">
        <v>60</v>
      </c>
      <c r="F146" s="1">
        <f t="shared" ref="F146" si="650">D146*E146</f>
        <v>0</v>
      </c>
      <c r="G146" s="7">
        <v>0</v>
      </c>
      <c r="H146" s="3">
        <v>60</v>
      </c>
      <c r="I146" s="27">
        <f t="shared" si="625"/>
        <v>0</v>
      </c>
      <c r="J146" s="3">
        <f t="shared" ref="J146" si="651">D146-G146</f>
        <v>0</v>
      </c>
      <c r="K146" s="7">
        <v>60</v>
      </c>
      <c r="L146" s="7">
        <f t="shared" si="627"/>
        <v>0</v>
      </c>
      <c r="M146" s="3">
        <f>J146*5</f>
        <v>0</v>
      </c>
      <c r="N146" s="6">
        <f t="shared" si="628"/>
        <v>0</v>
      </c>
      <c r="O146" s="34"/>
      <c r="P146" s="7">
        <v>0</v>
      </c>
      <c r="Q146" s="3">
        <v>100</v>
      </c>
      <c r="R146" s="3">
        <f t="shared" ref="R146" si="652">P146*Q146</f>
        <v>0</v>
      </c>
      <c r="S146" s="7">
        <v>0</v>
      </c>
      <c r="T146" s="3">
        <v>100</v>
      </c>
      <c r="U146" s="3">
        <f t="shared" si="630"/>
        <v>0</v>
      </c>
      <c r="V146" s="3">
        <f t="shared" ref="V146" si="653">P146-S146</f>
        <v>0</v>
      </c>
      <c r="W146" s="7">
        <v>100</v>
      </c>
      <c r="X146" s="7">
        <f t="shared" si="645"/>
        <v>0</v>
      </c>
      <c r="Y146" s="3">
        <f>V146*10</f>
        <v>0</v>
      </c>
      <c r="Z146" s="6">
        <f t="shared" si="633"/>
        <v>0</v>
      </c>
      <c r="AA146" s="82"/>
      <c r="AB146" s="7">
        <v>0</v>
      </c>
      <c r="AC146" s="3">
        <v>50</v>
      </c>
      <c r="AD146" s="3">
        <f t="shared" ref="AD146" si="654">AB146*AC146</f>
        <v>0</v>
      </c>
      <c r="AE146" s="7">
        <v>0</v>
      </c>
      <c r="AF146" s="3">
        <v>50</v>
      </c>
      <c r="AG146" s="3">
        <f t="shared" ref="AG146:AG147" si="655">AE146*AF146</f>
        <v>0</v>
      </c>
      <c r="AH146" s="3">
        <f t="shared" ref="AH146" si="656">AB146-AE146</f>
        <v>0</v>
      </c>
      <c r="AI146" s="3">
        <v>50</v>
      </c>
      <c r="AJ146" s="7">
        <f t="shared" si="637"/>
        <v>0</v>
      </c>
      <c r="AK146" s="3">
        <f>AH146*5</f>
        <v>0</v>
      </c>
      <c r="AL146" s="6">
        <f t="shared" si="638"/>
        <v>0</v>
      </c>
      <c r="AM146" s="6">
        <f t="shared" si="639"/>
        <v>0</v>
      </c>
      <c r="AN146" s="6">
        <f t="shared" si="640"/>
        <v>0</v>
      </c>
      <c r="AO146" s="6">
        <f t="shared" si="641"/>
        <v>0</v>
      </c>
      <c r="AP146" s="3" t="s">
        <v>414</v>
      </c>
      <c r="AQ146" s="3">
        <f t="shared" si="642"/>
        <v>0</v>
      </c>
      <c r="AR146" s="3">
        <f>AQ146</f>
        <v>0</v>
      </c>
      <c r="AS146" s="3">
        <f t="shared" si="646"/>
        <v>0</v>
      </c>
      <c r="AT146" s="3"/>
    </row>
    <row r="147" spans="1:46" x14ac:dyDescent="0.35">
      <c r="A147" s="3"/>
      <c r="B147" s="3" t="s">
        <v>287</v>
      </c>
      <c r="C147" s="3" t="s">
        <v>332</v>
      </c>
      <c r="D147" s="7">
        <v>0</v>
      </c>
      <c r="E147" s="3">
        <v>60</v>
      </c>
      <c r="F147" s="1">
        <v>0</v>
      </c>
      <c r="G147" s="7">
        <v>0</v>
      </c>
      <c r="H147" s="3">
        <v>60</v>
      </c>
      <c r="I147" s="27">
        <f t="shared" si="625"/>
        <v>0</v>
      </c>
      <c r="J147" s="3">
        <v>0</v>
      </c>
      <c r="K147" s="7">
        <v>60</v>
      </c>
      <c r="L147" s="7">
        <f t="shared" si="627"/>
        <v>0</v>
      </c>
      <c r="M147" s="3">
        <v>0</v>
      </c>
      <c r="N147" s="6">
        <f t="shared" si="628"/>
        <v>0</v>
      </c>
      <c r="O147" s="34"/>
      <c r="P147" s="7">
        <v>0</v>
      </c>
      <c r="Q147" s="3">
        <v>100</v>
      </c>
      <c r="R147" s="3">
        <v>0</v>
      </c>
      <c r="S147" s="7">
        <v>0</v>
      </c>
      <c r="T147" s="3">
        <v>100</v>
      </c>
      <c r="U147" s="3">
        <f t="shared" si="630"/>
        <v>0</v>
      </c>
      <c r="V147" s="3">
        <v>0</v>
      </c>
      <c r="W147" s="7">
        <v>100</v>
      </c>
      <c r="X147" s="7">
        <f t="shared" si="645"/>
        <v>0</v>
      </c>
      <c r="Y147" s="3">
        <v>0</v>
      </c>
      <c r="Z147" s="6">
        <f t="shared" si="633"/>
        <v>0</v>
      </c>
      <c r="AA147" s="82"/>
      <c r="AB147" s="7">
        <v>0</v>
      </c>
      <c r="AC147" s="3">
        <v>50</v>
      </c>
      <c r="AD147" s="3">
        <v>0</v>
      </c>
      <c r="AE147" s="7">
        <v>0</v>
      </c>
      <c r="AF147" s="3">
        <v>50</v>
      </c>
      <c r="AG147" s="3">
        <f t="shared" si="655"/>
        <v>0</v>
      </c>
      <c r="AH147" s="3">
        <v>0</v>
      </c>
      <c r="AI147" s="3">
        <v>50</v>
      </c>
      <c r="AJ147" s="7">
        <f t="shared" si="637"/>
        <v>0</v>
      </c>
      <c r="AK147" s="3">
        <v>0</v>
      </c>
      <c r="AL147" s="6">
        <f t="shared" si="638"/>
        <v>0</v>
      </c>
      <c r="AM147" s="6">
        <f t="shared" si="639"/>
        <v>0</v>
      </c>
      <c r="AN147" s="6">
        <f t="shared" si="640"/>
        <v>0</v>
      </c>
      <c r="AO147" s="6">
        <f t="shared" si="641"/>
        <v>0</v>
      </c>
      <c r="AP147" s="3" t="s">
        <v>414</v>
      </c>
      <c r="AQ147" s="3">
        <f t="shared" si="642"/>
        <v>0</v>
      </c>
      <c r="AR147" s="3">
        <f t="shared" ref="AR147" si="657">AQ147</f>
        <v>0</v>
      </c>
      <c r="AS147" s="3">
        <f t="shared" si="646"/>
        <v>0</v>
      </c>
      <c r="AT147" s="3"/>
    </row>
    <row r="148" spans="1:46" x14ac:dyDescent="0.35">
      <c r="A148" s="19"/>
      <c r="B148" s="19" t="s">
        <v>36</v>
      </c>
      <c r="C148" s="19"/>
      <c r="D148" s="19">
        <f>SUM(D137:D147)</f>
        <v>757</v>
      </c>
      <c r="E148" s="19"/>
      <c r="F148" s="19">
        <f>SUM(F137:F147)</f>
        <v>45260</v>
      </c>
      <c r="G148" s="19">
        <f>SUM(G137:G147)</f>
        <v>359</v>
      </c>
      <c r="H148" s="19"/>
      <c r="I148" s="19">
        <f>SUM(I137:I147)</f>
        <v>21540</v>
      </c>
      <c r="J148" s="19">
        <f>SUM(J137:J147)</f>
        <v>398</v>
      </c>
      <c r="K148" s="19"/>
      <c r="L148" s="19">
        <f>SUM(L137:L147)</f>
        <v>23720</v>
      </c>
      <c r="M148" s="19">
        <f>SUM(M137:M147)</f>
        <v>875</v>
      </c>
      <c r="N148" s="19">
        <f>SUM(N137:N147)</f>
        <v>22845</v>
      </c>
      <c r="O148" s="34"/>
      <c r="P148" s="19">
        <f>SUM(P137:P147)</f>
        <v>781</v>
      </c>
      <c r="Q148" s="19"/>
      <c r="R148" s="19">
        <f>SUM(R137:R147)</f>
        <v>77140</v>
      </c>
      <c r="S148" s="19">
        <f>SUM(S137:S147)</f>
        <v>196</v>
      </c>
      <c r="T148" s="19"/>
      <c r="U148" s="19">
        <f>SUM(U137:U147)</f>
        <v>19600</v>
      </c>
      <c r="V148" s="19">
        <f>SUM(V137:V147)</f>
        <v>585</v>
      </c>
      <c r="W148" s="19"/>
      <c r="X148" s="19">
        <f>SUM(X137:X147)</f>
        <v>57540</v>
      </c>
      <c r="Y148" s="19">
        <f>SUM(Y137:Y147)</f>
        <v>1580</v>
      </c>
      <c r="Z148" s="19">
        <f>SUM(Z137:Z147)</f>
        <v>55960</v>
      </c>
      <c r="AA148" s="34"/>
      <c r="AB148" s="19">
        <f>SUM(AB137:AB147)</f>
        <v>684</v>
      </c>
      <c r="AC148" s="19"/>
      <c r="AD148" s="19">
        <f>SUM(AD137:AD147)</f>
        <v>34080</v>
      </c>
      <c r="AE148" s="19">
        <f>SUM(AE137:AE147)</f>
        <v>187</v>
      </c>
      <c r="AF148" s="19"/>
      <c r="AG148" s="19">
        <f>SUM(AG137:AG147)</f>
        <v>9350</v>
      </c>
      <c r="AH148" s="19">
        <f>SUM(AH137:AH147)</f>
        <v>497</v>
      </c>
      <c r="AI148" s="19"/>
      <c r="AJ148" s="19">
        <f t="shared" ref="AJ148:AO148" si="658">SUM(AJ137:AJ147)</f>
        <v>24730</v>
      </c>
      <c r="AK148" s="19">
        <f t="shared" si="658"/>
        <v>720</v>
      </c>
      <c r="AL148" s="19">
        <f t="shared" si="658"/>
        <v>24010</v>
      </c>
      <c r="AM148" s="19">
        <f t="shared" si="658"/>
        <v>105990</v>
      </c>
      <c r="AN148" s="19">
        <f t="shared" si="658"/>
        <v>3175</v>
      </c>
      <c r="AO148" s="19">
        <f t="shared" si="658"/>
        <v>102815</v>
      </c>
      <c r="AP148" s="19"/>
      <c r="AQ148" s="19">
        <f>SUM(AQ137:AQ147)</f>
        <v>102815</v>
      </c>
      <c r="AR148" s="19">
        <f>SUM(AR137:AR147)</f>
        <v>102815</v>
      </c>
      <c r="AS148" s="19">
        <f>SUM(AS137:AS147)</f>
        <v>0</v>
      </c>
      <c r="AT148" s="74"/>
    </row>
    <row r="149" spans="1:46" x14ac:dyDescent="0.35">
      <c r="A149" s="3" t="s">
        <v>480</v>
      </c>
      <c r="B149" s="172" t="s">
        <v>276</v>
      </c>
      <c r="C149" s="3" t="s">
        <v>33</v>
      </c>
      <c r="D149" s="7">
        <f>225-60</f>
        <v>165</v>
      </c>
      <c r="E149" s="3">
        <v>60</v>
      </c>
      <c r="F149" s="1">
        <f t="shared" ref="F149:F155" si="659">D149*E149</f>
        <v>9900</v>
      </c>
      <c r="G149" s="7">
        <v>71</v>
      </c>
      <c r="H149" s="3">
        <v>60</v>
      </c>
      <c r="I149" s="27">
        <f t="shared" ref="I149:I160" si="660">G149*H149</f>
        <v>4260</v>
      </c>
      <c r="J149" s="3">
        <f t="shared" ref="J149:J155" si="661">D149-G149</f>
        <v>94</v>
      </c>
      <c r="K149" s="7">
        <v>60</v>
      </c>
      <c r="L149" s="7">
        <f t="shared" ref="L149:L155" si="662">J149*K149</f>
        <v>5640</v>
      </c>
      <c r="M149" s="3">
        <v>0</v>
      </c>
      <c r="N149" s="6">
        <f t="shared" ref="N149:N160" si="663">L149-M149</f>
        <v>5640</v>
      </c>
      <c r="O149" s="34"/>
      <c r="P149" s="7">
        <f>204</f>
        <v>204</v>
      </c>
      <c r="Q149" s="3">
        <v>100</v>
      </c>
      <c r="R149" s="3">
        <f t="shared" ref="R149:R155" si="664">P149*Q149</f>
        <v>20400</v>
      </c>
      <c r="S149" s="7">
        <v>0</v>
      </c>
      <c r="T149" s="3">
        <v>100</v>
      </c>
      <c r="U149" s="3">
        <f t="shared" ref="U149:U160" si="665">S149*T149</f>
        <v>0</v>
      </c>
      <c r="V149" s="3">
        <f t="shared" ref="V149:V155" si="666">P149-S149</f>
        <v>204</v>
      </c>
      <c r="W149" s="7">
        <v>100</v>
      </c>
      <c r="X149" s="7">
        <f t="shared" ref="X149" si="667">V149*W149</f>
        <v>20400</v>
      </c>
      <c r="Y149" s="3">
        <v>0</v>
      </c>
      <c r="Z149" s="6">
        <f t="shared" ref="Z149:Z160" si="668">X149-Y149</f>
        <v>20400</v>
      </c>
      <c r="AA149" s="82"/>
      <c r="AB149" s="7">
        <v>180</v>
      </c>
      <c r="AC149" s="3">
        <v>50</v>
      </c>
      <c r="AD149" s="3">
        <f t="shared" ref="AD149:AD155" si="669">AB149*AC149</f>
        <v>9000</v>
      </c>
      <c r="AE149" s="7">
        <v>0</v>
      </c>
      <c r="AF149" s="3">
        <v>50</v>
      </c>
      <c r="AG149" s="3">
        <f t="shared" ref="AG149:AG160" si="670">AE149*AF149</f>
        <v>0</v>
      </c>
      <c r="AH149" s="3">
        <f t="shared" ref="AH149:AH155" si="671">AB149-AE149</f>
        <v>180</v>
      </c>
      <c r="AI149" s="3">
        <v>50</v>
      </c>
      <c r="AJ149" s="7">
        <f t="shared" ref="AJ149:AJ160" si="672">AH149*AI149</f>
        <v>9000</v>
      </c>
      <c r="AK149" s="3">
        <v>0</v>
      </c>
      <c r="AL149" s="6">
        <f t="shared" ref="AL149:AL160" si="673">AJ149-AK149</f>
        <v>9000</v>
      </c>
      <c r="AM149" s="6">
        <f t="shared" ref="AM149:AM160" si="674">L149+X149+AJ149</f>
        <v>35040</v>
      </c>
      <c r="AN149" s="6">
        <f t="shared" ref="AN149:AN160" si="675">M149+Y149+AK149</f>
        <v>0</v>
      </c>
      <c r="AO149" s="6">
        <f t="shared" ref="AO149:AO160" si="676">AM149-AN149</f>
        <v>35040</v>
      </c>
      <c r="AP149" s="3" t="s">
        <v>480</v>
      </c>
      <c r="AQ149" s="3">
        <f t="shared" ref="AQ149:AQ160" si="677">AO149</f>
        <v>35040</v>
      </c>
      <c r="AR149" s="3">
        <f>AQ149</f>
        <v>35040</v>
      </c>
      <c r="AS149" s="3">
        <f t="shared" ref="AS149:AS150" si="678">AQ149-AR149</f>
        <v>0</v>
      </c>
      <c r="AT149" s="3"/>
    </row>
    <row r="150" spans="1:46" x14ac:dyDescent="0.35">
      <c r="A150" s="3"/>
      <c r="B150" s="172" t="s">
        <v>276</v>
      </c>
      <c r="C150" s="3" t="s">
        <v>182</v>
      </c>
      <c r="D150" s="7">
        <v>60</v>
      </c>
      <c r="E150" s="3">
        <v>55</v>
      </c>
      <c r="F150" s="1">
        <f t="shared" si="659"/>
        <v>3300</v>
      </c>
      <c r="G150" s="7">
        <v>0</v>
      </c>
      <c r="H150" s="3">
        <v>55</v>
      </c>
      <c r="I150" s="27">
        <f t="shared" si="660"/>
        <v>0</v>
      </c>
      <c r="J150" s="3">
        <f t="shared" si="661"/>
        <v>60</v>
      </c>
      <c r="K150" s="7">
        <v>55</v>
      </c>
      <c r="L150" s="7">
        <f t="shared" si="662"/>
        <v>3300</v>
      </c>
      <c r="M150" s="7">
        <v>0</v>
      </c>
      <c r="N150" s="6">
        <f t="shared" si="663"/>
        <v>3300</v>
      </c>
      <c r="O150" s="34"/>
      <c r="P150" s="7">
        <v>0</v>
      </c>
      <c r="Q150" s="3">
        <v>100</v>
      </c>
      <c r="R150" s="3">
        <f t="shared" si="664"/>
        <v>0</v>
      </c>
      <c r="S150" s="7">
        <v>0</v>
      </c>
      <c r="T150" s="3">
        <v>100</v>
      </c>
      <c r="U150" s="3">
        <f t="shared" si="665"/>
        <v>0</v>
      </c>
      <c r="V150" s="3">
        <f t="shared" si="666"/>
        <v>0</v>
      </c>
      <c r="W150" s="7">
        <v>100</v>
      </c>
      <c r="X150" s="7">
        <f>V150*W150</f>
        <v>0</v>
      </c>
      <c r="Y150" s="7">
        <v>0</v>
      </c>
      <c r="Z150" s="6">
        <f t="shared" si="668"/>
        <v>0</v>
      </c>
      <c r="AA150" s="82"/>
      <c r="AB150" s="7">
        <v>0</v>
      </c>
      <c r="AC150" s="3">
        <v>50</v>
      </c>
      <c r="AD150" s="3">
        <f t="shared" si="669"/>
        <v>0</v>
      </c>
      <c r="AE150" s="7">
        <v>0</v>
      </c>
      <c r="AF150" s="3">
        <v>50</v>
      </c>
      <c r="AG150" s="3">
        <f t="shared" si="670"/>
        <v>0</v>
      </c>
      <c r="AH150" s="3">
        <f t="shared" si="671"/>
        <v>0</v>
      </c>
      <c r="AI150" s="3">
        <v>50</v>
      </c>
      <c r="AJ150" s="7">
        <f t="shared" si="672"/>
        <v>0</v>
      </c>
      <c r="AK150" s="7">
        <v>0</v>
      </c>
      <c r="AL150" s="6">
        <f t="shared" si="673"/>
        <v>0</v>
      </c>
      <c r="AM150" s="6">
        <f t="shared" si="674"/>
        <v>3300</v>
      </c>
      <c r="AN150" s="6">
        <f t="shared" si="675"/>
        <v>0</v>
      </c>
      <c r="AO150" s="6">
        <f t="shared" si="676"/>
        <v>3300</v>
      </c>
      <c r="AP150" s="3" t="s">
        <v>480</v>
      </c>
      <c r="AQ150" s="3">
        <f t="shared" si="677"/>
        <v>3300</v>
      </c>
      <c r="AR150" s="3">
        <f t="shared" ref="AR150" si="679">AQ150</f>
        <v>3300</v>
      </c>
      <c r="AS150" s="3">
        <f t="shared" si="678"/>
        <v>0</v>
      </c>
      <c r="AT150" s="3"/>
    </row>
    <row r="151" spans="1:46" x14ac:dyDescent="0.35">
      <c r="A151" s="3"/>
      <c r="B151" s="172" t="s">
        <v>463</v>
      </c>
      <c r="C151" s="3" t="s">
        <v>33</v>
      </c>
      <c r="D151" s="7">
        <v>300</v>
      </c>
      <c r="E151" s="3">
        <v>60</v>
      </c>
      <c r="F151" s="1">
        <f t="shared" si="659"/>
        <v>18000</v>
      </c>
      <c r="G151" s="7">
        <v>176</v>
      </c>
      <c r="H151" s="3">
        <v>60</v>
      </c>
      <c r="I151" s="27">
        <f t="shared" si="660"/>
        <v>10560</v>
      </c>
      <c r="J151" s="3">
        <f t="shared" si="661"/>
        <v>124</v>
      </c>
      <c r="K151" s="7">
        <v>60</v>
      </c>
      <c r="L151" s="7">
        <f t="shared" si="662"/>
        <v>7440</v>
      </c>
      <c r="M151" s="7">
        <v>0</v>
      </c>
      <c r="N151" s="6">
        <f t="shared" si="663"/>
        <v>7440</v>
      </c>
      <c r="O151" s="34"/>
      <c r="P151" s="7">
        <v>240</v>
      </c>
      <c r="Q151" s="3">
        <v>100</v>
      </c>
      <c r="R151" s="3">
        <f t="shared" si="664"/>
        <v>24000</v>
      </c>
      <c r="S151" s="7">
        <v>12</v>
      </c>
      <c r="T151" s="3">
        <v>100</v>
      </c>
      <c r="U151" s="3">
        <f t="shared" si="665"/>
        <v>1200</v>
      </c>
      <c r="V151" s="3">
        <f t="shared" si="666"/>
        <v>228</v>
      </c>
      <c r="W151" s="7">
        <v>100</v>
      </c>
      <c r="X151" s="7">
        <f>V151*W151</f>
        <v>22800</v>
      </c>
      <c r="Y151" s="7">
        <v>0</v>
      </c>
      <c r="Z151" s="6">
        <f t="shared" si="668"/>
        <v>22800</v>
      </c>
      <c r="AA151" s="82"/>
      <c r="AB151" s="7">
        <v>240</v>
      </c>
      <c r="AC151" s="3">
        <v>50</v>
      </c>
      <c r="AD151" s="3">
        <f t="shared" si="669"/>
        <v>12000</v>
      </c>
      <c r="AE151" s="7">
        <v>122</v>
      </c>
      <c r="AF151" s="3">
        <v>50</v>
      </c>
      <c r="AG151" s="3">
        <f t="shared" si="670"/>
        <v>6100</v>
      </c>
      <c r="AH151" s="3">
        <f t="shared" si="671"/>
        <v>118</v>
      </c>
      <c r="AI151" s="3">
        <v>50</v>
      </c>
      <c r="AJ151" s="7">
        <f t="shared" si="672"/>
        <v>5900</v>
      </c>
      <c r="AK151" s="7">
        <v>0</v>
      </c>
      <c r="AL151" s="6">
        <f t="shared" si="673"/>
        <v>5900</v>
      </c>
      <c r="AM151" s="6">
        <f t="shared" si="674"/>
        <v>36140</v>
      </c>
      <c r="AN151" s="6">
        <f t="shared" si="675"/>
        <v>0</v>
      </c>
      <c r="AO151" s="6">
        <f t="shared" si="676"/>
        <v>36140</v>
      </c>
      <c r="AP151" s="3" t="s">
        <v>480</v>
      </c>
      <c r="AQ151" s="3">
        <f t="shared" si="677"/>
        <v>36140</v>
      </c>
      <c r="AR151" s="3">
        <f>AQ151</f>
        <v>36140</v>
      </c>
      <c r="AS151" s="3">
        <f t="shared" ref="AS151" si="680">AQ151-AR151</f>
        <v>0</v>
      </c>
      <c r="AT151" s="3"/>
    </row>
    <row r="152" spans="1:46" x14ac:dyDescent="0.35">
      <c r="A152" s="3"/>
      <c r="B152" s="172" t="s">
        <v>415</v>
      </c>
      <c r="C152" s="3" t="s">
        <v>33</v>
      </c>
      <c r="D152" s="7">
        <v>150</v>
      </c>
      <c r="E152" s="3">
        <v>60</v>
      </c>
      <c r="F152" s="1">
        <f t="shared" si="659"/>
        <v>9000</v>
      </c>
      <c r="G152" s="7">
        <v>9</v>
      </c>
      <c r="H152" s="3">
        <v>60</v>
      </c>
      <c r="I152" s="27">
        <f t="shared" si="660"/>
        <v>540</v>
      </c>
      <c r="J152" s="3">
        <f t="shared" si="661"/>
        <v>141</v>
      </c>
      <c r="K152" s="7">
        <v>60</v>
      </c>
      <c r="L152" s="7">
        <f t="shared" si="662"/>
        <v>8460</v>
      </c>
      <c r="M152" s="3">
        <f>J152*5</f>
        <v>705</v>
      </c>
      <c r="N152" s="6">
        <f t="shared" si="663"/>
        <v>7755</v>
      </c>
      <c r="O152" s="34"/>
      <c r="P152" s="7">
        <v>180</v>
      </c>
      <c r="Q152" s="3">
        <v>100</v>
      </c>
      <c r="R152" s="3">
        <f t="shared" si="664"/>
        <v>18000</v>
      </c>
      <c r="S152" s="7">
        <v>4</v>
      </c>
      <c r="T152" s="3">
        <v>100</v>
      </c>
      <c r="U152" s="3">
        <f t="shared" si="665"/>
        <v>400</v>
      </c>
      <c r="V152" s="3">
        <f t="shared" si="666"/>
        <v>176</v>
      </c>
      <c r="W152" s="7">
        <v>100</v>
      </c>
      <c r="X152" s="7">
        <f t="shared" ref="X152:X160" si="681">V152*W152</f>
        <v>17600</v>
      </c>
      <c r="Y152" s="3">
        <f>V152*10</f>
        <v>1760</v>
      </c>
      <c r="Z152" s="6">
        <f t="shared" si="668"/>
        <v>15840</v>
      </c>
      <c r="AA152" s="82"/>
      <c r="AB152" s="7">
        <v>168</v>
      </c>
      <c r="AC152" s="3">
        <v>50</v>
      </c>
      <c r="AD152" s="3">
        <f t="shared" si="669"/>
        <v>8400</v>
      </c>
      <c r="AE152" s="7">
        <v>14</v>
      </c>
      <c r="AF152" s="3">
        <v>50</v>
      </c>
      <c r="AG152" s="3">
        <f t="shared" si="670"/>
        <v>700</v>
      </c>
      <c r="AH152" s="3">
        <f t="shared" si="671"/>
        <v>154</v>
      </c>
      <c r="AI152" s="3">
        <v>50</v>
      </c>
      <c r="AJ152" s="7">
        <f t="shared" si="672"/>
        <v>7700</v>
      </c>
      <c r="AK152" s="3">
        <f>AH152*5</f>
        <v>770</v>
      </c>
      <c r="AL152" s="6">
        <f t="shared" si="673"/>
        <v>6930</v>
      </c>
      <c r="AM152" s="6">
        <f t="shared" si="674"/>
        <v>33760</v>
      </c>
      <c r="AN152" s="6">
        <f t="shared" si="675"/>
        <v>3235</v>
      </c>
      <c r="AO152" s="6">
        <f t="shared" si="676"/>
        <v>30525</v>
      </c>
      <c r="AP152" s="3" t="s">
        <v>480</v>
      </c>
      <c r="AQ152" s="3">
        <f t="shared" si="677"/>
        <v>30525</v>
      </c>
      <c r="AR152" s="3">
        <f>AQ152</f>
        <v>30525</v>
      </c>
      <c r="AS152" s="3">
        <f>AQ152-AR152</f>
        <v>0</v>
      </c>
      <c r="AT152" s="3"/>
    </row>
    <row r="153" spans="1:46" x14ac:dyDescent="0.35">
      <c r="A153" s="3"/>
      <c r="B153" s="172" t="s">
        <v>326</v>
      </c>
      <c r="C153" s="3" t="s">
        <v>33</v>
      </c>
      <c r="D153" s="7">
        <v>30</v>
      </c>
      <c r="E153" s="3">
        <v>60</v>
      </c>
      <c r="F153" s="1">
        <f t="shared" si="659"/>
        <v>1800</v>
      </c>
      <c r="G153" s="7">
        <v>10</v>
      </c>
      <c r="H153" s="3">
        <v>60</v>
      </c>
      <c r="I153" s="27">
        <f t="shared" si="660"/>
        <v>600</v>
      </c>
      <c r="J153" s="3">
        <f t="shared" si="661"/>
        <v>20</v>
      </c>
      <c r="K153" s="7">
        <v>60</v>
      </c>
      <c r="L153" s="7">
        <f t="shared" si="662"/>
        <v>1200</v>
      </c>
      <c r="M153" s="3">
        <v>0</v>
      </c>
      <c r="N153" s="6">
        <f t="shared" si="663"/>
        <v>1200</v>
      </c>
      <c r="O153" s="34"/>
      <c r="P153" s="7">
        <v>60</v>
      </c>
      <c r="Q153" s="3">
        <v>100</v>
      </c>
      <c r="R153" s="3">
        <f t="shared" si="664"/>
        <v>6000</v>
      </c>
      <c r="S153" s="7">
        <v>0</v>
      </c>
      <c r="T153" s="3">
        <v>100</v>
      </c>
      <c r="U153" s="3">
        <f t="shared" si="665"/>
        <v>0</v>
      </c>
      <c r="V153" s="3">
        <f t="shared" si="666"/>
        <v>60</v>
      </c>
      <c r="W153" s="7">
        <v>100</v>
      </c>
      <c r="X153" s="7">
        <f t="shared" si="681"/>
        <v>6000</v>
      </c>
      <c r="Y153" s="3">
        <v>0</v>
      </c>
      <c r="Z153" s="6">
        <f t="shared" si="668"/>
        <v>6000</v>
      </c>
      <c r="AA153" s="82"/>
      <c r="AB153" s="7">
        <v>60</v>
      </c>
      <c r="AC153" s="3">
        <v>50</v>
      </c>
      <c r="AD153" s="3">
        <f t="shared" si="669"/>
        <v>3000</v>
      </c>
      <c r="AE153" s="7">
        <v>0</v>
      </c>
      <c r="AF153" s="3">
        <v>50</v>
      </c>
      <c r="AG153" s="3">
        <f t="shared" si="670"/>
        <v>0</v>
      </c>
      <c r="AH153" s="3">
        <f t="shared" si="671"/>
        <v>60</v>
      </c>
      <c r="AI153" s="3">
        <v>50</v>
      </c>
      <c r="AJ153" s="7">
        <f t="shared" si="672"/>
        <v>3000</v>
      </c>
      <c r="AK153" s="3">
        <v>0</v>
      </c>
      <c r="AL153" s="6">
        <f t="shared" si="673"/>
        <v>3000</v>
      </c>
      <c r="AM153" s="6">
        <f t="shared" si="674"/>
        <v>10200</v>
      </c>
      <c r="AN153" s="6">
        <f t="shared" si="675"/>
        <v>0</v>
      </c>
      <c r="AO153" s="6">
        <f t="shared" si="676"/>
        <v>10200</v>
      </c>
      <c r="AP153" s="3" t="s">
        <v>480</v>
      </c>
      <c r="AQ153" s="3">
        <f t="shared" si="677"/>
        <v>10200</v>
      </c>
      <c r="AR153" s="3">
        <f>AQ153</f>
        <v>10200</v>
      </c>
      <c r="AS153" s="3">
        <f t="shared" ref="AS153:AS160" si="682">AQ153-AR153</f>
        <v>0</v>
      </c>
      <c r="AT153" s="3"/>
    </row>
    <row r="154" spans="1:46" x14ac:dyDescent="0.35">
      <c r="A154" s="3"/>
      <c r="B154" s="172" t="s">
        <v>326</v>
      </c>
      <c r="C154" s="3" t="s">
        <v>329</v>
      </c>
      <c r="D154" s="7">
        <v>0</v>
      </c>
      <c r="E154" s="3">
        <v>50</v>
      </c>
      <c r="F154" s="1">
        <f t="shared" si="659"/>
        <v>0</v>
      </c>
      <c r="G154" s="7">
        <v>0</v>
      </c>
      <c r="H154" s="3">
        <v>50</v>
      </c>
      <c r="I154" s="27">
        <f t="shared" si="660"/>
        <v>0</v>
      </c>
      <c r="J154" s="3">
        <f t="shared" si="661"/>
        <v>0</v>
      </c>
      <c r="K154" s="7">
        <v>50</v>
      </c>
      <c r="L154" s="7">
        <f t="shared" si="662"/>
        <v>0</v>
      </c>
      <c r="M154" s="3">
        <v>0</v>
      </c>
      <c r="N154" s="6">
        <f t="shared" si="663"/>
        <v>0</v>
      </c>
      <c r="O154" s="34"/>
      <c r="P154" s="7">
        <v>0</v>
      </c>
      <c r="Q154" s="3">
        <v>100</v>
      </c>
      <c r="R154" s="3">
        <f t="shared" si="664"/>
        <v>0</v>
      </c>
      <c r="S154" s="7">
        <v>0</v>
      </c>
      <c r="T154" s="3">
        <v>100</v>
      </c>
      <c r="U154" s="3">
        <f t="shared" si="665"/>
        <v>0</v>
      </c>
      <c r="V154" s="3">
        <f t="shared" si="666"/>
        <v>0</v>
      </c>
      <c r="W154" s="7">
        <v>100</v>
      </c>
      <c r="X154" s="7">
        <f t="shared" si="681"/>
        <v>0</v>
      </c>
      <c r="Y154" s="3">
        <v>0</v>
      </c>
      <c r="Z154" s="6">
        <f t="shared" si="668"/>
        <v>0</v>
      </c>
      <c r="AA154" s="82"/>
      <c r="AB154" s="7">
        <v>0</v>
      </c>
      <c r="AC154" s="3">
        <v>50</v>
      </c>
      <c r="AD154" s="3">
        <f t="shared" si="669"/>
        <v>0</v>
      </c>
      <c r="AE154" s="7">
        <v>0</v>
      </c>
      <c r="AF154" s="3">
        <v>50</v>
      </c>
      <c r="AG154" s="3">
        <f t="shared" si="670"/>
        <v>0</v>
      </c>
      <c r="AH154" s="3">
        <f t="shared" si="671"/>
        <v>0</v>
      </c>
      <c r="AI154" s="3">
        <v>50</v>
      </c>
      <c r="AJ154" s="7">
        <f t="shared" si="672"/>
        <v>0</v>
      </c>
      <c r="AK154" s="3">
        <v>0</v>
      </c>
      <c r="AL154" s="6">
        <f t="shared" si="673"/>
        <v>0</v>
      </c>
      <c r="AM154" s="6">
        <f t="shared" si="674"/>
        <v>0</v>
      </c>
      <c r="AN154" s="6">
        <f t="shared" si="675"/>
        <v>0</v>
      </c>
      <c r="AO154" s="6">
        <f t="shared" si="676"/>
        <v>0</v>
      </c>
      <c r="AP154" s="3" t="s">
        <v>480</v>
      </c>
      <c r="AQ154" s="3">
        <f t="shared" si="677"/>
        <v>0</v>
      </c>
      <c r="AR154" s="3">
        <f>AQ154</f>
        <v>0</v>
      </c>
      <c r="AS154" s="3">
        <f t="shared" si="682"/>
        <v>0</v>
      </c>
      <c r="AT154" s="3"/>
    </row>
    <row r="155" spans="1:46" x14ac:dyDescent="0.35">
      <c r="A155" s="3"/>
      <c r="B155" s="172" t="s">
        <v>283</v>
      </c>
      <c r="C155" s="3" t="s">
        <v>33</v>
      </c>
      <c r="D155" s="7">
        <v>15</v>
      </c>
      <c r="E155" s="3">
        <v>60</v>
      </c>
      <c r="F155" s="1">
        <f t="shared" si="659"/>
        <v>900</v>
      </c>
      <c r="G155" s="7">
        <v>8</v>
      </c>
      <c r="H155" s="3">
        <v>60</v>
      </c>
      <c r="I155" s="27">
        <f t="shared" si="660"/>
        <v>480</v>
      </c>
      <c r="J155" s="3">
        <f t="shared" si="661"/>
        <v>7</v>
      </c>
      <c r="K155" s="7">
        <v>60</v>
      </c>
      <c r="L155" s="7">
        <f t="shared" si="662"/>
        <v>420</v>
      </c>
      <c r="M155" s="3">
        <v>0</v>
      </c>
      <c r="N155" s="6">
        <f t="shared" si="663"/>
        <v>420</v>
      </c>
      <c r="O155" s="34"/>
      <c r="P155" s="7">
        <f>36+12+11+1</f>
        <v>60</v>
      </c>
      <c r="Q155" s="3">
        <v>100</v>
      </c>
      <c r="R155" s="3">
        <f t="shared" si="664"/>
        <v>6000</v>
      </c>
      <c r="S155" s="7">
        <v>0</v>
      </c>
      <c r="T155" s="3">
        <v>100</v>
      </c>
      <c r="U155" s="3">
        <f t="shared" si="665"/>
        <v>0</v>
      </c>
      <c r="V155" s="3">
        <f t="shared" si="666"/>
        <v>60</v>
      </c>
      <c r="W155" s="7">
        <v>100</v>
      </c>
      <c r="X155" s="7">
        <f t="shared" si="681"/>
        <v>6000</v>
      </c>
      <c r="Y155" s="3">
        <v>0</v>
      </c>
      <c r="Z155" s="6">
        <f t="shared" si="668"/>
        <v>6000</v>
      </c>
      <c r="AA155" s="82"/>
      <c r="AB155" s="7">
        <f>72-12</f>
        <v>60</v>
      </c>
      <c r="AC155" s="3">
        <v>50</v>
      </c>
      <c r="AD155" s="3">
        <f t="shared" si="669"/>
        <v>3000</v>
      </c>
      <c r="AE155" s="7">
        <v>12</v>
      </c>
      <c r="AF155" s="3">
        <v>50</v>
      </c>
      <c r="AG155" s="3">
        <f t="shared" si="670"/>
        <v>600</v>
      </c>
      <c r="AH155" s="3">
        <f t="shared" si="671"/>
        <v>48</v>
      </c>
      <c r="AI155" s="3">
        <v>50</v>
      </c>
      <c r="AJ155" s="7">
        <f t="shared" si="672"/>
        <v>2400</v>
      </c>
      <c r="AK155" s="3">
        <v>0</v>
      </c>
      <c r="AL155" s="6">
        <f t="shared" si="673"/>
        <v>2400</v>
      </c>
      <c r="AM155" s="6">
        <f t="shared" si="674"/>
        <v>8820</v>
      </c>
      <c r="AN155" s="6">
        <f t="shared" si="675"/>
        <v>0</v>
      </c>
      <c r="AO155" s="6">
        <f t="shared" si="676"/>
        <v>8820</v>
      </c>
      <c r="AP155" s="3" t="s">
        <v>480</v>
      </c>
      <c r="AQ155" s="3">
        <f t="shared" si="677"/>
        <v>8820</v>
      </c>
      <c r="AR155" s="3">
        <f t="shared" ref="AR155" si="683">AQ155</f>
        <v>8820</v>
      </c>
      <c r="AS155" s="3">
        <f t="shared" si="682"/>
        <v>0</v>
      </c>
      <c r="AT155" s="3"/>
    </row>
    <row r="156" spans="1:46" x14ac:dyDescent="0.35">
      <c r="A156" s="3"/>
      <c r="B156" s="172" t="s">
        <v>283</v>
      </c>
      <c r="C156" s="3" t="s">
        <v>329</v>
      </c>
      <c r="D156" s="7">
        <v>1</v>
      </c>
      <c r="E156" s="3">
        <v>50</v>
      </c>
      <c r="F156" s="1">
        <f t="shared" ref="F156:F157" si="684">D156*E156</f>
        <v>50</v>
      </c>
      <c r="G156" s="7">
        <v>0</v>
      </c>
      <c r="H156" s="3">
        <v>50</v>
      </c>
      <c r="I156" s="27">
        <f t="shared" ref="I156:I158" si="685">G156*H156</f>
        <v>0</v>
      </c>
      <c r="J156" s="3">
        <f t="shared" ref="J156:J157" si="686">D156-G156</f>
        <v>1</v>
      </c>
      <c r="K156" s="7">
        <v>50</v>
      </c>
      <c r="L156" s="7">
        <f t="shared" ref="L156:L158" si="687">J156*K156</f>
        <v>50</v>
      </c>
      <c r="M156" s="3">
        <v>0</v>
      </c>
      <c r="N156" s="6">
        <f t="shared" ref="N156:N158" si="688">L156-M156</f>
        <v>50</v>
      </c>
      <c r="O156" s="34"/>
      <c r="P156" s="7">
        <v>72</v>
      </c>
      <c r="Q156" s="3">
        <v>90</v>
      </c>
      <c r="R156" s="3">
        <f t="shared" ref="R156:R157" si="689">P156*Q156</f>
        <v>6480</v>
      </c>
      <c r="S156" s="7">
        <v>0</v>
      </c>
      <c r="T156" s="3">
        <v>90</v>
      </c>
      <c r="U156" s="3">
        <f t="shared" ref="U156:U158" si="690">S156*T156</f>
        <v>0</v>
      </c>
      <c r="V156" s="3">
        <f t="shared" ref="V156:V157" si="691">P156-S156</f>
        <v>72</v>
      </c>
      <c r="W156" s="7">
        <v>90</v>
      </c>
      <c r="X156" s="7">
        <f t="shared" ref="X156:X158" si="692">V156*W156</f>
        <v>6480</v>
      </c>
      <c r="Y156" s="3">
        <v>0</v>
      </c>
      <c r="Z156" s="6">
        <f t="shared" ref="Z156:Z158" si="693">X156-Y156</f>
        <v>6480</v>
      </c>
      <c r="AA156" s="82"/>
      <c r="AB156" s="7">
        <f>24+12</f>
        <v>36</v>
      </c>
      <c r="AC156" s="3">
        <v>45</v>
      </c>
      <c r="AD156" s="3">
        <f t="shared" ref="AD156:AD157" si="694">AB156*AC156</f>
        <v>1620</v>
      </c>
      <c r="AE156" s="7">
        <v>0</v>
      </c>
      <c r="AF156" s="3">
        <v>45</v>
      </c>
      <c r="AG156" s="3">
        <f t="shared" ref="AG156:AG158" si="695">AE156*AF156</f>
        <v>0</v>
      </c>
      <c r="AH156" s="3">
        <f t="shared" ref="AH156:AH157" si="696">AB156-AE156</f>
        <v>36</v>
      </c>
      <c r="AI156" s="3">
        <v>45</v>
      </c>
      <c r="AJ156" s="7">
        <f t="shared" ref="AJ156:AJ158" si="697">AH156*AI156</f>
        <v>1620</v>
      </c>
      <c r="AK156" s="3">
        <v>0</v>
      </c>
      <c r="AL156" s="6">
        <f t="shared" ref="AL156:AL158" si="698">AJ156-AK156</f>
        <v>1620</v>
      </c>
      <c r="AM156" s="6">
        <f t="shared" ref="AM156:AM158" si="699">L156+X156+AJ156</f>
        <v>8150</v>
      </c>
      <c r="AN156" s="6">
        <f t="shared" ref="AN156:AN158" si="700">M156+Y156+AK156</f>
        <v>0</v>
      </c>
      <c r="AO156" s="6">
        <f t="shared" ref="AO156:AO158" si="701">AM156-AN156</f>
        <v>8150</v>
      </c>
      <c r="AP156" s="3" t="s">
        <v>480</v>
      </c>
      <c r="AQ156" s="3">
        <f t="shared" ref="AQ156:AQ158" si="702">AO156</f>
        <v>8150</v>
      </c>
      <c r="AR156" s="3">
        <f>AQ156</f>
        <v>8150</v>
      </c>
      <c r="AS156" s="3">
        <f t="shared" ref="AS156:AS158" si="703">AQ156-AR156</f>
        <v>0</v>
      </c>
      <c r="AT156" s="3"/>
    </row>
    <row r="157" spans="1:46" x14ac:dyDescent="0.35">
      <c r="A157" s="3"/>
      <c r="B157" s="172" t="s">
        <v>308</v>
      </c>
      <c r="C157" s="3" t="s">
        <v>486</v>
      </c>
      <c r="D157" s="7">
        <v>164</v>
      </c>
      <c r="E157" s="3">
        <v>60</v>
      </c>
      <c r="F157" s="1">
        <f t="shared" si="684"/>
        <v>9840</v>
      </c>
      <c r="G157" s="3">
        <v>20</v>
      </c>
      <c r="H157" s="3">
        <v>60</v>
      </c>
      <c r="I157" s="27">
        <f t="shared" si="685"/>
        <v>1200</v>
      </c>
      <c r="J157" s="3">
        <f t="shared" si="686"/>
        <v>144</v>
      </c>
      <c r="K157" s="7">
        <v>60</v>
      </c>
      <c r="L157" s="7">
        <f t="shared" si="687"/>
        <v>8640</v>
      </c>
      <c r="M157" s="3">
        <f>J157*5</f>
        <v>720</v>
      </c>
      <c r="N157" s="6">
        <f t="shared" si="688"/>
        <v>7920</v>
      </c>
      <c r="O157" s="34"/>
      <c r="P157" s="3">
        <v>122</v>
      </c>
      <c r="Q157" s="3">
        <v>100</v>
      </c>
      <c r="R157" s="3">
        <f t="shared" si="689"/>
        <v>12200</v>
      </c>
      <c r="S157" s="3">
        <v>4</v>
      </c>
      <c r="T157" s="3">
        <v>100</v>
      </c>
      <c r="U157" s="3">
        <f t="shared" si="690"/>
        <v>400</v>
      </c>
      <c r="V157" s="3">
        <f t="shared" si="691"/>
        <v>118</v>
      </c>
      <c r="W157" s="7">
        <v>100</v>
      </c>
      <c r="X157" s="7">
        <f t="shared" si="692"/>
        <v>11800</v>
      </c>
      <c r="Y157" s="3">
        <f>V157*10</f>
        <v>1180</v>
      </c>
      <c r="Z157" s="6">
        <f t="shared" si="693"/>
        <v>10620</v>
      </c>
      <c r="AA157" s="82">
        <v>195</v>
      </c>
      <c r="AB157" s="3">
        <v>189</v>
      </c>
      <c r="AC157" s="3">
        <v>50</v>
      </c>
      <c r="AD157" s="3">
        <f t="shared" si="694"/>
        <v>9450</v>
      </c>
      <c r="AE157" s="3">
        <v>24</v>
      </c>
      <c r="AF157" s="3">
        <v>50</v>
      </c>
      <c r="AG157" s="3">
        <f t="shared" si="695"/>
        <v>1200</v>
      </c>
      <c r="AH157" s="3">
        <f t="shared" si="696"/>
        <v>165</v>
      </c>
      <c r="AI157" s="3">
        <v>50</v>
      </c>
      <c r="AJ157" s="7">
        <f t="shared" si="697"/>
        <v>8250</v>
      </c>
      <c r="AK157" s="3">
        <f>AH157*5</f>
        <v>825</v>
      </c>
      <c r="AL157" s="6">
        <f t="shared" si="698"/>
        <v>7425</v>
      </c>
      <c r="AM157" s="6">
        <f t="shared" si="699"/>
        <v>28690</v>
      </c>
      <c r="AN157" s="6">
        <f t="shared" si="700"/>
        <v>2725</v>
      </c>
      <c r="AO157" s="6">
        <f t="shared" si="701"/>
        <v>25965</v>
      </c>
      <c r="AP157" s="3" t="s">
        <v>480</v>
      </c>
      <c r="AQ157" s="3">
        <f t="shared" si="702"/>
        <v>25965</v>
      </c>
      <c r="AR157" s="3">
        <f t="shared" ref="AR157:AR158" si="704">AQ157</f>
        <v>25965</v>
      </c>
      <c r="AS157" s="3">
        <f t="shared" si="703"/>
        <v>0</v>
      </c>
      <c r="AT157" s="3"/>
    </row>
    <row r="158" spans="1:46" x14ac:dyDescent="0.35">
      <c r="A158" s="3"/>
      <c r="B158" s="172" t="s">
        <v>308</v>
      </c>
      <c r="C158" s="3" t="s">
        <v>487</v>
      </c>
      <c r="D158" s="7">
        <v>165</v>
      </c>
      <c r="E158" s="3">
        <v>60</v>
      </c>
      <c r="F158" s="1">
        <v>0</v>
      </c>
      <c r="G158" s="7">
        <v>0</v>
      </c>
      <c r="H158" s="3">
        <v>60</v>
      </c>
      <c r="I158" s="27">
        <f t="shared" si="685"/>
        <v>0</v>
      </c>
      <c r="J158" s="3">
        <v>0</v>
      </c>
      <c r="K158" s="7">
        <v>60</v>
      </c>
      <c r="L158" s="7">
        <f t="shared" si="687"/>
        <v>0</v>
      </c>
      <c r="M158" s="3">
        <v>0</v>
      </c>
      <c r="N158" s="6">
        <f t="shared" si="688"/>
        <v>0</v>
      </c>
      <c r="O158" s="34"/>
      <c r="P158" s="7">
        <v>124</v>
      </c>
      <c r="Q158" s="3">
        <v>100</v>
      </c>
      <c r="R158" s="3">
        <v>0</v>
      </c>
      <c r="S158" s="7">
        <v>0</v>
      </c>
      <c r="T158" s="3">
        <v>100</v>
      </c>
      <c r="U158" s="3">
        <f t="shared" si="690"/>
        <v>0</v>
      </c>
      <c r="V158" s="3">
        <v>0</v>
      </c>
      <c r="W158" s="7">
        <v>100</v>
      </c>
      <c r="X158" s="7">
        <f t="shared" si="692"/>
        <v>0</v>
      </c>
      <c r="Y158" s="3">
        <v>0</v>
      </c>
      <c r="Z158" s="6">
        <f t="shared" si="693"/>
        <v>0</v>
      </c>
      <c r="AA158" s="82"/>
      <c r="AB158" s="7">
        <v>144</v>
      </c>
      <c r="AC158" s="3">
        <v>50</v>
      </c>
      <c r="AD158" s="3">
        <v>0</v>
      </c>
      <c r="AE158" s="7">
        <v>0</v>
      </c>
      <c r="AF158" s="3">
        <v>50</v>
      </c>
      <c r="AG158" s="3">
        <f t="shared" si="695"/>
        <v>0</v>
      </c>
      <c r="AH158" s="3">
        <v>0</v>
      </c>
      <c r="AI158" s="3">
        <v>50</v>
      </c>
      <c r="AJ158" s="7">
        <f t="shared" si="697"/>
        <v>0</v>
      </c>
      <c r="AK158" s="3">
        <v>0</v>
      </c>
      <c r="AL158" s="6">
        <f t="shared" si="698"/>
        <v>0</v>
      </c>
      <c r="AM158" s="6">
        <f t="shared" si="699"/>
        <v>0</v>
      </c>
      <c r="AN158" s="6">
        <f t="shared" si="700"/>
        <v>0</v>
      </c>
      <c r="AO158" s="6">
        <f t="shared" si="701"/>
        <v>0</v>
      </c>
      <c r="AP158" s="3" t="s">
        <v>480</v>
      </c>
      <c r="AQ158" s="3">
        <f t="shared" si="702"/>
        <v>0</v>
      </c>
      <c r="AR158" s="3">
        <f t="shared" si="704"/>
        <v>0</v>
      </c>
      <c r="AS158" s="3">
        <f t="shared" si="703"/>
        <v>0</v>
      </c>
      <c r="AT158" s="3"/>
    </row>
    <row r="159" spans="1:46" x14ac:dyDescent="0.35">
      <c r="A159" s="3"/>
      <c r="B159" s="3" t="s">
        <v>287</v>
      </c>
      <c r="C159" s="3" t="s">
        <v>331</v>
      </c>
      <c r="D159" s="7">
        <v>0</v>
      </c>
      <c r="E159" s="3">
        <v>60</v>
      </c>
      <c r="F159" s="1">
        <f t="shared" ref="F159" si="705">D159*E159</f>
        <v>0</v>
      </c>
      <c r="G159" s="7">
        <v>0</v>
      </c>
      <c r="H159" s="3">
        <v>60</v>
      </c>
      <c r="I159" s="27">
        <f t="shared" si="660"/>
        <v>0</v>
      </c>
      <c r="J159" s="3">
        <f t="shared" ref="J159" si="706">D159-G159</f>
        <v>0</v>
      </c>
      <c r="K159" s="7">
        <v>60</v>
      </c>
      <c r="L159" s="7">
        <f t="shared" ref="L159:L160" si="707">J159*K159</f>
        <v>0</v>
      </c>
      <c r="M159" s="3">
        <f>J159*5</f>
        <v>0</v>
      </c>
      <c r="N159" s="6">
        <f t="shared" si="663"/>
        <v>0</v>
      </c>
      <c r="O159" s="34"/>
      <c r="P159" s="7">
        <v>0</v>
      </c>
      <c r="Q159" s="3">
        <v>100</v>
      </c>
      <c r="R159" s="3">
        <f t="shared" ref="R159" si="708">P159*Q159</f>
        <v>0</v>
      </c>
      <c r="S159" s="7">
        <v>0</v>
      </c>
      <c r="T159" s="3">
        <v>100</v>
      </c>
      <c r="U159" s="3">
        <f t="shared" si="665"/>
        <v>0</v>
      </c>
      <c r="V159" s="3">
        <f t="shared" ref="V159" si="709">P159-S159</f>
        <v>0</v>
      </c>
      <c r="W159" s="7">
        <v>100</v>
      </c>
      <c r="X159" s="7">
        <f t="shared" si="681"/>
        <v>0</v>
      </c>
      <c r="Y159" s="3">
        <f>V159*10</f>
        <v>0</v>
      </c>
      <c r="Z159" s="6">
        <f t="shared" si="668"/>
        <v>0</v>
      </c>
      <c r="AA159" s="82"/>
      <c r="AB159" s="7">
        <v>0</v>
      </c>
      <c r="AC159" s="3">
        <v>50</v>
      </c>
      <c r="AD159" s="3">
        <f t="shared" ref="AD159" si="710">AB159*AC159</f>
        <v>0</v>
      </c>
      <c r="AE159" s="7">
        <v>0</v>
      </c>
      <c r="AF159" s="3">
        <v>50</v>
      </c>
      <c r="AG159" s="3">
        <f t="shared" si="670"/>
        <v>0</v>
      </c>
      <c r="AH159" s="3">
        <f t="shared" ref="AH159" si="711">AB159-AE159</f>
        <v>0</v>
      </c>
      <c r="AI159" s="3">
        <v>50</v>
      </c>
      <c r="AJ159" s="7">
        <f t="shared" si="672"/>
        <v>0</v>
      </c>
      <c r="AK159" s="3">
        <f>AH159*5</f>
        <v>0</v>
      </c>
      <c r="AL159" s="6">
        <f t="shared" si="673"/>
        <v>0</v>
      </c>
      <c r="AM159" s="6">
        <f t="shared" si="674"/>
        <v>0</v>
      </c>
      <c r="AN159" s="6">
        <f t="shared" si="675"/>
        <v>0</v>
      </c>
      <c r="AO159" s="6">
        <f t="shared" si="676"/>
        <v>0</v>
      </c>
      <c r="AP159" s="3" t="s">
        <v>480</v>
      </c>
      <c r="AQ159" s="3">
        <f t="shared" si="677"/>
        <v>0</v>
      </c>
      <c r="AR159" s="3">
        <f>AQ159</f>
        <v>0</v>
      </c>
      <c r="AS159" s="3">
        <f t="shared" si="682"/>
        <v>0</v>
      </c>
      <c r="AT159" s="3"/>
    </row>
    <row r="160" spans="1:46" x14ac:dyDescent="0.35">
      <c r="A160" s="3"/>
      <c r="B160" s="3" t="s">
        <v>287</v>
      </c>
      <c r="C160" s="3" t="s">
        <v>332</v>
      </c>
      <c r="D160" s="7">
        <v>0</v>
      </c>
      <c r="E160" s="3">
        <v>60</v>
      </c>
      <c r="F160" s="1">
        <v>0</v>
      </c>
      <c r="G160" s="7">
        <v>0</v>
      </c>
      <c r="H160" s="3">
        <v>60</v>
      </c>
      <c r="I160" s="27">
        <f t="shared" si="660"/>
        <v>0</v>
      </c>
      <c r="J160" s="3">
        <v>0</v>
      </c>
      <c r="K160" s="7">
        <v>60</v>
      </c>
      <c r="L160" s="7">
        <f t="shared" si="707"/>
        <v>0</v>
      </c>
      <c r="M160" s="3">
        <v>0</v>
      </c>
      <c r="N160" s="6">
        <f t="shared" si="663"/>
        <v>0</v>
      </c>
      <c r="O160" s="34"/>
      <c r="P160" s="7">
        <v>0</v>
      </c>
      <c r="Q160" s="3">
        <v>100</v>
      </c>
      <c r="R160" s="3">
        <v>0</v>
      </c>
      <c r="S160" s="7">
        <v>0</v>
      </c>
      <c r="T160" s="3">
        <v>100</v>
      </c>
      <c r="U160" s="3">
        <f t="shared" si="665"/>
        <v>0</v>
      </c>
      <c r="V160" s="3">
        <v>0</v>
      </c>
      <c r="W160" s="7">
        <v>100</v>
      </c>
      <c r="X160" s="7">
        <f t="shared" si="681"/>
        <v>0</v>
      </c>
      <c r="Y160" s="3">
        <v>0</v>
      </c>
      <c r="Z160" s="6">
        <f t="shared" si="668"/>
        <v>0</v>
      </c>
      <c r="AA160" s="82"/>
      <c r="AB160" s="7">
        <v>0</v>
      </c>
      <c r="AC160" s="3">
        <v>50</v>
      </c>
      <c r="AD160" s="3">
        <v>0</v>
      </c>
      <c r="AE160" s="7">
        <v>0</v>
      </c>
      <c r="AF160" s="3">
        <v>50</v>
      </c>
      <c r="AG160" s="3">
        <f t="shared" si="670"/>
        <v>0</v>
      </c>
      <c r="AH160" s="3">
        <v>0</v>
      </c>
      <c r="AI160" s="3">
        <v>50</v>
      </c>
      <c r="AJ160" s="7">
        <f t="shared" si="672"/>
        <v>0</v>
      </c>
      <c r="AK160" s="3">
        <v>0</v>
      </c>
      <c r="AL160" s="6">
        <f t="shared" si="673"/>
        <v>0</v>
      </c>
      <c r="AM160" s="6">
        <f t="shared" si="674"/>
        <v>0</v>
      </c>
      <c r="AN160" s="6">
        <f t="shared" si="675"/>
        <v>0</v>
      </c>
      <c r="AO160" s="6">
        <f t="shared" si="676"/>
        <v>0</v>
      </c>
      <c r="AP160" s="3" t="s">
        <v>480</v>
      </c>
      <c r="AQ160" s="3">
        <f t="shared" si="677"/>
        <v>0</v>
      </c>
      <c r="AR160" s="3">
        <f t="shared" ref="AR160" si="712">AQ160</f>
        <v>0</v>
      </c>
      <c r="AS160" s="3">
        <f t="shared" si="682"/>
        <v>0</v>
      </c>
      <c r="AT160" s="3"/>
    </row>
    <row r="161" spans="1:46" x14ac:dyDescent="0.35">
      <c r="A161" s="19"/>
      <c r="B161" s="19" t="s">
        <v>36</v>
      </c>
      <c r="C161" s="19"/>
      <c r="D161" s="19">
        <f>SUM(D149:D160)</f>
        <v>1050</v>
      </c>
      <c r="E161" s="19"/>
      <c r="F161" s="19">
        <f>SUM(F149:F160)</f>
        <v>52790</v>
      </c>
      <c r="G161" s="19">
        <f>SUM(G149:G160)</f>
        <v>294</v>
      </c>
      <c r="H161" s="19"/>
      <c r="I161" s="19">
        <f>SUM(I149:I160)</f>
        <v>17640</v>
      </c>
      <c r="J161" s="19">
        <f>SUM(J149:J160)</f>
        <v>591</v>
      </c>
      <c r="K161" s="19"/>
      <c r="L161" s="19">
        <f>SUM(L149:L160)</f>
        <v>35150</v>
      </c>
      <c r="M161" s="19">
        <f>SUM(M149:M160)</f>
        <v>1425</v>
      </c>
      <c r="N161" s="19">
        <f>SUM(N149:N160)</f>
        <v>33725</v>
      </c>
      <c r="O161" s="34"/>
      <c r="P161" s="19">
        <f>SUM(P149:P160)</f>
        <v>1062</v>
      </c>
      <c r="Q161" s="19"/>
      <c r="R161" s="19">
        <f>SUM(R149:R160)</f>
        <v>93080</v>
      </c>
      <c r="S161" s="19">
        <f>SUM(S149:S160)</f>
        <v>20</v>
      </c>
      <c r="T161" s="19"/>
      <c r="U161" s="19">
        <f>SUM(U149:U160)</f>
        <v>2000</v>
      </c>
      <c r="V161" s="19">
        <f>SUM(V149:V160)</f>
        <v>918</v>
      </c>
      <c r="W161" s="19"/>
      <c r="X161" s="19">
        <f>SUM(X149:X160)</f>
        <v>91080</v>
      </c>
      <c r="Y161" s="19">
        <f>SUM(Y149:Y160)</f>
        <v>2940</v>
      </c>
      <c r="Z161" s="19">
        <f>SUM(Z149:Z160)</f>
        <v>88140</v>
      </c>
      <c r="AA161" s="34"/>
      <c r="AB161" s="19">
        <f>SUM(AB149:AB160)</f>
        <v>1077</v>
      </c>
      <c r="AC161" s="19"/>
      <c r="AD161" s="19">
        <f>SUM(AD149:AD160)</f>
        <v>46470</v>
      </c>
      <c r="AE161" s="19">
        <f>SUM(AE149:AE160)</f>
        <v>172</v>
      </c>
      <c r="AF161" s="19"/>
      <c r="AG161" s="19">
        <f>SUM(AG149:AG160)</f>
        <v>8600</v>
      </c>
      <c r="AH161" s="19">
        <f>SUM(AH149:AH160)</f>
        <v>761</v>
      </c>
      <c r="AI161" s="19"/>
      <c r="AJ161" s="19">
        <f t="shared" ref="AJ161:AO161" si="713">SUM(AJ149:AJ160)</f>
        <v>37870</v>
      </c>
      <c r="AK161" s="19">
        <f t="shared" si="713"/>
        <v>1595</v>
      </c>
      <c r="AL161" s="19">
        <f t="shared" si="713"/>
        <v>36275</v>
      </c>
      <c r="AM161" s="19">
        <f t="shared" si="713"/>
        <v>164100</v>
      </c>
      <c r="AN161" s="19">
        <f t="shared" si="713"/>
        <v>5960</v>
      </c>
      <c r="AO161" s="19">
        <f t="shared" si="713"/>
        <v>158140</v>
      </c>
      <c r="AP161" s="19"/>
      <c r="AQ161" s="19">
        <f>SUM(AQ149:AQ160)</f>
        <v>158140</v>
      </c>
      <c r="AR161" s="19">
        <f>SUM(AR149:AR160)</f>
        <v>158140</v>
      </c>
      <c r="AS161" s="19">
        <f>SUM(AS149:AS160)</f>
        <v>0</v>
      </c>
      <c r="AT161" s="74"/>
    </row>
    <row r="162" spans="1:46" x14ac:dyDescent="0.35">
      <c r="A162" s="3" t="s">
        <v>481</v>
      </c>
      <c r="B162" s="3" t="s">
        <v>276</v>
      </c>
      <c r="C162" s="3" t="s">
        <v>33</v>
      </c>
      <c r="D162" s="7">
        <v>0</v>
      </c>
      <c r="E162" s="3">
        <v>60</v>
      </c>
      <c r="F162" s="1">
        <f t="shared" ref="F162:F169" si="714">D162*E162</f>
        <v>0</v>
      </c>
      <c r="G162" s="7">
        <v>0</v>
      </c>
      <c r="H162" s="3">
        <v>60</v>
      </c>
      <c r="I162" s="27">
        <f t="shared" ref="I162:I170" si="715">G162*H162</f>
        <v>0</v>
      </c>
      <c r="J162" s="3">
        <f t="shared" ref="J162:J169" si="716">D162-G162</f>
        <v>0</v>
      </c>
      <c r="K162" s="7">
        <v>60</v>
      </c>
      <c r="L162" s="7">
        <f t="shared" ref="L162:L170" si="717">J162*K162</f>
        <v>0</v>
      </c>
      <c r="M162" s="3">
        <v>0</v>
      </c>
      <c r="N162" s="6">
        <f t="shared" ref="N162:N170" si="718">L162-M162</f>
        <v>0</v>
      </c>
      <c r="O162" s="34"/>
      <c r="P162" s="7">
        <v>0</v>
      </c>
      <c r="Q162" s="3">
        <v>100</v>
      </c>
      <c r="R162" s="3">
        <f t="shared" ref="R162:R169" si="719">P162*Q162</f>
        <v>0</v>
      </c>
      <c r="S162" s="7">
        <v>0</v>
      </c>
      <c r="T162" s="3">
        <v>100</v>
      </c>
      <c r="U162" s="3">
        <f t="shared" ref="U162:U170" si="720">S162*T162</f>
        <v>0</v>
      </c>
      <c r="V162" s="3">
        <f t="shared" ref="V162:V169" si="721">P162-S162</f>
        <v>0</v>
      </c>
      <c r="W162" s="7">
        <v>100</v>
      </c>
      <c r="X162" s="7">
        <f t="shared" ref="X162" si="722">V162*W162</f>
        <v>0</v>
      </c>
      <c r="Y162" s="3">
        <v>0</v>
      </c>
      <c r="Z162" s="6">
        <f t="shared" ref="Z162:Z170" si="723">X162-Y162</f>
        <v>0</v>
      </c>
      <c r="AA162" s="82"/>
      <c r="AB162" s="7">
        <v>0</v>
      </c>
      <c r="AC162" s="3">
        <v>50</v>
      </c>
      <c r="AD162" s="3">
        <f t="shared" ref="AD162:AD169" si="724">AB162*AC162</f>
        <v>0</v>
      </c>
      <c r="AE162" s="7">
        <v>0</v>
      </c>
      <c r="AF162" s="3">
        <v>50</v>
      </c>
      <c r="AG162" s="3">
        <f t="shared" ref="AG162:AG170" si="725">AE162*AF162</f>
        <v>0</v>
      </c>
      <c r="AH162" s="3">
        <f t="shared" ref="AH162:AH169" si="726">AB162-AE162</f>
        <v>0</v>
      </c>
      <c r="AI162" s="3">
        <v>50</v>
      </c>
      <c r="AJ162" s="7">
        <f t="shared" ref="AJ162:AJ170" si="727">AH162*AI162</f>
        <v>0</v>
      </c>
      <c r="AK162" s="3">
        <v>0</v>
      </c>
      <c r="AL162" s="6">
        <f t="shared" ref="AL162:AL170" si="728">AJ162-AK162</f>
        <v>0</v>
      </c>
      <c r="AM162" s="6">
        <f t="shared" ref="AM162:AM170" si="729">L162+X162+AJ162</f>
        <v>0</v>
      </c>
      <c r="AN162" s="6">
        <f t="shared" ref="AN162:AN170" si="730">M162+Y162+AK162</f>
        <v>0</v>
      </c>
      <c r="AO162" s="6">
        <f t="shared" ref="AO162:AO170" si="731">AM162-AN162</f>
        <v>0</v>
      </c>
      <c r="AP162" s="3" t="s">
        <v>481</v>
      </c>
      <c r="AQ162" s="3">
        <f t="shared" ref="AQ162:AQ170" si="732">AO162</f>
        <v>0</v>
      </c>
      <c r="AR162" s="3">
        <f>AQ162</f>
        <v>0</v>
      </c>
      <c r="AS162" s="3">
        <f t="shared" ref="AS162:AS164" si="733">AQ162-AR162</f>
        <v>0</v>
      </c>
      <c r="AT162" s="3"/>
    </row>
    <row r="163" spans="1:46" x14ac:dyDescent="0.35">
      <c r="A163" s="3"/>
      <c r="B163" s="3" t="s">
        <v>276</v>
      </c>
      <c r="C163" s="3" t="s">
        <v>182</v>
      </c>
      <c r="D163" s="7">
        <v>0</v>
      </c>
      <c r="E163" s="3">
        <v>55</v>
      </c>
      <c r="F163" s="1">
        <f t="shared" si="714"/>
        <v>0</v>
      </c>
      <c r="G163" s="7">
        <v>0</v>
      </c>
      <c r="H163" s="3">
        <v>55</v>
      </c>
      <c r="I163" s="27">
        <f t="shared" si="715"/>
        <v>0</v>
      </c>
      <c r="J163" s="3">
        <f t="shared" si="716"/>
        <v>0</v>
      </c>
      <c r="K163" s="7">
        <v>55</v>
      </c>
      <c r="L163" s="7">
        <f t="shared" si="717"/>
        <v>0</v>
      </c>
      <c r="M163" s="7">
        <v>0</v>
      </c>
      <c r="N163" s="6">
        <f t="shared" si="718"/>
        <v>0</v>
      </c>
      <c r="O163" s="34"/>
      <c r="P163" s="7">
        <v>0</v>
      </c>
      <c r="Q163" s="3">
        <v>100</v>
      </c>
      <c r="R163" s="3">
        <f t="shared" si="719"/>
        <v>0</v>
      </c>
      <c r="S163" s="7">
        <v>0</v>
      </c>
      <c r="T163" s="3">
        <v>100</v>
      </c>
      <c r="U163" s="3">
        <f t="shared" si="720"/>
        <v>0</v>
      </c>
      <c r="V163" s="3">
        <f t="shared" si="721"/>
        <v>0</v>
      </c>
      <c r="W163" s="7">
        <v>100</v>
      </c>
      <c r="X163" s="7">
        <f>V163*W163</f>
        <v>0</v>
      </c>
      <c r="Y163" s="7">
        <v>0</v>
      </c>
      <c r="Z163" s="6">
        <f t="shared" si="723"/>
        <v>0</v>
      </c>
      <c r="AA163" s="82"/>
      <c r="AB163" s="7">
        <v>0</v>
      </c>
      <c r="AC163" s="3">
        <v>50</v>
      </c>
      <c r="AD163" s="3">
        <f t="shared" si="724"/>
        <v>0</v>
      </c>
      <c r="AE163" s="7">
        <v>0</v>
      </c>
      <c r="AF163" s="3">
        <v>50</v>
      </c>
      <c r="AG163" s="3">
        <f t="shared" si="725"/>
        <v>0</v>
      </c>
      <c r="AH163" s="3">
        <f t="shared" si="726"/>
        <v>0</v>
      </c>
      <c r="AI163" s="3">
        <v>50</v>
      </c>
      <c r="AJ163" s="7">
        <f t="shared" si="727"/>
        <v>0</v>
      </c>
      <c r="AK163" s="7">
        <v>0</v>
      </c>
      <c r="AL163" s="6">
        <f t="shared" si="728"/>
        <v>0</v>
      </c>
      <c r="AM163" s="6">
        <f t="shared" si="729"/>
        <v>0</v>
      </c>
      <c r="AN163" s="6">
        <f t="shared" si="730"/>
        <v>0</v>
      </c>
      <c r="AO163" s="6">
        <f t="shared" si="731"/>
        <v>0</v>
      </c>
      <c r="AP163" s="3" t="s">
        <v>481</v>
      </c>
      <c r="AQ163" s="3">
        <f t="shared" si="732"/>
        <v>0</v>
      </c>
      <c r="AR163" s="3">
        <f t="shared" ref="AR163" si="734">AQ163</f>
        <v>0</v>
      </c>
      <c r="AS163" s="3">
        <f t="shared" si="733"/>
        <v>0</v>
      </c>
      <c r="AT163" s="3"/>
    </row>
    <row r="164" spans="1:46" x14ac:dyDescent="0.35">
      <c r="A164" s="3"/>
      <c r="B164" s="3" t="s">
        <v>385</v>
      </c>
      <c r="C164" s="3" t="s">
        <v>33</v>
      </c>
      <c r="D164" s="7">
        <v>0</v>
      </c>
      <c r="E164" s="3">
        <v>60</v>
      </c>
      <c r="F164" s="1">
        <f t="shared" si="714"/>
        <v>0</v>
      </c>
      <c r="G164" s="7">
        <v>0</v>
      </c>
      <c r="H164" s="3">
        <v>60</v>
      </c>
      <c r="I164" s="27">
        <f t="shared" si="715"/>
        <v>0</v>
      </c>
      <c r="J164" s="3">
        <f t="shared" si="716"/>
        <v>0</v>
      </c>
      <c r="K164" s="7">
        <v>60</v>
      </c>
      <c r="L164" s="7">
        <f t="shared" si="717"/>
        <v>0</v>
      </c>
      <c r="M164" s="7">
        <v>0</v>
      </c>
      <c r="N164" s="6">
        <f t="shared" si="718"/>
        <v>0</v>
      </c>
      <c r="O164" s="34"/>
      <c r="P164" s="7">
        <v>0</v>
      </c>
      <c r="Q164" s="3">
        <v>100</v>
      </c>
      <c r="R164" s="3">
        <f t="shared" si="719"/>
        <v>0</v>
      </c>
      <c r="S164" s="7">
        <v>0</v>
      </c>
      <c r="T164" s="3">
        <v>100</v>
      </c>
      <c r="U164" s="3">
        <f t="shared" si="720"/>
        <v>0</v>
      </c>
      <c r="V164" s="3">
        <f t="shared" si="721"/>
        <v>0</v>
      </c>
      <c r="W164" s="7">
        <v>100</v>
      </c>
      <c r="X164" s="7">
        <f>V164*W164</f>
        <v>0</v>
      </c>
      <c r="Y164" s="7">
        <v>0</v>
      </c>
      <c r="Z164" s="6">
        <f t="shared" si="723"/>
        <v>0</v>
      </c>
      <c r="AA164" s="82"/>
      <c r="AB164" s="7">
        <v>0</v>
      </c>
      <c r="AC164" s="3">
        <v>50</v>
      </c>
      <c r="AD164" s="3">
        <f t="shared" si="724"/>
        <v>0</v>
      </c>
      <c r="AE164" s="7">
        <v>0</v>
      </c>
      <c r="AF164" s="3">
        <v>50</v>
      </c>
      <c r="AG164" s="3">
        <f t="shared" si="725"/>
        <v>0</v>
      </c>
      <c r="AH164" s="3">
        <f t="shared" si="726"/>
        <v>0</v>
      </c>
      <c r="AI164" s="3">
        <v>50</v>
      </c>
      <c r="AJ164" s="7">
        <f t="shared" si="727"/>
        <v>0</v>
      </c>
      <c r="AK164" s="7">
        <v>0</v>
      </c>
      <c r="AL164" s="6">
        <f t="shared" si="728"/>
        <v>0</v>
      </c>
      <c r="AM164" s="6">
        <f t="shared" si="729"/>
        <v>0</v>
      </c>
      <c r="AN164" s="6">
        <f t="shared" si="730"/>
        <v>0</v>
      </c>
      <c r="AO164" s="6">
        <f t="shared" si="731"/>
        <v>0</v>
      </c>
      <c r="AP164" s="3" t="s">
        <v>481</v>
      </c>
      <c r="AQ164" s="3">
        <f t="shared" si="732"/>
        <v>0</v>
      </c>
      <c r="AR164" s="3">
        <f>AQ164</f>
        <v>0</v>
      </c>
      <c r="AS164" s="3">
        <f t="shared" si="733"/>
        <v>0</v>
      </c>
      <c r="AT164" s="3"/>
    </row>
    <row r="165" spans="1:46" x14ac:dyDescent="0.35">
      <c r="A165" s="3"/>
      <c r="B165" s="3" t="s">
        <v>18</v>
      </c>
      <c r="C165" s="3" t="s">
        <v>33</v>
      </c>
      <c r="D165" s="7">
        <v>0</v>
      </c>
      <c r="E165" s="3">
        <v>60</v>
      </c>
      <c r="F165" s="1">
        <f t="shared" si="714"/>
        <v>0</v>
      </c>
      <c r="G165" s="7">
        <v>0</v>
      </c>
      <c r="H165" s="3">
        <v>60</v>
      </c>
      <c r="I165" s="27">
        <f t="shared" si="715"/>
        <v>0</v>
      </c>
      <c r="J165" s="3">
        <f t="shared" si="716"/>
        <v>0</v>
      </c>
      <c r="K165" s="7">
        <v>60</v>
      </c>
      <c r="L165" s="7">
        <f t="shared" si="717"/>
        <v>0</v>
      </c>
      <c r="M165" s="3">
        <f>J165*5</f>
        <v>0</v>
      </c>
      <c r="N165" s="6">
        <f t="shared" si="718"/>
        <v>0</v>
      </c>
      <c r="O165" s="34"/>
      <c r="P165" s="7">
        <v>0</v>
      </c>
      <c r="Q165" s="3">
        <v>100</v>
      </c>
      <c r="R165" s="3">
        <f t="shared" si="719"/>
        <v>0</v>
      </c>
      <c r="S165" s="7">
        <v>0</v>
      </c>
      <c r="T165" s="3">
        <v>100</v>
      </c>
      <c r="U165" s="3">
        <f t="shared" si="720"/>
        <v>0</v>
      </c>
      <c r="V165" s="3">
        <f t="shared" si="721"/>
        <v>0</v>
      </c>
      <c r="W165" s="7">
        <v>100</v>
      </c>
      <c r="X165" s="7">
        <f t="shared" ref="X165:X170" si="735">V165*W165</f>
        <v>0</v>
      </c>
      <c r="Y165" s="3">
        <f>V165*10</f>
        <v>0</v>
      </c>
      <c r="Z165" s="6">
        <f t="shared" si="723"/>
        <v>0</v>
      </c>
      <c r="AA165" s="82"/>
      <c r="AB165" s="7">
        <v>0</v>
      </c>
      <c r="AC165" s="3">
        <v>50</v>
      </c>
      <c r="AD165" s="3">
        <f t="shared" si="724"/>
        <v>0</v>
      </c>
      <c r="AE165" s="7">
        <v>0</v>
      </c>
      <c r="AF165" s="3">
        <v>50</v>
      </c>
      <c r="AG165" s="3">
        <f t="shared" si="725"/>
        <v>0</v>
      </c>
      <c r="AH165" s="3">
        <f t="shared" si="726"/>
        <v>0</v>
      </c>
      <c r="AI165" s="3">
        <v>50</v>
      </c>
      <c r="AJ165" s="7">
        <f t="shared" si="727"/>
        <v>0</v>
      </c>
      <c r="AK165" s="3">
        <f>AH165*5</f>
        <v>0</v>
      </c>
      <c r="AL165" s="6">
        <f t="shared" si="728"/>
        <v>0</v>
      </c>
      <c r="AM165" s="6">
        <f t="shared" si="729"/>
        <v>0</v>
      </c>
      <c r="AN165" s="6">
        <f t="shared" si="730"/>
        <v>0</v>
      </c>
      <c r="AO165" s="6">
        <f t="shared" si="731"/>
        <v>0</v>
      </c>
      <c r="AP165" s="3" t="s">
        <v>481</v>
      </c>
      <c r="AQ165" s="3">
        <f t="shared" si="732"/>
        <v>0</v>
      </c>
      <c r="AR165" s="3">
        <f>AQ165</f>
        <v>0</v>
      </c>
      <c r="AS165" s="3">
        <f>AQ165-AR165</f>
        <v>0</v>
      </c>
      <c r="AT165" s="3"/>
    </row>
    <row r="166" spans="1:46" x14ac:dyDescent="0.35">
      <c r="A166" s="3"/>
      <c r="B166" s="3" t="s">
        <v>326</v>
      </c>
      <c r="C166" s="3" t="s">
        <v>33</v>
      </c>
      <c r="D166" s="7">
        <v>0</v>
      </c>
      <c r="E166" s="3">
        <v>60</v>
      </c>
      <c r="F166" s="1">
        <f t="shared" si="714"/>
        <v>0</v>
      </c>
      <c r="G166" s="7">
        <v>0</v>
      </c>
      <c r="H166" s="3">
        <v>60</v>
      </c>
      <c r="I166" s="27">
        <f t="shared" si="715"/>
        <v>0</v>
      </c>
      <c r="J166" s="3">
        <f t="shared" si="716"/>
        <v>0</v>
      </c>
      <c r="K166" s="7">
        <v>60</v>
      </c>
      <c r="L166" s="7">
        <f t="shared" si="717"/>
        <v>0</v>
      </c>
      <c r="M166" s="3">
        <v>0</v>
      </c>
      <c r="N166" s="6">
        <f t="shared" si="718"/>
        <v>0</v>
      </c>
      <c r="O166" s="34"/>
      <c r="P166" s="7">
        <v>0</v>
      </c>
      <c r="Q166" s="3">
        <v>100</v>
      </c>
      <c r="R166" s="3">
        <f t="shared" si="719"/>
        <v>0</v>
      </c>
      <c r="S166" s="7">
        <v>0</v>
      </c>
      <c r="T166" s="3">
        <v>100</v>
      </c>
      <c r="U166" s="3">
        <f t="shared" si="720"/>
        <v>0</v>
      </c>
      <c r="V166" s="3">
        <f t="shared" si="721"/>
        <v>0</v>
      </c>
      <c r="W166" s="7">
        <v>100</v>
      </c>
      <c r="X166" s="7">
        <f t="shared" si="735"/>
        <v>0</v>
      </c>
      <c r="Y166" s="3">
        <v>0</v>
      </c>
      <c r="Z166" s="6">
        <f t="shared" si="723"/>
        <v>0</v>
      </c>
      <c r="AA166" s="82"/>
      <c r="AB166" s="7">
        <v>0</v>
      </c>
      <c r="AC166" s="3">
        <v>50</v>
      </c>
      <c r="AD166" s="3">
        <f t="shared" si="724"/>
        <v>0</v>
      </c>
      <c r="AE166" s="7">
        <v>0</v>
      </c>
      <c r="AF166" s="3">
        <v>50</v>
      </c>
      <c r="AG166" s="3">
        <f t="shared" si="725"/>
        <v>0</v>
      </c>
      <c r="AH166" s="3">
        <f t="shared" si="726"/>
        <v>0</v>
      </c>
      <c r="AI166" s="3">
        <v>50</v>
      </c>
      <c r="AJ166" s="7">
        <f t="shared" si="727"/>
        <v>0</v>
      </c>
      <c r="AK166" s="3">
        <v>0</v>
      </c>
      <c r="AL166" s="6">
        <f t="shared" si="728"/>
        <v>0</v>
      </c>
      <c r="AM166" s="6">
        <f t="shared" si="729"/>
        <v>0</v>
      </c>
      <c r="AN166" s="6">
        <f t="shared" si="730"/>
        <v>0</v>
      </c>
      <c r="AO166" s="6">
        <f t="shared" si="731"/>
        <v>0</v>
      </c>
      <c r="AP166" s="3" t="s">
        <v>481</v>
      </c>
      <c r="AQ166" s="3">
        <f t="shared" si="732"/>
        <v>0</v>
      </c>
      <c r="AR166" s="3">
        <f>AQ166</f>
        <v>0</v>
      </c>
      <c r="AS166" s="3">
        <f t="shared" ref="AS166:AS170" si="736">AQ166-AR166</f>
        <v>0</v>
      </c>
      <c r="AT166" s="3"/>
    </row>
    <row r="167" spans="1:46" x14ac:dyDescent="0.35">
      <c r="A167" s="3"/>
      <c r="B167" s="3" t="s">
        <v>326</v>
      </c>
      <c r="C167" s="3" t="s">
        <v>329</v>
      </c>
      <c r="D167" s="7">
        <v>0</v>
      </c>
      <c r="E167" s="3">
        <v>50</v>
      </c>
      <c r="F167" s="1">
        <f t="shared" si="714"/>
        <v>0</v>
      </c>
      <c r="G167" s="7">
        <v>0</v>
      </c>
      <c r="H167" s="3">
        <v>50</v>
      </c>
      <c r="I167" s="27">
        <f t="shared" si="715"/>
        <v>0</v>
      </c>
      <c r="J167" s="3">
        <f t="shared" si="716"/>
        <v>0</v>
      </c>
      <c r="K167" s="7">
        <v>50</v>
      </c>
      <c r="L167" s="7">
        <f t="shared" si="717"/>
        <v>0</v>
      </c>
      <c r="M167" s="3">
        <v>0</v>
      </c>
      <c r="N167" s="6">
        <f t="shared" si="718"/>
        <v>0</v>
      </c>
      <c r="O167" s="34"/>
      <c r="P167" s="7">
        <v>0</v>
      </c>
      <c r="Q167" s="3">
        <v>100</v>
      </c>
      <c r="R167" s="3">
        <f t="shared" si="719"/>
        <v>0</v>
      </c>
      <c r="S167" s="7">
        <v>0</v>
      </c>
      <c r="T167" s="3">
        <v>100</v>
      </c>
      <c r="U167" s="3">
        <f t="shared" si="720"/>
        <v>0</v>
      </c>
      <c r="V167" s="3">
        <f t="shared" si="721"/>
        <v>0</v>
      </c>
      <c r="W167" s="7">
        <v>100</v>
      </c>
      <c r="X167" s="7">
        <f t="shared" si="735"/>
        <v>0</v>
      </c>
      <c r="Y167" s="3">
        <v>0</v>
      </c>
      <c r="Z167" s="6">
        <f t="shared" si="723"/>
        <v>0</v>
      </c>
      <c r="AA167" s="82"/>
      <c r="AB167" s="7">
        <v>0</v>
      </c>
      <c r="AC167" s="3">
        <v>50</v>
      </c>
      <c r="AD167" s="3">
        <f t="shared" si="724"/>
        <v>0</v>
      </c>
      <c r="AE167" s="7">
        <v>0</v>
      </c>
      <c r="AF167" s="3">
        <v>50</v>
      </c>
      <c r="AG167" s="3">
        <f t="shared" si="725"/>
        <v>0</v>
      </c>
      <c r="AH167" s="3">
        <f t="shared" si="726"/>
        <v>0</v>
      </c>
      <c r="AI167" s="3">
        <v>50</v>
      </c>
      <c r="AJ167" s="7">
        <f t="shared" si="727"/>
        <v>0</v>
      </c>
      <c r="AK167" s="3">
        <v>0</v>
      </c>
      <c r="AL167" s="6">
        <f t="shared" si="728"/>
        <v>0</v>
      </c>
      <c r="AM167" s="6">
        <f t="shared" si="729"/>
        <v>0</v>
      </c>
      <c r="AN167" s="6">
        <f t="shared" si="730"/>
        <v>0</v>
      </c>
      <c r="AO167" s="6">
        <f t="shared" si="731"/>
        <v>0</v>
      </c>
      <c r="AP167" s="3" t="s">
        <v>481</v>
      </c>
      <c r="AQ167" s="3">
        <f t="shared" si="732"/>
        <v>0</v>
      </c>
      <c r="AR167" s="3">
        <f>AQ167</f>
        <v>0</v>
      </c>
      <c r="AS167" s="3">
        <f t="shared" si="736"/>
        <v>0</v>
      </c>
      <c r="AT167" s="3"/>
    </row>
    <row r="168" spans="1:46" x14ac:dyDescent="0.35">
      <c r="A168" s="3"/>
      <c r="B168" s="3" t="s">
        <v>283</v>
      </c>
      <c r="C168" s="3" t="s">
        <v>33</v>
      </c>
      <c r="D168" s="7">
        <v>0</v>
      </c>
      <c r="E168" s="3">
        <v>60</v>
      </c>
      <c r="F168" s="1">
        <f t="shared" si="714"/>
        <v>0</v>
      </c>
      <c r="G168" s="7">
        <v>0</v>
      </c>
      <c r="H168" s="3">
        <v>60</v>
      </c>
      <c r="I168" s="27">
        <f t="shared" si="715"/>
        <v>0</v>
      </c>
      <c r="J168" s="3">
        <f t="shared" si="716"/>
        <v>0</v>
      </c>
      <c r="K168" s="7">
        <v>60</v>
      </c>
      <c r="L168" s="7">
        <f t="shared" si="717"/>
        <v>0</v>
      </c>
      <c r="M168" s="3">
        <v>0</v>
      </c>
      <c r="N168" s="6">
        <f t="shared" si="718"/>
        <v>0</v>
      </c>
      <c r="O168" s="34"/>
      <c r="P168" s="7">
        <v>0</v>
      </c>
      <c r="Q168" s="3">
        <v>100</v>
      </c>
      <c r="R168" s="3">
        <f t="shared" si="719"/>
        <v>0</v>
      </c>
      <c r="S168" s="7">
        <v>0</v>
      </c>
      <c r="T168" s="3">
        <v>100</v>
      </c>
      <c r="U168" s="3">
        <f t="shared" si="720"/>
        <v>0</v>
      </c>
      <c r="V168" s="3">
        <f t="shared" si="721"/>
        <v>0</v>
      </c>
      <c r="W168" s="7">
        <v>100</v>
      </c>
      <c r="X168" s="7">
        <f t="shared" si="735"/>
        <v>0</v>
      </c>
      <c r="Y168" s="3">
        <v>0</v>
      </c>
      <c r="Z168" s="6">
        <f t="shared" si="723"/>
        <v>0</v>
      </c>
      <c r="AA168" s="82"/>
      <c r="AB168" s="7">
        <v>0</v>
      </c>
      <c r="AC168" s="3">
        <v>50</v>
      </c>
      <c r="AD168" s="3">
        <f t="shared" si="724"/>
        <v>0</v>
      </c>
      <c r="AE168" s="7">
        <v>0</v>
      </c>
      <c r="AF168" s="3">
        <v>50</v>
      </c>
      <c r="AG168" s="3">
        <f t="shared" si="725"/>
        <v>0</v>
      </c>
      <c r="AH168" s="3">
        <f t="shared" si="726"/>
        <v>0</v>
      </c>
      <c r="AI168" s="3">
        <v>50</v>
      </c>
      <c r="AJ168" s="7">
        <f t="shared" si="727"/>
        <v>0</v>
      </c>
      <c r="AK168" s="3">
        <v>0</v>
      </c>
      <c r="AL168" s="6">
        <f t="shared" si="728"/>
        <v>0</v>
      </c>
      <c r="AM168" s="6">
        <f t="shared" si="729"/>
        <v>0</v>
      </c>
      <c r="AN168" s="6">
        <f t="shared" si="730"/>
        <v>0</v>
      </c>
      <c r="AO168" s="6">
        <f t="shared" si="731"/>
        <v>0</v>
      </c>
      <c r="AP168" s="3" t="s">
        <v>481</v>
      </c>
      <c r="AQ168" s="3">
        <f t="shared" si="732"/>
        <v>0</v>
      </c>
      <c r="AR168" s="3">
        <f t="shared" ref="AR168:AR170" si="737">AQ168</f>
        <v>0</v>
      </c>
      <c r="AS168" s="3">
        <f t="shared" si="736"/>
        <v>0</v>
      </c>
      <c r="AT168" s="3"/>
    </row>
    <row r="169" spans="1:46" x14ac:dyDescent="0.35">
      <c r="A169" s="3"/>
      <c r="B169" s="3" t="s">
        <v>308</v>
      </c>
      <c r="C169" s="3" t="s">
        <v>331</v>
      </c>
      <c r="D169" s="7">
        <v>0</v>
      </c>
      <c r="E169" s="3">
        <v>60</v>
      </c>
      <c r="F169" s="1">
        <f t="shared" si="714"/>
        <v>0</v>
      </c>
      <c r="G169" s="7">
        <v>0</v>
      </c>
      <c r="H169" s="3">
        <v>60</v>
      </c>
      <c r="I169" s="27">
        <f t="shared" si="715"/>
        <v>0</v>
      </c>
      <c r="J169" s="3">
        <f t="shared" si="716"/>
        <v>0</v>
      </c>
      <c r="K169" s="7">
        <v>60</v>
      </c>
      <c r="L169" s="7">
        <f t="shared" si="717"/>
        <v>0</v>
      </c>
      <c r="M169" s="3">
        <f>J169*5</f>
        <v>0</v>
      </c>
      <c r="N169" s="6">
        <f t="shared" si="718"/>
        <v>0</v>
      </c>
      <c r="O169" s="34"/>
      <c r="P169" s="7">
        <v>0</v>
      </c>
      <c r="Q169" s="3">
        <v>100</v>
      </c>
      <c r="R169" s="3">
        <f t="shared" si="719"/>
        <v>0</v>
      </c>
      <c r="S169" s="7">
        <v>0</v>
      </c>
      <c r="T169" s="3">
        <v>100</v>
      </c>
      <c r="U169" s="3">
        <f t="shared" si="720"/>
        <v>0</v>
      </c>
      <c r="V169" s="3">
        <f t="shared" si="721"/>
        <v>0</v>
      </c>
      <c r="W169" s="7">
        <v>100</v>
      </c>
      <c r="X169" s="7">
        <f t="shared" si="735"/>
        <v>0</v>
      </c>
      <c r="Y169" s="3">
        <f>V169*5</f>
        <v>0</v>
      </c>
      <c r="Z169" s="6">
        <f t="shared" si="723"/>
        <v>0</v>
      </c>
      <c r="AA169" s="82">
        <v>195</v>
      </c>
      <c r="AB169" s="7">
        <v>0</v>
      </c>
      <c r="AC169" s="3">
        <v>50</v>
      </c>
      <c r="AD169" s="3">
        <f t="shared" si="724"/>
        <v>0</v>
      </c>
      <c r="AE169" s="7">
        <v>0</v>
      </c>
      <c r="AF169" s="3">
        <v>50</v>
      </c>
      <c r="AG169" s="3">
        <f t="shared" si="725"/>
        <v>0</v>
      </c>
      <c r="AH169" s="3">
        <f t="shared" si="726"/>
        <v>0</v>
      </c>
      <c r="AI169" s="3">
        <v>50</v>
      </c>
      <c r="AJ169" s="7">
        <f t="shared" si="727"/>
        <v>0</v>
      </c>
      <c r="AK169" s="3">
        <f>AH169*5</f>
        <v>0</v>
      </c>
      <c r="AL169" s="6">
        <f t="shared" si="728"/>
        <v>0</v>
      </c>
      <c r="AM169" s="6">
        <f t="shared" si="729"/>
        <v>0</v>
      </c>
      <c r="AN169" s="6">
        <f t="shared" si="730"/>
        <v>0</v>
      </c>
      <c r="AO169" s="6">
        <f t="shared" si="731"/>
        <v>0</v>
      </c>
      <c r="AP169" s="3" t="s">
        <v>481</v>
      </c>
      <c r="AQ169" s="3">
        <f t="shared" si="732"/>
        <v>0</v>
      </c>
      <c r="AR169" s="3">
        <f t="shared" si="737"/>
        <v>0</v>
      </c>
      <c r="AS169" s="3">
        <f t="shared" si="736"/>
        <v>0</v>
      </c>
      <c r="AT169" s="3"/>
    </row>
    <row r="170" spans="1:46" x14ac:dyDescent="0.35">
      <c r="A170" s="3"/>
      <c r="B170" s="3" t="s">
        <v>308</v>
      </c>
      <c r="C170" s="3" t="s">
        <v>332</v>
      </c>
      <c r="D170" s="7">
        <v>0</v>
      </c>
      <c r="E170" s="3">
        <v>60</v>
      </c>
      <c r="F170" s="1">
        <v>0</v>
      </c>
      <c r="G170" s="7">
        <v>0</v>
      </c>
      <c r="H170" s="3">
        <v>60</v>
      </c>
      <c r="I170" s="27">
        <f t="shared" si="715"/>
        <v>0</v>
      </c>
      <c r="J170" s="3">
        <v>0</v>
      </c>
      <c r="K170" s="7">
        <v>60</v>
      </c>
      <c r="L170" s="7">
        <f t="shared" si="717"/>
        <v>0</v>
      </c>
      <c r="M170" s="3">
        <v>0</v>
      </c>
      <c r="N170" s="6">
        <f t="shared" si="718"/>
        <v>0</v>
      </c>
      <c r="O170" s="34"/>
      <c r="P170" s="7">
        <v>0</v>
      </c>
      <c r="Q170" s="3">
        <v>100</v>
      </c>
      <c r="R170" s="3">
        <v>0</v>
      </c>
      <c r="S170" s="7">
        <v>0</v>
      </c>
      <c r="T170" s="3">
        <v>100</v>
      </c>
      <c r="U170" s="3">
        <f t="shared" si="720"/>
        <v>0</v>
      </c>
      <c r="V170" s="3">
        <v>0</v>
      </c>
      <c r="W170" s="7">
        <v>100</v>
      </c>
      <c r="X170" s="7">
        <f t="shared" si="735"/>
        <v>0</v>
      </c>
      <c r="Y170" s="3">
        <v>0</v>
      </c>
      <c r="Z170" s="6">
        <f t="shared" si="723"/>
        <v>0</v>
      </c>
      <c r="AA170" s="82"/>
      <c r="AB170" s="7">
        <v>0</v>
      </c>
      <c r="AC170" s="3">
        <v>50</v>
      </c>
      <c r="AD170" s="3">
        <v>0</v>
      </c>
      <c r="AE170" s="7">
        <v>0</v>
      </c>
      <c r="AF170" s="3">
        <v>50</v>
      </c>
      <c r="AG170" s="3">
        <f t="shared" si="725"/>
        <v>0</v>
      </c>
      <c r="AH170" s="3">
        <v>0</v>
      </c>
      <c r="AI170" s="3">
        <v>50</v>
      </c>
      <c r="AJ170" s="7">
        <f t="shared" si="727"/>
        <v>0</v>
      </c>
      <c r="AK170" s="3">
        <v>0</v>
      </c>
      <c r="AL170" s="6">
        <f t="shared" si="728"/>
        <v>0</v>
      </c>
      <c r="AM170" s="6">
        <f t="shared" si="729"/>
        <v>0</v>
      </c>
      <c r="AN170" s="6">
        <f t="shared" si="730"/>
        <v>0</v>
      </c>
      <c r="AO170" s="6">
        <f t="shared" si="731"/>
        <v>0</v>
      </c>
      <c r="AP170" s="3" t="s">
        <v>481</v>
      </c>
      <c r="AQ170" s="3">
        <f t="shared" si="732"/>
        <v>0</v>
      </c>
      <c r="AR170" s="3">
        <f t="shared" si="737"/>
        <v>0</v>
      </c>
      <c r="AS170" s="3">
        <f t="shared" si="736"/>
        <v>0</v>
      </c>
      <c r="AT170" s="3"/>
    </row>
    <row r="171" spans="1:46" x14ac:dyDescent="0.35">
      <c r="A171" s="3"/>
      <c r="B171" s="3" t="s">
        <v>287</v>
      </c>
      <c r="C171" s="3" t="s">
        <v>331</v>
      </c>
      <c r="D171" s="7">
        <v>0</v>
      </c>
      <c r="E171" s="3">
        <v>60</v>
      </c>
      <c r="F171" s="1">
        <f t="shared" ref="F171" si="738">D171*E171</f>
        <v>0</v>
      </c>
      <c r="G171" s="7">
        <v>0</v>
      </c>
      <c r="H171" s="3">
        <v>60</v>
      </c>
      <c r="I171" s="27">
        <f t="shared" ref="I171:I172" si="739">G171*H171</f>
        <v>0</v>
      </c>
      <c r="J171" s="3">
        <f t="shared" ref="J171" si="740">D171-G171</f>
        <v>0</v>
      </c>
      <c r="K171" s="7">
        <v>60</v>
      </c>
      <c r="L171" s="7">
        <f t="shared" ref="L171:L172" si="741">J171*K171</f>
        <v>0</v>
      </c>
      <c r="M171" s="3">
        <f>J171*5</f>
        <v>0</v>
      </c>
      <c r="N171" s="6">
        <f t="shared" ref="N171:N172" si="742">L171-M171</f>
        <v>0</v>
      </c>
      <c r="O171" s="34"/>
      <c r="P171" s="7">
        <v>0</v>
      </c>
      <c r="Q171" s="3">
        <v>100</v>
      </c>
      <c r="R171" s="3">
        <f t="shared" ref="R171" si="743">P171*Q171</f>
        <v>0</v>
      </c>
      <c r="S171" s="7">
        <v>0</v>
      </c>
      <c r="T171" s="3">
        <v>100</v>
      </c>
      <c r="U171" s="3">
        <f t="shared" ref="U171:U172" si="744">S171*T171</f>
        <v>0</v>
      </c>
      <c r="V171" s="3">
        <f t="shared" ref="V171" si="745">P171-S171</f>
        <v>0</v>
      </c>
      <c r="W171" s="7">
        <v>100</v>
      </c>
      <c r="X171" s="7">
        <f t="shared" ref="X171:X172" si="746">V171*W171</f>
        <v>0</v>
      </c>
      <c r="Y171" s="3">
        <f>V171*10</f>
        <v>0</v>
      </c>
      <c r="Z171" s="6">
        <f t="shared" ref="Z171:Z172" si="747">X171-Y171</f>
        <v>0</v>
      </c>
      <c r="AA171" s="82"/>
      <c r="AB171" s="7">
        <v>0</v>
      </c>
      <c r="AC171" s="3">
        <v>50</v>
      </c>
      <c r="AD171" s="3">
        <f t="shared" ref="AD171" si="748">AB171*AC171</f>
        <v>0</v>
      </c>
      <c r="AE171" s="7">
        <v>0</v>
      </c>
      <c r="AF171" s="3">
        <v>50</v>
      </c>
      <c r="AG171" s="3">
        <f t="shared" ref="AG171:AG172" si="749">AE171*AF171</f>
        <v>0</v>
      </c>
      <c r="AH171" s="3">
        <f t="shared" ref="AH171" si="750">AB171-AE171</f>
        <v>0</v>
      </c>
      <c r="AI171" s="3">
        <v>50</v>
      </c>
      <c r="AJ171" s="7">
        <f t="shared" ref="AJ171:AJ172" si="751">AH171*AI171</f>
        <v>0</v>
      </c>
      <c r="AK171" s="3">
        <f>AH171*5</f>
        <v>0</v>
      </c>
      <c r="AL171" s="6">
        <f t="shared" ref="AL171:AL172" si="752">AJ171-AK171</f>
        <v>0</v>
      </c>
      <c r="AM171" s="6">
        <f t="shared" ref="AM171:AM172" si="753">L171+X171+AJ171</f>
        <v>0</v>
      </c>
      <c r="AN171" s="6">
        <f t="shared" ref="AN171:AN172" si="754">M171+Y171+AK171</f>
        <v>0</v>
      </c>
      <c r="AO171" s="6">
        <f t="shared" ref="AO171:AO172" si="755">AM171-AN171</f>
        <v>0</v>
      </c>
      <c r="AP171" s="3" t="s">
        <v>481</v>
      </c>
      <c r="AQ171" s="3">
        <f t="shared" ref="AQ171:AQ172" si="756">AO171</f>
        <v>0</v>
      </c>
      <c r="AR171" s="3">
        <f>AQ171</f>
        <v>0</v>
      </c>
      <c r="AS171" s="3">
        <f t="shared" ref="AS171:AS172" si="757">AQ171-AR171</f>
        <v>0</v>
      </c>
      <c r="AT171" s="3"/>
    </row>
    <row r="172" spans="1:46" x14ac:dyDescent="0.35">
      <c r="A172" s="3"/>
      <c r="B172" s="3" t="s">
        <v>287</v>
      </c>
      <c r="C172" s="3" t="s">
        <v>11</v>
      </c>
      <c r="D172" s="7">
        <v>0</v>
      </c>
      <c r="E172" s="3">
        <v>60</v>
      </c>
      <c r="F172" s="1">
        <v>0</v>
      </c>
      <c r="G172" s="7">
        <v>0</v>
      </c>
      <c r="H172" s="3">
        <v>60</v>
      </c>
      <c r="I172" s="27">
        <f t="shared" si="739"/>
        <v>0</v>
      </c>
      <c r="J172" s="3">
        <v>0</v>
      </c>
      <c r="K172" s="7">
        <v>60</v>
      </c>
      <c r="L172" s="7">
        <f t="shared" si="741"/>
        <v>0</v>
      </c>
      <c r="M172" s="3">
        <v>0</v>
      </c>
      <c r="N172" s="6">
        <f t="shared" si="742"/>
        <v>0</v>
      </c>
      <c r="O172" s="34"/>
      <c r="P172" s="7">
        <v>0</v>
      </c>
      <c r="Q172" s="3">
        <v>100</v>
      </c>
      <c r="R172" s="3">
        <v>0</v>
      </c>
      <c r="S172" s="7">
        <v>0</v>
      </c>
      <c r="T172" s="3">
        <v>100</v>
      </c>
      <c r="U172" s="3">
        <f t="shared" si="744"/>
        <v>0</v>
      </c>
      <c r="V172" s="3">
        <v>0</v>
      </c>
      <c r="W172" s="7">
        <v>100</v>
      </c>
      <c r="X172" s="7">
        <f t="shared" si="746"/>
        <v>0</v>
      </c>
      <c r="Y172" s="3">
        <v>0</v>
      </c>
      <c r="Z172" s="6">
        <f t="shared" si="747"/>
        <v>0</v>
      </c>
      <c r="AA172" s="82"/>
      <c r="AB172" s="7">
        <v>0</v>
      </c>
      <c r="AC172" s="3">
        <v>50</v>
      </c>
      <c r="AD172" s="3">
        <v>0</v>
      </c>
      <c r="AE172" s="7">
        <v>0</v>
      </c>
      <c r="AF172" s="3">
        <v>50</v>
      </c>
      <c r="AG172" s="3">
        <f t="shared" si="749"/>
        <v>0</v>
      </c>
      <c r="AH172" s="3">
        <v>0</v>
      </c>
      <c r="AI172" s="3">
        <v>50</v>
      </c>
      <c r="AJ172" s="7">
        <f t="shared" si="751"/>
        <v>0</v>
      </c>
      <c r="AK172" s="3">
        <v>0</v>
      </c>
      <c r="AL172" s="6">
        <f t="shared" si="752"/>
        <v>0</v>
      </c>
      <c r="AM172" s="6">
        <f t="shared" si="753"/>
        <v>0</v>
      </c>
      <c r="AN172" s="6">
        <f t="shared" si="754"/>
        <v>0</v>
      </c>
      <c r="AO172" s="6">
        <f t="shared" si="755"/>
        <v>0</v>
      </c>
      <c r="AP172" s="3" t="s">
        <v>481</v>
      </c>
      <c r="AQ172" s="3">
        <f t="shared" si="756"/>
        <v>0</v>
      </c>
      <c r="AR172" s="3">
        <f t="shared" ref="AR172" si="758">AQ172</f>
        <v>0</v>
      </c>
      <c r="AS172" s="3">
        <f t="shared" si="757"/>
        <v>0</v>
      </c>
      <c r="AT172" s="3"/>
    </row>
    <row r="173" spans="1:46" x14ac:dyDescent="0.35">
      <c r="A173" s="19"/>
      <c r="B173" s="19" t="s">
        <v>36</v>
      </c>
      <c r="C173" s="19"/>
      <c r="D173" s="19">
        <f>SUM(D162:D172)</f>
        <v>0</v>
      </c>
      <c r="E173" s="19"/>
      <c r="F173" s="19">
        <f>SUM(F162:F172)</f>
        <v>0</v>
      </c>
      <c r="G173" s="19">
        <f>SUM(G162:G172)</f>
        <v>0</v>
      </c>
      <c r="H173" s="19"/>
      <c r="I173" s="19">
        <f>SUM(I162:I172)</f>
        <v>0</v>
      </c>
      <c r="J173" s="19">
        <f>SUM(J162:J172)</f>
        <v>0</v>
      </c>
      <c r="K173" s="19"/>
      <c r="L173" s="19">
        <f>SUM(L162:L172)</f>
        <v>0</v>
      </c>
      <c r="M173" s="19">
        <f>SUM(M162:M172)</f>
        <v>0</v>
      </c>
      <c r="N173" s="19">
        <f>SUM(N162:N172)</f>
        <v>0</v>
      </c>
      <c r="O173" s="34"/>
      <c r="P173" s="19">
        <f>SUM(P162:P172)</f>
        <v>0</v>
      </c>
      <c r="Q173" s="19"/>
      <c r="R173" s="19">
        <f>SUM(R162:R172)</f>
        <v>0</v>
      </c>
      <c r="S173" s="19">
        <f>SUM(S162:S172)</f>
        <v>0</v>
      </c>
      <c r="T173" s="19"/>
      <c r="U173" s="19">
        <f>SUM(U162:U172)</f>
        <v>0</v>
      </c>
      <c r="V173" s="19">
        <f>SUM(V162:V172)</f>
        <v>0</v>
      </c>
      <c r="W173" s="19"/>
      <c r="X173" s="19">
        <f>SUM(X162:X172)</f>
        <v>0</v>
      </c>
      <c r="Y173" s="19">
        <f>SUM(Y162:Y172)</f>
        <v>0</v>
      </c>
      <c r="Z173" s="19">
        <f>SUM(Z162:Z172)</f>
        <v>0</v>
      </c>
      <c r="AA173" s="34"/>
      <c r="AB173" s="19">
        <f>SUM(AB162:AB172)</f>
        <v>0</v>
      </c>
      <c r="AC173" s="19"/>
      <c r="AD173" s="19">
        <f>SUM(AD162:AD172)</f>
        <v>0</v>
      </c>
      <c r="AE173" s="19">
        <f>SUM(AE162:AE172)</f>
        <v>0</v>
      </c>
      <c r="AF173" s="19"/>
      <c r="AG173" s="19">
        <f>SUM(AG162:AG172)</f>
        <v>0</v>
      </c>
      <c r="AH173" s="19">
        <f>SUM(AH162:AH172)</f>
        <v>0</v>
      </c>
      <c r="AI173" s="19"/>
      <c r="AJ173" s="19">
        <f t="shared" ref="AJ173:AO173" si="759">SUM(AJ162:AJ172)</f>
        <v>0</v>
      </c>
      <c r="AK173" s="19">
        <f t="shared" si="759"/>
        <v>0</v>
      </c>
      <c r="AL173" s="19">
        <f t="shared" si="759"/>
        <v>0</v>
      </c>
      <c r="AM173" s="19">
        <f t="shared" si="759"/>
        <v>0</v>
      </c>
      <c r="AN173" s="19">
        <f t="shared" si="759"/>
        <v>0</v>
      </c>
      <c r="AO173" s="19">
        <f t="shared" si="759"/>
        <v>0</v>
      </c>
      <c r="AP173" s="19"/>
      <c r="AQ173" s="19">
        <f>SUM(AQ162:AQ172)</f>
        <v>0</v>
      </c>
      <c r="AR173" s="19">
        <f>SUM(AR162:AR172)</f>
        <v>0</v>
      </c>
      <c r="AS173" s="19">
        <f>SUM(AS162:AS172)</f>
        <v>0</v>
      </c>
      <c r="AT173" s="74"/>
    </row>
    <row r="174" spans="1:46" x14ac:dyDescent="0.35">
      <c r="A174" s="3" t="s">
        <v>482</v>
      </c>
      <c r="B174" s="172" t="s">
        <v>276</v>
      </c>
      <c r="C174" s="3" t="s">
        <v>33</v>
      </c>
      <c r="D174" s="7">
        <f>225-60</f>
        <v>165</v>
      </c>
      <c r="E174" s="3">
        <v>60</v>
      </c>
      <c r="F174" s="1">
        <f t="shared" ref="F174:F179" si="760">D174*E174</f>
        <v>9900</v>
      </c>
      <c r="G174" s="7">
        <v>78</v>
      </c>
      <c r="H174" s="3">
        <v>60</v>
      </c>
      <c r="I174" s="27">
        <f t="shared" ref="I174:I179" si="761">G174*H174</f>
        <v>4680</v>
      </c>
      <c r="J174" s="3">
        <f t="shared" ref="J174:J179" si="762">D174-G174</f>
        <v>87</v>
      </c>
      <c r="K174" s="7">
        <v>60</v>
      </c>
      <c r="L174" s="7">
        <f t="shared" ref="L174:L179" si="763">J174*K174</f>
        <v>5220</v>
      </c>
      <c r="M174" s="3">
        <v>0</v>
      </c>
      <c r="N174" s="6">
        <f t="shared" ref="N174:N179" si="764">L174-M174</f>
        <v>5220</v>
      </c>
      <c r="O174" s="34"/>
      <c r="P174" s="7">
        <v>216</v>
      </c>
      <c r="Q174" s="3">
        <v>100</v>
      </c>
      <c r="R174" s="3">
        <f t="shared" ref="R174:R179" si="765">P174*Q174</f>
        <v>21600</v>
      </c>
      <c r="S174" s="7">
        <v>0</v>
      </c>
      <c r="T174" s="3">
        <v>100</v>
      </c>
      <c r="U174" s="3">
        <f t="shared" ref="U174:U179" si="766">S174*T174</f>
        <v>0</v>
      </c>
      <c r="V174" s="3">
        <f t="shared" ref="V174:V179" si="767">P174-S174</f>
        <v>216</v>
      </c>
      <c r="W174" s="7">
        <v>100</v>
      </c>
      <c r="X174" s="7">
        <f t="shared" ref="X174" si="768">V174*W174</f>
        <v>21600</v>
      </c>
      <c r="Y174" s="3">
        <v>0</v>
      </c>
      <c r="Z174" s="6">
        <f t="shared" ref="Z174:Z179" si="769">X174-Y174</f>
        <v>21600</v>
      </c>
      <c r="AA174" s="82"/>
      <c r="AB174" s="7">
        <v>180</v>
      </c>
      <c r="AC174" s="3">
        <v>50</v>
      </c>
      <c r="AD174" s="3">
        <f t="shared" ref="AD174:AD179" si="770">AB174*AC174</f>
        <v>9000</v>
      </c>
      <c r="AE174" s="7">
        <v>0</v>
      </c>
      <c r="AF174" s="3">
        <v>50</v>
      </c>
      <c r="AG174" s="3">
        <f t="shared" ref="AG174:AG179" si="771">AE174*AF174</f>
        <v>0</v>
      </c>
      <c r="AH174" s="3">
        <f t="shared" ref="AH174:AH179" si="772">AB174-AE174</f>
        <v>180</v>
      </c>
      <c r="AI174" s="3">
        <v>50</v>
      </c>
      <c r="AJ174" s="7">
        <f t="shared" ref="AJ174:AJ179" si="773">AH174*AI174</f>
        <v>9000</v>
      </c>
      <c r="AK174" s="3">
        <v>0</v>
      </c>
      <c r="AL174" s="6">
        <f t="shared" ref="AL174:AL179" si="774">AJ174-AK174</f>
        <v>9000</v>
      </c>
      <c r="AM174" s="6">
        <f t="shared" ref="AM174:AM179" si="775">L174+X174+AJ174</f>
        <v>35820</v>
      </c>
      <c r="AN174" s="6">
        <f t="shared" ref="AN174:AN179" si="776">M174+Y174+AK174</f>
        <v>0</v>
      </c>
      <c r="AO174" s="6">
        <f t="shared" ref="AO174:AO179" si="777">AM174-AN174</f>
        <v>35820</v>
      </c>
      <c r="AP174" s="3" t="s">
        <v>482</v>
      </c>
      <c r="AQ174" s="3">
        <f t="shared" ref="AQ174:AQ179" si="778">AO174</f>
        <v>35820</v>
      </c>
      <c r="AR174" s="3">
        <f>AQ174</f>
        <v>35820</v>
      </c>
      <c r="AS174" s="3">
        <f t="shared" ref="AS174:AS177" si="779">AQ174-AR174</f>
        <v>0</v>
      </c>
      <c r="AT174" s="3"/>
    </row>
    <row r="175" spans="1:46" x14ac:dyDescent="0.35">
      <c r="A175" s="3"/>
      <c r="B175" s="172" t="s">
        <v>276</v>
      </c>
      <c r="C175" s="3" t="s">
        <v>182</v>
      </c>
      <c r="D175" s="7">
        <v>60</v>
      </c>
      <c r="E175" s="3">
        <v>55</v>
      </c>
      <c r="F175" s="1">
        <f t="shared" si="760"/>
        <v>3300</v>
      </c>
      <c r="G175" s="7">
        <v>0</v>
      </c>
      <c r="H175" s="3">
        <v>55</v>
      </c>
      <c r="I175" s="27">
        <f t="shared" si="761"/>
        <v>0</v>
      </c>
      <c r="J175" s="3">
        <f t="shared" si="762"/>
        <v>60</v>
      </c>
      <c r="K175" s="7">
        <v>55</v>
      </c>
      <c r="L175" s="7">
        <f t="shared" si="763"/>
        <v>3300</v>
      </c>
      <c r="M175" s="7">
        <v>0</v>
      </c>
      <c r="N175" s="6">
        <f t="shared" si="764"/>
        <v>3300</v>
      </c>
      <c r="O175" s="34"/>
      <c r="P175" s="7">
        <v>0</v>
      </c>
      <c r="Q175" s="3">
        <v>100</v>
      </c>
      <c r="R175" s="3">
        <f t="shared" si="765"/>
        <v>0</v>
      </c>
      <c r="S175" s="7">
        <v>0</v>
      </c>
      <c r="T175" s="3">
        <v>100</v>
      </c>
      <c r="U175" s="3">
        <f t="shared" si="766"/>
        <v>0</v>
      </c>
      <c r="V175" s="3">
        <f t="shared" si="767"/>
        <v>0</v>
      </c>
      <c r="W175" s="7">
        <v>100</v>
      </c>
      <c r="X175" s="7">
        <f>V175*W175</f>
        <v>0</v>
      </c>
      <c r="Y175" s="7">
        <v>0</v>
      </c>
      <c r="Z175" s="6">
        <f t="shared" si="769"/>
        <v>0</v>
      </c>
      <c r="AA175" s="82"/>
      <c r="AB175" s="7">
        <v>0</v>
      </c>
      <c r="AC175" s="3">
        <v>50</v>
      </c>
      <c r="AD175" s="3">
        <f t="shared" si="770"/>
        <v>0</v>
      </c>
      <c r="AE175" s="7">
        <v>0</v>
      </c>
      <c r="AF175" s="3">
        <v>50</v>
      </c>
      <c r="AG175" s="3">
        <f t="shared" si="771"/>
        <v>0</v>
      </c>
      <c r="AH175" s="3">
        <f t="shared" si="772"/>
        <v>0</v>
      </c>
      <c r="AI175" s="3">
        <v>50</v>
      </c>
      <c r="AJ175" s="7">
        <f t="shared" si="773"/>
        <v>0</v>
      </c>
      <c r="AK175" s="7">
        <v>0</v>
      </c>
      <c r="AL175" s="6">
        <f t="shared" si="774"/>
        <v>0</v>
      </c>
      <c r="AM175" s="6">
        <f t="shared" si="775"/>
        <v>3300</v>
      </c>
      <c r="AN175" s="6">
        <f t="shared" si="776"/>
        <v>0</v>
      </c>
      <c r="AO175" s="6">
        <f t="shared" si="777"/>
        <v>3300</v>
      </c>
      <c r="AP175" s="3" t="s">
        <v>482</v>
      </c>
      <c r="AQ175" s="3">
        <f t="shared" si="778"/>
        <v>3300</v>
      </c>
      <c r="AR175" s="3">
        <f t="shared" ref="AR175" si="780">AQ175</f>
        <v>3300</v>
      </c>
      <c r="AS175" s="3">
        <f t="shared" si="779"/>
        <v>0</v>
      </c>
      <c r="AT175" s="3"/>
    </row>
    <row r="176" spans="1:46" x14ac:dyDescent="0.35">
      <c r="A176" s="3"/>
      <c r="B176" s="172" t="s">
        <v>463</v>
      </c>
      <c r="C176" s="3" t="s">
        <v>33</v>
      </c>
      <c r="D176" s="7">
        <v>300</v>
      </c>
      <c r="E176" s="3">
        <v>60</v>
      </c>
      <c r="F176" s="1">
        <f t="shared" si="760"/>
        <v>18000</v>
      </c>
      <c r="G176" s="7">
        <v>167</v>
      </c>
      <c r="H176" s="3">
        <v>60</v>
      </c>
      <c r="I176" s="27">
        <f t="shared" si="761"/>
        <v>10020</v>
      </c>
      <c r="J176" s="3">
        <f t="shared" si="762"/>
        <v>133</v>
      </c>
      <c r="K176" s="7">
        <v>60</v>
      </c>
      <c r="L176" s="7">
        <f t="shared" si="763"/>
        <v>7980</v>
      </c>
      <c r="M176" s="7">
        <v>0</v>
      </c>
      <c r="N176" s="6">
        <f t="shared" si="764"/>
        <v>7980</v>
      </c>
      <c r="O176" s="34"/>
      <c r="P176" s="7">
        <v>240</v>
      </c>
      <c r="Q176" s="3">
        <v>100</v>
      </c>
      <c r="R176" s="3">
        <f t="shared" si="765"/>
        <v>24000</v>
      </c>
      <c r="S176" s="7">
        <v>34</v>
      </c>
      <c r="T176" s="3">
        <v>100</v>
      </c>
      <c r="U176" s="3">
        <f t="shared" si="766"/>
        <v>3400</v>
      </c>
      <c r="V176" s="3">
        <f t="shared" si="767"/>
        <v>206</v>
      </c>
      <c r="W176" s="7">
        <v>100</v>
      </c>
      <c r="X176" s="7">
        <f>V176*W176</f>
        <v>20600</v>
      </c>
      <c r="Y176" s="7">
        <v>0</v>
      </c>
      <c r="Z176" s="6">
        <f t="shared" si="769"/>
        <v>20600</v>
      </c>
      <c r="AA176" s="82"/>
      <c r="AB176" s="7">
        <v>240</v>
      </c>
      <c r="AC176" s="3">
        <v>50</v>
      </c>
      <c r="AD176" s="3">
        <f t="shared" si="770"/>
        <v>12000</v>
      </c>
      <c r="AE176" s="7">
        <v>121</v>
      </c>
      <c r="AF176" s="3">
        <v>50</v>
      </c>
      <c r="AG176" s="3">
        <f t="shared" si="771"/>
        <v>6050</v>
      </c>
      <c r="AH176" s="3">
        <f t="shared" si="772"/>
        <v>119</v>
      </c>
      <c r="AI176" s="3">
        <v>50</v>
      </c>
      <c r="AJ176" s="7">
        <f t="shared" si="773"/>
        <v>5950</v>
      </c>
      <c r="AK176" s="7">
        <v>0</v>
      </c>
      <c r="AL176" s="6">
        <f t="shared" si="774"/>
        <v>5950</v>
      </c>
      <c r="AM176" s="6">
        <f t="shared" si="775"/>
        <v>34530</v>
      </c>
      <c r="AN176" s="6">
        <f t="shared" si="776"/>
        <v>0</v>
      </c>
      <c r="AO176" s="6">
        <f t="shared" si="777"/>
        <v>34530</v>
      </c>
      <c r="AP176" s="3" t="s">
        <v>482</v>
      </c>
      <c r="AQ176" s="3">
        <f t="shared" si="778"/>
        <v>34530</v>
      </c>
      <c r="AR176" s="3">
        <f t="shared" ref="AR176:AR180" si="781">AQ176</f>
        <v>34530</v>
      </c>
      <c r="AS176" s="3">
        <f t="shared" si="779"/>
        <v>0</v>
      </c>
      <c r="AT176" s="3"/>
    </row>
    <row r="177" spans="1:46" x14ac:dyDescent="0.35">
      <c r="A177" s="3"/>
      <c r="B177" s="172" t="s">
        <v>463</v>
      </c>
      <c r="C177" s="3" t="s">
        <v>182</v>
      </c>
      <c r="D177" s="7">
        <v>0</v>
      </c>
      <c r="E177" s="3">
        <v>55</v>
      </c>
      <c r="F177" s="1">
        <f t="shared" si="760"/>
        <v>0</v>
      </c>
      <c r="G177" s="7">
        <v>0</v>
      </c>
      <c r="H177" s="3">
        <v>55</v>
      </c>
      <c r="I177" s="27">
        <f t="shared" si="761"/>
        <v>0</v>
      </c>
      <c r="J177" s="3">
        <f t="shared" si="762"/>
        <v>0</v>
      </c>
      <c r="K177" s="7">
        <v>55</v>
      </c>
      <c r="L177" s="7">
        <f t="shared" si="763"/>
        <v>0</v>
      </c>
      <c r="M177" s="7">
        <v>0</v>
      </c>
      <c r="N177" s="6">
        <f t="shared" si="764"/>
        <v>0</v>
      </c>
      <c r="O177" s="34"/>
      <c r="P177" s="7">
        <v>0</v>
      </c>
      <c r="Q177" s="3">
        <v>100</v>
      </c>
      <c r="R177" s="3">
        <f t="shared" si="765"/>
        <v>0</v>
      </c>
      <c r="S177" s="7">
        <v>0</v>
      </c>
      <c r="T177" s="3">
        <v>100</v>
      </c>
      <c r="U177" s="3">
        <f t="shared" si="766"/>
        <v>0</v>
      </c>
      <c r="V177" s="3">
        <f t="shared" si="767"/>
        <v>0</v>
      </c>
      <c r="W177" s="7">
        <v>100</v>
      </c>
      <c r="X177" s="7">
        <f>V177*W177</f>
        <v>0</v>
      </c>
      <c r="Y177" s="7">
        <v>0</v>
      </c>
      <c r="Z177" s="6">
        <f t="shared" si="769"/>
        <v>0</v>
      </c>
      <c r="AA177" s="82"/>
      <c r="AB177" s="7">
        <v>0</v>
      </c>
      <c r="AC177" s="3">
        <v>45</v>
      </c>
      <c r="AD177" s="3">
        <f t="shared" si="770"/>
        <v>0</v>
      </c>
      <c r="AE177" s="7">
        <v>0</v>
      </c>
      <c r="AF177" s="3">
        <v>45</v>
      </c>
      <c r="AG177" s="3">
        <f t="shared" si="771"/>
        <v>0</v>
      </c>
      <c r="AH177" s="3">
        <f t="shared" si="772"/>
        <v>0</v>
      </c>
      <c r="AI177" s="3">
        <v>45</v>
      </c>
      <c r="AJ177" s="7">
        <f t="shared" si="773"/>
        <v>0</v>
      </c>
      <c r="AK177" s="7">
        <v>0</v>
      </c>
      <c r="AL177" s="6">
        <f t="shared" si="774"/>
        <v>0</v>
      </c>
      <c r="AM177" s="6">
        <f t="shared" si="775"/>
        <v>0</v>
      </c>
      <c r="AN177" s="6">
        <f t="shared" si="776"/>
        <v>0</v>
      </c>
      <c r="AO177" s="6">
        <f t="shared" si="777"/>
        <v>0</v>
      </c>
      <c r="AP177" s="3" t="s">
        <v>482</v>
      </c>
      <c r="AQ177" s="3">
        <f t="shared" si="778"/>
        <v>0</v>
      </c>
      <c r="AR177" s="3">
        <f t="shared" si="781"/>
        <v>0</v>
      </c>
      <c r="AS177" s="3">
        <f t="shared" si="779"/>
        <v>0</v>
      </c>
      <c r="AT177" s="3"/>
    </row>
    <row r="178" spans="1:46" x14ac:dyDescent="0.35">
      <c r="A178" s="3"/>
      <c r="B178" s="172" t="s">
        <v>415</v>
      </c>
      <c r="C178" s="3" t="s">
        <v>33</v>
      </c>
      <c r="D178" s="7">
        <v>240</v>
      </c>
      <c r="E178" s="3">
        <v>60</v>
      </c>
      <c r="F178" s="1">
        <f t="shared" si="760"/>
        <v>14400</v>
      </c>
      <c r="G178" s="7">
        <v>18</v>
      </c>
      <c r="H178" s="3">
        <v>60</v>
      </c>
      <c r="I178" s="27">
        <f t="shared" si="761"/>
        <v>1080</v>
      </c>
      <c r="J178" s="3">
        <f t="shared" si="762"/>
        <v>222</v>
      </c>
      <c r="K178" s="7">
        <v>60</v>
      </c>
      <c r="L178" s="7">
        <f t="shared" si="763"/>
        <v>13320</v>
      </c>
      <c r="M178" s="3">
        <f>J178*5</f>
        <v>1110</v>
      </c>
      <c r="N178" s="6">
        <f t="shared" si="764"/>
        <v>12210</v>
      </c>
      <c r="O178" s="34"/>
      <c r="P178" s="7">
        <v>276</v>
      </c>
      <c r="Q178" s="3">
        <v>100</v>
      </c>
      <c r="R178" s="3">
        <f t="shared" si="765"/>
        <v>27600</v>
      </c>
      <c r="S178" s="7">
        <v>14</v>
      </c>
      <c r="T178" s="3">
        <v>100</v>
      </c>
      <c r="U178" s="3">
        <f t="shared" si="766"/>
        <v>1400</v>
      </c>
      <c r="V178" s="3">
        <f t="shared" si="767"/>
        <v>262</v>
      </c>
      <c r="W178" s="7">
        <v>100</v>
      </c>
      <c r="X178" s="7">
        <f t="shared" ref="X178:X179" si="782">V178*W178</f>
        <v>26200</v>
      </c>
      <c r="Y178" s="3">
        <f>V178*10</f>
        <v>2620</v>
      </c>
      <c r="Z178" s="6">
        <f t="shared" si="769"/>
        <v>23580</v>
      </c>
      <c r="AA178" s="82"/>
      <c r="AB178" s="7">
        <v>240</v>
      </c>
      <c r="AC178" s="3">
        <v>50</v>
      </c>
      <c r="AD178" s="3">
        <f t="shared" si="770"/>
        <v>12000</v>
      </c>
      <c r="AE178" s="7">
        <v>2</v>
      </c>
      <c r="AF178" s="3">
        <v>50</v>
      </c>
      <c r="AG178" s="3">
        <f t="shared" si="771"/>
        <v>100</v>
      </c>
      <c r="AH178" s="3">
        <f t="shared" si="772"/>
        <v>238</v>
      </c>
      <c r="AI178" s="3">
        <v>50</v>
      </c>
      <c r="AJ178" s="7">
        <f t="shared" si="773"/>
        <v>11900</v>
      </c>
      <c r="AK178" s="3">
        <f>AH178*5</f>
        <v>1190</v>
      </c>
      <c r="AL178" s="6">
        <f t="shared" si="774"/>
        <v>10710</v>
      </c>
      <c r="AM178" s="6">
        <f t="shared" si="775"/>
        <v>51420</v>
      </c>
      <c r="AN178" s="6">
        <f t="shared" si="776"/>
        <v>4920</v>
      </c>
      <c r="AO178" s="6">
        <f t="shared" si="777"/>
        <v>46500</v>
      </c>
      <c r="AP178" s="3" t="s">
        <v>482</v>
      </c>
      <c r="AQ178" s="3">
        <f t="shared" si="778"/>
        <v>46500</v>
      </c>
      <c r="AR178" s="3">
        <f t="shared" si="781"/>
        <v>46500</v>
      </c>
      <c r="AS178" s="3">
        <f>AQ178-AR178</f>
        <v>0</v>
      </c>
      <c r="AT178" s="3"/>
    </row>
    <row r="179" spans="1:46" x14ac:dyDescent="0.35">
      <c r="A179" s="3"/>
      <c r="B179" s="172" t="s">
        <v>326</v>
      </c>
      <c r="C179" s="3" t="s">
        <v>33</v>
      </c>
      <c r="D179" s="7">
        <v>30</v>
      </c>
      <c r="E179" s="3">
        <v>60</v>
      </c>
      <c r="F179" s="1">
        <f t="shared" si="760"/>
        <v>1800</v>
      </c>
      <c r="G179" s="7">
        <v>2</v>
      </c>
      <c r="H179" s="3">
        <v>60</v>
      </c>
      <c r="I179" s="27">
        <f t="shared" si="761"/>
        <v>120</v>
      </c>
      <c r="J179" s="3">
        <f t="shared" si="762"/>
        <v>28</v>
      </c>
      <c r="K179" s="7">
        <v>60</v>
      </c>
      <c r="L179" s="7">
        <f t="shared" si="763"/>
        <v>1680</v>
      </c>
      <c r="M179" s="3">
        <v>0</v>
      </c>
      <c r="N179" s="6">
        <f t="shared" si="764"/>
        <v>1680</v>
      </c>
      <c r="O179" s="34"/>
      <c r="P179" s="7">
        <v>60</v>
      </c>
      <c r="Q179" s="3">
        <v>100</v>
      </c>
      <c r="R179" s="3">
        <f t="shared" si="765"/>
        <v>6000</v>
      </c>
      <c r="S179" s="7">
        <v>0</v>
      </c>
      <c r="T179" s="3">
        <v>100</v>
      </c>
      <c r="U179" s="3">
        <f t="shared" si="766"/>
        <v>0</v>
      </c>
      <c r="V179" s="3">
        <f t="shared" si="767"/>
        <v>60</v>
      </c>
      <c r="W179" s="7">
        <v>100</v>
      </c>
      <c r="X179" s="7">
        <f t="shared" si="782"/>
        <v>6000</v>
      </c>
      <c r="Y179" s="3">
        <v>0</v>
      </c>
      <c r="Z179" s="6">
        <f t="shared" si="769"/>
        <v>6000</v>
      </c>
      <c r="AA179" s="82"/>
      <c r="AB179" s="7">
        <v>60</v>
      </c>
      <c r="AC179" s="3">
        <v>50</v>
      </c>
      <c r="AD179" s="3">
        <f t="shared" si="770"/>
        <v>3000</v>
      </c>
      <c r="AE179" s="7">
        <v>0</v>
      </c>
      <c r="AF179" s="3">
        <v>50</v>
      </c>
      <c r="AG179" s="3">
        <f t="shared" si="771"/>
        <v>0</v>
      </c>
      <c r="AH179" s="3">
        <f t="shared" si="772"/>
        <v>60</v>
      </c>
      <c r="AI179" s="3">
        <v>50</v>
      </c>
      <c r="AJ179" s="7">
        <f t="shared" si="773"/>
        <v>3000</v>
      </c>
      <c r="AK179" s="3">
        <v>0</v>
      </c>
      <c r="AL179" s="6">
        <f t="shared" si="774"/>
        <v>3000</v>
      </c>
      <c r="AM179" s="6">
        <f t="shared" si="775"/>
        <v>10680</v>
      </c>
      <c r="AN179" s="6">
        <f t="shared" si="776"/>
        <v>0</v>
      </c>
      <c r="AO179" s="6">
        <f t="shared" si="777"/>
        <v>10680</v>
      </c>
      <c r="AP179" s="3" t="s">
        <v>482</v>
      </c>
      <c r="AQ179" s="3">
        <f t="shared" si="778"/>
        <v>10680</v>
      </c>
      <c r="AR179" s="3">
        <f t="shared" si="781"/>
        <v>10680</v>
      </c>
      <c r="AS179" s="3">
        <f t="shared" ref="AS179" si="783">AQ179-AR179</f>
        <v>0</v>
      </c>
      <c r="AT179" s="3"/>
    </row>
    <row r="180" spans="1:46" x14ac:dyDescent="0.35">
      <c r="A180" s="3"/>
      <c r="B180" s="172" t="s">
        <v>283</v>
      </c>
      <c r="C180" s="3" t="s">
        <v>33</v>
      </c>
      <c r="D180" s="7">
        <v>30</v>
      </c>
      <c r="E180" s="3">
        <v>60</v>
      </c>
      <c r="F180" s="1">
        <f>D180*E180</f>
        <v>1800</v>
      </c>
      <c r="G180" s="7">
        <v>10</v>
      </c>
      <c r="H180" s="3">
        <v>60</v>
      </c>
      <c r="I180" s="27">
        <f>G180*H180</f>
        <v>600</v>
      </c>
      <c r="J180" s="3">
        <f>D180-G180</f>
        <v>20</v>
      </c>
      <c r="K180" s="7">
        <v>60</v>
      </c>
      <c r="L180" s="7">
        <f>J180*K180</f>
        <v>1200</v>
      </c>
      <c r="M180" s="3">
        <v>0</v>
      </c>
      <c r="N180" s="6">
        <f>L180-M180</f>
        <v>1200</v>
      </c>
      <c r="O180" s="34"/>
      <c r="P180" s="7">
        <f>60+12+14+103</f>
        <v>189</v>
      </c>
      <c r="Q180" s="3">
        <v>100</v>
      </c>
      <c r="R180" s="3">
        <f>P180*Q180</f>
        <v>18900</v>
      </c>
      <c r="S180" s="7">
        <v>14</v>
      </c>
      <c r="T180" s="3">
        <v>100</v>
      </c>
      <c r="U180" s="3">
        <f>S180*T180</f>
        <v>1400</v>
      </c>
      <c r="V180" s="3">
        <f>P180-S180</f>
        <v>175</v>
      </c>
      <c r="W180" s="7">
        <v>100</v>
      </c>
      <c r="X180" s="7">
        <f>V180*W180</f>
        <v>17500</v>
      </c>
      <c r="Y180" s="3">
        <v>0</v>
      </c>
      <c r="Z180" s="6">
        <f>X180-Y180</f>
        <v>17500</v>
      </c>
      <c r="AA180" s="82"/>
      <c r="AB180" s="7">
        <v>36</v>
      </c>
      <c r="AC180" s="3">
        <v>50</v>
      </c>
      <c r="AD180" s="3">
        <f>AB180*AC180</f>
        <v>1800</v>
      </c>
      <c r="AE180" s="7">
        <v>1</v>
      </c>
      <c r="AF180" s="3">
        <v>50</v>
      </c>
      <c r="AG180" s="3">
        <f>AE180*AF180</f>
        <v>50</v>
      </c>
      <c r="AH180" s="3">
        <f>AB180-AE180</f>
        <v>35</v>
      </c>
      <c r="AI180" s="3">
        <v>50</v>
      </c>
      <c r="AJ180" s="7">
        <f>AH180*AI180</f>
        <v>1750</v>
      </c>
      <c r="AK180" s="3">
        <v>0</v>
      </c>
      <c r="AL180" s="6">
        <f>AJ180-AK180</f>
        <v>1750</v>
      </c>
      <c r="AM180" s="6">
        <f>L180+X180+AJ180</f>
        <v>20450</v>
      </c>
      <c r="AN180" s="6">
        <f>M180+Y180+AK180</f>
        <v>0</v>
      </c>
      <c r="AO180" s="6">
        <f>AM180-AN180</f>
        <v>20450</v>
      </c>
      <c r="AP180" s="3" t="s">
        <v>482</v>
      </c>
      <c r="AQ180" s="3">
        <f>AO180</f>
        <v>20450</v>
      </c>
      <c r="AR180" s="3">
        <f t="shared" si="781"/>
        <v>20450</v>
      </c>
      <c r="AS180" s="3">
        <f>AQ180-AR180</f>
        <v>0</v>
      </c>
      <c r="AT180" s="3"/>
    </row>
    <row r="181" spans="1:46" x14ac:dyDescent="0.35">
      <c r="A181" s="3"/>
      <c r="B181" s="172" t="s">
        <v>283</v>
      </c>
      <c r="C181" s="3" t="s">
        <v>329</v>
      </c>
      <c r="D181" s="7">
        <v>1</v>
      </c>
      <c r="E181" s="3">
        <v>50</v>
      </c>
      <c r="F181" s="1">
        <f t="shared" ref="F181:F182" si="784">D181*E181</f>
        <v>50</v>
      </c>
      <c r="G181" s="7">
        <v>0</v>
      </c>
      <c r="H181" s="3">
        <v>50</v>
      </c>
      <c r="I181" s="27">
        <f t="shared" ref="I181:I183" si="785">G181*H181</f>
        <v>0</v>
      </c>
      <c r="J181" s="3">
        <f t="shared" ref="J181:J182" si="786">D181-G181</f>
        <v>1</v>
      </c>
      <c r="K181" s="7">
        <v>50</v>
      </c>
      <c r="L181" s="7">
        <f t="shared" ref="L181:L183" si="787">J181*K181</f>
        <v>50</v>
      </c>
      <c r="M181" s="3">
        <v>0</v>
      </c>
      <c r="N181" s="6">
        <f t="shared" ref="N181:N183" si="788">L181-M181</f>
        <v>50</v>
      </c>
      <c r="O181" s="34"/>
      <c r="P181" s="7">
        <v>120</v>
      </c>
      <c r="Q181" s="3">
        <v>90</v>
      </c>
      <c r="R181" s="3">
        <f t="shared" ref="R181:R182" si="789">P181*Q181</f>
        <v>10800</v>
      </c>
      <c r="S181" s="7">
        <v>0</v>
      </c>
      <c r="T181" s="3">
        <v>90</v>
      </c>
      <c r="U181" s="3">
        <f t="shared" ref="U181:U183" si="790">S181*T181</f>
        <v>0</v>
      </c>
      <c r="V181" s="3">
        <f t="shared" ref="V181:V182" si="791">P181-S181</f>
        <v>120</v>
      </c>
      <c r="W181" s="7">
        <v>90</v>
      </c>
      <c r="X181" s="7">
        <f t="shared" ref="X181:X183" si="792">V181*W181</f>
        <v>10800</v>
      </c>
      <c r="Y181" s="3">
        <v>0</v>
      </c>
      <c r="Z181" s="6">
        <f t="shared" ref="Z181:Z183" si="793">X181-Y181</f>
        <v>10800</v>
      </c>
      <c r="AA181" s="82"/>
      <c r="AB181" s="7">
        <v>96</v>
      </c>
      <c r="AC181" s="3">
        <v>45</v>
      </c>
      <c r="AD181" s="3">
        <f t="shared" ref="AD181:AD182" si="794">AB181*AC181</f>
        <v>4320</v>
      </c>
      <c r="AE181" s="7">
        <v>0</v>
      </c>
      <c r="AF181" s="3">
        <v>45</v>
      </c>
      <c r="AG181" s="3">
        <f t="shared" ref="AG181:AG183" si="795">AE181*AF181</f>
        <v>0</v>
      </c>
      <c r="AH181" s="3">
        <f t="shared" ref="AH181:AH182" si="796">AB181-AE181</f>
        <v>96</v>
      </c>
      <c r="AI181" s="3">
        <v>45</v>
      </c>
      <c r="AJ181" s="7">
        <f t="shared" ref="AJ181:AJ183" si="797">AH181*AI181</f>
        <v>4320</v>
      </c>
      <c r="AK181" s="3">
        <v>0</v>
      </c>
      <c r="AL181" s="6">
        <f t="shared" ref="AL181:AL183" si="798">AJ181-AK181</f>
        <v>4320</v>
      </c>
      <c r="AM181" s="6">
        <f t="shared" ref="AM181:AM183" si="799">L181+X181+AJ181</f>
        <v>15170</v>
      </c>
      <c r="AN181" s="6">
        <f t="shared" ref="AN181:AN183" si="800">M181+Y181+AK181</f>
        <v>0</v>
      </c>
      <c r="AO181" s="6">
        <f t="shared" ref="AO181:AO183" si="801">AM181-AN181</f>
        <v>15170</v>
      </c>
      <c r="AP181" s="3" t="s">
        <v>482</v>
      </c>
      <c r="AQ181" s="3">
        <f t="shared" ref="AQ181:AQ183" si="802">AO181</f>
        <v>15170</v>
      </c>
      <c r="AR181" s="3">
        <f>AQ181</f>
        <v>15170</v>
      </c>
      <c r="AS181" s="3">
        <f t="shared" ref="AS181:AS183" si="803">AQ181-AR181</f>
        <v>0</v>
      </c>
      <c r="AT181" s="3"/>
    </row>
    <row r="182" spans="1:46" x14ac:dyDescent="0.35">
      <c r="A182" s="3"/>
      <c r="B182" s="172" t="s">
        <v>308</v>
      </c>
      <c r="C182" s="3" t="s">
        <v>488</v>
      </c>
      <c r="D182" s="7">
        <v>165</v>
      </c>
      <c r="E182" s="3">
        <v>60</v>
      </c>
      <c r="F182" s="1">
        <f t="shared" si="784"/>
        <v>9900</v>
      </c>
      <c r="G182" s="3">
        <v>13</v>
      </c>
      <c r="H182" s="3">
        <v>60</v>
      </c>
      <c r="I182" s="27">
        <f t="shared" si="785"/>
        <v>780</v>
      </c>
      <c r="J182" s="3">
        <f t="shared" si="786"/>
        <v>152</v>
      </c>
      <c r="K182" s="7">
        <v>60</v>
      </c>
      <c r="L182" s="7">
        <f t="shared" si="787"/>
        <v>9120</v>
      </c>
      <c r="M182" s="3">
        <f>J182*5</f>
        <v>760</v>
      </c>
      <c r="N182" s="6">
        <f t="shared" si="788"/>
        <v>8360</v>
      </c>
      <c r="O182" s="34"/>
      <c r="P182" s="3">
        <v>124</v>
      </c>
      <c r="Q182" s="3">
        <v>100</v>
      </c>
      <c r="R182" s="3">
        <f t="shared" si="789"/>
        <v>12400</v>
      </c>
      <c r="S182" s="3">
        <v>28</v>
      </c>
      <c r="T182" s="3">
        <v>100</v>
      </c>
      <c r="U182" s="3">
        <f t="shared" si="790"/>
        <v>2800</v>
      </c>
      <c r="V182" s="3">
        <f t="shared" si="791"/>
        <v>96</v>
      </c>
      <c r="W182" s="7">
        <v>100</v>
      </c>
      <c r="X182" s="7">
        <f t="shared" si="792"/>
        <v>9600</v>
      </c>
      <c r="Y182" s="3">
        <f>V182*10</f>
        <v>960</v>
      </c>
      <c r="Z182" s="6">
        <f t="shared" si="793"/>
        <v>8640</v>
      </c>
      <c r="AA182" s="82">
        <v>195</v>
      </c>
      <c r="AB182" s="3">
        <v>144</v>
      </c>
      <c r="AC182" s="3">
        <v>50</v>
      </c>
      <c r="AD182" s="3">
        <f t="shared" si="794"/>
        <v>7200</v>
      </c>
      <c r="AE182" s="3">
        <v>5</v>
      </c>
      <c r="AF182" s="3">
        <v>50</v>
      </c>
      <c r="AG182" s="3">
        <f t="shared" si="795"/>
        <v>250</v>
      </c>
      <c r="AH182" s="3">
        <f t="shared" si="796"/>
        <v>139</v>
      </c>
      <c r="AI182" s="3">
        <v>50</v>
      </c>
      <c r="AJ182" s="7">
        <f t="shared" si="797"/>
        <v>6950</v>
      </c>
      <c r="AK182" s="3">
        <f>AH182*5</f>
        <v>695</v>
      </c>
      <c r="AL182" s="6">
        <f t="shared" si="798"/>
        <v>6255</v>
      </c>
      <c r="AM182" s="6">
        <f t="shared" si="799"/>
        <v>25670</v>
      </c>
      <c r="AN182" s="6">
        <f t="shared" si="800"/>
        <v>2415</v>
      </c>
      <c r="AO182" s="6">
        <f t="shared" si="801"/>
        <v>23255</v>
      </c>
      <c r="AP182" s="3" t="s">
        <v>482</v>
      </c>
      <c r="AQ182" s="3">
        <f t="shared" si="802"/>
        <v>23255</v>
      </c>
      <c r="AR182" s="3">
        <f t="shared" ref="AR182:AR183" si="804">AQ182</f>
        <v>23255</v>
      </c>
      <c r="AS182" s="3">
        <f t="shared" si="803"/>
        <v>0</v>
      </c>
      <c r="AT182" s="3"/>
    </row>
    <row r="183" spans="1:46" x14ac:dyDescent="0.35">
      <c r="A183" s="3"/>
      <c r="B183" s="172" t="s">
        <v>308</v>
      </c>
      <c r="C183" s="3" t="s">
        <v>489</v>
      </c>
      <c r="D183" s="7">
        <v>163</v>
      </c>
      <c r="E183" s="3">
        <v>60</v>
      </c>
      <c r="F183" s="1">
        <v>0</v>
      </c>
      <c r="G183" s="7">
        <v>0</v>
      </c>
      <c r="H183" s="3">
        <v>60</v>
      </c>
      <c r="I183" s="27">
        <f t="shared" si="785"/>
        <v>0</v>
      </c>
      <c r="J183" s="3">
        <v>0</v>
      </c>
      <c r="K183" s="7">
        <v>60</v>
      </c>
      <c r="L183" s="7">
        <f t="shared" si="787"/>
        <v>0</v>
      </c>
      <c r="M183" s="3">
        <v>0</v>
      </c>
      <c r="N183" s="6">
        <f t="shared" si="788"/>
        <v>0</v>
      </c>
      <c r="O183" s="34"/>
      <c r="P183" s="7">
        <v>148</v>
      </c>
      <c r="Q183" s="3">
        <v>100</v>
      </c>
      <c r="R183" s="3">
        <v>0</v>
      </c>
      <c r="S183" s="7">
        <v>0</v>
      </c>
      <c r="T183" s="3">
        <v>100</v>
      </c>
      <c r="U183" s="3">
        <f t="shared" si="790"/>
        <v>0</v>
      </c>
      <c r="V183" s="3">
        <v>0</v>
      </c>
      <c r="W183" s="7">
        <v>100</v>
      </c>
      <c r="X183" s="7">
        <f t="shared" si="792"/>
        <v>0</v>
      </c>
      <c r="Y183" s="3">
        <v>0</v>
      </c>
      <c r="Z183" s="6">
        <f t="shared" si="793"/>
        <v>0</v>
      </c>
      <c r="AA183" s="82"/>
      <c r="AB183" s="7">
        <v>185</v>
      </c>
      <c r="AC183" s="3">
        <v>50</v>
      </c>
      <c r="AD183" s="3">
        <v>0</v>
      </c>
      <c r="AE183" s="7">
        <v>0</v>
      </c>
      <c r="AF183" s="3">
        <v>50</v>
      </c>
      <c r="AG183" s="3">
        <f t="shared" si="795"/>
        <v>0</v>
      </c>
      <c r="AH183" s="3">
        <v>0</v>
      </c>
      <c r="AI183" s="3">
        <v>50</v>
      </c>
      <c r="AJ183" s="7">
        <f t="shared" si="797"/>
        <v>0</v>
      </c>
      <c r="AK183" s="3">
        <v>0</v>
      </c>
      <c r="AL183" s="6">
        <f t="shared" si="798"/>
        <v>0</v>
      </c>
      <c r="AM183" s="6">
        <f t="shared" si="799"/>
        <v>0</v>
      </c>
      <c r="AN183" s="6">
        <f t="shared" si="800"/>
        <v>0</v>
      </c>
      <c r="AO183" s="6">
        <f t="shared" si="801"/>
        <v>0</v>
      </c>
      <c r="AP183" s="3" t="s">
        <v>482</v>
      </c>
      <c r="AQ183" s="3">
        <f t="shared" si="802"/>
        <v>0</v>
      </c>
      <c r="AR183" s="3">
        <f t="shared" si="804"/>
        <v>0</v>
      </c>
      <c r="AS183" s="3">
        <f t="shared" si="803"/>
        <v>0</v>
      </c>
      <c r="AT183" s="3"/>
    </row>
    <row r="184" spans="1:46" x14ac:dyDescent="0.35">
      <c r="A184" s="3"/>
      <c r="B184" s="3" t="s">
        <v>287</v>
      </c>
      <c r="C184" s="3" t="s">
        <v>331</v>
      </c>
      <c r="D184" s="7">
        <v>0</v>
      </c>
      <c r="E184" s="3">
        <v>60</v>
      </c>
      <c r="F184" s="1">
        <f t="shared" ref="F184" si="805">D184*E184</f>
        <v>0</v>
      </c>
      <c r="G184" s="7">
        <v>0</v>
      </c>
      <c r="H184" s="3">
        <v>60</v>
      </c>
      <c r="I184" s="27">
        <f t="shared" ref="I184:I185" si="806">G184*H184</f>
        <v>0</v>
      </c>
      <c r="J184" s="3">
        <f t="shared" ref="J184" si="807">D184-G184</f>
        <v>0</v>
      </c>
      <c r="K184" s="7">
        <v>60</v>
      </c>
      <c r="L184" s="7">
        <f t="shared" ref="L184:L185" si="808">J184*K184</f>
        <v>0</v>
      </c>
      <c r="M184" s="3">
        <f>J184*5</f>
        <v>0</v>
      </c>
      <c r="N184" s="6">
        <f t="shared" ref="N184:N185" si="809">L184-M184</f>
        <v>0</v>
      </c>
      <c r="O184" s="34"/>
      <c r="P184" s="7">
        <v>0</v>
      </c>
      <c r="Q184" s="3">
        <v>100</v>
      </c>
      <c r="R184" s="3">
        <f t="shared" ref="R184" si="810">P184*Q184</f>
        <v>0</v>
      </c>
      <c r="S184" s="7">
        <v>0</v>
      </c>
      <c r="T184" s="3">
        <v>100</v>
      </c>
      <c r="U184" s="3">
        <f t="shared" ref="U184:U185" si="811">S184*T184</f>
        <v>0</v>
      </c>
      <c r="V184" s="3">
        <f t="shared" ref="V184" si="812">P184-S184</f>
        <v>0</v>
      </c>
      <c r="W184" s="7">
        <v>100</v>
      </c>
      <c r="X184" s="7">
        <f t="shared" ref="X184:X185" si="813">V184*W184</f>
        <v>0</v>
      </c>
      <c r="Y184" s="3">
        <f>V184*10</f>
        <v>0</v>
      </c>
      <c r="Z184" s="6">
        <f t="shared" ref="Z184:Z185" si="814">X184-Y184</f>
        <v>0</v>
      </c>
      <c r="AA184" s="82"/>
      <c r="AB184" s="7">
        <v>0</v>
      </c>
      <c r="AC184" s="3">
        <v>50</v>
      </c>
      <c r="AD184" s="3">
        <f t="shared" ref="AD184" si="815">AB184*AC184</f>
        <v>0</v>
      </c>
      <c r="AE184" s="7">
        <v>0</v>
      </c>
      <c r="AF184" s="3">
        <v>50</v>
      </c>
      <c r="AG184" s="3">
        <f t="shared" ref="AG184:AG185" si="816">AE184*AF184</f>
        <v>0</v>
      </c>
      <c r="AH184" s="3">
        <f t="shared" ref="AH184" si="817">AB184-AE184</f>
        <v>0</v>
      </c>
      <c r="AI184" s="3">
        <v>50</v>
      </c>
      <c r="AJ184" s="7">
        <f t="shared" ref="AJ184:AJ185" si="818">AH184*AI184</f>
        <v>0</v>
      </c>
      <c r="AK184" s="3">
        <f>AH184*5</f>
        <v>0</v>
      </c>
      <c r="AL184" s="6">
        <f t="shared" ref="AL184:AL185" si="819">AJ184-AK184</f>
        <v>0</v>
      </c>
      <c r="AM184" s="6">
        <f t="shared" ref="AM184:AM185" si="820">L184+X184+AJ184</f>
        <v>0</v>
      </c>
      <c r="AN184" s="6">
        <f t="shared" ref="AN184:AN185" si="821">M184+Y184+AK184</f>
        <v>0</v>
      </c>
      <c r="AO184" s="6">
        <f t="shared" ref="AO184:AO185" si="822">AM184-AN184</f>
        <v>0</v>
      </c>
      <c r="AP184" s="3" t="s">
        <v>482</v>
      </c>
      <c r="AQ184" s="3">
        <f t="shared" ref="AQ184:AQ185" si="823">AO184</f>
        <v>0</v>
      </c>
      <c r="AR184" s="3">
        <f>AQ184</f>
        <v>0</v>
      </c>
      <c r="AS184" s="3">
        <f t="shared" ref="AS184:AS185" si="824">AQ184-AR184</f>
        <v>0</v>
      </c>
      <c r="AT184" s="3"/>
    </row>
    <row r="185" spans="1:46" x14ac:dyDescent="0.35">
      <c r="A185" s="3"/>
      <c r="B185" s="3" t="s">
        <v>287</v>
      </c>
      <c r="C185" s="3" t="s">
        <v>332</v>
      </c>
      <c r="D185" s="7">
        <v>0</v>
      </c>
      <c r="E185" s="3">
        <v>60</v>
      </c>
      <c r="F185" s="1">
        <v>0</v>
      </c>
      <c r="G185" s="7">
        <v>0</v>
      </c>
      <c r="H185" s="3">
        <v>60</v>
      </c>
      <c r="I185" s="27">
        <f t="shared" si="806"/>
        <v>0</v>
      </c>
      <c r="J185" s="3">
        <v>0</v>
      </c>
      <c r="K185" s="7">
        <v>60</v>
      </c>
      <c r="L185" s="7">
        <f t="shared" si="808"/>
        <v>0</v>
      </c>
      <c r="M185" s="3">
        <v>0</v>
      </c>
      <c r="N185" s="6">
        <f t="shared" si="809"/>
        <v>0</v>
      </c>
      <c r="O185" s="34"/>
      <c r="P185" s="7">
        <v>0</v>
      </c>
      <c r="Q185" s="3">
        <v>100</v>
      </c>
      <c r="R185" s="3">
        <v>0</v>
      </c>
      <c r="S185" s="7">
        <v>0</v>
      </c>
      <c r="T185" s="3">
        <v>100</v>
      </c>
      <c r="U185" s="3">
        <f t="shared" si="811"/>
        <v>0</v>
      </c>
      <c r="V185" s="3">
        <v>0</v>
      </c>
      <c r="W185" s="7">
        <v>100</v>
      </c>
      <c r="X185" s="7">
        <f t="shared" si="813"/>
        <v>0</v>
      </c>
      <c r="Y185" s="3">
        <v>0</v>
      </c>
      <c r="Z185" s="6">
        <f t="shared" si="814"/>
        <v>0</v>
      </c>
      <c r="AA185" s="82"/>
      <c r="AB185" s="7">
        <v>0</v>
      </c>
      <c r="AC185" s="3">
        <v>50</v>
      </c>
      <c r="AD185" s="3">
        <v>0</v>
      </c>
      <c r="AE185" s="7">
        <v>0</v>
      </c>
      <c r="AF185" s="3">
        <v>50</v>
      </c>
      <c r="AG185" s="3">
        <f t="shared" si="816"/>
        <v>0</v>
      </c>
      <c r="AH185" s="3">
        <v>0</v>
      </c>
      <c r="AI185" s="3">
        <v>50</v>
      </c>
      <c r="AJ185" s="7">
        <f t="shared" si="818"/>
        <v>0</v>
      </c>
      <c r="AK185" s="3">
        <v>0</v>
      </c>
      <c r="AL185" s="6">
        <f t="shared" si="819"/>
        <v>0</v>
      </c>
      <c r="AM185" s="6">
        <f t="shared" si="820"/>
        <v>0</v>
      </c>
      <c r="AN185" s="6">
        <f t="shared" si="821"/>
        <v>0</v>
      </c>
      <c r="AO185" s="6">
        <f t="shared" si="822"/>
        <v>0</v>
      </c>
      <c r="AP185" s="3" t="s">
        <v>482</v>
      </c>
      <c r="AQ185" s="3">
        <f t="shared" si="823"/>
        <v>0</v>
      </c>
      <c r="AR185" s="3">
        <f t="shared" ref="AR185" si="825">AQ185</f>
        <v>0</v>
      </c>
      <c r="AS185" s="3">
        <f t="shared" si="824"/>
        <v>0</v>
      </c>
      <c r="AT185" s="3"/>
    </row>
    <row r="186" spans="1:46" x14ac:dyDescent="0.35">
      <c r="A186" s="19"/>
      <c r="B186" s="19" t="s">
        <v>36</v>
      </c>
      <c r="C186" s="19"/>
      <c r="D186" s="19">
        <f>SUM(D174:D185)</f>
        <v>1154</v>
      </c>
      <c r="E186" s="19"/>
      <c r="F186" s="19">
        <f>SUM(F174:F185)</f>
        <v>59150</v>
      </c>
      <c r="G186" s="19">
        <f>SUM(G174:G185)</f>
        <v>288</v>
      </c>
      <c r="H186" s="19"/>
      <c r="I186" s="19">
        <f>SUM(I174:I185)</f>
        <v>17280</v>
      </c>
      <c r="J186" s="19">
        <f>SUM(J174:J185)</f>
        <v>703</v>
      </c>
      <c r="K186" s="19"/>
      <c r="L186" s="19">
        <f>SUM(L174:L185)</f>
        <v>41870</v>
      </c>
      <c r="M186" s="19">
        <f>SUM(M174:M185)</f>
        <v>1870</v>
      </c>
      <c r="N186" s="19">
        <f>SUM(N174:N185)</f>
        <v>40000</v>
      </c>
      <c r="O186" s="34"/>
      <c r="P186" s="19">
        <f>SUM(P174:P185)</f>
        <v>1373</v>
      </c>
      <c r="Q186" s="19"/>
      <c r="R186" s="19">
        <f>SUM(R174:R185)</f>
        <v>121300</v>
      </c>
      <c r="S186" s="19">
        <f>SUM(S174:S185)</f>
        <v>90</v>
      </c>
      <c r="T186" s="19"/>
      <c r="U186" s="19">
        <f>SUM(U174:U185)</f>
        <v>9000</v>
      </c>
      <c r="V186" s="19">
        <f>SUM(V174:V185)</f>
        <v>1135</v>
      </c>
      <c r="W186" s="19"/>
      <c r="X186" s="19">
        <f>SUM(X174:X185)</f>
        <v>112300</v>
      </c>
      <c r="Y186" s="19">
        <f>SUM(Y174:Y185)</f>
        <v>3580</v>
      </c>
      <c r="Z186" s="19">
        <f>SUM(Z174:Z185)</f>
        <v>108720</v>
      </c>
      <c r="AA186" s="34"/>
      <c r="AB186" s="19">
        <f>SUM(AB174:AB185)</f>
        <v>1181</v>
      </c>
      <c r="AC186" s="19"/>
      <c r="AD186" s="19">
        <f>SUM(AD174:AD185)</f>
        <v>49320</v>
      </c>
      <c r="AE186" s="19">
        <f>SUM(AE174:AE185)</f>
        <v>129</v>
      </c>
      <c r="AF186" s="19"/>
      <c r="AG186" s="19">
        <f>SUM(AG174:AG185)</f>
        <v>6450</v>
      </c>
      <c r="AH186" s="19">
        <f>SUM(AH174:AH185)</f>
        <v>867</v>
      </c>
      <c r="AI186" s="19"/>
      <c r="AJ186" s="19">
        <f t="shared" ref="AJ186:AO186" si="826">SUM(AJ174:AJ185)</f>
        <v>42870</v>
      </c>
      <c r="AK186" s="19">
        <f t="shared" si="826"/>
        <v>1885</v>
      </c>
      <c r="AL186" s="19">
        <f t="shared" si="826"/>
        <v>40985</v>
      </c>
      <c r="AM186" s="19">
        <f t="shared" si="826"/>
        <v>197040</v>
      </c>
      <c r="AN186" s="19">
        <f t="shared" si="826"/>
        <v>7335</v>
      </c>
      <c r="AO186" s="19">
        <f t="shared" si="826"/>
        <v>189705</v>
      </c>
      <c r="AP186" s="19"/>
      <c r="AQ186" s="19">
        <f>SUM(AQ174:AQ185)</f>
        <v>189705</v>
      </c>
      <c r="AR186" s="19">
        <f>SUM(AR174:AR185)</f>
        <v>189705</v>
      </c>
      <c r="AS186" s="19">
        <f>SUM(AS174:AS185)</f>
        <v>0</v>
      </c>
      <c r="AT186" s="74"/>
    </row>
    <row r="187" spans="1:46" x14ac:dyDescent="0.35">
      <c r="A187" s="3" t="s">
        <v>484</v>
      </c>
      <c r="B187" s="172" t="s">
        <v>276</v>
      </c>
      <c r="C187" s="3" t="s">
        <v>33</v>
      </c>
      <c r="D187" s="7">
        <v>150</v>
      </c>
      <c r="E187" s="3">
        <v>60</v>
      </c>
      <c r="F187" s="1">
        <f t="shared" ref="F187:F195" si="827">D187*E187</f>
        <v>9000</v>
      </c>
      <c r="G187" s="7">
        <v>60</v>
      </c>
      <c r="H187" s="3">
        <v>60</v>
      </c>
      <c r="I187" s="27">
        <f t="shared" ref="I187:I198" si="828">G187*H187</f>
        <v>3600</v>
      </c>
      <c r="J187" s="3">
        <f t="shared" ref="J187:J195" si="829">D187-G187</f>
        <v>90</v>
      </c>
      <c r="K187" s="7">
        <v>60</v>
      </c>
      <c r="L187" s="7">
        <f t="shared" ref="L187:L198" si="830">J187*K187</f>
        <v>5400</v>
      </c>
      <c r="M187" s="3">
        <v>0</v>
      </c>
      <c r="N187" s="6">
        <f t="shared" ref="N187:N198" si="831">L187-M187</f>
        <v>5400</v>
      </c>
      <c r="O187" s="34"/>
      <c r="P187" s="7">
        <v>113</v>
      </c>
      <c r="Q187" s="3">
        <v>100</v>
      </c>
      <c r="R187" s="3">
        <f t="shared" ref="R187:R195" si="832">P187*Q187</f>
        <v>11300</v>
      </c>
      <c r="S187" s="7">
        <v>9</v>
      </c>
      <c r="T187" s="3">
        <v>100</v>
      </c>
      <c r="U187" s="3">
        <f t="shared" ref="U187:U198" si="833">S187*T187</f>
        <v>900</v>
      </c>
      <c r="V187" s="3">
        <f t="shared" ref="V187:V195" si="834">P187-S187</f>
        <v>104</v>
      </c>
      <c r="W187" s="7">
        <v>100</v>
      </c>
      <c r="X187" s="7">
        <f t="shared" ref="X187" si="835">V187*W187</f>
        <v>10400</v>
      </c>
      <c r="Y187" s="3">
        <v>0</v>
      </c>
      <c r="Z187" s="6">
        <f t="shared" ref="Z187:Z198" si="836">X187-Y187</f>
        <v>10400</v>
      </c>
      <c r="AA187" s="82"/>
      <c r="AB187" s="7">
        <v>120</v>
      </c>
      <c r="AC187" s="3">
        <v>50</v>
      </c>
      <c r="AD187" s="3">
        <f t="shared" ref="AD187:AD195" si="837">AB187*AC187</f>
        <v>6000</v>
      </c>
      <c r="AE187" s="7">
        <v>0</v>
      </c>
      <c r="AF187" s="3">
        <v>50</v>
      </c>
      <c r="AG187" s="3">
        <f t="shared" ref="AG187:AG198" si="838">AE187*AF187</f>
        <v>0</v>
      </c>
      <c r="AH187" s="3">
        <f t="shared" ref="AH187:AH195" si="839">AB187-AE187</f>
        <v>120</v>
      </c>
      <c r="AI187" s="3">
        <v>50</v>
      </c>
      <c r="AJ187" s="7">
        <f t="shared" ref="AJ187:AJ198" si="840">AH187*AI187</f>
        <v>6000</v>
      </c>
      <c r="AK187" s="3">
        <v>0</v>
      </c>
      <c r="AL187" s="6">
        <f t="shared" ref="AL187:AL198" si="841">AJ187-AK187</f>
        <v>6000</v>
      </c>
      <c r="AM187" s="6">
        <f t="shared" ref="AM187:AM198" si="842">L187+X187+AJ187</f>
        <v>21800</v>
      </c>
      <c r="AN187" s="6">
        <f t="shared" ref="AN187:AN198" si="843">M187+Y187+AK187</f>
        <v>0</v>
      </c>
      <c r="AO187" s="6">
        <f t="shared" ref="AO187:AO198" si="844">AM187-AN187</f>
        <v>21800</v>
      </c>
      <c r="AP187" s="3" t="s">
        <v>484</v>
      </c>
      <c r="AQ187" s="3">
        <f t="shared" ref="AQ187:AQ198" si="845">AO187</f>
        <v>21800</v>
      </c>
      <c r="AR187" s="3">
        <f>AQ187</f>
        <v>21800</v>
      </c>
      <c r="AS187" s="3">
        <f t="shared" ref="AS187:AS191" si="846">AQ187-AR187</f>
        <v>0</v>
      </c>
      <c r="AT187" s="3"/>
    </row>
    <row r="188" spans="1:46" x14ac:dyDescent="0.35">
      <c r="A188" s="3"/>
      <c r="B188" s="172" t="s">
        <v>276</v>
      </c>
      <c r="C188" s="3" t="s">
        <v>182</v>
      </c>
      <c r="D188" s="7">
        <v>0</v>
      </c>
      <c r="E188" s="3">
        <v>55</v>
      </c>
      <c r="F188" s="1">
        <f t="shared" ref="F188" si="847">D188*E188</f>
        <v>0</v>
      </c>
      <c r="G188" s="7">
        <v>0</v>
      </c>
      <c r="H188" s="3">
        <v>55</v>
      </c>
      <c r="I188" s="27">
        <f t="shared" ref="I188" si="848">G188*H188</f>
        <v>0</v>
      </c>
      <c r="J188" s="3">
        <f t="shared" ref="J188" si="849">D188-G188</f>
        <v>0</v>
      </c>
      <c r="K188" s="7">
        <v>55</v>
      </c>
      <c r="L188" s="7">
        <f t="shared" ref="L188" si="850">J188*K188</f>
        <v>0</v>
      </c>
      <c r="M188" s="7">
        <v>0</v>
      </c>
      <c r="N188" s="6">
        <f t="shared" ref="N188" si="851">L188-M188</f>
        <v>0</v>
      </c>
      <c r="O188" s="34"/>
      <c r="P188" s="7">
        <v>0</v>
      </c>
      <c r="Q188" s="3">
        <v>100</v>
      </c>
      <c r="R188" s="3">
        <f t="shared" ref="R188" si="852">P188*Q188</f>
        <v>0</v>
      </c>
      <c r="S188" s="7">
        <v>0</v>
      </c>
      <c r="T188" s="3">
        <v>100</v>
      </c>
      <c r="U188" s="3">
        <f t="shared" ref="U188" si="853">S188*T188</f>
        <v>0</v>
      </c>
      <c r="V188" s="3">
        <f t="shared" ref="V188" si="854">P188-S188</f>
        <v>0</v>
      </c>
      <c r="W188" s="7">
        <v>100</v>
      </c>
      <c r="X188" s="7">
        <f>V188*W188</f>
        <v>0</v>
      </c>
      <c r="Y188" s="7">
        <v>0</v>
      </c>
      <c r="Z188" s="6">
        <f t="shared" ref="Z188" si="855">X188-Y188</f>
        <v>0</v>
      </c>
      <c r="AA188" s="82"/>
      <c r="AB188" s="7">
        <v>0</v>
      </c>
      <c r="AC188" s="3">
        <v>45</v>
      </c>
      <c r="AD188" s="3">
        <f t="shared" ref="AD188" si="856">AB188*AC188</f>
        <v>0</v>
      </c>
      <c r="AE188" s="7">
        <v>0</v>
      </c>
      <c r="AF188" s="3">
        <v>45</v>
      </c>
      <c r="AG188" s="3">
        <f t="shared" ref="AG188" si="857">AE188*AF188</f>
        <v>0</v>
      </c>
      <c r="AH188" s="3">
        <f t="shared" ref="AH188" si="858">AB188-AE188</f>
        <v>0</v>
      </c>
      <c r="AI188" s="3">
        <v>45</v>
      </c>
      <c r="AJ188" s="7">
        <f t="shared" ref="AJ188" si="859">AH188*AI188</f>
        <v>0</v>
      </c>
      <c r="AK188" s="7">
        <v>0</v>
      </c>
      <c r="AL188" s="6">
        <f t="shared" ref="AL188" si="860">AJ188-AK188</f>
        <v>0</v>
      </c>
      <c r="AM188" s="6">
        <f t="shared" ref="AM188" si="861">L188+X188+AJ188</f>
        <v>0</v>
      </c>
      <c r="AN188" s="6">
        <f t="shared" ref="AN188" si="862">M188+Y188+AK188</f>
        <v>0</v>
      </c>
      <c r="AO188" s="6">
        <f t="shared" ref="AO188" si="863">AM188-AN188</f>
        <v>0</v>
      </c>
      <c r="AP188" s="3" t="s">
        <v>484</v>
      </c>
      <c r="AQ188" s="3">
        <f t="shared" ref="AQ188" si="864">AO188</f>
        <v>0</v>
      </c>
      <c r="AR188" s="3">
        <f>AQ188</f>
        <v>0</v>
      </c>
      <c r="AS188" s="3">
        <f t="shared" ref="AS188" si="865">AQ188-AR188</f>
        <v>0</v>
      </c>
      <c r="AT188" s="3"/>
    </row>
    <row r="189" spans="1:46" x14ac:dyDescent="0.35">
      <c r="A189" s="3"/>
      <c r="B189" s="172" t="s">
        <v>463</v>
      </c>
      <c r="C189" s="3" t="s">
        <v>33</v>
      </c>
      <c r="D189" s="7">
        <v>300</v>
      </c>
      <c r="E189" s="3">
        <v>60</v>
      </c>
      <c r="F189" s="1">
        <f t="shared" si="827"/>
        <v>18000</v>
      </c>
      <c r="G189" s="7">
        <v>219</v>
      </c>
      <c r="H189" s="3">
        <v>60</v>
      </c>
      <c r="I189" s="27">
        <f t="shared" si="828"/>
        <v>13140</v>
      </c>
      <c r="J189" s="3">
        <f t="shared" si="829"/>
        <v>81</v>
      </c>
      <c r="K189" s="7">
        <v>60</v>
      </c>
      <c r="L189" s="7">
        <f t="shared" si="830"/>
        <v>4860</v>
      </c>
      <c r="M189" s="7">
        <v>0</v>
      </c>
      <c r="N189" s="6">
        <f t="shared" si="831"/>
        <v>4860</v>
      </c>
      <c r="O189" s="34"/>
      <c r="P189" s="7">
        <v>240</v>
      </c>
      <c r="Q189" s="3">
        <v>100</v>
      </c>
      <c r="R189" s="3">
        <f t="shared" si="832"/>
        <v>24000</v>
      </c>
      <c r="S189" s="7">
        <v>84</v>
      </c>
      <c r="T189" s="3">
        <v>100</v>
      </c>
      <c r="U189" s="3">
        <f t="shared" si="833"/>
        <v>8400</v>
      </c>
      <c r="V189" s="3">
        <f t="shared" si="834"/>
        <v>156</v>
      </c>
      <c r="W189" s="7">
        <v>100</v>
      </c>
      <c r="X189" s="7">
        <f>V189*W189</f>
        <v>15600</v>
      </c>
      <c r="Y189" s="7">
        <v>0</v>
      </c>
      <c r="Z189" s="6">
        <f t="shared" si="836"/>
        <v>15600</v>
      </c>
      <c r="AA189" s="82"/>
      <c r="AB189" s="7">
        <v>240</v>
      </c>
      <c r="AC189" s="3">
        <v>50</v>
      </c>
      <c r="AD189" s="3">
        <f t="shared" si="837"/>
        <v>12000</v>
      </c>
      <c r="AE189" s="7">
        <v>153</v>
      </c>
      <c r="AF189" s="3">
        <v>50</v>
      </c>
      <c r="AG189" s="3">
        <f t="shared" si="838"/>
        <v>7650</v>
      </c>
      <c r="AH189" s="3">
        <f t="shared" si="839"/>
        <v>87</v>
      </c>
      <c r="AI189" s="3">
        <v>50</v>
      </c>
      <c r="AJ189" s="7">
        <f t="shared" si="840"/>
        <v>4350</v>
      </c>
      <c r="AK189" s="7">
        <v>0</v>
      </c>
      <c r="AL189" s="6">
        <f t="shared" si="841"/>
        <v>4350</v>
      </c>
      <c r="AM189" s="6">
        <f t="shared" si="842"/>
        <v>24810</v>
      </c>
      <c r="AN189" s="6">
        <f t="shared" si="843"/>
        <v>0</v>
      </c>
      <c r="AO189" s="6">
        <f t="shared" si="844"/>
        <v>24810</v>
      </c>
      <c r="AP189" s="3" t="s">
        <v>484</v>
      </c>
      <c r="AQ189" s="3">
        <f t="shared" si="845"/>
        <v>24810</v>
      </c>
      <c r="AR189" s="3">
        <f>AQ189</f>
        <v>24810</v>
      </c>
      <c r="AS189" s="3">
        <f t="shared" si="846"/>
        <v>0</v>
      </c>
      <c r="AT189" s="3"/>
    </row>
    <row r="190" spans="1:46" x14ac:dyDescent="0.35">
      <c r="A190" s="3"/>
      <c r="B190" s="172" t="s">
        <v>463</v>
      </c>
      <c r="C190" s="3" t="s">
        <v>182</v>
      </c>
      <c r="D190" s="7">
        <v>0</v>
      </c>
      <c r="E190" s="3">
        <v>55</v>
      </c>
      <c r="F190" s="1">
        <f t="shared" si="827"/>
        <v>0</v>
      </c>
      <c r="G190" s="7">
        <v>0</v>
      </c>
      <c r="H190" s="3">
        <v>55</v>
      </c>
      <c r="I190" s="27">
        <f t="shared" si="828"/>
        <v>0</v>
      </c>
      <c r="J190" s="3">
        <f t="shared" si="829"/>
        <v>0</v>
      </c>
      <c r="K190" s="7">
        <v>55</v>
      </c>
      <c r="L190" s="7">
        <f t="shared" si="830"/>
        <v>0</v>
      </c>
      <c r="M190" s="7">
        <v>0</v>
      </c>
      <c r="N190" s="6">
        <f t="shared" si="831"/>
        <v>0</v>
      </c>
      <c r="O190" s="34"/>
      <c r="P190" s="7">
        <v>0</v>
      </c>
      <c r="Q190" s="3">
        <v>100</v>
      </c>
      <c r="R190" s="3">
        <f t="shared" si="832"/>
        <v>0</v>
      </c>
      <c r="S190" s="7">
        <v>0</v>
      </c>
      <c r="T190" s="3">
        <v>100</v>
      </c>
      <c r="U190" s="3">
        <f t="shared" si="833"/>
        <v>0</v>
      </c>
      <c r="V190" s="3">
        <f t="shared" si="834"/>
        <v>0</v>
      </c>
      <c r="W190" s="7">
        <v>100</v>
      </c>
      <c r="X190" s="7">
        <f>V190*W190</f>
        <v>0</v>
      </c>
      <c r="Y190" s="7">
        <v>0</v>
      </c>
      <c r="Z190" s="6">
        <f t="shared" si="836"/>
        <v>0</v>
      </c>
      <c r="AA190" s="82"/>
      <c r="AB190" s="7">
        <v>0</v>
      </c>
      <c r="AC190" s="3">
        <v>45</v>
      </c>
      <c r="AD190" s="3">
        <f t="shared" si="837"/>
        <v>0</v>
      </c>
      <c r="AE190" s="7">
        <v>0</v>
      </c>
      <c r="AF190" s="3">
        <v>45</v>
      </c>
      <c r="AG190" s="3">
        <f t="shared" si="838"/>
        <v>0</v>
      </c>
      <c r="AH190" s="3">
        <f t="shared" si="839"/>
        <v>0</v>
      </c>
      <c r="AI190" s="3">
        <v>45</v>
      </c>
      <c r="AJ190" s="7">
        <f t="shared" si="840"/>
        <v>0</v>
      </c>
      <c r="AK190" s="7">
        <v>0</v>
      </c>
      <c r="AL190" s="6">
        <f t="shared" si="841"/>
        <v>0</v>
      </c>
      <c r="AM190" s="6">
        <f t="shared" si="842"/>
        <v>0</v>
      </c>
      <c r="AN190" s="6">
        <f t="shared" si="843"/>
        <v>0</v>
      </c>
      <c r="AO190" s="6">
        <f t="shared" si="844"/>
        <v>0</v>
      </c>
      <c r="AP190" s="3" t="s">
        <v>484</v>
      </c>
      <c r="AQ190" s="3">
        <f t="shared" si="845"/>
        <v>0</v>
      </c>
      <c r="AR190" s="3">
        <f t="shared" ref="AR190" si="866">AQ190</f>
        <v>0</v>
      </c>
      <c r="AS190" s="3">
        <f t="shared" si="846"/>
        <v>0</v>
      </c>
      <c r="AT190" s="3"/>
    </row>
    <row r="191" spans="1:46" x14ac:dyDescent="0.35">
      <c r="A191" s="3"/>
      <c r="B191" s="172" t="s">
        <v>415</v>
      </c>
      <c r="C191" s="3" t="s">
        <v>33</v>
      </c>
      <c r="D191" s="7">
        <v>105</v>
      </c>
      <c r="E191" s="3">
        <v>60</v>
      </c>
      <c r="F191" s="1">
        <f t="shared" si="827"/>
        <v>6300</v>
      </c>
      <c r="G191" s="7">
        <v>0</v>
      </c>
      <c r="H191" s="3">
        <v>60</v>
      </c>
      <c r="I191" s="27">
        <f t="shared" si="828"/>
        <v>0</v>
      </c>
      <c r="J191" s="3">
        <f t="shared" si="829"/>
        <v>105</v>
      </c>
      <c r="K191" s="7">
        <v>60</v>
      </c>
      <c r="L191" s="7">
        <f t="shared" si="830"/>
        <v>6300</v>
      </c>
      <c r="M191" s="3">
        <f>J191*5</f>
        <v>525</v>
      </c>
      <c r="N191" s="6">
        <f t="shared" si="831"/>
        <v>5775</v>
      </c>
      <c r="O191" s="34"/>
      <c r="P191" s="7">
        <v>84</v>
      </c>
      <c r="Q191" s="3">
        <v>100</v>
      </c>
      <c r="R191" s="3">
        <f t="shared" si="832"/>
        <v>8400</v>
      </c>
      <c r="S191" s="7">
        <v>0</v>
      </c>
      <c r="T191" s="3">
        <v>100</v>
      </c>
      <c r="U191" s="3">
        <f t="shared" si="833"/>
        <v>0</v>
      </c>
      <c r="V191" s="3">
        <f t="shared" si="834"/>
        <v>84</v>
      </c>
      <c r="W191" s="7">
        <v>100</v>
      </c>
      <c r="X191" s="7">
        <f t="shared" ref="X191:X198" si="867">V191*W191</f>
        <v>8400</v>
      </c>
      <c r="Y191" s="3">
        <f>V191*10</f>
        <v>840</v>
      </c>
      <c r="Z191" s="6">
        <f t="shared" si="836"/>
        <v>7560</v>
      </c>
      <c r="AA191" s="82"/>
      <c r="AB191" s="7">
        <v>60</v>
      </c>
      <c r="AC191" s="3">
        <v>50</v>
      </c>
      <c r="AD191" s="3">
        <f t="shared" si="837"/>
        <v>3000</v>
      </c>
      <c r="AE191" s="7">
        <v>0</v>
      </c>
      <c r="AF191" s="3">
        <v>50</v>
      </c>
      <c r="AG191" s="3">
        <f t="shared" si="838"/>
        <v>0</v>
      </c>
      <c r="AH191" s="3">
        <f t="shared" si="839"/>
        <v>60</v>
      </c>
      <c r="AI191" s="3">
        <v>50</v>
      </c>
      <c r="AJ191" s="7">
        <f t="shared" si="840"/>
        <v>3000</v>
      </c>
      <c r="AK191" s="3">
        <f>AH191*5</f>
        <v>300</v>
      </c>
      <c r="AL191" s="6">
        <f t="shared" si="841"/>
        <v>2700</v>
      </c>
      <c r="AM191" s="6">
        <f t="shared" si="842"/>
        <v>17700</v>
      </c>
      <c r="AN191" s="6">
        <f t="shared" si="843"/>
        <v>1665</v>
      </c>
      <c r="AO191" s="6">
        <f t="shared" si="844"/>
        <v>16035</v>
      </c>
      <c r="AP191" s="3" t="s">
        <v>484</v>
      </c>
      <c r="AQ191" s="3">
        <f t="shared" si="845"/>
        <v>16035</v>
      </c>
      <c r="AR191" s="3">
        <f>AQ191</f>
        <v>16035</v>
      </c>
      <c r="AS191" s="3">
        <f t="shared" si="846"/>
        <v>0</v>
      </c>
      <c r="AT191" s="3"/>
    </row>
    <row r="192" spans="1:46" x14ac:dyDescent="0.35">
      <c r="A192" s="3"/>
      <c r="B192" s="172" t="s">
        <v>326</v>
      </c>
      <c r="C192" s="3" t="s">
        <v>33</v>
      </c>
      <c r="D192" s="7">
        <v>37</v>
      </c>
      <c r="E192" s="3">
        <v>60</v>
      </c>
      <c r="F192" s="1">
        <f t="shared" si="827"/>
        <v>2220</v>
      </c>
      <c r="G192" s="7">
        <v>22</v>
      </c>
      <c r="H192" s="3">
        <v>60</v>
      </c>
      <c r="I192" s="27">
        <f t="shared" si="828"/>
        <v>1320</v>
      </c>
      <c r="J192" s="3">
        <f t="shared" si="829"/>
        <v>15</v>
      </c>
      <c r="K192" s="7">
        <v>60</v>
      </c>
      <c r="L192" s="7">
        <f t="shared" si="830"/>
        <v>900</v>
      </c>
      <c r="M192" s="3">
        <v>0</v>
      </c>
      <c r="N192" s="6">
        <f t="shared" si="831"/>
        <v>900</v>
      </c>
      <c r="O192" s="34"/>
      <c r="P192" s="7">
        <v>60</v>
      </c>
      <c r="Q192" s="3">
        <v>100</v>
      </c>
      <c r="R192" s="3">
        <f t="shared" si="832"/>
        <v>6000</v>
      </c>
      <c r="S192" s="7">
        <v>2</v>
      </c>
      <c r="T192" s="3">
        <v>100</v>
      </c>
      <c r="U192" s="3">
        <f t="shared" si="833"/>
        <v>200</v>
      </c>
      <c r="V192" s="3">
        <f t="shared" si="834"/>
        <v>58</v>
      </c>
      <c r="W192" s="7">
        <v>100</v>
      </c>
      <c r="X192" s="7">
        <f t="shared" si="867"/>
        <v>5800</v>
      </c>
      <c r="Y192" s="3">
        <v>0</v>
      </c>
      <c r="Z192" s="6">
        <f t="shared" si="836"/>
        <v>5800</v>
      </c>
      <c r="AA192" s="82"/>
      <c r="AB192" s="7">
        <v>60</v>
      </c>
      <c r="AC192" s="3">
        <v>50</v>
      </c>
      <c r="AD192" s="3">
        <f t="shared" si="837"/>
        <v>3000</v>
      </c>
      <c r="AE192" s="7">
        <v>2</v>
      </c>
      <c r="AF192" s="3">
        <v>50</v>
      </c>
      <c r="AG192" s="3">
        <f t="shared" si="838"/>
        <v>100</v>
      </c>
      <c r="AH192" s="3">
        <f t="shared" si="839"/>
        <v>58</v>
      </c>
      <c r="AI192" s="3">
        <v>50</v>
      </c>
      <c r="AJ192" s="7">
        <f t="shared" si="840"/>
        <v>2900</v>
      </c>
      <c r="AK192" s="3">
        <v>0</v>
      </c>
      <c r="AL192" s="6">
        <f t="shared" si="841"/>
        <v>2900</v>
      </c>
      <c r="AM192" s="6">
        <f t="shared" si="842"/>
        <v>9600</v>
      </c>
      <c r="AN192" s="6">
        <f t="shared" si="843"/>
        <v>0</v>
      </c>
      <c r="AO192" s="6">
        <f t="shared" si="844"/>
        <v>9600</v>
      </c>
      <c r="AP192" s="3" t="s">
        <v>484</v>
      </c>
      <c r="AQ192" s="3">
        <f t="shared" si="845"/>
        <v>9600</v>
      </c>
      <c r="AR192" s="3">
        <f>AQ192</f>
        <v>9600</v>
      </c>
      <c r="AS192" s="3">
        <f t="shared" ref="AS192:AS198" si="868">AQ192-AR192</f>
        <v>0</v>
      </c>
      <c r="AT192" s="3"/>
    </row>
    <row r="193" spans="1:48" x14ac:dyDescent="0.35">
      <c r="A193" s="3"/>
      <c r="B193" s="172" t="s">
        <v>326</v>
      </c>
      <c r="C193" s="3" t="s">
        <v>329</v>
      </c>
      <c r="D193" s="7">
        <v>0</v>
      </c>
      <c r="E193" s="3">
        <v>50</v>
      </c>
      <c r="F193" s="1">
        <f t="shared" si="827"/>
        <v>0</v>
      </c>
      <c r="G193" s="7">
        <v>0</v>
      </c>
      <c r="H193" s="3">
        <v>50</v>
      </c>
      <c r="I193" s="27">
        <f t="shared" si="828"/>
        <v>0</v>
      </c>
      <c r="J193" s="3">
        <f t="shared" si="829"/>
        <v>0</v>
      </c>
      <c r="K193" s="7">
        <v>50</v>
      </c>
      <c r="L193" s="7">
        <f t="shared" si="830"/>
        <v>0</v>
      </c>
      <c r="M193" s="3">
        <v>0</v>
      </c>
      <c r="N193" s="6">
        <f t="shared" si="831"/>
        <v>0</v>
      </c>
      <c r="O193" s="34"/>
      <c r="P193" s="7">
        <v>0</v>
      </c>
      <c r="Q193" s="3">
        <v>100</v>
      </c>
      <c r="R193" s="3">
        <f t="shared" si="832"/>
        <v>0</v>
      </c>
      <c r="S193" s="7">
        <v>0</v>
      </c>
      <c r="T193" s="3">
        <v>100</v>
      </c>
      <c r="U193" s="3">
        <f t="shared" si="833"/>
        <v>0</v>
      </c>
      <c r="V193" s="3">
        <f t="shared" si="834"/>
        <v>0</v>
      </c>
      <c r="W193" s="7">
        <v>100</v>
      </c>
      <c r="X193" s="7">
        <f t="shared" si="867"/>
        <v>0</v>
      </c>
      <c r="Y193" s="3">
        <v>0</v>
      </c>
      <c r="Z193" s="6">
        <f t="shared" si="836"/>
        <v>0</v>
      </c>
      <c r="AA193" s="82"/>
      <c r="AB193" s="7">
        <v>0</v>
      </c>
      <c r="AC193" s="3">
        <v>50</v>
      </c>
      <c r="AD193" s="3">
        <f t="shared" si="837"/>
        <v>0</v>
      </c>
      <c r="AE193" s="7">
        <v>0</v>
      </c>
      <c r="AF193" s="3">
        <v>50</v>
      </c>
      <c r="AG193" s="3">
        <f t="shared" si="838"/>
        <v>0</v>
      </c>
      <c r="AH193" s="3">
        <f t="shared" si="839"/>
        <v>0</v>
      </c>
      <c r="AI193" s="3">
        <v>50</v>
      </c>
      <c r="AJ193" s="7">
        <f t="shared" si="840"/>
        <v>0</v>
      </c>
      <c r="AK193" s="3">
        <v>0</v>
      </c>
      <c r="AL193" s="6">
        <f t="shared" si="841"/>
        <v>0</v>
      </c>
      <c r="AM193" s="6">
        <f t="shared" si="842"/>
        <v>0</v>
      </c>
      <c r="AN193" s="6">
        <f t="shared" si="843"/>
        <v>0</v>
      </c>
      <c r="AO193" s="6">
        <f t="shared" si="844"/>
        <v>0</v>
      </c>
      <c r="AP193" s="3" t="s">
        <v>484</v>
      </c>
      <c r="AQ193" s="3">
        <f t="shared" si="845"/>
        <v>0</v>
      </c>
      <c r="AR193" s="3">
        <f>AQ193</f>
        <v>0</v>
      </c>
      <c r="AS193" s="3">
        <f t="shared" si="868"/>
        <v>0</v>
      </c>
      <c r="AT193" s="3"/>
    </row>
    <row r="194" spans="1:48" x14ac:dyDescent="0.35">
      <c r="A194" s="3"/>
      <c r="B194" s="172" t="s">
        <v>283</v>
      </c>
      <c r="C194" s="3" t="s">
        <v>33</v>
      </c>
      <c r="D194" s="7">
        <v>15</v>
      </c>
      <c r="E194" s="3">
        <v>60</v>
      </c>
      <c r="F194" s="1">
        <f t="shared" si="827"/>
        <v>900</v>
      </c>
      <c r="G194" s="7">
        <v>7</v>
      </c>
      <c r="H194" s="3">
        <v>60</v>
      </c>
      <c r="I194" s="27">
        <f t="shared" si="828"/>
        <v>420</v>
      </c>
      <c r="J194" s="3">
        <f t="shared" si="829"/>
        <v>8</v>
      </c>
      <c r="K194" s="7">
        <v>60</v>
      </c>
      <c r="L194" s="7">
        <f t="shared" si="830"/>
        <v>480</v>
      </c>
      <c r="M194" s="3">
        <v>0</v>
      </c>
      <c r="N194" s="6">
        <f t="shared" si="831"/>
        <v>480</v>
      </c>
      <c r="O194" s="34"/>
      <c r="P194" s="7">
        <f>12+12</f>
        <v>24</v>
      </c>
      <c r="Q194" s="3">
        <v>100</v>
      </c>
      <c r="R194" s="3">
        <f t="shared" si="832"/>
        <v>2400</v>
      </c>
      <c r="S194" s="7">
        <v>0</v>
      </c>
      <c r="T194" s="3">
        <v>100</v>
      </c>
      <c r="U194" s="3">
        <f t="shared" si="833"/>
        <v>0</v>
      </c>
      <c r="V194" s="3">
        <f t="shared" si="834"/>
        <v>24</v>
      </c>
      <c r="W194" s="7">
        <v>100</v>
      </c>
      <c r="X194" s="7">
        <f t="shared" si="867"/>
        <v>2400</v>
      </c>
      <c r="Y194" s="3">
        <v>0</v>
      </c>
      <c r="Z194" s="6">
        <f t="shared" si="836"/>
        <v>2400</v>
      </c>
      <c r="AA194" s="82"/>
      <c r="AB194" s="7">
        <v>24</v>
      </c>
      <c r="AC194" s="3">
        <v>50</v>
      </c>
      <c r="AD194" s="3">
        <f t="shared" si="837"/>
        <v>1200</v>
      </c>
      <c r="AE194" s="7">
        <v>3</v>
      </c>
      <c r="AF194" s="3">
        <v>50</v>
      </c>
      <c r="AG194" s="3">
        <f t="shared" si="838"/>
        <v>150</v>
      </c>
      <c r="AH194" s="3">
        <f t="shared" si="839"/>
        <v>21</v>
      </c>
      <c r="AI194" s="3">
        <v>50</v>
      </c>
      <c r="AJ194" s="7">
        <f t="shared" si="840"/>
        <v>1050</v>
      </c>
      <c r="AK194" s="3">
        <v>0</v>
      </c>
      <c r="AL194" s="6">
        <f t="shared" si="841"/>
        <v>1050</v>
      </c>
      <c r="AM194" s="6">
        <f t="shared" si="842"/>
        <v>3930</v>
      </c>
      <c r="AN194" s="6">
        <f t="shared" si="843"/>
        <v>0</v>
      </c>
      <c r="AO194" s="6">
        <f t="shared" si="844"/>
        <v>3930</v>
      </c>
      <c r="AP194" s="3" t="s">
        <v>484</v>
      </c>
      <c r="AQ194" s="3">
        <f t="shared" si="845"/>
        <v>3930</v>
      </c>
      <c r="AR194" s="3">
        <f t="shared" ref="AR194:AR196" si="869">AQ194</f>
        <v>3930</v>
      </c>
      <c r="AS194" s="3">
        <f t="shared" si="868"/>
        <v>0</v>
      </c>
      <c r="AT194" s="3"/>
    </row>
    <row r="195" spans="1:48" x14ac:dyDescent="0.35">
      <c r="A195" s="3"/>
      <c r="B195" s="3" t="s">
        <v>308</v>
      </c>
      <c r="C195" s="3" t="s">
        <v>331</v>
      </c>
      <c r="D195" s="7">
        <v>0</v>
      </c>
      <c r="E195" s="3">
        <v>60</v>
      </c>
      <c r="F195" s="1">
        <f t="shared" si="827"/>
        <v>0</v>
      </c>
      <c r="G195" s="7">
        <v>0</v>
      </c>
      <c r="H195" s="3">
        <v>60</v>
      </c>
      <c r="I195" s="27">
        <f t="shared" si="828"/>
        <v>0</v>
      </c>
      <c r="J195" s="3">
        <f t="shared" si="829"/>
        <v>0</v>
      </c>
      <c r="K195" s="7">
        <v>60</v>
      </c>
      <c r="L195" s="7">
        <f t="shared" si="830"/>
        <v>0</v>
      </c>
      <c r="M195" s="3">
        <f>J195*5</f>
        <v>0</v>
      </c>
      <c r="N195" s="6">
        <f t="shared" si="831"/>
        <v>0</v>
      </c>
      <c r="O195" s="34"/>
      <c r="P195" s="7">
        <v>0</v>
      </c>
      <c r="Q195" s="3">
        <v>100</v>
      </c>
      <c r="R195" s="3">
        <f t="shared" si="832"/>
        <v>0</v>
      </c>
      <c r="S195" s="7">
        <v>0</v>
      </c>
      <c r="T195" s="3">
        <v>100</v>
      </c>
      <c r="U195" s="3">
        <f t="shared" si="833"/>
        <v>0</v>
      </c>
      <c r="V195" s="3">
        <f t="shared" si="834"/>
        <v>0</v>
      </c>
      <c r="W195" s="7">
        <v>100</v>
      </c>
      <c r="X195" s="7">
        <f t="shared" si="867"/>
        <v>0</v>
      </c>
      <c r="Y195" s="3">
        <f>V195*5</f>
        <v>0</v>
      </c>
      <c r="Z195" s="6">
        <f t="shared" si="836"/>
        <v>0</v>
      </c>
      <c r="AA195" s="82">
        <v>195</v>
      </c>
      <c r="AB195" s="7">
        <v>0</v>
      </c>
      <c r="AC195" s="3">
        <v>50</v>
      </c>
      <c r="AD195" s="3">
        <f t="shared" si="837"/>
        <v>0</v>
      </c>
      <c r="AE195" s="7">
        <v>0</v>
      </c>
      <c r="AF195" s="3">
        <v>50</v>
      </c>
      <c r="AG195" s="3">
        <f t="shared" si="838"/>
        <v>0</v>
      </c>
      <c r="AH195" s="3">
        <f t="shared" si="839"/>
        <v>0</v>
      </c>
      <c r="AI195" s="3">
        <v>50</v>
      </c>
      <c r="AJ195" s="7">
        <f t="shared" si="840"/>
        <v>0</v>
      </c>
      <c r="AK195" s="3">
        <f>AH195*5</f>
        <v>0</v>
      </c>
      <c r="AL195" s="6">
        <f t="shared" si="841"/>
        <v>0</v>
      </c>
      <c r="AM195" s="6">
        <f t="shared" si="842"/>
        <v>0</v>
      </c>
      <c r="AN195" s="6">
        <f t="shared" si="843"/>
        <v>0</v>
      </c>
      <c r="AO195" s="6">
        <f t="shared" si="844"/>
        <v>0</v>
      </c>
      <c r="AP195" s="3" t="s">
        <v>484</v>
      </c>
      <c r="AQ195" s="3">
        <f t="shared" si="845"/>
        <v>0</v>
      </c>
      <c r="AR195" s="3">
        <f t="shared" si="869"/>
        <v>0</v>
      </c>
      <c r="AS195" s="3">
        <f t="shared" si="868"/>
        <v>0</v>
      </c>
      <c r="AT195" s="3"/>
    </row>
    <row r="196" spans="1:48" x14ac:dyDescent="0.35">
      <c r="A196" s="3"/>
      <c r="B196" s="3" t="s">
        <v>308</v>
      </c>
      <c r="C196" s="3" t="s">
        <v>332</v>
      </c>
      <c r="D196" s="7">
        <v>0</v>
      </c>
      <c r="E196" s="3">
        <v>60</v>
      </c>
      <c r="F196" s="1">
        <v>0</v>
      </c>
      <c r="G196" s="7">
        <v>0</v>
      </c>
      <c r="H196" s="3">
        <v>60</v>
      </c>
      <c r="I196" s="27">
        <f t="shared" si="828"/>
        <v>0</v>
      </c>
      <c r="J196" s="3">
        <v>0</v>
      </c>
      <c r="K196" s="7">
        <v>60</v>
      </c>
      <c r="L196" s="7">
        <f t="shared" si="830"/>
        <v>0</v>
      </c>
      <c r="M196" s="3">
        <v>0</v>
      </c>
      <c r="N196" s="6">
        <f t="shared" si="831"/>
        <v>0</v>
      </c>
      <c r="O196" s="34"/>
      <c r="P196" s="7">
        <v>0</v>
      </c>
      <c r="Q196" s="3">
        <v>100</v>
      </c>
      <c r="R196" s="3">
        <v>0</v>
      </c>
      <c r="S196" s="7">
        <v>0</v>
      </c>
      <c r="T196" s="3">
        <v>100</v>
      </c>
      <c r="U196" s="3">
        <f t="shared" si="833"/>
        <v>0</v>
      </c>
      <c r="V196" s="3">
        <v>0</v>
      </c>
      <c r="W196" s="7">
        <v>100</v>
      </c>
      <c r="X196" s="7">
        <f t="shared" si="867"/>
        <v>0</v>
      </c>
      <c r="Y196" s="3">
        <v>0</v>
      </c>
      <c r="Z196" s="6">
        <f t="shared" si="836"/>
        <v>0</v>
      </c>
      <c r="AA196" s="82"/>
      <c r="AB196" s="7">
        <v>0</v>
      </c>
      <c r="AC196" s="3">
        <v>50</v>
      </c>
      <c r="AD196" s="3">
        <v>0</v>
      </c>
      <c r="AE196" s="7">
        <v>0</v>
      </c>
      <c r="AF196" s="3">
        <v>50</v>
      </c>
      <c r="AG196" s="3">
        <f t="shared" si="838"/>
        <v>0</v>
      </c>
      <c r="AH196" s="3">
        <v>0</v>
      </c>
      <c r="AI196" s="3">
        <v>50</v>
      </c>
      <c r="AJ196" s="7">
        <f t="shared" si="840"/>
        <v>0</v>
      </c>
      <c r="AK196" s="3">
        <v>0</v>
      </c>
      <c r="AL196" s="6">
        <f t="shared" si="841"/>
        <v>0</v>
      </c>
      <c r="AM196" s="6">
        <f t="shared" si="842"/>
        <v>0</v>
      </c>
      <c r="AN196" s="6">
        <f t="shared" si="843"/>
        <v>0</v>
      </c>
      <c r="AO196" s="6">
        <f t="shared" si="844"/>
        <v>0</v>
      </c>
      <c r="AP196" s="3" t="s">
        <v>484</v>
      </c>
      <c r="AQ196" s="3">
        <f t="shared" si="845"/>
        <v>0</v>
      </c>
      <c r="AR196" s="3">
        <f t="shared" si="869"/>
        <v>0</v>
      </c>
      <c r="AS196" s="3">
        <f t="shared" si="868"/>
        <v>0</v>
      </c>
      <c r="AT196" s="3"/>
    </row>
    <row r="197" spans="1:48" x14ac:dyDescent="0.35">
      <c r="A197" s="3"/>
      <c r="B197" s="3" t="s">
        <v>287</v>
      </c>
      <c r="C197" s="3" t="s">
        <v>331</v>
      </c>
      <c r="D197" s="7">
        <v>0</v>
      </c>
      <c r="E197" s="3">
        <v>60</v>
      </c>
      <c r="F197" s="1">
        <f t="shared" ref="F197" si="870">D197*E197</f>
        <v>0</v>
      </c>
      <c r="G197" s="7">
        <v>0</v>
      </c>
      <c r="H197" s="3">
        <v>60</v>
      </c>
      <c r="I197" s="27">
        <f t="shared" si="828"/>
        <v>0</v>
      </c>
      <c r="J197" s="3">
        <f t="shared" ref="J197" si="871">D197-G197</f>
        <v>0</v>
      </c>
      <c r="K197" s="7">
        <v>60</v>
      </c>
      <c r="L197" s="7">
        <f t="shared" si="830"/>
        <v>0</v>
      </c>
      <c r="M197" s="3">
        <f>J197*5</f>
        <v>0</v>
      </c>
      <c r="N197" s="6">
        <f t="shared" si="831"/>
        <v>0</v>
      </c>
      <c r="O197" s="34"/>
      <c r="P197" s="7">
        <v>0</v>
      </c>
      <c r="Q197" s="3">
        <v>100</v>
      </c>
      <c r="R197" s="3">
        <f t="shared" ref="R197" si="872">P197*Q197</f>
        <v>0</v>
      </c>
      <c r="S197" s="7">
        <v>0</v>
      </c>
      <c r="T197" s="3">
        <v>100</v>
      </c>
      <c r="U197" s="3">
        <f t="shared" si="833"/>
        <v>0</v>
      </c>
      <c r="V197" s="3">
        <f t="shared" ref="V197" si="873">P197-S197</f>
        <v>0</v>
      </c>
      <c r="W197" s="7">
        <v>100</v>
      </c>
      <c r="X197" s="7">
        <f t="shared" si="867"/>
        <v>0</v>
      </c>
      <c r="Y197" s="3">
        <f>V197*10</f>
        <v>0</v>
      </c>
      <c r="Z197" s="6">
        <f t="shared" si="836"/>
        <v>0</v>
      </c>
      <c r="AA197" s="82"/>
      <c r="AB197" s="7">
        <v>0</v>
      </c>
      <c r="AC197" s="3">
        <v>50</v>
      </c>
      <c r="AD197" s="3">
        <f t="shared" ref="AD197" si="874">AB197*AC197</f>
        <v>0</v>
      </c>
      <c r="AE197" s="7">
        <v>0</v>
      </c>
      <c r="AF197" s="3">
        <v>50</v>
      </c>
      <c r="AG197" s="3">
        <f t="shared" si="838"/>
        <v>0</v>
      </c>
      <c r="AH197" s="3">
        <f t="shared" ref="AH197" si="875">AB197-AE197</f>
        <v>0</v>
      </c>
      <c r="AI197" s="3">
        <v>50</v>
      </c>
      <c r="AJ197" s="7">
        <f t="shared" si="840"/>
        <v>0</v>
      </c>
      <c r="AK197" s="3">
        <f>AH197*5</f>
        <v>0</v>
      </c>
      <c r="AL197" s="6">
        <f t="shared" si="841"/>
        <v>0</v>
      </c>
      <c r="AM197" s="6">
        <f t="shared" si="842"/>
        <v>0</v>
      </c>
      <c r="AN197" s="6">
        <f t="shared" si="843"/>
        <v>0</v>
      </c>
      <c r="AO197" s="6">
        <f t="shared" si="844"/>
        <v>0</v>
      </c>
      <c r="AP197" s="3" t="s">
        <v>484</v>
      </c>
      <c r="AQ197" s="3">
        <f t="shared" si="845"/>
        <v>0</v>
      </c>
      <c r="AR197" s="3">
        <f>AQ197</f>
        <v>0</v>
      </c>
      <c r="AS197" s="3">
        <f t="shared" si="868"/>
        <v>0</v>
      </c>
      <c r="AT197" s="3"/>
    </row>
    <row r="198" spans="1:48" x14ac:dyDescent="0.35">
      <c r="A198" s="3"/>
      <c r="B198" s="3" t="s">
        <v>287</v>
      </c>
      <c r="C198" s="3" t="s">
        <v>332</v>
      </c>
      <c r="D198" s="7">
        <v>0</v>
      </c>
      <c r="E198" s="3">
        <v>60</v>
      </c>
      <c r="F198" s="1">
        <v>0</v>
      </c>
      <c r="G198" s="7">
        <v>0</v>
      </c>
      <c r="H198" s="3">
        <v>60</v>
      </c>
      <c r="I198" s="27">
        <f t="shared" si="828"/>
        <v>0</v>
      </c>
      <c r="J198" s="3">
        <v>0</v>
      </c>
      <c r="K198" s="7">
        <v>60</v>
      </c>
      <c r="L198" s="7">
        <f t="shared" si="830"/>
        <v>0</v>
      </c>
      <c r="M198" s="3">
        <v>0</v>
      </c>
      <c r="N198" s="6">
        <f t="shared" si="831"/>
        <v>0</v>
      </c>
      <c r="O198" s="34"/>
      <c r="P198" s="7">
        <v>0</v>
      </c>
      <c r="Q198" s="3">
        <v>100</v>
      </c>
      <c r="R198" s="3">
        <v>0</v>
      </c>
      <c r="S198" s="7">
        <v>0</v>
      </c>
      <c r="T198" s="3">
        <v>100</v>
      </c>
      <c r="U198" s="3">
        <f t="shared" si="833"/>
        <v>0</v>
      </c>
      <c r="V198" s="3">
        <v>0</v>
      </c>
      <c r="W198" s="7">
        <v>100</v>
      </c>
      <c r="X198" s="7">
        <f t="shared" si="867"/>
        <v>0</v>
      </c>
      <c r="Y198" s="3">
        <v>0</v>
      </c>
      <c r="Z198" s="6">
        <f t="shared" si="836"/>
        <v>0</v>
      </c>
      <c r="AA198" s="82"/>
      <c r="AB198" s="7">
        <v>0</v>
      </c>
      <c r="AC198" s="3">
        <v>50</v>
      </c>
      <c r="AD198" s="3">
        <v>0</v>
      </c>
      <c r="AE198" s="7">
        <v>0</v>
      </c>
      <c r="AF198" s="3">
        <v>50</v>
      </c>
      <c r="AG198" s="3">
        <f t="shared" si="838"/>
        <v>0</v>
      </c>
      <c r="AH198" s="3">
        <v>0</v>
      </c>
      <c r="AI198" s="3">
        <v>50</v>
      </c>
      <c r="AJ198" s="7">
        <f t="shared" si="840"/>
        <v>0</v>
      </c>
      <c r="AK198" s="3">
        <v>0</v>
      </c>
      <c r="AL198" s="6">
        <f t="shared" si="841"/>
        <v>0</v>
      </c>
      <c r="AM198" s="6">
        <f t="shared" si="842"/>
        <v>0</v>
      </c>
      <c r="AN198" s="6">
        <f t="shared" si="843"/>
        <v>0</v>
      </c>
      <c r="AO198" s="6">
        <f t="shared" si="844"/>
        <v>0</v>
      </c>
      <c r="AP198" s="3" t="s">
        <v>484</v>
      </c>
      <c r="AQ198" s="3">
        <f t="shared" si="845"/>
        <v>0</v>
      </c>
      <c r="AR198" s="3">
        <f t="shared" ref="AR198" si="876">AQ198</f>
        <v>0</v>
      </c>
      <c r="AS198" s="3">
        <f t="shared" si="868"/>
        <v>0</v>
      </c>
      <c r="AT198" s="3"/>
    </row>
    <row r="199" spans="1:48" x14ac:dyDescent="0.35">
      <c r="A199" s="19"/>
      <c r="B199" s="19" t="s">
        <v>36</v>
      </c>
      <c r="C199" s="19"/>
      <c r="D199" s="19">
        <f>SUM(D187:D198)</f>
        <v>607</v>
      </c>
      <c r="E199" s="19"/>
      <c r="F199" s="19">
        <f>SUM(F187:F198)</f>
        <v>36420</v>
      </c>
      <c r="G199" s="19">
        <f>SUM(G187:G198)</f>
        <v>308</v>
      </c>
      <c r="H199" s="19"/>
      <c r="I199" s="19">
        <f>SUM(I187:I198)</f>
        <v>18480</v>
      </c>
      <c r="J199" s="19">
        <f>SUM(J187:J198)</f>
        <v>299</v>
      </c>
      <c r="K199" s="19"/>
      <c r="L199" s="19">
        <f>SUM(L187:L198)</f>
        <v>17940</v>
      </c>
      <c r="M199" s="19">
        <f>SUM(M187:M198)</f>
        <v>525</v>
      </c>
      <c r="N199" s="19">
        <f>SUM(N187:N198)</f>
        <v>17415</v>
      </c>
      <c r="O199" s="34"/>
      <c r="P199" s="19">
        <f>SUM(P187:P198)</f>
        <v>521</v>
      </c>
      <c r="Q199" s="19"/>
      <c r="R199" s="19">
        <f>SUM(R187:R198)</f>
        <v>52100</v>
      </c>
      <c r="S199" s="19">
        <f>SUM(S187:S198)</f>
        <v>95</v>
      </c>
      <c r="T199" s="19"/>
      <c r="U199" s="19">
        <f>SUM(U187:U198)</f>
        <v>9500</v>
      </c>
      <c r="V199" s="19">
        <f>SUM(V187:V198)</f>
        <v>426</v>
      </c>
      <c r="W199" s="19"/>
      <c r="X199" s="19">
        <f>SUM(X187:X198)</f>
        <v>42600</v>
      </c>
      <c r="Y199" s="19">
        <f>SUM(Y187:Y198)</f>
        <v>840</v>
      </c>
      <c r="Z199" s="19">
        <f>SUM(Z187:Z198)</f>
        <v>41760</v>
      </c>
      <c r="AA199" s="34"/>
      <c r="AB199" s="19">
        <f>SUM(AB187:AB198)</f>
        <v>504</v>
      </c>
      <c r="AC199" s="19"/>
      <c r="AD199" s="19">
        <f>SUM(AD187:AD198)</f>
        <v>25200</v>
      </c>
      <c r="AE199" s="19">
        <f>SUM(AE187:AE198)</f>
        <v>158</v>
      </c>
      <c r="AF199" s="19"/>
      <c r="AG199" s="19">
        <f>SUM(AG187:AG198)</f>
        <v>7900</v>
      </c>
      <c r="AH199" s="19">
        <f>SUM(AH187:AH198)</f>
        <v>346</v>
      </c>
      <c r="AI199" s="19"/>
      <c r="AJ199" s="19">
        <f t="shared" ref="AJ199:AO199" si="877">SUM(AJ187:AJ198)</f>
        <v>17300</v>
      </c>
      <c r="AK199" s="19">
        <f t="shared" si="877"/>
        <v>300</v>
      </c>
      <c r="AL199" s="19">
        <f t="shared" si="877"/>
        <v>17000</v>
      </c>
      <c r="AM199" s="19">
        <f t="shared" si="877"/>
        <v>77840</v>
      </c>
      <c r="AN199" s="19">
        <f t="shared" si="877"/>
        <v>1665</v>
      </c>
      <c r="AO199" s="19">
        <f t="shared" si="877"/>
        <v>76175</v>
      </c>
      <c r="AP199" s="19"/>
      <c r="AQ199" s="19">
        <f>SUM(AQ187:AQ198)</f>
        <v>76175</v>
      </c>
      <c r="AR199" s="19">
        <f>SUM(AR187:AR198)</f>
        <v>76175</v>
      </c>
      <c r="AS199" s="19">
        <f>SUM(AS187:AS198)</f>
        <v>0</v>
      </c>
      <c r="AT199" s="74"/>
      <c r="AV199" s="238"/>
    </row>
    <row r="200" spans="1:48" x14ac:dyDescent="0.35">
      <c r="A200" s="3" t="s">
        <v>490</v>
      </c>
      <c r="B200" s="172" t="s">
        <v>276</v>
      </c>
      <c r="C200" s="3" t="s">
        <v>33</v>
      </c>
      <c r="D200" s="7">
        <f>225-45</f>
        <v>180</v>
      </c>
      <c r="E200" s="3">
        <v>60</v>
      </c>
      <c r="F200" s="1">
        <f t="shared" ref="F200:F207" si="878">D200*E200</f>
        <v>10800</v>
      </c>
      <c r="G200" s="7">
        <v>117</v>
      </c>
      <c r="H200" s="3">
        <v>60</v>
      </c>
      <c r="I200" s="27">
        <f t="shared" ref="I200:I209" si="879">G200*H200</f>
        <v>7020</v>
      </c>
      <c r="J200" s="3">
        <f t="shared" ref="J200:J207" si="880">D200-G200</f>
        <v>63</v>
      </c>
      <c r="K200" s="7">
        <v>60</v>
      </c>
      <c r="L200" s="7">
        <f t="shared" ref="L200:L207" si="881">J200*K200</f>
        <v>3780</v>
      </c>
      <c r="M200" s="3">
        <v>0</v>
      </c>
      <c r="N200" s="6">
        <f t="shared" ref="N200:N209" si="882">L200-M200</f>
        <v>3780</v>
      </c>
      <c r="O200" s="34"/>
      <c r="P200" s="7">
        <v>216</v>
      </c>
      <c r="Q200" s="3">
        <v>100</v>
      </c>
      <c r="R200" s="3">
        <f t="shared" ref="R200:R207" si="883">P200*Q200</f>
        <v>21600</v>
      </c>
      <c r="S200" s="7">
        <v>23</v>
      </c>
      <c r="T200" s="3">
        <v>100</v>
      </c>
      <c r="U200" s="3">
        <f t="shared" ref="U200:U209" si="884">S200*T200</f>
        <v>2300</v>
      </c>
      <c r="V200" s="3">
        <f t="shared" ref="V200:V207" si="885">P200-S200</f>
        <v>193</v>
      </c>
      <c r="W200" s="7">
        <v>100</v>
      </c>
      <c r="X200" s="7">
        <f t="shared" ref="X200" si="886">V200*W200</f>
        <v>19300</v>
      </c>
      <c r="Y200" s="3">
        <v>0</v>
      </c>
      <c r="Z200" s="6">
        <f t="shared" ref="Z200:Z209" si="887">X200-Y200</f>
        <v>19300</v>
      </c>
      <c r="AA200" s="82"/>
      <c r="AB200" s="7">
        <v>180</v>
      </c>
      <c r="AC200" s="3">
        <v>50</v>
      </c>
      <c r="AD200" s="3">
        <f t="shared" ref="AD200:AD207" si="888">AB200*AC200</f>
        <v>9000</v>
      </c>
      <c r="AE200" s="7">
        <v>33</v>
      </c>
      <c r="AF200" s="3">
        <v>50</v>
      </c>
      <c r="AG200" s="3">
        <f t="shared" ref="AG200:AG209" si="889">AE200*AF200</f>
        <v>1650</v>
      </c>
      <c r="AH200" s="3">
        <f t="shared" ref="AH200:AH207" si="890">AB200-AE200</f>
        <v>147</v>
      </c>
      <c r="AI200" s="3">
        <v>50</v>
      </c>
      <c r="AJ200" s="7">
        <f t="shared" ref="AJ200:AJ209" si="891">AH200*AI200</f>
        <v>7350</v>
      </c>
      <c r="AK200" s="3">
        <v>0</v>
      </c>
      <c r="AL200" s="6">
        <f t="shared" ref="AL200:AL209" si="892">AJ200-AK200</f>
        <v>7350</v>
      </c>
      <c r="AM200" s="6">
        <f t="shared" ref="AM200:AM209" si="893">L200+X200+AJ200</f>
        <v>30430</v>
      </c>
      <c r="AN200" s="6">
        <f t="shared" ref="AN200:AN209" si="894">M200+Y200+AK200</f>
        <v>0</v>
      </c>
      <c r="AO200" s="6">
        <f t="shared" ref="AO200:AO209" si="895">AM200-AN200</f>
        <v>30430</v>
      </c>
      <c r="AP200" s="3" t="s">
        <v>490</v>
      </c>
      <c r="AQ200" s="3">
        <f t="shared" ref="AQ200:AQ209" si="896">AO200</f>
        <v>30430</v>
      </c>
      <c r="AR200" s="3">
        <f t="shared" ref="AR200:AR206" si="897">AQ200</f>
        <v>30430</v>
      </c>
      <c r="AS200" s="3">
        <f t="shared" ref="AS200:AS202" si="898">AQ200-AR200</f>
        <v>0</v>
      </c>
      <c r="AT200" s="3"/>
    </row>
    <row r="201" spans="1:48" x14ac:dyDescent="0.35">
      <c r="A201" s="3"/>
      <c r="B201" s="172" t="s">
        <v>276</v>
      </c>
      <c r="C201" s="3" t="s">
        <v>182</v>
      </c>
      <c r="D201" s="7">
        <v>45</v>
      </c>
      <c r="E201" s="3">
        <v>55</v>
      </c>
      <c r="F201" s="1">
        <f t="shared" si="878"/>
        <v>2475</v>
      </c>
      <c r="G201" s="7">
        <v>0</v>
      </c>
      <c r="H201" s="3">
        <v>55</v>
      </c>
      <c r="I201" s="27">
        <f t="shared" si="879"/>
        <v>0</v>
      </c>
      <c r="J201" s="3">
        <f t="shared" si="880"/>
        <v>45</v>
      </c>
      <c r="K201" s="7">
        <v>55</v>
      </c>
      <c r="L201" s="7">
        <f t="shared" si="881"/>
        <v>2475</v>
      </c>
      <c r="M201" s="7">
        <v>0</v>
      </c>
      <c r="N201" s="6">
        <f t="shared" si="882"/>
        <v>2475</v>
      </c>
      <c r="O201" s="34"/>
      <c r="P201" s="7">
        <v>0</v>
      </c>
      <c r="Q201" s="3">
        <v>100</v>
      </c>
      <c r="R201" s="3">
        <f t="shared" si="883"/>
        <v>0</v>
      </c>
      <c r="S201" s="7">
        <v>0</v>
      </c>
      <c r="T201" s="3">
        <v>100</v>
      </c>
      <c r="U201" s="3">
        <f t="shared" si="884"/>
        <v>0</v>
      </c>
      <c r="V201" s="3">
        <f t="shared" si="885"/>
        <v>0</v>
      </c>
      <c r="W201" s="7">
        <v>100</v>
      </c>
      <c r="X201" s="7">
        <f>V201*W201</f>
        <v>0</v>
      </c>
      <c r="Y201" s="7">
        <v>0</v>
      </c>
      <c r="Z201" s="6">
        <f t="shared" si="887"/>
        <v>0</v>
      </c>
      <c r="AA201" s="82"/>
      <c r="AB201" s="7">
        <v>0</v>
      </c>
      <c r="AC201" s="3">
        <v>45</v>
      </c>
      <c r="AD201" s="3">
        <f t="shared" si="888"/>
        <v>0</v>
      </c>
      <c r="AE201" s="7">
        <v>0</v>
      </c>
      <c r="AF201" s="3">
        <v>45</v>
      </c>
      <c r="AG201" s="3">
        <f t="shared" si="889"/>
        <v>0</v>
      </c>
      <c r="AH201" s="3">
        <f t="shared" si="890"/>
        <v>0</v>
      </c>
      <c r="AI201" s="3">
        <v>45</v>
      </c>
      <c r="AJ201" s="7">
        <f t="shared" si="891"/>
        <v>0</v>
      </c>
      <c r="AK201" s="7">
        <v>0</v>
      </c>
      <c r="AL201" s="6">
        <f t="shared" si="892"/>
        <v>0</v>
      </c>
      <c r="AM201" s="6">
        <f t="shared" si="893"/>
        <v>2475</v>
      </c>
      <c r="AN201" s="6">
        <f t="shared" si="894"/>
        <v>0</v>
      </c>
      <c r="AO201" s="6">
        <f t="shared" si="895"/>
        <v>2475</v>
      </c>
      <c r="AP201" s="3" t="s">
        <v>490</v>
      </c>
      <c r="AQ201" s="3">
        <f t="shared" si="896"/>
        <v>2475</v>
      </c>
      <c r="AR201" s="3">
        <f t="shared" si="897"/>
        <v>2475</v>
      </c>
      <c r="AS201" s="3">
        <f t="shared" si="898"/>
        <v>0</v>
      </c>
      <c r="AT201" s="3"/>
    </row>
    <row r="202" spans="1:48" x14ac:dyDescent="0.35">
      <c r="A202" s="3"/>
      <c r="B202" s="172" t="s">
        <v>463</v>
      </c>
      <c r="C202" s="3" t="s">
        <v>33</v>
      </c>
      <c r="D202" s="7">
        <v>225</v>
      </c>
      <c r="E202" s="3">
        <v>60</v>
      </c>
      <c r="F202" s="1">
        <f t="shared" si="878"/>
        <v>13500</v>
      </c>
      <c r="G202" s="7">
        <v>155</v>
      </c>
      <c r="H202" s="3">
        <v>60</v>
      </c>
      <c r="I202" s="27">
        <f t="shared" si="879"/>
        <v>9300</v>
      </c>
      <c r="J202" s="3">
        <f t="shared" si="880"/>
        <v>70</v>
      </c>
      <c r="K202" s="7">
        <v>60</v>
      </c>
      <c r="L202" s="7">
        <f t="shared" si="881"/>
        <v>4200</v>
      </c>
      <c r="M202" s="7">
        <v>0</v>
      </c>
      <c r="N202" s="6">
        <f t="shared" si="882"/>
        <v>4200</v>
      </c>
      <c r="O202" s="34"/>
      <c r="P202" s="7">
        <v>240</v>
      </c>
      <c r="Q202" s="3">
        <v>100</v>
      </c>
      <c r="R202" s="3">
        <f t="shared" si="883"/>
        <v>24000</v>
      </c>
      <c r="S202" s="7">
        <v>73</v>
      </c>
      <c r="T202" s="3">
        <v>100</v>
      </c>
      <c r="U202" s="3">
        <f t="shared" si="884"/>
        <v>7300</v>
      </c>
      <c r="V202" s="3">
        <f t="shared" si="885"/>
        <v>167</v>
      </c>
      <c r="W202" s="7">
        <v>100</v>
      </c>
      <c r="X202" s="7">
        <f>V202*W202</f>
        <v>16700</v>
      </c>
      <c r="Y202" s="7">
        <v>0</v>
      </c>
      <c r="Z202" s="6">
        <f t="shared" si="887"/>
        <v>16700</v>
      </c>
      <c r="AA202" s="82"/>
      <c r="AB202" s="7">
        <v>240</v>
      </c>
      <c r="AC202" s="3">
        <v>50</v>
      </c>
      <c r="AD202" s="3">
        <f t="shared" si="888"/>
        <v>12000</v>
      </c>
      <c r="AE202" s="7">
        <v>108</v>
      </c>
      <c r="AF202" s="3">
        <v>50</v>
      </c>
      <c r="AG202" s="3">
        <f t="shared" si="889"/>
        <v>5400</v>
      </c>
      <c r="AH202" s="3">
        <f t="shared" si="890"/>
        <v>132</v>
      </c>
      <c r="AI202" s="3">
        <v>50</v>
      </c>
      <c r="AJ202" s="7">
        <f t="shared" si="891"/>
        <v>6600</v>
      </c>
      <c r="AK202" s="7">
        <v>0</v>
      </c>
      <c r="AL202" s="6">
        <f t="shared" si="892"/>
        <v>6600</v>
      </c>
      <c r="AM202" s="6">
        <f t="shared" si="893"/>
        <v>27500</v>
      </c>
      <c r="AN202" s="6">
        <f t="shared" si="894"/>
        <v>0</v>
      </c>
      <c r="AO202" s="6">
        <f t="shared" si="895"/>
        <v>27500</v>
      </c>
      <c r="AP202" s="3" t="s">
        <v>490</v>
      </c>
      <c r="AQ202" s="3">
        <f t="shared" si="896"/>
        <v>27500</v>
      </c>
      <c r="AR202" s="3">
        <f t="shared" si="897"/>
        <v>27500</v>
      </c>
      <c r="AS202" s="3">
        <f t="shared" si="898"/>
        <v>0</v>
      </c>
      <c r="AT202" s="3"/>
    </row>
    <row r="203" spans="1:48" x14ac:dyDescent="0.35">
      <c r="A203" s="3"/>
      <c r="B203" s="172" t="s">
        <v>415</v>
      </c>
      <c r="C203" s="3" t="s">
        <v>33</v>
      </c>
      <c r="D203" s="7">
        <v>135</v>
      </c>
      <c r="E203" s="3">
        <v>60</v>
      </c>
      <c r="F203" s="1">
        <f t="shared" si="878"/>
        <v>8100</v>
      </c>
      <c r="G203" s="7">
        <v>45</v>
      </c>
      <c r="H203" s="3">
        <v>60</v>
      </c>
      <c r="I203" s="27">
        <f t="shared" si="879"/>
        <v>2700</v>
      </c>
      <c r="J203" s="3">
        <f t="shared" si="880"/>
        <v>90</v>
      </c>
      <c r="K203" s="7">
        <v>60</v>
      </c>
      <c r="L203" s="7">
        <f t="shared" si="881"/>
        <v>5400</v>
      </c>
      <c r="M203" s="3">
        <f>J203*5</f>
        <v>450</v>
      </c>
      <c r="N203" s="6">
        <f t="shared" si="882"/>
        <v>4950</v>
      </c>
      <c r="O203" s="34"/>
      <c r="P203" s="7">
        <v>144</v>
      </c>
      <c r="Q203" s="3">
        <v>100</v>
      </c>
      <c r="R203" s="3">
        <f t="shared" si="883"/>
        <v>14400</v>
      </c>
      <c r="S203" s="7">
        <v>8</v>
      </c>
      <c r="T203" s="3">
        <v>100</v>
      </c>
      <c r="U203" s="3">
        <f t="shared" si="884"/>
        <v>800</v>
      </c>
      <c r="V203" s="3">
        <f t="shared" si="885"/>
        <v>136</v>
      </c>
      <c r="W203" s="7">
        <v>100</v>
      </c>
      <c r="X203" s="7">
        <f t="shared" ref="X203:X209" si="899">V203*W203</f>
        <v>13600</v>
      </c>
      <c r="Y203" s="3">
        <f>V203*10</f>
        <v>1360</v>
      </c>
      <c r="Z203" s="6">
        <f t="shared" si="887"/>
        <v>12240</v>
      </c>
      <c r="AA203" s="82"/>
      <c r="AB203" s="7">
        <v>96</v>
      </c>
      <c r="AC203" s="3">
        <v>50</v>
      </c>
      <c r="AD203" s="3">
        <f t="shared" si="888"/>
        <v>4800</v>
      </c>
      <c r="AE203" s="7">
        <v>0</v>
      </c>
      <c r="AF203" s="3">
        <v>50</v>
      </c>
      <c r="AG203" s="3">
        <f t="shared" si="889"/>
        <v>0</v>
      </c>
      <c r="AH203" s="3">
        <f t="shared" si="890"/>
        <v>96</v>
      </c>
      <c r="AI203" s="3">
        <v>50</v>
      </c>
      <c r="AJ203" s="7">
        <f t="shared" si="891"/>
        <v>4800</v>
      </c>
      <c r="AK203" s="3">
        <f>AH203*5</f>
        <v>480</v>
      </c>
      <c r="AL203" s="6">
        <f t="shared" si="892"/>
        <v>4320</v>
      </c>
      <c r="AM203" s="6">
        <f t="shared" si="893"/>
        <v>23800</v>
      </c>
      <c r="AN203" s="6">
        <f t="shared" si="894"/>
        <v>2290</v>
      </c>
      <c r="AO203" s="6">
        <f t="shared" si="895"/>
        <v>21510</v>
      </c>
      <c r="AP203" s="3" t="s">
        <v>490</v>
      </c>
      <c r="AQ203" s="3">
        <f t="shared" si="896"/>
        <v>21510</v>
      </c>
      <c r="AR203" s="3">
        <f t="shared" si="897"/>
        <v>21510</v>
      </c>
      <c r="AS203" s="3">
        <f>AQ203-AR203</f>
        <v>0</v>
      </c>
      <c r="AT203" s="3"/>
    </row>
    <row r="204" spans="1:48" x14ac:dyDescent="0.35">
      <c r="A204" s="3"/>
      <c r="B204" s="172" t="s">
        <v>326</v>
      </c>
      <c r="C204" s="3" t="s">
        <v>33</v>
      </c>
      <c r="D204" s="7">
        <v>30</v>
      </c>
      <c r="E204" s="3">
        <v>60</v>
      </c>
      <c r="F204" s="1">
        <f t="shared" si="878"/>
        <v>1800</v>
      </c>
      <c r="G204" s="7">
        <v>12</v>
      </c>
      <c r="H204" s="3">
        <v>60</v>
      </c>
      <c r="I204" s="27">
        <f t="shared" si="879"/>
        <v>720</v>
      </c>
      <c r="J204" s="3">
        <f t="shared" si="880"/>
        <v>18</v>
      </c>
      <c r="K204" s="7">
        <v>60</v>
      </c>
      <c r="L204" s="7">
        <f t="shared" si="881"/>
        <v>1080</v>
      </c>
      <c r="M204" s="3">
        <v>0</v>
      </c>
      <c r="N204" s="6">
        <f t="shared" si="882"/>
        <v>1080</v>
      </c>
      <c r="O204" s="34"/>
      <c r="P204" s="7">
        <v>60</v>
      </c>
      <c r="Q204" s="3">
        <v>100</v>
      </c>
      <c r="R204" s="3">
        <f t="shared" si="883"/>
        <v>6000</v>
      </c>
      <c r="S204" s="7">
        <v>12</v>
      </c>
      <c r="T204" s="3">
        <v>100</v>
      </c>
      <c r="U204" s="3">
        <f t="shared" si="884"/>
        <v>1200</v>
      </c>
      <c r="V204" s="3">
        <f t="shared" si="885"/>
        <v>48</v>
      </c>
      <c r="W204" s="7">
        <v>100</v>
      </c>
      <c r="X204" s="7">
        <f t="shared" si="899"/>
        <v>4800</v>
      </c>
      <c r="Y204" s="3">
        <v>0</v>
      </c>
      <c r="Z204" s="6">
        <f t="shared" si="887"/>
        <v>4800</v>
      </c>
      <c r="AA204" s="82"/>
      <c r="AB204" s="7">
        <v>60</v>
      </c>
      <c r="AC204" s="3">
        <v>50</v>
      </c>
      <c r="AD204" s="3">
        <f t="shared" si="888"/>
        <v>3000</v>
      </c>
      <c r="AE204" s="7">
        <v>6</v>
      </c>
      <c r="AF204" s="3">
        <v>50</v>
      </c>
      <c r="AG204" s="3">
        <f t="shared" si="889"/>
        <v>300</v>
      </c>
      <c r="AH204" s="3">
        <f t="shared" si="890"/>
        <v>54</v>
      </c>
      <c r="AI204" s="3">
        <v>50</v>
      </c>
      <c r="AJ204" s="7">
        <f t="shared" si="891"/>
        <v>2700</v>
      </c>
      <c r="AK204" s="3">
        <v>0</v>
      </c>
      <c r="AL204" s="6">
        <f t="shared" si="892"/>
        <v>2700</v>
      </c>
      <c r="AM204" s="6">
        <f t="shared" si="893"/>
        <v>8580</v>
      </c>
      <c r="AN204" s="6">
        <f t="shared" si="894"/>
        <v>0</v>
      </c>
      <c r="AO204" s="6">
        <f t="shared" si="895"/>
        <v>8580</v>
      </c>
      <c r="AP204" s="3" t="s">
        <v>490</v>
      </c>
      <c r="AQ204" s="3">
        <f t="shared" si="896"/>
        <v>8580</v>
      </c>
      <c r="AR204" s="3">
        <f>AQ204</f>
        <v>8580</v>
      </c>
      <c r="AS204" s="3">
        <f t="shared" ref="AS204:AS209" si="900">AQ204-AR204</f>
        <v>0</v>
      </c>
      <c r="AT204" s="3"/>
    </row>
    <row r="205" spans="1:48" x14ac:dyDescent="0.35">
      <c r="A205" s="3"/>
      <c r="B205" s="172" t="s">
        <v>326</v>
      </c>
      <c r="C205" s="3" t="s">
        <v>329</v>
      </c>
      <c r="D205" s="7">
        <v>0</v>
      </c>
      <c r="E205" s="3">
        <v>50</v>
      </c>
      <c r="F205" s="1">
        <f t="shared" si="878"/>
        <v>0</v>
      </c>
      <c r="G205" s="7">
        <v>0</v>
      </c>
      <c r="H205" s="3">
        <v>50</v>
      </c>
      <c r="I205" s="27">
        <f t="shared" si="879"/>
        <v>0</v>
      </c>
      <c r="J205" s="3">
        <f t="shared" si="880"/>
        <v>0</v>
      </c>
      <c r="K205" s="7">
        <v>50</v>
      </c>
      <c r="L205" s="7">
        <f t="shared" si="881"/>
        <v>0</v>
      </c>
      <c r="M205" s="3">
        <v>0</v>
      </c>
      <c r="N205" s="6">
        <f t="shared" si="882"/>
        <v>0</v>
      </c>
      <c r="O205" s="34"/>
      <c r="P205" s="7">
        <v>0</v>
      </c>
      <c r="Q205" s="3">
        <v>100</v>
      </c>
      <c r="R205" s="3">
        <f t="shared" si="883"/>
        <v>0</v>
      </c>
      <c r="S205" s="7">
        <v>0</v>
      </c>
      <c r="T205" s="3">
        <v>100</v>
      </c>
      <c r="U205" s="3">
        <f t="shared" si="884"/>
        <v>0</v>
      </c>
      <c r="V205" s="3">
        <f t="shared" si="885"/>
        <v>0</v>
      </c>
      <c r="W205" s="7">
        <v>100</v>
      </c>
      <c r="X205" s="7">
        <f t="shared" si="899"/>
        <v>0</v>
      </c>
      <c r="Y205" s="3">
        <v>0</v>
      </c>
      <c r="Z205" s="6">
        <f t="shared" si="887"/>
        <v>0</v>
      </c>
      <c r="AA205" s="82"/>
      <c r="AB205" s="7">
        <v>0</v>
      </c>
      <c r="AC205" s="3">
        <v>50</v>
      </c>
      <c r="AD205" s="3">
        <f t="shared" si="888"/>
        <v>0</v>
      </c>
      <c r="AE205" s="7">
        <v>0</v>
      </c>
      <c r="AF205" s="3">
        <v>50</v>
      </c>
      <c r="AG205" s="3">
        <f t="shared" si="889"/>
        <v>0</v>
      </c>
      <c r="AH205" s="3">
        <f t="shared" si="890"/>
        <v>0</v>
      </c>
      <c r="AI205" s="3">
        <v>50</v>
      </c>
      <c r="AJ205" s="7">
        <f t="shared" si="891"/>
        <v>0</v>
      </c>
      <c r="AK205" s="3">
        <v>0</v>
      </c>
      <c r="AL205" s="6">
        <f t="shared" si="892"/>
        <v>0</v>
      </c>
      <c r="AM205" s="6">
        <f t="shared" si="893"/>
        <v>0</v>
      </c>
      <c r="AN205" s="6">
        <f t="shared" si="894"/>
        <v>0</v>
      </c>
      <c r="AO205" s="6">
        <f t="shared" si="895"/>
        <v>0</v>
      </c>
      <c r="AP205" s="3" t="s">
        <v>490</v>
      </c>
      <c r="AQ205" s="3">
        <f t="shared" si="896"/>
        <v>0</v>
      </c>
      <c r="AR205" s="3">
        <f>AQ205</f>
        <v>0</v>
      </c>
      <c r="AS205" s="3">
        <f t="shared" si="900"/>
        <v>0</v>
      </c>
      <c r="AT205" s="3"/>
    </row>
    <row r="206" spans="1:48" x14ac:dyDescent="0.35">
      <c r="A206" s="3"/>
      <c r="B206" s="172" t="s">
        <v>283</v>
      </c>
      <c r="C206" s="3" t="s">
        <v>33</v>
      </c>
      <c r="D206" s="7">
        <v>15</v>
      </c>
      <c r="E206" s="3">
        <v>60</v>
      </c>
      <c r="F206" s="1">
        <f t="shared" si="878"/>
        <v>900</v>
      </c>
      <c r="G206" s="7">
        <v>10</v>
      </c>
      <c r="H206" s="3">
        <v>60</v>
      </c>
      <c r="I206" s="27">
        <f t="shared" si="879"/>
        <v>600</v>
      </c>
      <c r="J206" s="3">
        <f t="shared" si="880"/>
        <v>5</v>
      </c>
      <c r="K206" s="7">
        <v>60</v>
      </c>
      <c r="L206" s="7">
        <f t="shared" si="881"/>
        <v>300</v>
      </c>
      <c r="M206" s="3">
        <v>0</v>
      </c>
      <c r="N206" s="6">
        <f t="shared" si="882"/>
        <v>300</v>
      </c>
      <c r="O206" s="34"/>
      <c r="P206" s="7">
        <f>37+15+1</f>
        <v>53</v>
      </c>
      <c r="Q206" s="3">
        <v>100</v>
      </c>
      <c r="R206" s="3">
        <f t="shared" si="883"/>
        <v>5300</v>
      </c>
      <c r="S206" s="7">
        <v>8</v>
      </c>
      <c r="T206" s="3">
        <v>100</v>
      </c>
      <c r="U206" s="3">
        <f t="shared" si="884"/>
        <v>800</v>
      </c>
      <c r="V206" s="3">
        <f t="shared" si="885"/>
        <v>45</v>
      </c>
      <c r="W206" s="7">
        <v>100</v>
      </c>
      <c r="X206" s="7">
        <f t="shared" si="899"/>
        <v>4500</v>
      </c>
      <c r="Y206" s="3">
        <v>0</v>
      </c>
      <c r="Z206" s="6">
        <f t="shared" si="887"/>
        <v>4500</v>
      </c>
      <c r="AA206" s="82"/>
      <c r="AB206" s="7">
        <v>25</v>
      </c>
      <c r="AC206" s="3">
        <v>50</v>
      </c>
      <c r="AD206" s="3">
        <f t="shared" si="888"/>
        <v>1250</v>
      </c>
      <c r="AE206" s="7">
        <v>4</v>
      </c>
      <c r="AF206" s="3">
        <v>50</v>
      </c>
      <c r="AG206" s="3">
        <f t="shared" si="889"/>
        <v>200</v>
      </c>
      <c r="AH206" s="3">
        <f t="shared" si="890"/>
        <v>21</v>
      </c>
      <c r="AI206" s="3">
        <v>50</v>
      </c>
      <c r="AJ206" s="7">
        <f t="shared" si="891"/>
        <v>1050</v>
      </c>
      <c r="AK206" s="3">
        <v>0</v>
      </c>
      <c r="AL206" s="6">
        <f t="shared" si="892"/>
        <v>1050</v>
      </c>
      <c r="AM206" s="6">
        <f t="shared" si="893"/>
        <v>5850</v>
      </c>
      <c r="AN206" s="6">
        <f t="shared" si="894"/>
        <v>0</v>
      </c>
      <c r="AO206" s="6">
        <f t="shared" si="895"/>
        <v>5850</v>
      </c>
      <c r="AP206" s="3" t="s">
        <v>490</v>
      </c>
      <c r="AQ206" s="3">
        <f t="shared" si="896"/>
        <v>5850</v>
      </c>
      <c r="AR206" s="3">
        <f t="shared" si="897"/>
        <v>5850</v>
      </c>
      <c r="AS206" s="3">
        <f t="shared" si="900"/>
        <v>0</v>
      </c>
      <c r="AT206" s="3"/>
    </row>
    <row r="207" spans="1:48" x14ac:dyDescent="0.35">
      <c r="A207" s="3"/>
      <c r="B207" s="172" t="s">
        <v>283</v>
      </c>
      <c r="C207" s="3" t="s">
        <v>182</v>
      </c>
      <c r="D207" s="7">
        <v>0</v>
      </c>
      <c r="E207" s="3">
        <v>50</v>
      </c>
      <c r="F207" s="1">
        <f t="shared" si="878"/>
        <v>0</v>
      </c>
      <c r="G207" s="7">
        <v>0</v>
      </c>
      <c r="H207" s="3">
        <v>50</v>
      </c>
      <c r="I207" s="27">
        <f t="shared" si="879"/>
        <v>0</v>
      </c>
      <c r="J207" s="3">
        <f t="shared" si="880"/>
        <v>0</v>
      </c>
      <c r="K207" s="7">
        <v>50</v>
      </c>
      <c r="L207" s="7">
        <f t="shared" si="881"/>
        <v>0</v>
      </c>
      <c r="M207" s="3">
        <v>0</v>
      </c>
      <c r="N207" s="6">
        <f t="shared" si="882"/>
        <v>0</v>
      </c>
      <c r="O207" s="34"/>
      <c r="P207" s="7">
        <v>0</v>
      </c>
      <c r="Q207" s="3">
        <v>90</v>
      </c>
      <c r="R207" s="3">
        <f t="shared" si="883"/>
        <v>0</v>
      </c>
      <c r="S207" s="7">
        <v>0</v>
      </c>
      <c r="T207" s="3">
        <v>90</v>
      </c>
      <c r="U207" s="3">
        <f t="shared" si="884"/>
        <v>0</v>
      </c>
      <c r="V207" s="3">
        <f t="shared" si="885"/>
        <v>0</v>
      </c>
      <c r="W207" s="7">
        <v>90</v>
      </c>
      <c r="X207" s="7">
        <f t="shared" si="899"/>
        <v>0</v>
      </c>
      <c r="Y207" s="3">
        <v>0</v>
      </c>
      <c r="Z207" s="6">
        <f t="shared" si="887"/>
        <v>0</v>
      </c>
      <c r="AA207" s="82"/>
      <c r="AB207" s="7">
        <v>0</v>
      </c>
      <c r="AC207" s="3">
        <v>45</v>
      </c>
      <c r="AD207" s="3">
        <f t="shared" si="888"/>
        <v>0</v>
      </c>
      <c r="AE207" s="7">
        <v>0</v>
      </c>
      <c r="AF207" s="3">
        <v>45</v>
      </c>
      <c r="AG207" s="3">
        <f t="shared" si="889"/>
        <v>0</v>
      </c>
      <c r="AH207" s="3">
        <f t="shared" si="890"/>
        <v>0</v>
      </c>
      <c r="AI207" s="3">
        <v>45</v>
      </c>
      <c r="AJ207" s="7">
        <f t="shared" si="891"/>
        <v>0</v>
      </c>
      <c r="AK207" s="3">
        <v>0</v>
      </c>
      <c r="AL207" s="6">
        <f t="shared" si="892"/>
        <v>0</v>
      </c>
      <c r="AM207" s="6">
        <f t="shared" si="893"/>
        <v>0</v>
      </c>
      <c r="AN207" s="6">
        <f t="shared" si="894"/>
        <v>0</v>
      </c>
      <c r="AO207" s="6">
        <f t="shared" si="895"/>
        <v>0</v>
      </c>
      <c r="AP207" s="3" t="s">
        <v>490</v>
      </c>
      <c r="AQ207" s="3">
        <f t="shared" si="896"/>
        <v>0</v>
      </c>
      <c r="AR207" s="3">
        <f>AQ207</f>
        <v>0</v>
      </c>
      <c r="AS207" s="3">
        <f t="shared" si="900"/>
        <v>0</v>
      </c>
      <c r="AT207" s="3"/>
    </row>
    <row r="208" spans="1:48" x14ac:dyDescent="0.35">
      <c r="A208" s="3"/>
      <c r="B208" s="3" t="s">
        <v>287</v>
      </c>
      <c r="C208" s="3" t="s">
        <v>331</v>
      </c>
      <c r="D208" s="7">
        <v>0</v>
      </c>
      <c r="E208" s="3">
        <v>60</v>
      </c>
      <c r="F208" s="1">
        <f t="shared" ref="F208" si="901">D208*E208</f>
        <v>0</v>
      </c>
      <c r="G208" s="7">
        <v>0</v>
      </c>
      <c r="H208" s="3">
        <v>60</v>
      </c>
      <c r="I208" s="27">
        <f t="shared" si="879"/>
        <v>0</v>
      </c>
      <c r="J208" s="3">
        <f t="shared" ref="J208" si="902">D208-G208</f>
        <v>0</v>
      </c>
      <c r="K208" s="7">
        <v>60</v>
      </c>
      <c r="L208" s="7">
        <f t="shared" ref="L208:L209" si="903">J208*K208</f>
        <v>0</v>
      </c>
      <c r="M208" s="3">
        <f>J208*5</f>
        <v>0</v>
      </c>
      <c r="N208" s="6">
        <f t="shared" si="882"/>
        <v>0</v>
      </c>
      <c r="O208" s="34"/>
      <c r="P208" s="7">
        <v>0</v>
      </c>
      <c r="Q208" s="3">
        <v>100</v>
      </c>
      <c r="R208" s="3">
        <f t="shared" ref="R208" si="904">P208*Q208</f>
        <v>0</v>
      </c>
      <c r="S208" s="7">
        <v>0</v>
      </c>
      <c r="T208" s="3">
        <v>100</v>
      </c>
      <c r="U208" s="3">
        <f t="shared" si="884"/>
        <v>0</v>
      </c>
      <c r="V208" s="3">
        <f t="shared" ref="V208" si="905">P208-S208</f>
        <v>0</v>
      </c>
      <c r="W208" s="7">
        <v>100</v>
      </c>
      <c r="X208" s="7">
        <f t="shared" si="899"/>
        <v>0</v>
      </c>
      <c r="Y208" s="3">
        <f>V208*10</f>
        <v>0</v>
      </c>
      <c r="Z208" s="6">
        <f t="shared" si="887"/>
        <v>0</v>
      </c>
      <c r="AA208" s="82"/>
      <c r="AB208" s="7">
        <v>0</v>
      </c>
      <c r="AC208" s="3">
        <v>50</v>
      </c>
      <c r="AD208" s="3">
        <f t="shared" ref="AD208" si="906">AB208*AC208</f>
        <v>0</v>
      </c>
      <c r="AE208" s="7">
        <v>0</v>
      </c>
      <c r="AF208" s="3">
        <v>50</v>
      </c>
      <c r="AG208" s="3">
        <f t="shared" si="889"/>
        <v>0</v>
      </c>
      <c r="AH208" s="3">
        <f t="shared" ref="AH208" si="907">AB208-AE208</f>
        <v>0</v>
      </c>
      <c r="AI208" s="3">
        <v>50</v>
      </c>
      <c r="AJ208" s="7">
        <f t="shared" si="891"/>
        <v>0</v>
      </c>
      <c r="AK208" s="3">
        <f>AH208*5</f>
        <v>0</v>
      </c>
      <c r="AL208" s="6">
        <f t="shared" si="892"/>
        <v>0</v>
      </c>
      <c r="AM208" s="6">
        <f t="shared" si="893"/>
        <v>0</v>
      </c>
      <c r="AN208" s="6">
        <f t="shared" si="894"/>
        <v>0</v>
      </c>
      <c r="AO208" s="6">
        <f t="shared" si="895"/>
        <v>0</v>
      </c>
      <c r="AP208" s="3" t="s">
        <v>490</v>
      </c>
      <c r="AQ208" s="3">
        <f t="shared" si="896"/>
        <v>0</v>
      </c>
      <c r="AR208" s="3">
        <f>AQ208</f>
        <v>0</v>
      </c>
      <c r="AS208" s="3">
        <f t="shared" si="900"/>
        <v>0</v>
      </c>
      <c r="AT208" s="3"/>
    </row>
    <row r="209" spans="1:46" x14ac:dyDescent="0.35">
      <c r="A209" s="3"/>
      <c r="B209" s="3" t="s">
        <v>287</v>
      </c>
      <c r="C209" s="3" t="s">
        <v>332</v>
      </c>
      <c r="D209" s="7">
        <v>0</v>
      </c>
      <c r="E209" s="3">
        <v>60</v>
      </c>
      <c r="F209" s="1">
        <v>0</v>
      </c>
      <c r="G209" s="7">
        <v>0</v>
      </c>
      <c r="H209" s="3">
        <v>60</v>
      </c>
      <c r="I209" s="27">
        <f t="shared" si="879"/>
        <v>0</v>
      </c>
      <c r="J209" s="3">
        <v>0</v>
      </c>
      <c r="K209" s="7">
        <v>60</v>
      </c>
      <c r="L209" s="7">
        <f t="shared" si="903"/>
        <v>0</v>
      </c>
      <c r="M209" s="3">
        <v>0</v>
      </c>
      <c r="N209" s="6">
        <f t="shared" si="882"/>
        <v>0</v>
      </c>
      <c r="O209" s="34"/>
      <c r="P209" s="7">
        <v>0</v>
      </c>
      <c r="Q209" s="3">
        <v>100</v>
      </c>
      <c r="R209" s="3">
        <v>0</v>
      </c>
      <c r="S209" s="7">
        <v>0</v>
      </c>
      <c r="T209" s="3">
        <v>100</v>
      </c>
      <c r="U209" s="3">
        <f t="shared" si="884"/>
        <v>0</v>
      </c>
      <c r="V209" s="3">
        <v>0</v>
      </c>
      <c r="W209" s="7">
        <v>100</v>
      </c>
      <c r="X209" s="7">
        <f t="shared" si="899"/>
        <v>0</v>
      </c>
      <c r="Y209" s="3">
        <v>0</v>
      </c>
      <c r="Z209" s="6">
        <f t="shared" si="887"/>
        <v>0</v>
      </c>
      <c r="AA209" s="82"/>
      <c r="AB209" s="7">
        <v>0</v>
      </c>
      <c r="AC209" s="3">
        <v>50</v>
      </c>
      <c r="AD209" s="3">
        <v>0</v>
      </c>
      <c r="AE209" s="7">
        <v>0</v>
      </c>
      <c r="AF209" s="3">
        <v>50</v>
      </c>
      <c r="AG209" s="3">
        <f t="shared" si="889"/>
        <v>0</v>
      </c>
      <c r="AH209" s="3">
        <v>0</v>
      </c>
      <c r="AI209" s="3">
        <v>50</v>
      </c>
      <c r="AJ209" s="7">
        <f t="shared" si="891"/>
        <v>0</v>
      </c>
      <c r="AK209" s="3">
        <v>0</v>
      </c>
      <c r="AL209" s="6">
        <f t="shared" si="892"/>
        <v>0</v>
      </c>
      <c r="AM209" s="6">
        <f t="shared" si="893"/>
        <v>0</v>
      </c>
      <c r="AN209" s="6">
        <f t="shared" si="894"/>
        <v>0</v>
      </c>
      <c r="AO209" s="6">
        <f t="shared" si="895"/>
        <v>0</v>
      </c>
      <c r="AP209" s="3" t="s">
        <v>490</v>
      </c>
      <c r="AQ209" s="3">
        <f t="shared" si="896"/>
        <v>0</v>
      </c>
      <c r="AR209" s="3">
        <f t="shared" ref="AR209" si="908">AQ209</f>
        <v>0</v>
      </c>
      <c r="AS209" s="3">
        <f t="shared" si="900"/>
        <v>0</v>
      </c>
      <c r="AT209" s="3"/>
    </row>
    <row r="210" spans="1:46" x14ac:dyDescent="0.35">
      <c r="A210" s="19"/>
      <c r="B210" s="19" t="s">
        <v>36</v>
      </c>
      <c r="C210" s="19"/>
      <c r="D210" s="19">
        <f>SUM(D200:D209)</f>
        <v>630</v>
      </c>
      <c r="E210" s="19"/>
      <c r="F210" s="19">
        <f>SUM(F200:F209)</f>
        <v>37575</v>
      </c>
      <c r="G210" s="19">
        <f>SUM(G200:G209)</f>
        <v>339</v>
      </c>
      <c r="H210" s="19"/>
      <c r="I210" s="19">
        <f>SUM(I200:I209)</f>
        <v>20340</v>
      </c>
      <c r="J210" s="19">
        <f>SUM(J200:J209)</f>
        <v>291</v>
      </c>
      <c r="K210" s="19"/>
      <c r="L210" s="19">
        <f>SUM(L200:L209)</f>
        <v>17235</v>
      </c>
      <c r="M210" s="19">
        <f>SUM(M200:M209)</f>
        <v>450</v>
      </c>
      <c r="N210" s="19">
        <f>SUM(N200:N209)</f>
        <v>16785</v>
      </c>
      <c r="O210" s="34"/>
      <c r="P210" s="19">
        <f>SUM(P200:P209)</f>
        <v>713</v>
      </c>
      <c r="Q210" s="19"/>
      <c r="R210" s="19">
        <f>SUM(R200:R209)</f>
        <v>71300</v>
      </c>
      <c r="S210" s="19">
        <f>SUM(S200:S209)</f>
        <v>124</v>
      </c>
      <c r="T210" s="19"/>
      <c r="U210" s="19">
        <f>SUM(U200:U209)</f>
        <v>12400</v>
      </c>
      <c r="V210" s="19">
        <f>SUM(V200:V209)</f>
        <v>589</v>
      </c>
      <c r="W210" s="19"/>
      <c r="X210" s="19">
        <f>SUM(X200:X209)</f>
        <v>58900</v>
      </c>
      <c r="Y210" s="19">
        <f>SUM(Y200:Y209)</f>
        <v>1360</v>
      </c>
      <c r="Z210" s="19">
        <f>SUM(Z200:Z209)</f>
        <v>57540</v>
      </c>
      <c r="AA210" s="34"/>
      <c r="AB210" s="19">
        <f>SUM(AB200:AB209)</f>
        <v>601</v>
      </c>
      <c r="AC210" s="19"/>
      <c r="AD210" s="19">
        <f>SUM(AD200:AD209)</f>
        <v>30050</v>
      </c>
      <c r="AE210" s="19">
        <f>SUM(AE200:AE209)</f>
        <v>151</v>
      </c>
      <c r="AF210" s="19"/>
      <c r="AG210" s="19">
        <f>SUM(AG200:AG209)</f>
        <v>7550</v>
      </c>
      <c r="AH210" s="19">
        <f>SUM(AH200:AH209)</f>
        <v>450</v>
      </c>
      <c r="AI210" s="19"/>
      <c r="AJ210" s="19">
        <f t="shared" ref="AJ210:AO210" si="909">SUM(AJ200:AJ209)</f>
        <v>22500</v>
      </c>
      <c r="AK210" s="19">
        <f t="shared" si="909"/>
        <v>480</v>
      </c>
      <c r="AL210" s="19">
        <f t="shared" si="909"/>
        <v>22020</v>
      </c>
      <c r="AM210" s="19">
        <f t="shared" si="909"/>
        <v>98635</v>
      </c>
      <c r="AN210" s="19">
        <f t="shared" si="909"/>
        <v>2290</v>
      </c>
      <c r="AO210" s="19">
        <f t="shared" si="909"/>
        <v>96345</v>
      </c>
      <c r="AP210" s="19"/>
      <c r="AQ210" s="19">
        <f>SUM(AQ200:AQ209)</f>
        <v>96345</v>
      </c>
      <c r="AR210" s="19">
        <f>SUM(AR200:AR209)</f>
        <v>96345</v>
      </c>
      <c r="AS210" s="19">
        <f>SUM(AS200:AS209)</f>
        <v>0</v>
      </c>
      <c r="AT210" s="74"/>
    </row>
    <row r="211" spans="1:46" x14ac:dyDescent="0.35">
      <c r="A211" s="3" t="s">
        <v>492</v>
      </c>
      <c r="B211" s="172" t="s">
        <v>276</v>
      </c>
      <c r="C211" s="3" t="s">
        <v>33</v>
      </c>
      <c r="D211" s="7">
        <f>225-30</f>
        <v>195</v>
      </c>
      <c r="E211" s="3">
        <v>60</v>
      </c>
      <c r="F211" s="1">
        <f t="shared" ref="F211:F219" si="910">D211*E211</f>
        <v>11700</v>
      </c>
      <c r="G211" s="7">
        <v>123</v>
      </c>
      <c r="H211" s="3">
        <v>60</v>
      </c>
      <c r="I211" s="27">
        <f t="shared" ref="I211:I222" si="911">G211*H211</f>
        <v>7380</v>
      </c>
      <c r="J211" s="3">
        <f t="shared" ref="J211:J219" si="912">D211-G211</f>
        <v>72</v>
      </c>
      <c r="K211" s="7">
        <v>60</v>
      </c>
      <c r="L211" s="7">
        <f t="shared" ref="L211:L220" si="913">J211*K211</f>
        <v>4320</v>
      </c>
      <c r="M211" s="3">
        <v>0</v>
      </c>
      <c r="N211" s="6">
        <f t="shared" ref="N211:N222" si="914">L211-M211</f>
        <v>4320</v>
      </c>
      <c r="O211" s="34"/>
      <c r="P211" s="7">
        <f>192</f>
        <v>192</v>
      </c>
      <c r="Q211" s="3">
        <v>100</v>
      </c>
      <c r="R211" s="3">
        <f t="shared" ref="R211:R219" si="915">P211*Q211</f>
        <v>19200</v>
      </c>
      <c r="S211" s="7">
        <v>0</v>
      </c>
      <c r="T211" s="3">
        <v>100</v>
      </c>
      <c r="U211" s="3">
        <f t="shared" ref="U211:U222" si="916">S211*T211</f>
        <v>0</v>
      </c>
      <c r="V211" s="3">
        <f t="shared" ref="V211:V219" si="917">P211-S211</f>
        <v>192</v>
      </c>
      <c r="W211" s="7">
        <v>100</v>
      </c>
      <c r="X211" s="7">
        <f t="shared" ref="X211" si="918">V211*W211</f>
        <v>19200</v>
      </c>
      <c r="Y211" s="3">
        <v>0</v>
      </c>
      <c r="Z211" s="6">
        <f t="shared" ref="Z211:Z222" si="919">X211-Y211</f>
        <v>19200</v>
      </c>
      <c r="AA211" s="82"/>
      <c r="AB211" s="7">
        <v>192</v>
      </c>
      <c r="AC211" s="3">
        <v>50</v>
      </c>
      <c r="AD211" s="3">
        <f t="shared" ref="AD211:AD219" si="920">AB211*AC211</f>
        <v>9600</v>
      </c>
      <c r="AE211" s="7">
        <v>30</v>
      </c>
      <c r="AF211" s="3">
        <v>50</v>
      </c>
      <c r="AG211" s="3">
        <f t="shared" ref="AG211:AG222" si="921">AE211*AF211</f>
        <v>1500</v>
      </c>
      <c r="AH211" s="3">
        <f t="shared" ref="AH211:AH219" si="922">AB211-AE211</f>
        <v>162</v>
      </c>
      <c r="AI211" s="3">
        <v>50</v>
      </c>
      <c r="AJ211" s="7">
        <f t="shared" ref="AJ211:AJ222" si="923">AH211*AI211</f>
        <v>8100</v>
      </c>
      <c r="AK211" s="3">
        <v>0</v>
      </c>
      <c r="AL211" s="6">
        <f t="shared" ref="AL211:AL222" si="924">AJ211-AK211</f>
        <v>8100</v>
      </c>
      <c r="AM211" s="6">
        <f t="shared" ref="AM211:AM222" si="925">L211+X211+AJ211</f>
        <v>31620</v>
      </c>
      <c r="AN211" s="6">
        <f t="shared" ref="AN211:AN222" si="926">M211+Y211+AK211</f>
        <v>0</v>
      </c>
      <c r="AO211" s="6">
        <f t="shared" ref="AO211:AO222" si="927">AM211-AN211</f>
        <v>31620</v>
      </c>
      <c r="AP211" s="3" t="s">
        <v>492</v>
      </c>
      <c r="AQ211" s="3">
        <f t="shared" ref="AQ211:AQ222" si="928">AO211</f>
        <v>31620</v>
      </c>
      <c r="AR211" s="3">
        <f>AQ211</f>
        <v>31620</v>
      </c>
      <c r="AS211" s="3">
        <f t="shared" ref="AS211:AS213" si="929">AQ211-AR211</f>
        <v>0</v>
      </c>
      <c r="AT211" s="3"/>
    </row>
    <row r="212" spans="1:46" x14ac:dyDescent="0.35">
      <c r="A212" s="3"/>
      <c r="B212" s="172" t="s">
        <v>276</v>
      </c>
      <c r="C212" s="3" t="s">
        <v>182</v>
      </c>
      <c r="D212" s="7">
        <v>30</v>
      </c>
      <c r="E212" s="3">
        <v>55</v>
      </c>
      <c r="F212" s="1">
        <f t="shared" si="910"/>
        <v>1650</v>
      </c>
      <c r="G212" s="7">
        <v>0</v>
      </c>
      <c r="H212" s="3">
        <v>55</v>
      </c>
      <c r="I212" s="27">
        <f t="shared" si="911"/>
        <v>0</v>
      </c>
      <c r="J212" s="3">
        <f t="shared" si="912"/>
        <v>30</v>
      </c>
      <c r="K212" s="7">
        <v>55</v>
      </c>
      <c r="L212" s="7">
        <f t="shared" si="913"/>
        <v>1650</v>
      </c>
      <c r="M212" s="7">
        <v>0</v>
      </c>
      <c r="N212" s="6">
        <f t="shared" si="914"/>
        <v>1650</v>
      </c>
      <c r="O212" s="34"/>
      <c r="P212" s="7">
        <v>0</v>
      </c>
      <c r="Q212" s="3">
        <v>100</v>
      </c>
      <c r="R212" s="3">
        <f t="shared" si="915"/>
        <v>0</v>
      </c>
      <c r="S212" s="7">
        <v>0</v>
      </c>
      <c r="T212" s="3">
        <v>100</v>
      </c>
      <c r="U212" s="3">
        <f t="shared" si="916"/>
        <v>0</v>
      </c>
      <c r="V212" s="3">
        <f t="shared" si="917"/>
        <v>0</v>
      </c>
      <c r="W212" s="7">
        <v>100</v>
      </c>
      <c r="X212" s="7">
        <f>V212*W212</f>
        <v>0</v>
      </c>
      <c r="Y212" s="7">
        <v>0</v>
      </c>
      <c r="Z212" s="6">
        <f t="shared" si="919"/>
        <v>0</v>
      </c>
      <c r="AA212" s="82"/>
      <c r="AB212" s="7">
        <v>0</v>
      </c>
      <c r="AC212" s="3">
        <v>45</v>
      </c>
      <c r="AD212" s="3">
        <f t="shared" si="920"/>
        <v>0</v>
      </c>
      <c r="AE212" s="7">
        <v>0</v>
      </c>
      <c r="AF212" s="3">
        <v>45</v>
      </c>
      <c r="AG212" s="3">
        <f t="shared" si="921"/>
        <v>0</v>
      </c>
      <c r="AH212" s="3">
        <f t="shared" si="922"/>
        <v>0</v>
      </c>
      <c r="AI212" s="3">
        <v>45</v>
      </c>
      <c r="AJ212" s="7">
        <f t="shared" si="923"/>
        <v>0</v>
      </c>
      <c r="AK212" s="7">
        <v>0</v>
      </c>
      <c r="AL212" s="6">
        <f t="shared" si="924"/>
        <v>0</v>
      </c>
      <c r="AM212" s="6">
        <f t="shared" si="925"/>
        <v>1650</v>
      </c>
      <c r="AN212" s="6">
        <f t="shared" si="926"/>
        <v>0</v>
      </c>
      <c r="AO212" s="6">
        <f t="shared" si="927"/>
        <v>1650</v>
      </c>
      <c r="AP212" s="3" t="s">
        <v>492</v>
      </c>
      <c r="AQ212" s="3">
        <f t="shared" si="928"/>
        <v>1650</v>
      </c>
      <c r="AR212" s="3">
        <f t="shared" ref="AR212" si="930">AQ212</f>
        <v>1650</v>
      </c>
      <c r="AS212" s="3">
        <f t="shared" si="929"/>
        <v>0</v>
      </c>
      <c r="AT212" s="3"/>
    </row>
    <row r="213" spans="1:46" x14ac:dyDescent="0.35">
      <c r="A213" s="3"/>
      <c r="B213" s="172" t="s">
        <v>463</v>
      </c>
      <c r="C213" s="3" t="s">
        <v>33</v>
      </c>
      <c r="D213" s="7">
        <v>300</v>
      </c>
      <c r="E213" s="3">
        <v>60</v>
      </c>
      <c r="F213" s="1">
        <f t="shared" si="910"/>
        <v>18000</v>
      </c>
      <c r="G213" s="7">
        <v>229</v>
      </c>
      <c r="H213" s="3">
        <v>60</v>
      </c>
      <c r="I213" s="27">
        <f t="shared" si="911"/>
        <v>13740</v>
      </c>
      <c r="J213" s="3">
        <f t="shared" si="912"/>
        <v>71</v>
      </c>
      <c r="K213" s="7">
        <v>60</v>
      </c>
      <c r="L213" s="7">
        <f t="shared" si="913"/>
        <v>4260</v>
      </c>
      <c r="M213" s="7">
        <v>0</v>
      </c>
      <c r="N213" s="6">
        <f t="shared" si="914"/>
        <v>4260</v>
      </c>
      <c r="O213" s="34"/>
      <c r="P213" s="7">
        <v>360</v>
      </c>
      <c r="Q213" s="3">
        <v>100</v>
      </c>
      <c r="R213" s="3">
        <f t="shared" si="915"/>
        <v>36000</v>
      </c>
      <c r="S213" s="7">
        <f>166+15</f>
        <v>181</v>
      </c>
      <c r="T213" s="3">
        <v>100</v>
      </c>
      <c r="U213" s="3">
        <f t="shared" si="916"/>
        <v>18100</v>
      </c>
      <c r="V213" s="3">
        <f t="shared" si="917"/>
        <v>179</v>
      </c>
      <c r="W213" s="7">
        <v>100</v>
      </c>
      <c r="X213" s="7">
        <f>V213*W213</f>
        <v>17900</v>
      </c>
      <c r="Y213" s="7">
        <v>0</v>
      </c>
      <c r="Z213" s="6">
        <f t="shared" si="919"/>
        <v>17900</v>
      </c>
      <c r="AA213" s="82"/>
      <c r="AB213" s="7">
        <v>360</v>
      </c>
      <c r="AC213" s="3">
        <v>50</v>
      </c>
      <c r="AD213" s="3">
        <f t="shared" si="920"/>
        <v>18000</v>
      </c>
      <c r="AE213" s="7">
        <v>305</v>
      </c>
      <c r="AF213" s="3">
        <v>50</v>
      </c>
      <c r="AG213" s="3">
        <f t="shared" si="921"/>
        <v>15250</v>
      </c>
      <c r="AH213" s="3">
        <f t="shared" si="922"/>
        <v>55</v>
      </c>
      <c r="AI213" s="3">
        <v>50</v>
      </c>
      <c r="AJ213" s="7">
        <f t="shared" si="923"/>
        <v>2750</v>
      </c>
      <c r="AK213" s="7">
        <v>0</v>
      </c>
      <c r="AL213" s="6">
        <f t="shared" si="924"/>
        <v>2750</v>
      </c>
      <c r="AM213" s="6">
        <f t="shared" si="925"/>
        <v>24910</v>
      </c>
      <c r="AN213" s="6">
        <f t="shared" si="926"/>
        <v>0</v>
      </c>
      <c r="AO213" s="6">
        <f t="shared" si="927"/>
        <v>24910</v>
      </c>
      <c r="AP213" s="3" t="s">
        <v>492</v>
      </c>
      <c r="AQ213" s="3">
        <f t="shared" si="928"/>
        <v>24910</v>
      </c>
      <c r="AR213" s="3">
        <f>AQ213</f>
        <v>24910</v>
      </c>
      <c r="AS213" s="3">
        <f t="shared" si="929"/>
        <v>0</v>
      </c>
      <c r="AT213" s="3"/>
    </row>
    <row r="214" spans="1:46" x14ac:dyDescent="0.35">
      <c r="A214" s="3"/>
      <c r="B214" s="172" t="s">
        <v>415</v>
      </c>
      <c r="C214" s="3" t="s">
        <v>33</v>
      </c>
      <c r="D214" s="7">
        <v>150</v>
      </c>
      <c r="E214" s="3">
        <v>60</v>
      </c>
      <c r="F214" s="1">
        <f t="shared" si="910"/>
        <v>9000</v>
      </c>
      <c r="G214" s="7">
        <v>0</v>
      </c>
      <c r="H214" s="3">
        <v>60</v>
      </c>
      <c r="I214" s="27">
        <f t="shared" si="911"/>
        <v>0</v>
      </c>
      <c r="J214" s="3">
        <f t="shared" si="912"/>
        <v>150</v>
      </c>
      <c r="K214" s="7">
        <v>60</v>
      </c>
      <c r="L214" s="7">
        <f t="shared" si="913"/>
        <v>9000</v>
      </c>
      <c r="M214" s="3">
        <f>J214*5</f>
        <v>750</v>
      </c>
      <c r="N214" s="6">
        <f t="shared" si="914"/>
        <v>8250</v>
      </c>
      <c r="O214" s="34"/>
      <c r="P214" s="7">
        <v>192</v>
      </c>
      <c r="Q214" s="3">
        <v>100</v>
      </c>
      <c r="R214" s="3">
        <f t="shared" si="915"/>
        <v>19200</v>
      </c>
      <c r="S214" s="7">
        <v>0</v>
      </c>
      <c r="T214" s="3">
        <v>100</v>
      </c>
      <c r="U214" s="3">
        <f t="shared" si="916"/>
        <v>0</v>
      </c>
      <c r="V214" s="3">
        <f t="shared" si="917"/>
        <v>192</v>
      </c>
      <c r="W214" s="7">
        <v>100</v>
      </c>
      <c r="X214" s="7">
        <f t="shared" ref="X214:X222" si="931">V214*W214</f>
        <v>19200</v>
      </c>
      <c r="Y214" s="3">
        <f>V214*10</f>
        <v>1920</v>
      </c>
      <c r="Z214" s="6">
        <f t="shared" si="919"/>
        <v>17280</v>
      </c>
      <c r="AA214" s="82"/>
      <c r="AB214" s="7">
        <v>168</v>
      </c>
      <c r="AC214" s="3">
        <v>50</v>
      </c>
      <c r="AD214" s="3">
        <f t="shared" si="920"/>
        <v>8400</v>
      </c>
      <c r="AE214" s="7">
        <v>0</v>
      </c>
      <c r="AF214" s="3">
        <v>50</v>
      </c>
      <c r="AG214" s="3">
        <f t="shared" si="921"/>
        <v>0</v>
      </c>
      <c r="AH214" s="3">
        <f t="shared" si="922"/>
        <v>168</v>
      </c>
      <c r="AI214" s="3">
        <v>50</v>
      </c>
      <c r="AJ214" s="7">
        <f t="shared" si="923"/>
        <v>8400</v>
      </c>
      <c r="AK214" s="3">
        <f>AH214*5</f>
        <v>840</v>
      </c>
      <c r="AL214" s="6">
        <f t="shared" si="924"/>
        <v>7560</v>
      </c>
      <c r="AM214" s="6">
        <f t="shared" si="925"/>
        <v>36600</v>
      </c>
      <c r="AN214" s="6">
        <f t="shared" si="926"/>
        <v>3510</v>
      </c>
      <c r="AO214" s="6">
        <f t="shared" si="927"/>
        <v>33090</v>
      </c>
      <c r="AP214" s="3" t="s">
        <v>492</v>
      </c>
      <c r="AQ214" s="3">
        <f t="shared" si="928"/>
        <v>33090</v>
      </c>
      <c r="AR214" s="3">
        <f>AQ214</f>
        <v>33090</v>
      </c>
      <c r="AS214" s="3">
        <f>AQ214-AR214</f>
        <v>0</v>
      </c>
      <c r="AT214" s="3"/>
    </row>
    <row r="215" spans="1:46" x14ac:dyDescent="0.35">
      <c r="A215" s="3"/>
      <c r="B215" s="172" t="s">
        <v>326</v>
      </c>
      <c r="C215" s="3" t="s">
        <v>33</v>
      </c>
      <c r="D215" s="7">
        <v>30</v>
      </c>
      <c r="E215" s="3">
        <v>60</v>
      </c>
      <c r="F215" s="1">
        <f t="shared" si="910"/>
        <v>1800</v>
      </c>
      <c r="G215" s="7">
        <v>7</v>
      </c>
      <c r="H215" s="3">
        <v>60</v>
      </c>
      <c r="I215" s="27">
        <f t="shared" si="911"/>
        <v>420</v>
      </c>
      <c r="J215" s="3">
        <f t="shared" si="912"/>
        <v>23</v>
      </c>
      <c r="K215" s="7">
        <v>60</v>
      </c>
      <c r="L215" s="7">
        <f t="shared" si="913"/>
        <v>1380</v>
      </c>
      <c r="M215" s="3">
        <v>0</v>
      </c>
      <c r="N215" s="6">
        <f t="shared" si="914"/>
        <v>1380</v>
      </c>
      <c r="O215" s="34"/>
      <c r="P215" s="7">
        <v>60</v>
      </c>
      <c r="Q215" s="3">
        <v>100</v>
      </c>
      <c r="R215" s="3">
        <f t="shared" si="915"/>
        <v>6000</v>
      </c>
      <c r="S215" s="7">
        <v>20</v>
      </c>
      <c r="T215" s="3">
        <v>100</v>
      </c>
      <c r="U215" s="3">
        <f t="shared" si="916"/>
        <v>2000</v>
      </c>
      <c r="V215" s="3">
        <f t="shared" si="917"/>
        <v>40</v>
      </c>
      <c r="W215" s="7">
        <v>100</v>
      </c>
      <c r="X215" s="7">
        <f t="shared" si="931"/>
        <v>4000</v>
      </c>
      <c r="Y215" s="3">
        <v>0</v>
      </c>
      <c r="Z215" s="6">
        <f t="shared" si="919"/>
        <v>4000</v>
      </c>
      <c r="AA215" s="82"/>
      <c r="AB215" s="7">
        <v>60</v>
      </c>
      <c r="AC215" s="3">
        <v>50</v>
      </c>
      <c r="AD215" s="3">
        <f t="shared" si="920"/>
        <v>3000</v>
      </c>
      <c r="AE215" s="7">
        <v>17</v>
      </c>
      <c r="AF215" s="3">
        <v>50</v>
      </c>
      <c r="AG215" s="3">
        <f t="shared" si="921"/>
        <v>850</v>
      </c>
      <c r="AH215" s="3">
        <f t="shared" si="922"/>
        <v>43</v>
      </c>
      <c r="AI215" s="3">
        <v>50</v>
      </c>
      <c r="AJ215" s="7">
        <f t="shared" si="923"/>
        <v>2150</v>
      </c>
      <c r="AK215" s="3">
        <v>0</v>
      </c>
      <c r="AL215" s="6">
        <f t="shared" si="924"/>
        <v>2150</v>
      </c>
      <c r="AM215" s="6">
        <f t="shared" si="925"/>
        <v>7530</v>
      </c>
      <c r="AN215" s="6">
        <f t="shared" si="926"/>
        <v>0</v>
      </c>
      <c r="AO215" s="6">
        <f t="shared" si="927"/>
        <v>7530</v>
      </c>
      <c r="AP215" s="3" t="s">
        <v>492</v>
      </c>
      <c r="AQ215" s="3">
        <f t="shared" si="928"/>
        <v>7530</v>
      </c>
      <c r="AR215" s="3">
        <f>AQ215</f>
        <v>7530</v>
      </c>
      <c r="AS215" s="3">
        <f t="shared" ref="AS215:AS222" si="932">AQ215-AR215</f>
        <v>0</v>
      </c>
      <c r="AT215" s="3"/>
    </row>
    <row r="216" spans="1:46" x14ac:dyDescent="0.35">
      <c r="A216" s="3"/>
      <c r="B216" s="172" t="s">
        <v>283</v>
      </c>
      <c r="C216" s="3" t="s">
        <v>33</v>
      </c>
      <c r="D216" s="7">
        <v>15</v>
      </c>
      <c r="E216" s="3">
        <v>60</v>
      </c>
      <c r="F216" s="1">
        <f t="shared" si="910"/>
        <v>900</v>
      </c>
      <c r="G216" s="7">
        <v>11</v>
      </c>
      <c r="H216" s="3">
        <v>60</v>
      </c>
      <c r="I216" s="27">
        <f t="shared" si="911"/>
        <v>660</v>
      </c>
      <c r="J216" s="3">
        <f t="shared" si="912"/>
        <v>4</v>
      </c>
      <c r="K216" s="7">
        <v>60</v>
      </c>
      <c r="L216" s="7">
        <f t="shared" si="913"/>
        <v>240</v>
      </c>
      <c r="M216" s="3">
        <v>0</v>
      </c>
      <c r="N216" s="6">
        <f t="shared" si="914"/>
        <v>240</v>
      </c>
      <c r="O216" s="34"/>
      <c r="P216" s="7">
        <v>36</v>
      </c>
      <c r="Q216" s="3">
        <v>100</v>
      </c>
      <c r="R216" s="3">
        <f t="shared" si="915"/>
        <v>3600</v>
      </c>
      <c r="S216" s="7">
        <v>24</v>
      </c>
      <c r="T216" s="3">
        <v>100</v>
      </c>
      <c r="U216" s="3">
        <f t="shared" si="916"/>
        <v>2400</v>
      </c>
      <c r="V216" s="3">
        <f t="shared" si="917"/>
        <v>12</v>
      </c>
      <c r="W216" s="7">
        <v>100</v>
      </c>
      <c r="X216" s="7">
        <f t="shared" si="931"/>
        <v>1200</v>
      </c>
      <c r="Y216" s="3">
        <v>0</v>
      </c>
      <c r="Z216" s="6">
        <f t="shared" si="919"/>
        <v>1200</v>
      </c>
      <c r="AA216" s="82"/>
      <c r="AB216" s="7">
        <v>36</v>
      </c>
      <c r="AC216" s="3">
        <v>50</v>
      </c>
      <c r="AD216" s="3">
        <f t="shared" si="920"/>
        <v>1800</v>
      </c>
      <c r="AE216" s="7">
        <v>22</v>
      </c>
      <c r="AF216" s="3">
        <v>50</v>
      </c>
      <c r="AG216" s="3">
        <f t="shared" si="921"/>
        <v>1100</v>
      </c>
      <c r="AH216" s="3">
        <f t="shared" si="922"/>
        <v>14</v>
      </c>
      <c r="AI216" s="3">
        <v>50</v>
      </c>
      <c r="AJ216" s="7">
        <f t="shared" si="923"/>
        <v>700</v>
      </c>
      <c r="AK216" s="3">
        <v>0</v>
      </c>
      <c r="AL216" s="6">
        <f t="shared" si="924"/>
        <v>700</v>
      </c>
      <c r="AM216" s="6">
        <f t="shared" si="925"/>
        <v>2140</v>
      </c>
      <c r="AN216" s="6">
        <f t="shared" si="926"/>
        <v>0</v>
      </c>
      <c r="AO216" s="6">
        <f t="shared" si="927"/>
        <v>2140</v>
      </c>
      <c r="AP216" s="3" t="s">
        <v>492</v>
      </c>
      <c r="AQ216" s="3">
        <f t="shared" si="928"/>
        <v>2140</v>
      </c>
      <c r="AR216" s="3">
        <f t="shared" ref="AR216" si="933">AQ216</f>
        <v>2140</v>
      </c>
      <c r="AS216" s="3">
        <f t="shared" si="932"/>
        <v>0</v>
      </c>
      <c r="AT216" s="3"/>
    </row>
    <row r="217" spans="1:46" x14ac:dyDescent="0.35">
      <c r="A217" s="3"/>
      <c r="B217" s="172" t="s">
        <v>283</v>
      </c>
      <c r="C217" s="3" t="s">
        <v>387</v>
      </c>
      <c r="D217" s="7">
        <v>0</v>
      </c>
      <c r="E217" s="3">
        <v>40</v>
      </c>
      <c r="F217" s="1">
        <f t="shared" si="910"/>
        <v>0</v>
      </c>
      <c r="G217" s="7">
        <v>0</v>
      </c>
      <c r="H217" s="3">
        <v>40</v>
      </c>
      <c r="I217" s="27">
        <f t="shared" si="911"/>
        <v>0</v>
      </c>
      <c r="J217" s="3">
        <f t="shared" si="912"/>
        <v>0</v>
      </c>
      <c r="K217" s="7">
        <v>40</v>
      </c>
      <c r="L217" s="7">
        <f t="shared" si="913"/>
        <v>0</v>
      </c>
      <c r="M217" s="3">
        <v>0</v>
      </c>
      <c r="N217" s="6">
        <f t="shared" si="914"/>
        <v>0</v>
      </c>
      <c r="O217" s="34"/>
      <c r="P217" s="7">
        <v>66</v>
      </c>
      <c r="Q217" s="3">
        <v>90</v>
      </c>
      <c r="R217" s="3">
        <f t="shared" si="915"/>
        <v>5940</v>
      </c>
      <c r="S217" s="7">
        <v>0</v>
      </c>
      <c r="T217" s="3">
        <v>90</v>
      </c>
      <c r="U217" s="3">
        <f t="shared" si="916"/>
        <v>0</v>
      </c>
      <c r="V217" s="3">
        <f t="shared" si="917"/>
        <v>66</v>
      </c>
      <c r="W217" s="7">
        <v>90</v>
      </c>
      <c r="X217" s="7">
        <f t="shared" si="931"/>
        <v>5940</v>
      </c>
      <c r="Y217" s="3">
        <v>0</v>
      </c>
      <c r="Z217" s="6">
        <f t="shared" si="919"/>
        <v>5940</v>
      </c>
      <c r="AA217" s="82"/>
      <c r="AB217" s="7">
        <v>48</v>
      </c>
      <c r="AC217" s="3">
        <v>45</v>
      </c>
      <c r="AD217" s="3">
        <f t="shared" si="920"/>
        <v>2160</v>
      </c>
      <c r="AE217" s="7">
        <v>0</v>
      </c>
      <c r="AF217" s="3">
        <v>45</v>
      </c>
      <c r="AG217" s="3">
        <f t="shared" si="921"/>
        <v>0</v>
      </c>
      <c r="AH217" s="3">
        <f t="shared" si="922"/>
        <v>48</v>
      </c>
      <c r="AI217" s="3">
        <v>45</v>
      </c>
      <c r="AJ217" s="7">
        <f t="shared" si="923"/>
        <v>2160</v>
      </c>
      <c r="AK217" s="3">
        <v>0</v>
      </c>
      <c r="AL217" s="6">
        <f t="shared" si="924"/>
        <v>2160</v>
      </c>
      <c r="AM217" s="6">
        <f t="shared" si="925"/>
        <v>8100</v>
      </c>
      <c r="AN217" s="6">
        <f t="shared" si="926"/>
        <v>0</v>
      </c>
      <c r="AO217" s="6">
        <f t="shared" si="927"/>
        <v>8100</v>
      </c>
      <c r="AP217" s="3" t="s">
        <v>492</v>
      </c>
      <c r="AQ217" s="3">
        <f t="shared" si="928"/>
        <v>8100</v>
      </c>
      <c r="AR217" s="3">
        <f>AQ217</f>
        <v>8100</v>
      </c>
      <c r="AS217" s="3">
        <f t="shared" si="932"/>
        <v>0</v>
      </c>
      <c r="AT217" s="3"/>
    </row>
    <row r="218" spans="1:46" x14ac:dyDescent="0.35">
      <c r="A218" s="3"/>
      <c r="B218" s="172" t="s">
        <v>283</v>
      </c>
      <c r="C218" s="3" t="s">
        <v>33</v>
      </c>
      <c r="D218" s="7">
        <v>73</v>
      </c>
      <c r="E218" s="3">
        <v>120</v>
      </c>
      <c r="F218" s="1">
        <f t="shared" si="910"/>
        <v>8760</v>
      </c>
      <c r="G218" s="7">
        <v>0</v>
      </c>
      <c r="H218" s="3">
        <v>120</v>
      </c>
      <c r="I218" s="27">
        <f t="shared" si="911"/>
        <v>0</v>
      </c>
      <c r="J218" s="3">
        <f t="shared" si="912"/>
        <v>73</v>
      </c>
      <c r="K218" s="7">
        <v>120</v>
      </c>
      <c r="L218" s="7">
        <f t="shared" si="913"/>
        <v>8760</v>
      </c>
      <c r="M218" s="3">
        <v>0</v>
      </c>
      <c r="N218" s="6">
        <f t="shared" si="914"/>
        <v>8760</v>
      </c>
      <c r="O218" s="34"/>
      <c r="P218" s="7">
        <v>0</v>
      </c>
      <c r="Q218" s="3">
        <v>100</v>
      </c>
      <c r="R218" s="3">
        <f t="shared" si="915"/>
        <v>0</v>
      </c>
      <c r="S218" s="7">
        <v>0</v>
      </c>
      <c r="T218" s="3">
        <v>100</v>
      </c>
      <c r="U218" s="3">
        <f t="shared" si="916"/>
        <v>0</v>
      </c>
      <c r="V218" s="3">
        <f t="shared" si="917"/>
        <v>0</v>
      </c>
      <c r="W218" s="7">
        <v>100</v>
      </c>
      <c r="X218" s="7">
        <f t="shared" si="931"/>
        <v>0</v>
      </c>
      <c r="Y218" s="3">
        <v>0</v>
      </c>
      <c r="Z218" s="6">
        <f t="shared" si="919"/>
        <v>0</v>
      </c>
      <c r="AA218" s="82"/>
      <c r="AB218" s="7">
        <v>0</v>
      </c>
      <c r="AC218" s="3">
        <v>50</v>
      </c>
      <c r="AD218" s="3">
        <f t="shared" si="920"/>
        <v>0</v>
      </c>
      <c r="AE218" s="7">
        <v>0</v>
      </c>
      <c r="AF218" s="3">
        <v>50</v>
      </c>
      <c r="AG218" s="3">
        <f t="shared" si="921"/>
        <v>0</v>
      </c>
      <c r="AH218" s="3">
        <f t="shared" si="922"/>
        <v>0</v>
      </c>
      <c r="AI218" s="3">
        <v>50</v>
      </c>
      <c r="AJ218" s="7">
        <f t="shared" si="923"/>
        <v>0</v>
      </c>
      <c r="AK218" s="3">
        <v>0</v>
      </c>
      <c r="AL218" s="6">
        <f t="shared" si="924"/>
        <v>0</v>
      </c>
      <c r="AM218" s="6">
        <f t="shared" si="925"/>
        <v>8760</v>
      </c>
      <c r="AN218" s="6">
        <f t="shared" si="926"/>
        <v>0</v>
      </c>
      <c r="AO218" s="6">
        <f>AM218-AN218</f>
        <v>8760</v>
      </c>
      <c r="AP218" s="3" t="s">
        <v>492</v>
      </c>
      <c r="AQ218" s="3">
        <f t="shared" si="928"/>
        <v>8760</v>
      </c>
      <c r="AR218" s="3">
        <f t="shared" ref="AR218" si="934">AQ218</f>
        <v>8760</v>
      </c>
      <c r="AS218" s="3">
        <f t="shared" si="932"/>
        <v>0</v>
      </c>
      <c r="AT218" s="3"/>
    </row>
    <row r="219" spans="1:46" x14ac:dyDescent="0.35">
      <c r="A219" s="3"/>
      <c r="B219" s="172" t="s">
        <v>308</v>
      </c>
      <c r="C219" s="3" t="s">
        <v>493</v>
      </c>
      <c r="D219" s="7">
        <v>163</v>
      </c>
      <c r="E219" s="3">
        <v>60</v>
      </c>
      <c r="F219" s="1">
        <f t="shared" si="910"/>
        <v>9780</v>
      </c>
      <c r="G219" s="3">
        <v>9</v>
      </c>
      <c r="H219" s="3">
        <v>60</v>
      </c>
      <c r="I219" s="27">
        <f t="shared" si="911"/>
        <v>540</v>
      </c>
      <c r="J219" s="3">
        <f t="shared" si="912"/>
        <v>154</v>
      </c>
      <c r="K219" s="7">
        <v>60</v>
      </c>
      <c r="L219" s="7">
        <f t="shared" si="913"/>
        <v>9240</v>
      </c>
      <c r="M219" s="3">
        <f>J219*5</f>
        <v>770</v>
      </c>
      <c r="N219" s="6">
        <f t="shared" si="914"/>
        <v>8470</v>
      </c>
      <c r="O219" s="34"/>
      <c r="P219" s="3">
        <v>148</v>
      </c>
      <c r="Q219" s="3">
        <v>100</v>
      </c>
      <c r="R219" s="3">
        <f t="shared" si="915"/>
        <v>14800</v>
      </c>
      <c r="S219" s="3">
        <v>9</v>
      </c>
      <c r="T219" s="3">
        <v>100</v>
      </c>
      <c r="U219" s="3">
        <f t="shared" si="916"/>
        <v>900</v>
      </c>
      <c r="V219" s="3">
        <f t="shared" si="917"/>
        <v>139</v>
      </c>
      <c r="W219" s="7">
        <v>100</v>
      </c>
      <c r="X219" s="7">
        <f t="shared" si="931"/>
        <v>13900</v>
      </c>
      <c r="Y219" s="3">
        <f>V219*10</f>
        <v>1390</v>
      </c>
      <c r="Z219" s="6">
        <f t="shared" si="919"/>
        <v>12510</v>
      </c>
      <c r="AA219" s="82">
        <v>195</v>
      </c>
      <c r="AB219" s="3">
        <v>185</v>
      </c>
      <c r="AC219" s="3">
        <v>50</v>
      </c>
      <c r="AD219" s="3">
        <f t="shared" si="920"/>
        <v>9250</v>
      </c>
      <c r="AE219" s="3">
        <v>1</v>
      </c>
      <c r="AF219" s="3">
        <v>50</v>
      </c>
      <c r="AG219" s="3">
        <f t="shared" si="921"/>
        <v>50</v>
      </c>
      <c r="AH219" s="3">
        <f t="shared" si="922"/>
        <v>184</v>
      </c>
      <c r="AI219" s="3">
        <v>50</v>
      </c>
      <c r="AJ219" s="7">
        <f t="shared" si="923"/>
        <v>9200</v>
      </c>
      <c r="AK219" s="3">
        <f>AH219*5</f>
        <v>920</v>
      </c>
      <c r="AL219" s="6">
        <f t="shared" si="924"/>
        <v>8280</v>
      </c>
      <c r="AM219" s="6">
        <f t="shared" si="925"/>
        <v>32340</v>
      </c>
      <c r="AN219" s="6">
        <f t="shared" si="926"/>
        <v>3080</v>
      </c>
      <c r="AO219" s="6">
        <f t="shared" si="927"/>
        <v>29260</v>
      </c>
      <c r="AP219" s="3" t="s">
        <v>492</v>
      </c>
      <c r="AQ219" s="3">
        <f t="shared" si="928"/>
        <v>29260</v>
      </c>
      <c r="AR219" s="3">
        <f t="shared" ref="AR219:AR220" si="935">AQ219</f>
        <v>29260</v>
      </c>
      <c r="AS219" s="3">
        <f t="shared" si="932"/>
        <v>0</v>
      </c>
      <c r="AT219" s="3"/>
    </row>
    <row r="220" spans="1:46" x14ac:dyDescent="0.35">
      <c r="A220" s="3"/>
      <c r="B220" s="172" t="s">
        <v>308</v>
      </c>
      <c r="C220" s="3" t="s">
        <v>494</v>
      </c>
      <c r="D220" s="7">
        <v>233</v>
      </c>
      <c r="E220" s="3">
        <v>60</v>
      </c>
      <c r="F220" s="1">
        <v>0</v>
      </c>
      <c r="G220" s="7">
        <v>0</v>
      </c>
      <c r="H220" s="3">
        <v>60</v>
      </c>
      <c r="I220" s="27">
        <f t="shared" si="911"/>
        <v>0</v>
      </c>
      <c r="J220" s="3">
        <v>0</v>
      </c>
      <c r="K220" s="7">
        <v>60</v>
      </c>
      <c r="L220" s="7">
        <f t="shared" si="913"/>
        <v>0</v>
      </c>
      <c r="M220" s="3">
        <v>0</v>
      </c>
      <c r="N220" s="6">
        <f t="shared" si="914"/>
        <v>0</v>
      </c>
      <c r="O220" s="34"/>
      <c r="P220" s="7">
        <v>129</v>
      </c>
      <c r="Q220" s="3">
        <v>100</v>
      </c>
      <c r="R220" s="3">
        <v>0</v>
      </c>
      <c r="S220" s="7">
        <v>0</v>
      </c>
      <c r="T220" s="3">
        <v>100</v>
      </c>
      <c r="U220" s="3">
        <f t="shared" si="916"/>
        <v>0</v>
      </c>
      <c r="V220" s="3">
        <v>0</v>
      </c>
      <c r="W220" s="7">
        <v>100</v>
      </c>
      <c r="X220" s="7">
        <f t="shared" si="931"/>
        <v>0</v>
      </c>
      <c r="Y220" s="3">
        <v>0</v>
      </c>
      <c r="Z220" s="6">
        <f t="shared" si="919"/>
        <v>0</v>
      </c>
      <c r="AA220" s="82"/>
      <c r="AB220" s="7">
        <v>181</v>
      </c>
      <c r="AC220" s="3">
        <v>50</v>
      </c>
      <c r="AD220" s="3">
        <v>0</v>
      </c>
      <c r="AE220" s="7">
        <v>0</v>
      </c>
      <c r="AF220" s="3">
        <v>50</v>
      </c>
      <c r="AG220" s="3">
        <f t="shared" si="921"/>
        <v>0</v>
      </c>
      <c r="AH220" s="3">
        <v>0</v>
      </c>
      <c r="AI220" s="3">
        <v>50</v>
      </c>
      <c r="AJ220" s="7">
        <f t="shared" si="923"/>
        <v>0</v>
      </c>
      <c r="AK220" s="3">
        <v>0</v>
      </c>
      <c r="AL220" s="6">
        <f t="shared" si="924"/>
        <v>0</v>
      </c>
      <c r="AM220" s="6">
        <f t="shared" si="925"/>
        <v>0</v>
      </c>
      <c r="AN220" s="6">
        <f t="shared" si="926"/>
        <v>0</v>
      </c>
      <c r="AO220" s="6">
        <f t="shared" si="927"/>
        <v>0</v>
      </c>
      <c r="AP220" s="3" t="s">
        <v>492</v>
      </c>
      <c r="AQ220" s="3">
        <f t="shared" si="928"/>
        <v>0</v>
      </c>
      <c r="AR220" s="3">
        <f t="shared" si="935"/>
        <v>0</v>
      </c>
      <c r="AS220" s="3">
        <f t="shared" si="932"/>
        <v>0</v>
      </c>
      <c r="AT220" s="3"/>
    </row>
    <row r="221" spans="1:46" x14ac:dyDescent="0.35">
      <c r="A221" s="3"/>
      <c r="B221" s="3" t="s">
        <v>287</v>
      </c>
      <c r="C221" s="3" t="s">
        <v>331</v>
      </c>
      <c r="D221" s="7">
        <v>0</v>
      </c>
      <c r="E221" s="3">
        <v>60</v>
      </c>
      <c r="F221" s="1">
        <f t="shared" ref="F221" si="936">D221*E221</f>
        <v>0</v>
      </c>
      <c r="G221" s="7">
        <v>0</v>
      </c>
      <c r="H221" s="3">
        <v>60</v>
      </c>
      <c r="I221" s="27">
        <f t="shared" si="911"/>
        <v>0</v>
      </c>
      <c r="J221" s="3">
        <f t="shared" ref="J221" si="937">D221-G221</f>
        <v>0</v>
      </c>
      <c r="K221" s="7">
        <v>60</v>
      </c>
      <c r="L221" s="7">
        <f t="shared" ref="L221:L222" si="938">J221*K221</f>
        <v>0</v>
      </c>
      <c r="M221" s="3">
        <f>J221*5</f>
        <v>0</v>
      </c>
      <c r="N221" s="6">
        <f t="shared" si="914"/>
        <v>0</v>
      </c>
      <c r="O221" s="34"/>
      <c r="P221" s="7">
        <v>0</v>
      </c>
      <c r="Q221" s="3">
        <v>100</v>
      </c>
      <c r="R221" s="3">
        <f t="shared" ref="R221" si="939">P221*Q221</f>
        <v>0</v>
      </c>
      <c r="S221" s="7">
        <v>0</v>
      </c>
      <c r="T221" s="3">
        <v>100</v>
      </c>
      <c r="U221" s="3">
        <f t="shared" si="916"/>
        <v>0</v>
      </c>
      <c r="V221" s="3">
        <f t="shared" ref="V221" si="940">P221-S221</f>
        <v>0</v>
      </c>
      <c r="W221" s="7">
        <v>100</v>
      </c>
      <c r="X221" s="7">
        <f t="shared" si="931"/>
        <v>0</v>
      </c>
      <c r="Y221" s="3">
        <f>V221*10</f>
        <v>0</v>
      </c>
      <c r="Z221" s="6">
        <f t="shared" si="919"/>
        <v>0</v>
      </c>
      <c r="AA221" s="82"/>
      <c r="AB221" s="7">
        <v>0</v>
      </c>
      <c r="AC221" s="3">
        <v>50</v>
      </c>
      <c r="AD221" s="3">
        <f t="shared" ref="AD221" si="941">AB221*AC221</f>
        <v>0</v>
      </c>
      <c r="AE221" s="7">
        <v>0</v>
      </c>
      <c r="AF221" s="3">
        <v>50</v>
      </c>
      <c r="AG221" s="3">
        <f t="shared" si="921"/>
        <v>0</v>
      </c>
      <c r="AH221" s="3">
        <f t="shared" ref="AH221" si="942">AB221-AE221</f>
        <v>0</v>
      </c>
      <c r="AI221" s="3">
        <v>50</v>
      </c>
      <c r="AJ221" s="7">
        <f t="shared" si="923"/>
        <v>0</v>
      </c>
      <c r="AK221" s="3">
        <f>AH221*5</f>
        <v>0</v>
      </c>
      <c r="AL221" s="6">
        <f t="shared" si="924"/>
        <v>0</v>
      </c>
      <c r="AM221" s="6">
        <f t="shared" si="925"/>
        <v>0</v>
      </c>
      <c r="AN221" s="6">
        <f t="shared" si="926"/>
        <v>0</v>
      </c>
      <c r="AO221" s="6">
        <f t="shared" si="927"/>
        <v>0</v>
      </c>
      <c r="AP221" s="3" t="s">
        <v>492</v>
      </c>
      <c r="AQ221" s="3">
        <f t="shared" si="928"/>
        <v>0</v>
      </c>
      <c r="AR221" s="3">
        <f>AQ221</f>
        <v>0</v>
      </c>
      <c r="AS221" s="3">
        <f t="shared" si="932"/>
        <v>0</v>
      </c>
      <c r="AT221" s="3"/>
    </row>
    <row r="222" spans="1:46" x14ac:dyDescent="0.35">
      <c r="A222" s="3"/>
      <c r="B222" s="3" t="s">
        <v>287</v>
      </c>
      <c r="C222" s="3" t="s">
        <v>332</v>
      </c>
      <c r="D222" s="7">
        <v>0</v>
      </c>
      <c r="E222" s="3">
        <v>60</v>
      </c>
      <c r="F222" s="1">
        <v>0</v>
      </c>
      <c r="G222" s="7">
        <v>0</v>
      </c>
      <c r="H222" s="3">
        <v>60</v>
      </c>
      <c r="I222" s="27">
        <f t="shared" si="911"/>
        <v>0</v>
      </c>
      <c r="J222" s="3">
        <v>0</v>
      </c>
      <c r="K222" s="7">
        <v>60</v>
      </c>
      <c r="L222" s="7">
        <f t="shared" si="938"/>
        <v>0</v>
      </c>
      <c r="M222" s="3">
        <v>0</v>
      </c>
      <c r="N222" s="6">
        <f t="shared" si="914"/>
        <v>0</v>
      </c>
      <c r="O222" s="34"/>
      <c r="P222" s="7">
        <v>0</v>
      </c>
      <c r="Q222" s="3">
        <v>100</v>
      </c>
      <c r="R222" s="3">
        <v>0</v>
      </c>
      <c r="S222" s="7">
        <v>0</v>
      </c>
      <c r="T222" s="3">
        <v>100</v>
      </c>
      <c r="U222" s="3">
        <f t="shared" si="916"/>
        <v>0</v>
      </c>
      <c r="V222" s="3">
        <v>0</v>
      </c>
      <c r="W222" s="7">
        <v>100</v>
      </c>
      <c r="X222" s="7">
        <f t="shared" si="931"/>
        <v>0</v>
      </c>
      <c r="Y222" s="3">
        <v>0</v>
      </c>
      <c r="Z222" s="6">
        <f t="shared" si="919"/>
        <v>0</v>
      </c>
      <c r="AA222" s="82"/>
      <c r="AB222" s="7">
        <v>0</v>
      </c>
      <c r="AC222" s="3">
        <v>50</v>
      </c>
      <c r="AD222" s="3">
        <v>0</v>
      </c>
      <c r="AE222" s="7">
        <v>0</v>
      </c>
      <c r="AF222" s="3">
        <v>50</v>
      </c>
      <c r="AG222" s="3">
        <f t="shared" si="921"/>
        <v>0</v>
      </c>
      <c r="AH222" s="3">
        <v>0</v>
      </c>
      <c r="AI222" s="3">
        <v>50</v>
      </c>
      <c r="AJ222" s="7">
        <f t="shared" si="923"/>
        <v>0</v>
      </c>
      <c r="AK222" s="3">
        <v>0</v>
      </c>
      <c r="AL222" s="6">
        <f t="shared" si="924"/>
        <v>0</v>
      </c>
      <c r="AM222" s="6">
        <f t="shared" si="925"/>
        <v>0</v>
      </c>
      <c r="AN222" s="6">
        <f t="shared" si="926"/>
        <v>0</v>
      </c>
      <c r="AO222" s="6">
        <f t="shared" si="927"/>
        <v>0</v>
      </c>
      <c r="AP222" s="3" t="s">
        <v>492</v>
      </c>
      <c r="AQ222" s="3">
        <f t="shared" si="928"/>
        <v>0</v>
      </c>
      <c r="AR222" s="3">
        <f t="shared" ref="AR222" si="943">AQ222</f>
        <v>0</v>
      </c>
      <c r="AS222" s="3">
        <f t="shared" si="932"/>
        <v>0</v>
      </c>
      <c r="AT222" s="3"/>
    </row>
    <row r="223" spans="1:46" x14ac:dyDescent="0.35">
      <c r="A223" s="19"/>
      <c r="B223" s="19" t="s">
        <v>36</v>
      </c>
      <c r="C223" s="19"/>
      <c r="D223" s="19">
        <f>SUM(D211:D222)</f>
        <v>1189</v>
      </c>
      <c r="E223" s="19"/>
      <c r="F223" s="19">
        <f>SUM(F211:F222)</f>
        <v>61590</v>
      </c>
      <c r="G223" s="19">
        <f>SUM(G211:G222)</f>
        <v>379</v>
      </c>
      <c r="H223" s="19"/>
      <c r="I223" s="19">
        <f>SUM(I211:I222)</f>
        <v>22740</v>
      </c>
      <c r="J223" s="19">
        <f>SUM(J211:J222)</f>
        <v>577</v>
      </c>
      <c r="K223" s="19"/>
      <c r="L223" s="19">
        <f>SUM(L211:L222)</f>
        <v>38850</v>
      </c>
      <c r="M223" s="19">
        <f>SUM(M211:M222)</f>
        <v>1520</v>
      </c>
      <c r="N223" s="19">
        <f>SUM(N211:N222)</f>
        <v>37330</v>
      </c>
      <c r="O223" s="34"/>
      <c r="P223" s="19">
        <f>SUM(P211:P222)</f>
        <v>1183</v>
      </c>
      <c r="Q223" s="19"/>
      <c r="R223" s="19">
        <f>SUM(R211:R222)</f>
        <v>104740</v>
      </c>
      <c r="S223" s="19">
        <f>SUM(S211:S222)</f>
        <v>234</v>
      </c>
      <c r="T223" s="19"/>
      <c r="U223" s="19">
        <f>SUM(U211:U222)</f>
        <v>23400</v>
      </c>
      <c r="V223" s="19">
        <f>SUM(V211:V222)</f>
        <v>820</v>
      </c>
      <c r="W223" s="19"/>
      <c r="X223" s="19">
        <f>SUM(X211:X222)</f>
        <v>81340</v>
      </c>
      <c r="Y223" s="19">
        <f>SUM(Y211:Y222)</f>
        <v>3310</v>
      </c>
      <c r="Z223" s="19">
        <f>SUM(Z211:Z222)</f>
        <v>78030</v>
      </c>
      <c r="AA223" s="34"/>
      <c r="AB223" s="19">
        <f>SUM(AB211:AB222)</f>
        <v>1230</v>
      </c>
      <c r="AC223" s="19"/>
      <c r="AD223" s="19">
        <f>SUM(AD211:AD222)</f>
        <v>52210</v>
      </c>
      <c r="AE223" s="19">
        <f>SUM(AE211:AE222)</f>
        <v>375</v>
      </c>
      <c r="AF223" s="19"/>
      <c r="AG223" s="19">
        <f>SUM(AG211:AG222)</f>
        <v>18750</v>
      </c>
      <c r="AH223" s="19">
        <f>SUM(AH211:AH222)</f>
        <v>674</v>
      </c>
      <c r="AI223" s="19"/>
      <c r="AJ223" s="19">
        <f t="shared" ref="AJ223:AO223" si="944">SUM(AJ211:AJ222)</f>
        <v>33460</v>
      </c>
      <c r="AK223" s="19">
        <f t="shared" si="944"/>
        <v>1760</v>
      </c>
      <c r="AL223" s="19">
        <f t="shared" si="944"/>
        <v>31700</v>
      </c>
      <c r="AM223" s="19">
        <f t="shared" si="944"/>
        <v>153650</v>
      </c>
      <c r="AN223" s="19">
        <f t="shared" si="944"/>
        <v>6590</v>
      </c>
      <c r="AO223" s="19">
        <f t="shared" si="944"/>
        <v>147060</v>
      </c>
      <c r="AP223" s="19"/>
      <c r="AQ223" s="19">
        <f>SUM(AQ211:AQ222)</f>
        <v>147060</v>
      </c>
      <c r="AR223" s="19">
        <f>SUM(AR211:AR222)</f>
        <v>147060</v>
      </c>
      <c r="AS223" s="19">
        <f>SUM(AS211:AS222)</f>
        <v>0</v>
      </c>
      <c r="AT223" s="74"/>
    </row>
    <row r="224" spans="1:46" x14ac:dyDescent="0.35">
      <c r="A224" s="3" t="s">
        <v>495</v>
      </c>
      <c r="B224" s="172" t="s">
        <v>276</v>
      </c>
      <c r="C224" s="3" t="s">
        <v>33</v>
      </c>
      <c r="D224" s="7">
        <f>225-60</f>
        <v>165</v>
      </c>
      <c r="E224" s="3">
        <v>60</v>
      </c>
      <c r="F224" s="1">
        <f t="shared" ref="F224:F232" si="945">D224*E224</f>
        <v>9900</v>
      </c>
      <c r="G224" s="7">
        <v>96</v>
      </c>
      <c r="H224" s="3">
        <v>60</v>
      </c>
      <c r="I224" s="27">
        <f t="shared" ref="I224:I235" si="946">G224*H224</f>
        <v>5760</v>
      </c>
      <c r="J224" s="3">
        <f t="shared" ref="J224:J225" si="947">D224-G224</f>
        <v>69</v>
      </c>
      <c r="K224" s="7">
        <v>60</v>
      </c>
      <c r="L224" s="7">
        <f t="shared" ref="L224:L235" si="948">J224*K224</f>
        <v>4140</v>
      </c>
      <c r="M224" s="3">
        <v>0</v>
      </c>
      <c r="N224" s="6">
        <f t="shared" ref="N224:N235" si="949">L224-M224</f>
        <v>4140</v>
      </c>
      <c r="O224" s="34"/>
      <c r="P224" s="7">
        <v>192</v>
      </c>
      <c r="Q224" s="3">
        <v>100</v>
      </c>
      <c r="R224" s="3">
        <f t="shared" ref="R224:R232" si="950">P224*Q224</f>
        <v>19200</v>
      </c>
      <c r="S224" s="7">
        <v>34</v>
      </c>
      <c r="T224" s="3">
        <v>100</v>
      </c>
      <c r="U224" s="3">
        <f t="shared" ref="U224:U235" si="951">S224*T224</f>
        <v>3400</v>
      </c>
      <c r="V224" s="3">
        <f t="shared" ref="V224:V232" si="952">P224-S224</f>
        <v>158</v>
      </c>
      <c r="W224" s="7">
        <v>100</v>
      </c>
      <c r="X224" s="7">
        <f t="shared" ref="X224" si="953">V224*W224</f>
        <v>15800</v>
      </c>
      <c r="Y224" s="3">
        <v>0</v>
      </c>
      <c r="Z224" s="6">
        <f t="shared" ref="Z224:Z235" si="954">X224-Y224</f>
        <v>15800</v>
      </c>
      <c r="AA224" s="82"/>
      <c r="AB224" s="7">
        <v>192</v>
      </c>
      <c r="AC224" s="3">
        <v>50</v>
      </c>
      <c r="AD224" s="3">
        <f t="shared" ref="AD224:AD232" si="955">AB224*AC224</f>
        <v>9600</v>
      </c>
      <c r="AE224" s="7">
        <v>15</v>
      </c>
      <c r="AF224" s="3">
        <v>50</v>
      </c>
      <c r="AG224" s="3">
        <f t="shared" ref="AG224:AG235" si="956">AE224*AF224</f>
        <v>750</v>
      </c>
      <c r="AH224" s="3">
        <f t="shared" ref="AH224:AH232" si="957">AB224-AE224</f>
        <v>177</v>
      </c>
      <c r="AI224" s="3">
        <v>50</v>
      </c>
      <c r="AJ224" s="7">
        <f t="shared" ref="AJ224:AJ235" si="958">AH224*AI224</f>
        <v>8850</v>
      </c>
      <c r="AK224" s="3">
        <v>0</v>
      </c>
      <c r="AL224" s="6">
        <f t="shared" ref="AL224:AL235" si="959">AJ224-AK224</f>
        <v>8850</v>
      </c>
      <c r="AM224" s="6">
        <f t="shared" ref="AM224:AM235" si="960">L224+X224+AJ224</f>
        <v>28790</v>
      </c>
      <c r="AN224" s="6">
        <f t="shared" ref="AN224:AN235" si="961">M224+Y224+AK224</f>
        <v>0</v>
      </c>
      <c r="AO224" s="6">
        <f t="shared" ref="AO224:AO235" si="962">AM224-AN224</f>
        <v>28790</v>
      </c>
      <c r="AP224" s="3" t="s">
        <v>495</v>
      </c>
      <c r="AQ224" s="3">
        <f t="shared" ref="AQ224:AQ235" si="963">AO224</f>
        <v>28790</v>
      </c>
      <c r="AR224" s="3">
        <f t="shared" ref="AR224:AR230" si="964">AQ224</f>
        <v>28790</v>
      </c>
      <c r="AS224" s="3">
        <f t="shared" ref="AS224:AS226" si="965">AQ224-AR224</f>
        <v>0</v>
      </c>
      <c r="AT224" s="3"/>
    </row>
    <row r="225" spans="1:46" x14ac:dyDescent="0.35">
      <c r="A225" s="3"/>
      <c r="B225" s="172" t="s">
        <v>276</v>
      </c>
      <c r="C225" s="3" t="s">
        <v>182</v>
      </c>
      <c r="D225" s="7">
        <v>60</v>
      </c>
      <c r="E225" s="3">
        <v>55</v>
      </c>
      <c r="F225" s="1">
        <f t="shared" ref="F225" si="966">D225*E225</f>
        <v>3300</v>
      </c>
      <c r="G225" s="7">
        <v>0</v>
      </c>
      <c r="H225" s="3">
        <v>55</v>
      </c>
      <c r="I225" s="27">
        <f t="shared" ref="I225" si="967">G225*H225</f>
        <v>0</v>
      </c>
      <c r="J225" s="3">
        <f t="shared" si="947"/>
        <v>60</v>
      </c>
      <c r="K225" s="7">
        <v>55</v>
      </c>
      <c r="L225" s="7">
        <f t="shared" ref="L225" si="968">J225*K225</f>
        <v>3300</v>
      </c>
      <c r="M225" s="7">
        <v>0</v>
      </c>
      <c r="N225" s="6">
        <f t="shared" ref="N225" si="969">L225-M225</f>
        <v>3300</v>
      </c>
      <c r="O225" s="34"/>
      <c r="P225" s="7">
        <v>0</v>
      </c>
      <c r="Q225" s="3">
        <v>100</v>
      </c>
      <c r="R225" s="3">
        <f t="shared" ref="R225" si="970">P225*Q225</f>
        <v>0</v>
      </c>
      <c r="S225" s="7">
        <v>0</v>
      </c>
      <c r="T225" s="3">
        <v>100</v>
      </c>
      <c r="U225" s="3">
        <f t="shared" ref="U225" si="971">S225*T225</f>
        <v>0</v>
      </c>
      <c r="V225" s="3">
        <f t="shared" ref="V225" si="972">P225-S225</f>
        <v>0</v>
      </c>
      <c r="W225" s="7">
        <v>100</v>
      </c>
      <c r="X225" s="7">
        <f>V225*W225</f>
        <v>0</v>
      </c>
      <c r="Y225" s="7">
        <v>0</v>
      </c>
      <c r="Z225" s="6">
        <f t="shared" ref="Z225" si="973">X225-Y225</f>
        <v>0</v>
      </c>
      <c r="AA225" s="82"/>
      <c r="AB225" s="7">
        <v>0</v>
      </c>
      <c r="AC225" s="3">
        <v>45</v>
      </c>
      <c r="AD225" s="3">
        <f t="shared" ref="AD225" si="974">AB225*AC225</f>
        <v>0</v>
      </c>
      <c r="AE225" s="7">
        <v>0</v>
      </c>
      <c r="AF225" s="3">
        <v>45</v>
      </c>
      <c r="AG225" s="3">
        <f t="shared" ref="AG225" si="975">AE225*AF225</f>
        <v>0</v>
      </c>
      <c r="AH225" s="3">
        <f t="shared" ref="AH225" si="976">AB225-AE225</f>
        <v>0</v>
      </c>
      <c r="AI225" s="3">
        <v>45</v>
      </c>
      <c r="AJ225" s="7">
        <f t="shared" ref="AJ225" si="977">AH225*AI225</f>
        <v>0</v>
      </c>
      <c r="AK225" s="7">
        <v>0</v>
      </c>
      <c r="AL225" s="6">
        <f t="shared" ref="AL225" si="978">AJ225-AK225</f>
        <v>0</v>
      </c>
      <c r="AM225" s="6">
        <f t="shared" ref="AM225" si="979">L225+X225+AJ225</f>
        <v>3300</v>
      </c>
      <c r="AN225" s="6">
        <f t="shared" ref="AN225" si="980">M225+Y225+AK225</f>
        <v>0</v>
      </c>
      <c r="AO225" s="6">
        <f t="shared" ref="AO225" si="981">AM225-AN225</f>
        <v>3300</v>
      </c>
      <c r="AP225" s="3" t="s">
        <v>495</v>
      </c>
      <c r="AQ225" s="3">
        <f t="shared" ref="AQ225" si="982">AO225</f>
        <v>3300</v>
      </c>
      <c r="AR225" s="3">
        <f t="shared" ref="AR225" si="983">AQ225</f>
        <v>3300</v>
      </c>
      <c r="AS225" s="3">
        <f t="shared" ref="AS225" si="984">AQ225-AR225</f>
        <v>0</v>
      </c>
      <c r="AT225" s="3"/>
    </row>
    <row r="226" spans="1:46" x14ac:dyDescent="0.35">
      <c r="A226" s="3"/>
      <c r="B226" s="172" t="s">
        <v>386</v>
      </c>
      <c r="C226" s="3" t="s">
        <v>33</v>
      </c>
      <c r="D226" s="7">
        <v>300</v>
      </c>
      <c r="E226" s="3">
        <v>60</v>
      </c>
      <c r="F226" s="1">
        <f t="shared" si="945"/>
        <v>18000</v>
      </c>
      <c r="G226" s="7">
        <v>180</v>
      </c>
      <c r="H226" s="3">
        <v>60</v>
      </c>
      <c r="I226" s="27">
        <f t="shared" si="946"/>
        <v>10800</v>
      </c>
      <c r="J226" s="3">
        <f t="shared" ref="J226:J232" si="985">D226-G226</f>
        <v>120</v>
      </c>
      <c r="K226" s="7">
        <v>60</v>
      </c>
      <c r="L226" s="7">
        <f t="shared" si="948"/>
        <v>7200</v>
      </c>
      <c r="M226" s="7">
        <v>0</v>
      </c>
      <c r="N226" s="6">
        <f t="shared" si="949"/>
        <v>7200</v>
      </c>
      <c r="O226" s="34"/>
      <c r="P226" s="7">
        <v>240</v>
      </c>
      <c r="Q226" s="3">
        <v>100</v>
      </c>
      <c r="R226" s="3">
        <f t="shared" si="950"/>
        <v>24000</v>
      </c>
      <c r="S226" s="7">
        <v>68</v>
      </c>
      <c r="T226" s="3">
        <v>100</v>
      </c>
      <c r="U226" s="3">
        <f t="shared" si="951"/>
        <v>6800</v>
      </c>
      <c r="V226" s="3">
        <f t="shared" si="952"/>
        <v>172</v>
      </c>
      <c r="W226" s="7">
        <v>100</v>
      </c>
      <c r="X226" s="7">
        <f>V226*W226</f>
        <v>17200</v>
      </c>
      <c r="Y226" s="7">
        <v>0</v>
      </c>
      <c r="Z226" s="6">
        <f t="shared" si="954"/>
        <v>17200</v>
      </c>
      <c r="AA226" s="82"/>
      <c r="AB226" s="7">
        <v>240</v>
      </c>
      <c r="AC226" s="3">
        <v>50</v>
      </c>
      <c r="AD226" s="3">
        <f t="shared" si="955"/>
        <v>12000</v>
      </c>
      <c r="AE226" s="7">
        <v>139</v>
      </c>
      <c r="AF226" s="3">
        <v>50</v>
      </c>
      <c r="AG226" s="3">
        <f t="shared" si="956"/>
        <v>6950</v>
      </c>
      <c r="AH226" s="3">
        <f t="shared" si="957"/>
        <v>101</v>
      </c>
      <c r="AI226" s="3">
        <v>50</v>
      </c>
      <c r="AJ226" s="7">
        <f t="shared" si="958"/>
        <v>5050</v>
      </c>
      <c r="AK226" s="7">
        <v>0</v>
      </c>
      <c r="AL226" s="6">
        <f t="shared" si="959"/>
        <v>5050</v>
      </c>
      <c r="AM226" s="6">
        <f t="shared" si="960"/>
        <v>29450</v>
      </c>
      <c r="AN226" s="6">
        <f t="shared" si="961"/>
        <v>0</v>
      </c>
      <c r="AO226" s="6">
        <f t="shared" si="962"/>
        <v>29450</v>
      </c>
      <c r="AP226" s="3" t="s">
        <v>495</v>
      </c>
      <c r="AQ226" s="3">
        <f t="shared" si="963"/>
        <v>29450</v>
      </c>
      <c r="AR226" s="3">
        <f t="shared" si="964"/>
        <v>29450</v>
      </c>
      <c r="AS226" s="3">
        <f t="shared" si="965"/>
        <v>0</v>
      </c>
      <c r="AT226" s="3"/>
    </row>
    <row r="227" spans="1:46" x14ac:dyDescent="0.35">
      <c r="A227" s="3"/>
      <c r="B227" s="172" t="s">
        <v>415</v>
      </c>
      <c r="C227" s="3" t="s">
        <v>33</v>
      </c>
      <c r="D227" s="7">
        <v>120</v>
      </c>
      <c r="E227" s="3">
        <v>60</v>
      </c>
      <c r="F227" s="1">
        <f t="shared" si="945"/>
        <v>7200</v>
      </c>
      <c r="G227" s="7">
        <v>15</v>
      </c>
      <c r="H227" s="3">
        <v>60</v>
      </c>
      <c r="I227" s="27">
        <f t="shared" si="946"/>
        <v>900</v>
      </c>
      <c r="J227" s="3">
        <f t="shared" si="985"/>
        <v>105</v>
      </c>
      <c r="K227" s="7">
        <v>60</v>
      </c>
      <c r="L227" s="7">
        <f t="shared" si="948"/>
        <v>6300</v>
      </c>
      <c r="M227" s="3">
        <f>J227*5</f>
        <v>525</v>
      </c>
      <c r="N227" s="6" t="s">
        <v>367</v>
      </c>
      <c r="O227" s="34"/>
      <c r="P227" s="7">
        <v>156</v>
      </c>
      <c r="Q227" s="3">
        <v>100</v>
      </c>
      <c r="R227" s="3">
        <f t="shared" si="950"/>
        <v>15600</v>
      </c>
      <c r="S227" s="7">
        <v>14</v>
      </c>
      <c r="T227" s="3">
        <v>100</v>
      </c>
      <c r="U227" s="3">
        <f t="shared" si="951"/>
        <v>1400</v>
      </c>
      <c r="V227" s="3">
        <f t="shared" si="952"/>
        <v>142</v>
      </c>
      <c r="W227" s="7">
        <v>100</v>
      </c>
      <c r="X227" s="7">
        <f t="shared" ref="X227:X235" si="986">V227*W227</f>
        <v>14200</v>
      </c>
      <c r="Y227" s="3">
        <f>V227*10</f>
        <v>1420</v>
      </c>
      <c r="Z227" s="6">
        <f t="shared" si="954"/>
        <v>12780</v>
      </c>
      <c r="AA227" s="82"/>
      <c r="AB227" s="7">
        <v>144</v>
      </c>
      <c r="AC227" s="3">
        <v>50</v>
      </c>
      <c r="AD227" s="3">
        <f t="shared" si="955"/>
        <v>7200</v>
      </c>
      <c r="AE227" s="7">
        <v>7</v>
      </c>
      <c r="AF227" s="3">
        <v>50</v>
      </c>
      <c r="AG227" s="3">
        <f t="shared" si="956"/>
        <v>350</v>
      </c>
      <c r="AH227" s="3">
        <f t="shared" si="957"/>
        <v>137</v>
      </c>
      <c r="AI227" s="3">
        <v>50</v>
      </c>
      <c r="AJ227" s="7">
        <f t="shared" si="958"/>
        <v>6850</v>
      </c>
      <c r="AK227" s="3">
        <f>AH227*5</f>
        <v>685</v>
      </c>
      <c r="AL227" s="6">
        <f t="shared" si="959"/>
        <v>6165</v>
      </c>
      <c r="AM227" s="6">
        <f t="shared" si="960"/>
        <v>27350</v>
      </c>
      <c r="AN227" s="6">
        <f t="shared" si="961"/>
        <v>2630</v>
      </c>
      <c r="AO227" s="6">
        <f t="shared" si="962"/>
        <v>24720</v>
      </c>
      <c r="AP227" s="3" t="s">
        <v>495</v>
      </c>
      <c r="AQ227" s="3">
        <f t="shared" si="963"/>
        <v>24720</v>
      </c>
      <c r="AR227" s="3">
        <f t="shared" si="964"/>
        <v>24720</v>
      </c>
      <c r="AS227" s="3">
        <f>AQ227-AR227</f>
        <v>0</v>
      </c>
      <c r="AT227" s="3"/>
    </row>
    <row r="228" spans="1:46" x14ac:dyDescent="0.35">
      <c r="A228" s="3"/>
      <c r="B228" s="172" t="s">
        <v>326</v>
      </c>
      <c r="C228" s="3" t="s">
        <v>33</v>
      </c>
      <c r="D228" s="7">
        <v>30</v>
      </c>
      <c r="E228" s="3">
        <v>60</v>
      </c>
      <c r="F228" s="1">
        <f t="shared" si="945"/>
        <v>1800</v>
      </c>
      <c r="G228" s="7">
        <v>7</v>
      </c>
      <c r="H228" s="3">
        <v>60</v>
      </c>
      <c r="I228" s="27">
        <f t="shared" si="946"/>
        <v>420</v>
      </c>
      <c r="J228" s="3">
        <f t="shared" si="985"/>
        <v>23</v>
      </c>
      <c r="K228" s="7">
        <v>60</v>
      </c>
      <c r="L228" s="7">
        <f t="shared" si="948"/>
        <v>1380</v>
      </c>
      <c r="M228" s="3">
        <v>0</v>
      </c>
      <c r="N228" s="6">
        <f t="shared" si="949"/>
        <v>1380</v>
      </c>
      <c r="O228" s="34"/>
      <c r="P228" s="7">
        <v>60</v>
      </c>
      <c r="Q228" s="3">
        <v>100</v>
      </c>
      <c r="R228" s="3">
        <f t="shared" si="950"/>
        <v>6000</v>
      </c>
      <c r="S228" s="7">
        <v>13</v>
      </c>
      <c r="T228" s="3">
        <v>100</v>
      </c>
      <c r="U228" s="3">
        <f t="shared" si="951"/>
        <v>1300</v>
      </c>
      <c r="V228" s="3">
        <f t="shared" si="952"/>
        <v>47</v>
      </c>
      <c r="W228" s="7">
        <v>100</v>
      </c>
      <c r="X228" s="7">
        <f t="shared" si="986"/>
        <v>4700</v>
      </c>
      <c r="Y228" s="3">
        <v>0</v>
      </c>
      <c r="Z228" s="6">
        <f t="shared" si="954"/>
        <v>4700</v>
      </c>
      <c r="AA228" s="82"/>
      <c r="AB228" s="7">
        <v>60</v>
      </c>
      <c r="AC228" s="3">
        <v>50</v>
      </c>
      <c r="AD228" s="3">
        <f t="shared" si="955"/>
        <v>3000</v>
      </c>
      <c r="AE228" s="7">
        <v>0</v>
      </c>
      <c r="AF228" s="3">
        <v>50</v>
      </c>
      <c r="AG228" s="3">
        <f t="shared" si="956"/>
        <v>0</v>
      </c>
      <c r="AH228" s="3">
        <f t="shared" si="957"/>
        <v>60</v>
      </c>
      <c r="AI228" s="3">
        <v>50</v>
      </c>
      <c r="AJ228" s="7">
        <f t="shared" si="958"/>
        <v>3000</v>
      </c>
      <c r="AK228" s="3">
        <v>0</v>
      </c>
      <c r="AL228" s="6">
        <f t="shared" si="959"/>
        <v>3000</v>
      </c>
      <c r="AM228" s="6">
        <f t="shared" si="960"/>
        <v>9080</v>
      </c>
      <c r="AN228" s="6">
        <f t="shared" si="961"/>
        <v>0</v>
      </c>
      <c r="AO228" s="6">
        <f t="shared" si="962"/>
        <v>9080</v>
      </c>
      <c r="AP228" s="3" t="s">
        <v>495</v>
      </c>
      <c r="AQ228" s="3">
        <f t="shared" si="963"/>
        <v>9080</v>
      </c>
      <c r="AR228" s="3">
        <f>AQ228</f>
        <v>9080</v>
      </c>
      <c r="AS228" s="3">
        <f t="shared" ref="AS228:AS235" si="987">AQ228-AR228</f>
        <v>0</v>
      </c>
      <c r="AT228" s="3"/>
    </row>
    <row r="229" spans="1:46" x14ac:dyDescent="0.35">
      <c r="A229" s="3"/>
      <c r="B229" s="172" t="s">
        <v>326</v>
      </c>
      <c r="C229" s="3" t="s">
        <v>329</v>
      </c>
      <c r="D229" s="7">
        <v>0</v>
      </c>
      <c r="E229" s="3">
        <v>50</v>
      </c>
      <c r="F229" s="1">
        <f t="shared" si="945"/>
        <v>0</v>
      </c>
      <c r="G229" s="7">
        <v>0</v>
      </c>
      <c r="H229" s="3">
        <v>50</v>
      </c>
      <c r="I229" s="27">
        <f t="shared" si="946"/>
        <v>0</v>
      </c>
      <c r="J229" s="3">
        <f t="shared" si="985"/>
        <v>0</v>
      </c>
      <c r="K229" s="7">
        <v>50</v>
      </c>
      <c r="L229" s="7">
        <f t="shared" si="948"/>
        <v>0</v>
      </c>
      <c r="M229" s="3">
        <v>0</v>
      </c>
      <c r="N229" s="6">
        <f t="shared" si="949"/>
        <v>0</v>
      </c>
      <c r="O229" s="34"/>
      <c r="P229" s="7">
        <v>0</v>
      </c>
      <c r="Q229" s="3">
        <v>100</v>
      </c>
      <c r="R229" s="3">
        <f t="shared" si="950"/>
        <v>0</v>
      </c>
      <c r="S229" s="7">
        <v>0</v>
      </c>
      <c r="T229" s="3">
        <v>100</v>
      </c>
      <c r="U229" s="3">
        <f t="shared" si="951"/>
        <v>0</v>
      </c>
      <c r="V229" s="3">
        <f t="shared" si="952"/>
        <v>0</v>
      </c>
      <c r="W229" s="7">
        <v>100</v>
      </c>
      <c r="X229" s="7">
        <f t="shared" si="986"/>
        <v>0</v>
      </c>
      <c r="Y229" s="3">
        <v>0</v>
      </c>
      <c r="Z229" s="6">
        <f t="shared" si="954"/>
        <v>0</v>
      </c>
      <c r="AA229" s="82"/>
      <c r="AB229" s="7">
        <v>0</v>
      </c>
      <c r="AC229" s="3">
        <v>50</v>
      </c>
      <c r="AD229" s="3">
        <f t="shared" si="955"/>
        <v>0</v>
      </c>
      <c r="AE229" s="7">
        <v>0</v>
      </c>
      <c r="AF229" s="3">
        <v>50</v>
      </c>
      <c r="AG229" s="3">
        <f t="shared" si="956"/>
        <v>0</v>
      </c>
      <c r="AH229" s="3">
        <f t="shared" si="957"/>
        <v>0</v>
      </c>
      <c r="AI229" s="3">
        <v>50</v>
      </c>
      <c r="AJ229" s="7">
        <f t="shared" si="958"/>
        <v>0</v>
      </c>
      <c r="AK229" s="3">
        <v>0</v>
      </c>
      <c r="AL229" s="6">
        <f t="shared" si="959"/>
        <v>0</v>
      </c>
      <c r="AM229" s="6">
        <f t="shared" si="960"/>
        <v>0</v>
      </c>
      <c r="AN229" s="6">
        <f t="shared" si="961"/>
        <v>0</v>
      </c>
      <c r="AO229" s="6">
        <f t="shared" si="962"/>
        <v>0</v>
      </c>
      <c r="AP229" s="3" t="s">
        <v>495</v>
      </c>
      <c r="AQ229" s="3">
        <f t="shared" si="963"/>
        <v>0</v>
      </c>
      <c r="AR229" s="3">
        <f>AQ229</f>
        <v>0</v>
      </c>
      <c r="AS229" s="3">
        <f t="shared" si="987"/>
        <v>0</v>
      </c>
      <c r="AT229" s="3"/>
    </row>
    <row r="230" spans="1:46" x14ac:dyDescent="0.35">
      <c r="A230" s="3"/>
      <c r="B230" s="172" t="s">
        <v>283</v>
      </c>
      <c r="C230" s="3" t="s">
        <v>33</v>
      </c>
      <c r="D230" s="7">
        <f>22+2</f>
        <v>24</v>
      </c>
      <c r="E230" s="3">
        <v>60</v>
      </c>
      <c r="F230" s="1">
        <f t="shared" si="945"/>
        <v>1440</v>
      </c>
      <c r="G230" s="7">
        <v>7</v>
      </c>
      <c r="H230" s="3">
        <v>60</v>
      </c>
      <c r="I230" s="27">
        <f t="shared" si="946"/>
        <v>420</v>
      </c>
      <c r="J230" s="3">
        <f t="shared" si="985"/>
        <v>17</v>
      </c>
      <c r="K230" s="7">
        <v>60</v>
      </c>
      <c r="L230" s="7">
        <f t="shared" si="948"/>
        <v>1020</v>
      </c>
      <c r="M230" s="3">
        <v>0</v>
      </c>
      <c r="N230" s="6">
        <f t="shared" si="949"/>
        <v>1020</v>
      </c>
      <c r="O230" s="34"/>
      <c r="P230" s="7">
        <f>36+199+48</f>
        <v>283</v>
      </c>
      <c r="Q230" s="3">
        <v>100</v>
      </c>
      <c r="R230" s="3">
        <f t="shared" si="950"/>
        <v>28300</v>
      </c>
      <c r="S230" s="7">
        <v>8</v>
      </c>
      <c r="T230" s="3">
        <v>100</v>
      </c>
      <c r="U230" s="3">
        <f t="shared" si="951"/>
        <v>800</v>
      </c>
      <c r="V230" s="3">
        <f t="shared" si="952"/>
        <v>275</v>
      </c>
      <c r="W230" s="7">
        <v>100</v>
      </c>
      <c r="X230" s="7">
        <f t="shared" si="986"/>
        <v>27500</v>
      </c>
      <c r="Y230" s="3">
        <v>0</v>
      </c>
      <c r="Z230" s="6">
        <f t="shared" si="954"/>
        <v>27500</v>
      </c>
      <c r="AA230" s="82"/>
      <c r="AB230" s="7">
        <v>36</v>
      </c>
      <c r="AC230" s="3">
        <v>50</v>
      </c>
      <c r="AD230" s="3">
        <f t="shared" si="955"/>
        <v>1800</v>
      </c>
      <c r="AE230" s="7">
        <v>4</v>
      </c>
      <c r="AF230" s="3">
        <v>50</v>
      </c>
      <c r="AG230" s="3">
        <f t="shared" si="956"/>
        <v>200</v>
      </c>
      <c r="AH230" s="3">
        <f t="shared" si="957"/>
        <v>32</v>
      </c>
      <c r="AI230" s="3">
        <v>50</v>
      </c>
      <c r="AJ230" s="7">
        <f t="shared" si="958"/>
        <v>1600</v>
      </c>
      <c r="AK230" s="3">
        <v>0</v>
      </c>
      <c r="AL230" s="6">
        <f t="shared" si="959"/>
        <v>1600</v>
      </c>
      <c r="AM230" s="6">
        <f t="shared" si="960"/>
        <v>30120</v>
      </c>
      <c r="AN230" s="6">
        <f t="shared" si="961"/>
        <v>0</v>
      </c>
      <c r="AO230" s="6">
        <f t="shared" si="962"/>
        <v>30120</v>
      </c>
      <c r="AP230" s="3" t="s">
        <v>495</v>
      </c>
      <c r="AQ230" s="3">
        <f t="shared" si="963"/>
        <v>30120</v>
      </c>
      <c r="AR230" s="3">
        <f t="shared" si="964"/>
        <v>30120</v>
      </c>
      <c r="AS230" s="3">
        <f t="shared" si="987"/>
        <v>0</v>
      </c>
      <c r="AT230" s="3"/>
    </row>
    <row r="231" spans="1:46" x14ac:dyDescent="0.35">
      <c r="A231" s="3"/>
      <c r="B231" s="172" t="s">
        <v>283</v>
      </c>
      <c r="C231" s="3" t="s">
        <v>182</v>
      </c>
      <c r="D231" s="7">
        <v>0</v>
      </c>
      <c r="E231" s="3">
        <v>55</v>
      </c>
      <c r="F231" s="1">
        <f t="shared" si="945"/>
        <v>0</v>
      </c>
      <c r="G231" s="7">
        <v>0</v>
      </c>
      <c r="H231" s="3">
        <v>55</v>
      </c>
      <c r="I231" s="27">
        <f t="shared" si="946"/>
        <v>0</v>
      </c>
      <c r="J231" s="3">
        <f t="shared" si="985"/>
        <v>0</v>
      </c>
      <c r="K231" s="7">
        <v>55</v>
      </c>
      <c r="L231" s="7">
        <f t="shared" si="948"/>
        <v>0</v>
      </c>
      <c r="M231" s="3">
        <v>0</v>
      </c>
      <c r="N231" s="6">
        <f t="shared" si="949"/>
        <v>0</v>
      </c>
      <c r="O231" s="34"/>
      <c r="P231" s="7">
        <v>72</v>
      </c>
      <c r="Q231" s="3">
        <v>90</v>
      </c>
      <c r="R231" s="3">
        <f t="shared" si="950"/>
        <v>6480</v>
      </c>
      <c r="S231" s="7">
        <v>0</v>
      </c>
      <c r="T231" s="3">
        <v>90</v>
      </c>
      <c r="U231" s="3">
        <f t="shared" si="951"/>
        <v>0</v>
      </c>
      <c r="V231" s="3">
        <f t="shared" si="952"/>
        <v>72</v>
      </c>
      <c r="W231" s="7">
        <v>90</v>
      </c>
      <c r="X231" s="7">
        <f t="shared" si="986"/>
        <v>6480</v>
      </c>
      <c r="Y231" s="3">
        <v>0</v>
      </c>
      <c r="Z231" s="6">
        <f t="shared" si="954"/>
        <v>6480</v>
      </c>
      <c r="AA231" s="82"/>
      <c r="AB231" s="7">
        <v>48</v>
      </c>
      <c r="AC231" s="3">
        <v>45</v>
      </c>
      <c r="AD231" s="3">
        <f t="shared" si="955"/>
        <v>2160</v>
      </c>
      <c r="AE231" s="7">
        <v>0</v>
      </c>
      <c r="AF231" s="3">
        <v>45</v>
      </c>
      <c r="AG231" s="3">
        <f t="shared" si="956"/>
        <v>0</v>
      </c>
      <c r="AH231" s="3">
        <f t="shared" si="957"/>
        <v>48</v>
      </c>
      <c r="AI231" s="3">
        <v>45</v>
      </c>
      <c r="AJ231" s="7">
        <f t="shared" si="958"/>
        <v>2160</v>
      </c>
      <c r="AK231" s="3">
        <v>0</v>
      </c>
      <c r="AL231" s="6">
        <f t="shared" si="959"/>
        <v>2160</v>
      </c>
      <c r="AM231" s="6">
        <f t="shared" si="960"/>
        <v>8640</v>
      </c>
      <c r="AN231" s="6">
        <f t="shared" si="961"/>
        <v>0</v>
      </c>
      <c r="AO231" s="6">
        <f t="shared" si="962"/>
        <v>8640</v>
      </c>
      <c r="AP231" s="3" t="s">
        <v>495</v>
      </c>
      <c r="AQ231" s="3">
        <f t="shared" si="963"/>
        <v>8640</v>
      </c>
      <c r="AR231" s="3">
        <f>AQ231</f>
        <v>8640</v>
      </c>
      <c r="AS231" s="3">
        <f t="shared" si="987"/>
        <v>0</v>
      </c>
      <c r="AT231" s="3"/>
    </row>
    <row r="232" spans="1:46" x14ac:dyDescent="0.35">
      <c r="A232" s="3"/>
      <c r="B232" s="3" t="s">
        <v>308</v>
      </c>
      <c r="C232" s="3" t="s">
        <v>33</v>
      </c>
      <c r="D232" s="7">
        <v>0</v>
      </c>
      <c r="E232" s="3">
        <v>60</v>
      </c>
      <c r="F232" s="1">
        <f t="shared" si="945"/>
        <v>0</v>
      </c>
      <c r="G232" s="7">
        <v>0</v>
      </c>
      <c r="H232" s="3">
        <v>60</v>
      </c>
      <c r="I232" s="27">
        <f t="shared" si="946"/>
        <v>0</v>
      </c>
      <c r="J232" s="3">
        <f t="shared" si="985"/>
        <v>0</v>
      </c>
      <c r="K232" s="7">
        <v>60</v>
      </c>
      <c r="L232" s="7">
        <f t="shared" si="948"/>
        <v>0</v>
      </c>
      <c r="M232" s="3">
        <f>J232*5</f>
        <v>0</v>
      </c>
      <c r="N232" s="6">
        <f t="shared" si="949"/>
        <v>0</v>
      </c>
      <c r="O232" s="34"/>
      <c r="P232" s="7">
        <v>0</v>
      </c>
      <c r="Q232" s="3">
        <v>100</v>
      </c>
      <c r="R232" s="3">
        <f t="shared" si="950"/>
        <v>0</v>
      </c>
      <c r="S232" s="7">
        <v>0</v>
      </c>
      <c r="T232" s="3">
        <v>100</v>
      </c>
      <c r="U232" s="3">
        <f t="shared" si="951"/>
        <v>0</v>
      </c>
      <c r="V232" s="3">
        <f t="shared" si="952"/>
        <v>0</v>
      </c>
      <c r="W232" s="7">
        <v>100</v>
      </c>
      <c r="X232" s="7">
        <f t="shared" si="986"/>
        <v>0</v>
      </c>
      <c r="Y232" s="3">
        <f>V232*5</f>
        <v>0</v>
      </c>
      <c r="Z232" s="6">
        <f t="shared" si="954"/>
        <v>0</v>
      </c>
      <c r="AA232" s="82">
        <v>195</v>
      </c>
      <c r="AB232" s="7">
        <v>0</v>
      </c>
      <c r="AC232" s="3">
        <v>50</v>
      </c>
      <c r="AD232" s="3">
        <f t="shared" si="955"/>
        <v>0</v>
      </c>
      <c r="AE232" s="7">
        <v>0</v>
      </c>
      <c r="AF232" s="3">
        <v>50</v>
      </c>
      <c r="AG232" s="3">
        <f t="shared" si="956"/>
        <v>0</v>
      </c>
      <c r="AH232" s="3">
        <f t="shared" si="957"/>
        <v>0</v>
      </c>
      <c r="AI232" s="3">
        <v>50</v>
      </c>
      <c r="AJ232" s="7">
        <f t="shared" si="958"/>
        <v>0</v>
      </c>
      <c r="AK232" s="3">
        <f>AH232*5</f>
        <v>0</v>
      </c>
      <c r="AL232" s="6">
        <f t="shared" si="959"/>
        <v>0</v>
      </c>
      <c r="AM232" s="6">
        <f t="shared" si="960"/>
        <v>0</v>
      </c>
      <c r="AN232" s="6">
        <f t="shared" si="961"/>
        <v>0</v>
      </c>
      <c r="AO232" s="6">
        <f t="shared" si="962"/>
        <v>0</v>
      </c>
      <c r="AP232" s="3" t="s">
        <v>495</v>
      </c>
      <c r="AQ232" s="3">
        <f t="shared" si="963"/>
        <v>0</v>
      </c>
      <c r="AR232" s="3">
        <f t="shared" ref="AR232:AR233" si="988">AQ232</f>
        <v>0</v>
      </c>
      <c r="AS232" s="3">
        <f t="shared" si="987"/>
        <v>0</v>
      </c>
      <c r="AT232" s="3"/>
    </row>
    <row r="233" spans="1:46" x14ac:dyDescent="0.35">
      <c r="A233" s="3"/>
      <c r="B233" s="3" t="s">
        <v>308</v>
      </c>
      <c r="C233" s="3" t="s">
        <v>332</v>
      </c>
      <c r="D233" s="7">
        <v>0</v>
      </c>
      <c r="E233" s="3">
        <v>60</v>
      </c>
      <c r="F233" s="1">
        <v>0</v>
      </c>
      <c r="G233" s="7">
        <v>0</v>
      </c>
      <c r="H233" s="3">
        <v>60</v>
      </c>
      <c r="I233" s="27">
        <f t="shared" si="946"/>
        <v>0</v>
      </c>
      <c r="J233" s="3">
        <v>0</v>
      </c>
      <c r="K233" s="7">
        <v>60</v>
      </c>
      <c r="L233" s="7">
        <f t="shared" si="948"/>
        <v>0</v>
      </c>
      <c r="M233" s="3">
        <v>0</v>
      </c>
      <c r="N233" s="6">
        <f t="shared" si="949"/>
        <v>0</v>
      </c>
      <c r="O233" s="34"/>
      <c r="P233" s="7">
        <v>0</v>
      </c>
      <c r="Q233" s="3">
        <v>100</v>
      </c>
      <c r="R233" s="3">
        <v>0</v>
      </c>
      <c r="S233" s="7">
        <v>0</v>
      </c>
      <c r="T233" s="3">
        <v>100</v>
      </c>
      <c r="U233" s="3">
        <f t="shared" si="951"/>
        <v>0</v>
      </c>
      <c r="V233" s="3">
        <v>0</v>
      </c>
      <c r="W233" s="7">
        <v>100</v>
      </c>
      <c r="X233" s="7">
        <f t="shared" si="986"/>
        <v>0</v>
      </c>
      <c r="Y233" s="3">
        <v>0</v>
      </c>
      <c r="Z233" s="6">
        <f t="shared" si="954"/>
        <v>0</v>
      </c>
      <c r="AA233" s="82"/>
      <c r="AB233" s="7">
        <v>0</v>
      </c>
      <c r="AC233" s="3">
        <v>50</v>
      </c>
      <c r="AD233" s="3">
        <v>0</v>
      </c>
      <c r="AE233" s="7">
        <v>0</v>
      </c>
      <c r="AF233" s="3">
        <v>50</v>
      </c>
      <c r="AG233" s="3">
        <f t="shared" si="956"/>
        <v>0</v>
      </c>
      <c r="AH233" s="3">
        <v>0</v>
      </c>
      <c r="AI233" s="3">
        <v>50</v>
      </c>
      <c r="AJ233" s="7">
        <f t="shared" si="958"/>
        <v>0</v>
      </c>
      <c r="AK233" s="3">
        <v>0</v>
      </c>
      <c r="AL233" s="6">
        <f t="shared" si="959"/>
        <v>0</v>
      </c>
      <c r="AM233" s="6">
        <f t="shared" si="960"/>
        <v>0</v>
      </c>
      <c r="AN233" s="6">
        <f t="shared" si="961"/>
        <v>0</v>
      </c>
      <c r="AO233" s="6">
        <f t="shared" si="962"/>
        <v>0</v>
      </c>
      <c r="AP233" s="3" t="s">
        <v>495</v>
      </c>
      <c r="AQ233" s="3">
        <f t="shared" si="963"/>
        <v>0</v>
      </c>
      <c r="AR233" s="3">
        <f t="shared" si="988"/>
        <v>0</v>
      </c>
      <c r="AS233" s="3">
        <f t="shared" si="987"/>
        <v>0</v>
      </c>
      <c r="AT233" s="3"/>
    </row>
    <row r="234" spans="1:46" x14ac:dyDescent="0.35">
      <c r="A234" s="3"/>
      <c r="B234" s="3" t="s">
        <v>287</v>
      </c>
      <c r="C234" s="3" t="s">
        <v>331</v>
      </c>
      <c r="D234" s="7">
        <v>0</v>
      </c>
      <c r="E234" s="3">
        <v>60</v>
      </c>
      <c r="F234" s="1">
        <f t="shared" ref="F234" si="989">D234*E234</f>
        <v>0</v>
      </c>
      <c r="G234" s="7">
        <v>0</v>
      </c>
      <c r="H234" s="3">
        <v>60</v>
      </c>
      <c r="I234" s="27">
        <f t="shared" si="946"/>
        <v>0</v>
      </c>
      <c r="J234" s="3">
        <f t="shared" ref="J234" si="990">D234-G234</f>
        <v>0</v>
      </c>
      <c r="K234" s="7">
        <v>60</v>
      </c>
      <c r="L234" s="7">
        <f t="shared" si="948"/>
        <v>0</v>
      </c>
      <c r="M234" s="3">
        <f>J234*5</f>
        <v>0</v>
      </c>
      <c r="N234" s="6">
        <f t="shared" si="949"/>
        <v>0</v>
      </c>
      <c r="O234" s="34"/>
      <c r="P234" s="7">
        <v>0</v>
      </c>
      <c r="Q234" s="3">
        <v>100</v>
      </c>
      <c r="R234" s="3">
        <f t="shared" ref="R234" si="991">P234*Q234</f>
        <v>0</v>
      </c>
      <c r="S234" s="7">
        <v>0</v>
      </c>
      <c r="T234" s="3">
        <v>100</v>
      </c>
      <c r="U234" s="3">
        <f t="shared" si="951"/>
        <v>0</v>
      </c>
      <c r="V234" s="3">
        <f t="shared" ref="V234" si="992">P234-S234</f>
        <v>0</v>
      </c>
      <c r="W234" s="7">
        <v>100</v>
      </c>
      <c r="X234" s="7">
        <f t="shared" si="986"/>
        <v>0</v>
      </c>
      <c r="Y234" s="3">
        <f>V234*10</f>
        <v>0</v>
      </c>
      <c r="Z234" s="6">
        <f t="shared" si="954"/>
        <v>0</v>
      </c>
      <c r="AA234" s="82"/>
      <c r="AB234" s="7">
        <v>0</v>
      </c>
      <c r="AC234" s="3">
        <v>50</v>
      </c>
      <c r="AD234" s="3">
        <f t="shared" ref="AD234" si="993">AB234*AC234</f>
        <v>0</v>
      </c>
      <c r="AE234" s="7">
        <v>0</v>
      </c>
      <c r="AF234" s="3">
        <v>50</v>
      </c>
      <c r="AG234" s="3">
        <f t="shared" si="956"/>
        <v>0</v>
      </c>
      <c r="AH234" s="3">
        <f t="shared" ref="AH234" si="994">AB234-AE234</f>
        <v>0</v>
      </c>
      <c r="AI234" s="3">
        <v>50</v>
      </c>
      <c r="AJ234" s="7">
        <f t="shared" si="958"/>
        <v>0</v>
      </c>
      <c r="AK234" s="3">
        <f>AH234*5</f>
        <v>0</v>
      </c>
      <c r="AL234" s="6">
        <f t="shared" si="959"/>
        <v>0</v>
      </c>
      <c r="AM234" s="6">
        <f t="shared" si="960"/>
        <v>0</v>
      </c>
      <c r="AN234" s="6">
        <f t="shared" si="961"/>
        <v>0</v>
      </c>
      <c r="AO234" s="6">
        <f t="shared" si="962"/>
        <v>0</v>
      </c>
      <c r="AP234" s="3" t="s">
        <v>495</v>
      </c>
      <c r="AQ234" s="3">
        <f t="shared" si="963"/>
        <v>0</v>
      </c>
      <c r="AR234" s="3">
        <f>AQ234</f>
        <v>0</v>
      </c>
      <c r="AS234" s="3">
        <f t="shared" si="987"/>
        <v>0</v>
      </c>
      <c r="AT234" s="3"/>
    </row>
    <row r="235" spans="1:46" x14ac:dyDescent="0.35">
      <c r="A235" s="3"/>
      <c r="B235" s="3" t="s">
        <v>287</v>
      </c>
      <c r="C235" s="3" t="s">
        <v>332</v>
      </c>
      <c r="D235" s="7">
        <v>0</v>
      </c>
      <c r="E235" s="3">
        <v>60</v>
      </c>
      <c r="F235" s="1">
        <v>0</v>
      </c>
      <c r="G235" s="7">
        <v>0</v>
      </c>
      <c r="H235" s="3">
        <v>60</v>
      </c>
      <c r="I235" s="27">
        <f t="shared" si="946"/>
        <v>0</v>
      </c>
      <c r="J235" s="3">
        <v>0</v>
      </c>
      <c r="K235" s="7">
        <v>60</v>
      </c>
      <c r="L235" s="7">
        <f t="shared" si="948"/>
        <v>0</v>
      </c>
      <c r="M235" s="3">
        <v>0</v>
      </c>
      <c r="N235" s="6">
        <f t="shared" si="949"/>
        <v>0</v>
      </c>
      <c r="O235" s="34"/>
      <c r="P235" s="7">
        <v>0</v>
      </c>
      <c r="Q235" s="3">
        <v>100</v>
      </c>
      <c r="R235" s="3">
        <v>0</v>
      </c>
      <c r="S235" s="7">
        <v>0</v>
      </c>
      <c r="T235" s="3">
        <v>100</v>
      </c>
      <c r="U235" s="3">
        <f t="shared" si="951"/>
        <v>0</v>
      </c>
      <c r="V235" s="3">
        <v>0</v>
      </c>
      <c r="W235" s="7">
        <v>100</v>
      </c>
      <c r="X235" s="7">
        <f t="shared" si="986"/>
        <v>0</v>
      </c>
      <c r="Y235" s="3">
        <v>0</v>
      </c>
      <c r="Z235" s="6">
        <f t="shared" si="954"/>
        <v>0</v>
      </c>
      <c r="AA235" s="82"/>
      <c r="AB235" s="7">
        <v>0</v>
      </c>
      <c r="AC235" s="3">
        <v>50</v>
      </c>
      <c r="AD235" s="3">
        <v>0</v>
      </c>
      <c r="AE235" s="7">
        <v>0</v>
      </c>
      <c r="AF235" s="3">
        <v>50</v>
      </c>
      <c r="AG235" s="3">
        <f t="shared" si="956"/>
        <v>0</v>
      </c>
      <c r="AH235" s="3">
        <v>0</v>
      </c>
      <c r="AI235" s="3">
        <v>50</v>
      </c>
      <c r="AJ235" s="7">
        <f t="shared" si="958"/>
        <v>0</v>
      </c>
      <c r="AK235" s="3">
        <v>0</v>
      </c>
      <c r="AL235" s="6">
        <f t="shared" si="959"/>
        <v>0</v>
      </c>
      <c r="AM235" s="6">
        <f t="shared" si="960"/>
        <v>0</v>
      </c>
      <c r="AN235" s="6">
        <f t="shared" si="961"/>
        <v>0</v>
      </c>
      <c r="AO235" s="6">
        <f t="shared" si="962"/>
        <v>0</v>
      </c>
      <c r="AP235" s="3" t="s">
        <v>495</v>
      </c>
      <c r="AQ235" s="3">
        <f t="shared" si="963"/>
        <v>0</v>
      </c>
      <c r="AR235" s="3">
        <f t="shared" ref="AR235" si="995">AQ235</f>
        <v>0</v>
      </c>
      <c r="AS235" s="3">
        <f t="shared" si="987"/>
        <v>0</v>
      </c>
      <c r="AT235" s="3"/>
    </row>
    <row r="236" spans="1:46" x14ac:dyDescent="0.35">
      <c r="A236" s="19"/>
      <c r="B236" s="19" t="s">
        <v>36</v>
      </c>
      <c r="C236" s="19"/>
      <c r="D236" s="19">
        <f>SUM(D224:D235)</f>
        <v>699</v>
      </c>
      <c r="E236" s="19"/>
      <c r="F236" s="19">
        <f>SUM(F224:F235)</f>
        <v>41640</v>
      </c>
      <c r="G236" s="19">
        <f>SUM(G224:G235)</f>
        <v>305</v>
      </c>
      <c r="H236" s="19"/>
      <c r="I236" s="19">
        <f>SUM(I224:I235)</f>
        <v>18300</v>
      </c>
      <c r="J236" s="19">
        <f>SUM(J224:J235)</f>
        <v>394</v>
      </c>
      <c r="K236" s="19"/>
      <c r="L236" s="19">
        <f>SUM(L224:L235)</f>
        <v>23340</v>
      </c>
      <c r="M236" s="19">
        <f>SUM(M224:M235)</f>
        <v>525</v>
      </c>
      <c r="N236" s="19">
        <f>SUM(N224:N235)</f>
        <v>17040</v>
      </c>
      <c r="O236" s="34"/>
      <c r="P236" s="19">
        <f>SUM(P224:P235)</f>
        <v>1003</v>
      </c>
      <c r="Q236" s="19"/>
      <c r="R236" s="19">
        <f>SUM(R224:R235)</f>
        <v>99580</v>
      </c>
      <c r="S236" s="19">
        <f>SUM(S224:S235)</f>
        <v>137</v>
      </c>
      <c r="T236" s="19"/>
      <c r="U236" s="19">
        <f>SUM(U224:U235)</f>
        <v>13700</v>
      </c>
      <c r="V236" s="19">
        <f>SUM(V224:V235)</f>
        <v>866</v>
      </c>
      <c r="W236" s="19"/>
      <c r="X236" s="19">
        <f>SUM(X224:X235)</f>
        <v>85880</v>
      </c>
      <c r="Y236" s="19">
        <f>SUM(Y224:Y235)</f>
        <v>1420</v>
      </c>
      <c r="Z236" s="19">
        <f>SUM(Z224:Z235)</f>
        <v>84460</v>
      </c>
      <c r="AA236" s="34"/>
      <c r="AB236" s="19">
        <f>SUM(AB224:AB235)</f>
        <v>720</v>
      </c>
      <c r="AC236" s="19"/>
      <c r="AD236" s="19">
        <f>SUM(AD224:AD235)</f>
        <v>35760</v>
      </c>
      <c r="AE236" s="19">
        <f>SUM(AE224:AE235)</f>
        <v>165</v>
      </c>
      <c r="AF236" s="19"/>
      <c r="AG236" s="19">
        <f>SUM(AG224:AG235)</f>
        <v>8250</v>
      </c>
      <c r="AH236" s="19">
        <f>SUM(AH224:AH235)</f>
        <v>555</v>
      </c>
      <c r="AI236" s="19"/>
      <c r="AJ236" s="19">
        <f t="shared" ref="AJ236:AO236" si="996">SUM(AJ224:AJ235)</f>
        <v>27510</v>
      </c>
      <c r="AK236" s="19">
        <f t="shared" si="996"/>
        <v>685</v>
      </c>
      <c r="AL236" s="19">
        <f t="shared" si="996"/>
        <v>26825</v>
      </c>
      <c r="AM236" s="19">
        <f t="shared" si="996"/>
        <v>136730</v>
      </c>
      <c r="AN236" s="19">
        <f t="shared" si="996"/>
        <v>2630</v>
      </c>
      <c r="AO236" s="19">
        <f t="shared" si="996"/>
        <v>134100</v>
      </c>
      <c r="AP236" s="19"/>
      <c r="AQ236" s="19">
        <f>SUM(AQ224:AQ235)</f>
        <v>134100</v>
      </c>
      <c r="AR236" s="19">
        <f>SUM(AR224:AR235)</f>
        <v>134100</v>
      </c>
      <c r="AS236" s="19">
        <f>SUM(AS224:AS235)</f>
        <v>0</v>
      </c>
      <c r="AT236" s="74"/>
    </row>
    <row r="237" spans="1:46" x14ac:dyDescent="0.35">
      <c r="A237" s="3" t="s">
        <v>498</v>
      </c>
      <c r="B237" s="172" t="s">
        <v>276</v>
      </c>
      <c r="C237" s="3" t="s">
        <v>33</v>
      </c>
      <c r="D237" s="7">
        <f>225-60</f>
        <v>165</v>
      </c>
      <c r="E237" s="3">
        <v>60</v>
      </c>
      <c r="F237" s="1">
        <f t="shared" ref="F237:F245" si="997">D237*E237</f>
        <v>9900</v>
      </c>
      <c r="G237" s="7">
        <v>79</v>
      </c>
      <c r="H237" s="3">
        <v>60</v>
      </c>
      <c r="I237" s="27">
        <f t="shared" ref="I237:I248" si="998">G237*H237</f>
        <v>4740</v>
      </c>
      <c r="J237" s="3">
        <f t="shared" ref="J237:J245" si="999">D237-G237</f>
        <v>86</v>
      </c>
      <c r="K237" s="7">
        <v>60</v>
      </c>
      <c r="L237" s="7">
        <f t="shared" ref="L237:L248" si="1000">J237*K237</f>
        <v>5160</v>
      </c>
      <c r="M237" s="3">
        <v>0</v>
      </c>
      <c r="N237" s="6">
        <f t="shared" ref="N237:N248" si="1001">L237-M237</f>
        <v>5160</v>
      </c>
      <c r="O237" s="34"/>
      <c r="P237" s="7">
        <f>252</f>
        <v>252</v>
      </c>
      <c r="Q237" s="3">
        <v>100</v>
      </c>
      <c r="R237" s="3">
        <f t="shared" ref="R237:R245" si="1002">P237*Q237</f>
        <v>25200</v>
      </c>
      <c r="S237" s="7">
        <v>0</v>
      </c>
      <c r="T237" s="3">
        <v>100</v>
      </c>
      <c r="U237" s="3">
        <f t="shared" ref="U237:U248" si="1003">S237*T237</f>
        <v>0</v>
      </c>
      <c r="V237" s="3">
        <f t="shared" ref="V237:V245" si="1004">P237-S237</f>
        <v>252</v>
      </c>
      <c r="W237" s="7">
        <v>100</v>
      </c>
      <c r="X237" s="7">
        <f t="shared" ref="X237" si="1005">V237*W237</f>
        <v>25200</v>
      </c>
      <c r="Y237" s="3">
        <v>0</v>
      </c>
      <c r="Z237" s="6">
        <f t="shared" ref="Z237:Z248" si="1006">X237-Y237</f>
        <v>25200</v>
      </c>
      <c r="AA237" s="82"/>
      <c r="AB237" s="7">
        <v>204</v>
      </c>
      <c r="AC237" s="3">
        <v>50</v>
      </c>
      <c r="AD237" s="3">
        <f t="shared" ref="AD237:AD245" si="1007">AB237*AC237</f>
        <v>10200</v>
      </c>
      <c r="AE237" s="7">
        <v>0</v>
      </c>
      <c r="AF237" s="3">
        <v>50</v>
      </c>
      <c r="AG237" s="3">
        <f t="shared" ref="AG237:AG248" si="1008">AE237*AF237</f>
        <v>0</v>
      </c>
      <c r="AH237" s="3">
        <f t="shared" ref="AH237:AH245" si="1009">AB237-AE237</f>
        <v>204</v>
      </c>
      <c r="AI237" s="3">
        <v>50</v>
      </c>
      <c r="AJ237" s="7">
        <f t="shared" ref="AJ237:AJ248" si="1010">AH237*AI237</f>
        <v>10200</v>
      </c>
      <c r="AK237" s="3">
        <v>0</v>
      </c>
      <c r="AL237" s="6">
        <f t="shared" ref="AL237:AL248" si="1011">AJ237-AK237</f>
        <v>10200</v>
      </c>
      <c r="AM237" s="6">
        <f t="shared" ref="AM237:AM248" si="1012">L237+X237+AJ237</f>
        <v>40560</v>
      </c>
      <c r="AN237" s="6">
        <f t="shared" ref="AN237:AN248" si="1013">M237+Y237+AK237</f>
        <v>0</v>
      </c>
      <c r="AO237" s="6">
        <f t="shared" ref="AO237:AO248" si="1014">AM237-AN237</f>
        <v>40560</v>
      </c>
      <c r="AP237" s="3" t="s">
        <v>498</v>
      </c>
      <c r="AQ237" s="3">
        <f t="shared" ref="AQ237:AQ248" si="1015">AO237</f>
        <v>40560</v>
      </c>
      <c r="AR237" s="3">
        <f>AQ237</f>
        <v>40560</v>
      </c>
      <c r="AS237" s="3">
        <f t="shared" ref="AS237:AS240" si="1016">AQ237-AR237</f>
        <v>0</v>
      </c>
      <c r="AT237" s="3"/>
    </row>
    <row r="238" spans="1:46" x14ac:dyDescent="0.35">
      <c r="A238" s="3"/>
      <c r="B238" s="172" t="s">
        <v>276</v>
      </c>
      <c r="C238" s="3" t="s">
        <v>182</v>
      </c>
      <c r="D238" s="7">
        <v>60</v>
      </c>
      <c r="E238" s="3">
        <v>55</v>
      </c>
      <c r="F238" s="1">
        <f t="shared" ref="F238" si="1017">D238*E238</f>
        <v>3300</v>
      </c>
      <c r="G238" s="7">
        <v>0</v>
      </c>
      <c r="H238" s="3">
        <v>55</v>
      </c>
      <c r="I238" s="27">
        <f t="shared" ref="I238" si="1018">G238*H238</f>
        <v>0</v>
      </c>
      <c r="J238" s="3">
        <f t="shared" ref="J238" si="1019">D238-G238</f>
        <v>60</v>
      </c>
      <c r="K238" s="7">
        <v>55</v>
      </c>
      <c r="L238" s="7">
        <f t="shared" ref="L238" si="1020">J238*K238</f>
        <v>3300</v>
      </c>
      <c r="M238" s="7">
        <v>0</v>
      </c>
      <c r="N238" s="6">
        <f t="shared" ref="N238" si="1021">L238-M238</f>
        <v>3300</v>
      </c>
      <c r="O238" s="34"/>
      <c r="P238" s="7">
        <v>0</v>
      </c>
      <c r="Q238" s="3">
        <v>100</v>
      </c>
      <c r="R238" s="3">
        <f t="shared" ref="R238" si="1022">P238*Q238</f>
        <v>0</v>
      </c>
      <c r="S238" s="7">
        <v>0</v>
      </c>
      <c r="T238" s="3">
        <v>100</v>
      </c>
      <c r="U238" s="3">
        <f t="shared" ref="U238" si="1023">S238*T238</f>
        <v>0</v>
      </c>
      <c r="V238" s="3">
        <f t="shared" ref="V238" si="1024">P238-S238</f>
        <v>0</v>
      </c>
      <c r="W238" s="7">
        <v>100</v>
      </c>
      <c r="X238" s="7">
        <f>V238*W238</f>
        <v>0</v>
      </c>
      <c r="Y238" s="7">
        <v>0</v>
      </c>
      <c r="Z238" s="6">
        <f t="shared" ref="Z238" si="1025">X238-Y238</f>
        <v>0</v>
      </c>
      <c r="AA238" s="82"/>
      <c r="AB238" s="7">
        <v>0</v>
      </c>
      <c r="AC238" s="3">
        <v>50</v>
      </c>
      <c r="AD238" s="3">
        <f t="shared" ref="AD238" si="1026">AB238*AC238</f>
        <v>0</v>
      </c>
      <c r="AE238" s="7">
        <v>0</v>
      </c>
      <c r="AF238" s="3">
        <v>50</v>
      </c>
      <c r="AG238" s="3">
        <f t="shared" ref="AG238" si="1027">AE238*AF238</f>
        <v>0</v>
      </c>
      <c r="AH238" s="3">
        <f t="shared" ref="AH238" si="1028">AB238-AE238</f>
        <v>0</v>
      </c>
      <c r="AI238" s="3">
        <v>50</v>
      </c>
      <c r="AJ238" s="7">
        <f t="shared" ref="AJ238" si="1029">AH238*AI238</f>
        <v>0</v>
      </c>
      <c r="AK238" s="7">
        <v>0</v>
      </c>
      <c r="AL238" s="6">
        <f t="shared" ref="AL238" si="1030">AJ238-AK238</f>
        <v>0</v>
      </c>
      <c r="AM238" s="6">
        <f t="shared" ref="AM238" si="1031">L238+X238+AJ238</f>
        <v>3300</v>
      </c>
      <c r="AN238" s="6">
        <f t="shared" ref="AN238" si="1032">M238+Y238+AK238</f>
        <v>0</v>
      </c>
      <c r="AO238" s="6">
        <f t="shared" ref="AO238" si="1033">AM238-AN238</f>
        <v>3300</v>
      </c>
      <c r="AP238" s="3" t="s">
        <v>498</v>
      </c>
      <c r="AQ238" s="3">
        <f t="shared" ref="AQ238" si="1034">AO238</f>
        <v>3300</v>
      </c>
      <c r="AR238" s="3">
        <f t="shared" ref="AR238" si="1035">AQ238</f>
        <v>3300</v>
      </c>
      <c r="AS238" s="3">
        <f t="shared" ref="AS238" si="1036">AQ238-AR238</f>
        <v>0</v>
      </c>
      <c r="AT238" s="3"/>
    </row>
    <row r="239" spans="1:46" x14ac:dyDescent="0.35">
      <c r="A239" s="3"/>
      <c r="B239" s="172" t="s">
        <v>463</v>
      </c>
      <c r="C239" s="3" t="s">
        <v>33</v>
      </c>
      <c r="D239" s="7">
        <v>300</v>
      </c>
      <c r="E239" s="3">
        <v>60</v>
      </c>
      <c r="F239" s="1">
        <f t="shared" si="997"/>
        <v>18000</v>
      </c>
      <c r="G239" s="7">
        <v>146</v>
      </c>
      <c r="H239" s="3">
        <v>60</v>
      </c>
      <c r="I239" s="27">
        <f t="shared" si="998"/>
        <v>8760</v>
      </c>
      <c r="J239" s="3">
        <f t="shared" si="999"/>
        <v>154</v>
      </c>
      <c r="K239" s="7">
        <v>60</v>
      </c>
      <c r="L239" s="7">
        <f t="shared" si="1000"/>
        <v>9240</v>
      </c>
      <c r="M239" s="7">
        <v>0</v>
      </c>
      <c r="N239" s="6">
        <f t="shared" si="1001"/>
        <v>9240</v>
      </c>
      <c r="O239" s="34"/>
      <c r="P239" s="7">
        <f>240+15</f>
        <v>255</v>
      </c>
      <c r="Q239" s="3">
        <v>100</v>
      </c>
      <c r="R239" s="3">
        <f t="shared" si="1002"/>
        <v>25500</v>
      </c>
      <c r="S239" s="7">
        <v>10</v>
      </c>
      <c r="T239" s="3">
        <v>100</v>
      </c>
      <c r="U239" s="3">
        <f t="shared" si="1003"/>
        <v>1000</v>
      </c>
      <c r="V239" s="3">
        <f t="shared" si="1004"/>
        <v>245</v>
      </c>
      <c r="W239" s="7">
        <v>100</v>
      </c>
      <c r="X239" s="7">
        <f>V239*W239</f>
        <v>24500</v>
      </c>
      <c r="Y239" s="7">
        <v>0</v>
      </c>
      <c r="Z239" s="6">
        <f t="shared" si="1006"/>
        <v>24500</v>
      </c>
      <c r="AA239" s="82"/>
      <c r="AB239" s="7">
        <v>240</v>
      </c>
      <c r="AC239" s="3">
        <v>50</v>
      </c>
      <c r="AD239" s="3">
        <f t="shared" si="1007"/>
        <v>12000</v>
      </c>
      <c r="AE239" s="7">
        <v>137</v>
      </c>
      <c r="AF239" s="3">
        <v>50</v>
      </c>
      <c r="AG239" s="3">
        <f t="shared" si="1008"/>
        <v>6850</v>
      </c>
      <c r="AH239" s="3">
        <f t="shared" si="1009"/>
        <v>103</v>
      </c>
      <c r="AI239" s="3">
        <v>50</v>
      </c>
      <c r="AJ239" s="7">
        <f t="shared" si="1010"/>
        <v>5150</v>
      </c>
      <c r="AK239" s="7">
        <v>0</v>
      </c>
      <c r="AL239" s="6">
        <f t="shared" si="1011"/>
        <v>5150</v>
      </c>
      <c r="AM239" s="6">
        <f t="shared" si="1012"/>
        <v>38890</v>
      </c>
      <c r="AN239" s="6">
        <f t="shared" si="1013"/>
        <v>0</v>
      </c>
      <c r="AO239" s="6">
        <f t="shared" si="1014"/>
        <v>38890</v>
      </c>
      <c r="AP239" s="3" t="s">
        <v>498</v>
      </c>
      <c r="AQ239" s="3">
        <f t="shared" si="1015"/>
        <v>38890</v>
      </c>
      <c r="AR239" s="3">
        <f>AQ239</f>
        <v>38890</v>
      </c>
      <c r="AS239" s="3">
        <f t="shared" si="1016"/>
        <v>0</v>
      </c>
      <c r="AT239" s="3"/>
    </row>
    <row r="240" spans="1:46" x14ac:dyDescent="0.35">
      <c r="A240" s="3"/>
      <c r="B240" s="172" t="s">
        <v>463</v>
      </c>
      <c r="C240" s="3" t="s">
        <v>182</v>
      </c>
      <c r="D240" s="7">
        <v>0</v>
      </c>
      <c r="E240" s="3">
        <v>55</v>
      </c>
      <c r="F240" s="1">
        <f t="shared" si="997"/>
        <v>0</v>
      </c>
      <c r="G240" s="7">
        <v>0</v>
      </c>
      <c r="H240" s="3">
        <v>55</v>
      </c>
      <c r="I240" s="27">
        <f t="shared" si="998"/>
        <v>0</v>
      </c>
      <c r="J240" s="3">
        <f t="shared" si="999"/>
        <v>0</v>
      </c>
      <c r="K240" s="7">
        <v>55</v>
      </c>
      <c r="L240" s="7">
        <f t="shared" si="1000"/>
        <v>0</v>
      </c>
      <c r="M240" s="7">
        <v>0</v>
      </c>
      <c r="N240" s="6">
        <f t="shared" si="1001"/>
        <v>0</v>
      </c>
      <c r="O240" s="34"/>
      <c r="P240" s="7">
        <v>0</v>
      </c>
      <c r="Q240" s="3">
        <v>100</v>
      </c>
      <c r="R240" s="3">
        <f t="shared" si="1002"/>
        <v>0</v>
      </c>
      <c r="S240" s="7">
        <v>0</v>
      </c>
      <c r="T240" s="3">
        <v>100</v>
      </c>
      <c r="U240" s="3">
        <f t="shared" si="1003"/>
        <v>0</v>
      </c>
      <c r="V240" s="3">
        <f t="shared" si="1004"/>
        <v>0</v>
      </c>
      <c r="W240" s="7">
        <v>100</v>
      </c>
      <c r="X240" s="7">
        <f>V240*W240</f>
        <v>0</v>
      </c>
      <c r="Y240" s="7">
        <v>0</v>
      </c>
      <c r="Z240" s="6">
        <f t="shared" si="1006"/>
        <v>0</v>
      </c>
      <c r="AA240" s="82"/>
      <c r="AB240" s="7">
        <v>0</v>
      </c>
      <c r="AC240" s="3">
        <v>50</v>
      </c>
      <c r="AD240" s="3">
        <f t="shared" si="1007"/>
        <v>0</v>
      </c>
      <c r="AE240" s="7">
        <v>0</v>
      </c>
      <c r="AF240" s="3">
        <v>50</v>
      </c>
      <c r="AG240" s="3">
        <f t="shared" si="1008"/>
        <v>0</v>
      </c>
      <c r="AH240" s="3">
        <f t="shared" si="1009"/>
        <v>0</v>
      </c>
      <c r="AI240" s="3">
        <v>50</v>
      </c>
      <c r="AJ240" s="7">
        <f t="shared" si="1010"/>
        <v>0</v>
      </c>
      <c r="AK240" s="7">
        <v>0</v>
      </c>
      <c r="AL240" s="6">
        <f t="shared" si="1011"/>
        <v>0</v>
      </c>
      <c r="AM240" s="6">
        <f t="shared" si="1012"/>
        <v>0</v>
      </c>
      <c r="AN240" s="6">
        <f t="shared" si="1013"/>
        <v>0</v>
      </c>
      <c r="AO240" s="6">
        <f t="shared" si="1014"/>
        <v>0</v>
      </c>
      <c r="AP240" s="3" t="s">
        <v>498</v>
      </c>
      <c r="AQ240" s="3">
        <f t="shared" si="1015"/>
        <v>0</v>
      </c>
      <c r="AR240" s="3">
        <f t="shared" ref="AR240" si="1037">AQ240</f>
        <v>0</v>
      </c>
      <c r="AS240" s="3">
        <f t="shared" si="1016"/>
        <v>0</v>
      </c>
      <c r="AT240" s="3"/>
    </row>
    <row r="241" spans="1:46" x14ac:dyDescent="0.35">
      <c r="A241" s="3"/>
      <c r="B241" s="172" t="s">
        <v>415</v>
      </c>
      <c r="C241" s="3" t="s">
        <v>33</v>
      </c>
      <c r="D241" s="7">
        <v>225</v>
      </c>
      <c r="E241" s="3">
        <v>60</v>
      </c>
      <c r="F241" s="1">
        <f t="shared" si="997"/>
        <v>13500</v>
      </c>
      <c r="G241" s="7">
        <v>0</v>
      </c>
      <c r="H241" s="3">
        <v>60</v>
      </c>
      <c r="I241" s="27">
        <f t="shared" si="998"/>
        <v>0</v>
      </c>
      <c r="J241" s="3">
        <f t="shared" si="999"/>
        <v>225</v>
      </c>
      <c r="K241" s="7">
        <v>60</v>
      </c>
      <c r="L241" s="7">
        <f t="shared" si="1000"/>
        <v>13500</v>
      </c>
      <c r="M241" s="3">
        <f>J241*5</f>
        <v>1125</v>
      </c>
      <c r="N241" s="6">
        <f t="shared" si="1001"/>
        <v>12375</v>
      </c>
      <c r="O241" s="34"/>
      <c r="P241" s="7">
        <v>288</v>
      </c>
      <c r="Q241" s="3">
        <v>100</v>
      </c>
      <c r="R241" s="3">
        <f t="shared" si="1002"/>
        <v>28800</v>
      </c>
      <c r="S241" s="7">
        <v>0</v>
      </c>
      <c r="T241" s="3">
        <v>100</v>
      </c>
      <c r="U241" s="3">
        <f t="shared" si="1003"/>
        <v>0</v>
      </c>
      <c r="V241" s="3">
        <f t="shared" si="1004"/>
        <v>288</v>
      </c>
      <c r="W241" s="7">
        <v>100</v>
      </c>
      <c r="X241" s="7">
        <f t="shared" ref="X241:X248" si="1038">V241*W241</f>
        <v>28800</v>
      </c>
      <c r="Y241" s="3">
        <f>V241*10</f>
        <v>2880</v>
      </c>
      <c r="Z241" s="6">
        <f t="shared" si="1006"/>
        <v>25920</v>
      </c>
      <c r="AA241" s="82"/>
      <c r="AB241" s="7">
        <v>204</v>
      </c>
      <c r="AC241" s="3">
        <v>50</v>
      </c>
      <c r="AD241" s="3">
        <f t="shared" si="1007"/>
        <v>10200</v>
      </c>
      <c r="AE241" s="7">
        <v>0</v>
      </c>
      <c r="AF241" s="3">
        <v>50</v>
      </c>
      <c r="AG241" s="3">
        <f t="shared" si="1008"/>
        <v>0</v>
      </c>
      <c r="AH241" s="3">
        <f t="shared" si="1009"/>
        <v>204</v>
      </c>
      <c r="AI241" s="3">
        <v>50</v>
      </c>
      <c r="AJ241" s="7">
        <f t="shared" si="1010"/>
        <v>10200</v>
      </c>
      <c r="AK241" s="3">
        <f>AH241*5</f>
        <v>1020</v>
      </c>
      <c r="AL241" s="6">
        <f t="shared" si="1011"/>
        <v>9180</v>
      </c>
      <c r="AM241" s="6">
        <f t="shared" si="1012"/>
        <v>52500</v>
      </c>
      <c r="AN241" s="6">
        <f t="shared" si="1013"/>
        <v>5025</v>
      </c>
      <c r="AO241" s="6">
        <f t="shared" si="1014"/>
        <v>47475</v>
      </c>
      <c r="AP241" s="3" t="s">
        <v>498</v>
      </c>
      <c r="AQ241" s="3">
        <f t="shared" si="1015"/>
        <v>47475</v>
      </c>
      <c r="AR241" s="3">
        <f>AQ241</f>
        <v>47475</v>
      </c>
      <c r="AS241" s="3">
        <f>AQ241-AR241</f>
        <v>0</v>
      </c>
      <c r="AT241" s="3"/>
    </row>
    <row r="242" spans="1:46" x14ac:dyDescent="0.35">
      <c r="A242" s="3"/>
      <c r="B242" s="172" t="s">
        <v>326</v>
      </c>
      <c r="C242" s="3" t="s">
        <v>33</v>
      </c>
      <c r="D242" s="7">
        <v>30</v>
      </c>
      <c r="E242" s="3">
        <v>60</v>
      </c>
      <c r="F242" s="1">
        <f t="shared" ref="F242" si="1039">D242*E242</f>
        <v>1800</v>
      </c>
      <c r="G242" s="7">
        <v>6</v>
      </c>
      <c r="H242" s="3">
        <v>60</v>
      </c>
      <c r="I242" s="27">
        <f t="shared" ref="I242" si="1040">G242*H242</f>
        <v>360</v>
      </c>
      <c r="J242" s="3">
        <f t="shared" ref="J242" si="1041">D242-G242</f>
        <v>24</v>
      </c>
      <c r="K242" s="7">
        <v>60</v>
      </c>
      <c r="L242" s="7">
        <f t="shared" ref="L242" si="1042">J242*K242</f>
        <v>1440</v>
      </c>
      <c r="M242" s="3">
        <v>0</v>
      </c>
      <c r="N242" s="6">
        <f t="shared" ref="N242" si="1043">L242-M242</f>
        <v>1440</v>
      </c>
      <c r="O242" s="34"/>
      <c r="P242" s="7">
        <v>60</v>
      </c>
      <c r="Q242" s="3">
        <v>100</v>
      </c>
      <c r="R242" s="3">
        <f t="shared" ref="R242" si="1044">P242*Q242</f>
        <v>6000</v>
      </c>
      <c r="S242" s="7">
        <v>0</v>
      </c>
      <c r="T242" s="3">
        <v>100</v>
      </c>
      <c r="U242" s="3">
        <f t="shared" ref="U242" si="1045">S242*T242</f>
        <v>0</v>
      </c>
      <c r="V242" s="3">
        <f t="shared" ref="V242" si="1046">P242-S242</f>
        <v>60</v>
      </c>
      <c r="W242" s="7">
        <v>100</v>
      </c>
      <c r="X242" s="7">
        <f t="shared" ref="X242" si="1047">V242*W242</f>
        <v>6000</v>
      </c>
      <c r="Y242" s="3">
        <v>0</v>
      </c>
      <c r="Z242" s="6">
        <f t="shared" ref="Z242" si="1048">X242-Y242</f>
        <v>6000</v>
      </c>
      <c r="AA242" s="82"/>
      <c r="AB242" s="7">
        <v>60</v>
      </c>
      <c r="AC242" s="3">
        <v>50</v>
      </c>
      <c r="AD242" s="3">
        <f t="shared" ref="AD242" si="1049">AB242*AC242</f>
        <v>3000</v>
      </c>
      <c r="AE242" s="7">
        <v>0</v>
      </c>
      <c r="AF242" s="3">
        <v>50</v>
      </c>
      <c r="AG242" s="3">
        <f t="shared" ref="AG242" si="1050">AE242*AF242</f>
        <v>0</v>
      </c>
      <c r="AH242" s="3">
        <f t="shared" ref="AH242" si="1051">AB242-AE242</f>
        <v>60</v>
      </c>
      <c r="AI242" s="3">
        <v>50</v>
      </c>
      <c r="AJ242" s="7">
        <f t="shared" ref="AJ242" si="1052">AH242*AI242</f>
        <v>3000</v>
      </c>
      <c r="AK242" s="3">
        <v>0</v>
      </c>
      <c r="AL242" s="6">
        <f t="shared" ref="AL242" si="1053">AJ242-AK242</f>
        <v>3000</v>
      </c>
      <c r="AM242" s="6">
        <f t="shared" ref="AM242" si="1054">L242+X242+AJ242</f>
        <v>10440</v>
      </c>
      <c r="AN242" s="6">
        <f t="shared" ref="AN242" si="1055">M242+Y242+AK242</f>
        <v>0</v>
      </c>
      <c r="AO242" s="6">
        <f t="shared" ref="AO242" si="1056">AM242-AN242</f>
        <v>10440</v>
      </c>
      <c r="AP242" s="3" t="s">
        <v>498</v>
      </c>
      <c r="AQ242" s="3">
        <f t="shared" ref="AQ242" si="1057">AO242</f>
        <v>10440</v>
      </c>
      <c r="AR242" s="3">
        <f>AQ242</f>
        <v>10440</v>
      </c>
      <c r="AS242" s="3">
        <f t="shared" ref="AS242" si="1058">AQ242-AR242</f>
        <v>0</v>
      </c>
      <c r="AT242" s="3"/>
    </row>
    <row r="243" spans="1:46" x14ac:dyDescent="0.35">
      <c r="A243" s="3"/>
      <c r="B243" s="172" t="s">
        <v>283</v>
      </c>
      <c r="C243" s="3" t="s">
        <v>33</v>
      </c>
      <c r="D243" s="7">
        <v>15</v>
      </c>
      <c r="E243" s="3">
        <v>60</v>
      </c>
      <c r="F243" s="1">
        <f t="shared" si="997"/>
        <v>900</v>
      </c>
      <c r="G243" s="7">
        <v>11</v>
      </c>
      <c r="H243" s="3">
        <v>60</v>
      </c>
      <c r="I243" s="27">
        <f t="shared" si="998"/>
        <v>660</v>
      </c>
      <c r="J243" s="3">
        <f t="shared" si="999"/>
        <v>4</v>
      </c>
      <c r="K243" s="7">
        <v>60</v>
      </c>
      <c r="L243" s="7">
        <f t="shared" si="1000"/>
        <v>240</v>
      </c>
      <c r="M243" s="3">
        <v>0</v>
      </c>
      <c r="N243" s="6">
        <f t="shared" si="1001"/>
        <v>240</v>
      </c>
      <c r="O243" s="34"/>
      <c r="P243" s="7">
        <v>36</v>
      </c>
      <c r="Q243" s="3">
        <v>100</v>
      </c>
      <c r="R243" s="3">
        <f t="shared" si="1002"/>
        <v>3600</v>
      </c>
      <c r="S243" s="7">
        <v>3</v>
      </c>
      <c r="T243" s="3">
        <v>100</v>
      </c>
      <c r="U243" s="3">
        <f t="shared" si="1003"/>
        <v>300</v>
      </c>
      <c r="V243" s="3">
        <f t="shared" si="1004"/>
        <v>33</v>
      </c>
      <c r="W243" s="7">
        <v>100</v>
      </c>
      <c r="X243" s="7">
        <f t="shared" si="1038"/>
        <v>3300</v>
      </c>
      <c r="Y243" s="3">
        <v>0</v>
      </c>
      <c r="Z243" s="6">
        <f t="shared" si="1006"/>
        <v>3300</v>
      </c>
      <c r="AA243" s="82"/>
      <c r="AB243" s="7">
        <v>48</v>
      </c>
      <c r="AC243" s="3">
        <v>50</v>
      </c>
      <c r="AD243" s="3">
        <f t="shared" si="1007"/>
        <v>2400</v>
      </c>
      <c r="AE243" s="7">
        <v>10</v>
      </c>
      <c r="AF243" s="3">
        <v>50</v>
      </c>
      <c r="AG243" s="3">
        <f t="shared" si="1008"/>
        <v>500</v>
      </c>
      <c r="AH243" s="3">
        <f t="shared" si="1009"/>
        <v>38</v>
      </c>
      <c r="AI243" s="3">
        <v>50</v>
      </c>
      <c r="AJ243" s="7">
        <f t="shared" si="1010"/>
        <v>1900</v>
      </c>
      <c r="AK243" s="3">
        <v>0</v>
      </c>
      <c r="AL243" s="6">
        <f t="shared" si="1011"/>
        <v>1900</v>
      </c>
      <c r="AM243" s="6">
        <f t="shared" si="1012"/>
        <v>5440</v>
      </c>
      <c r="AN243" s="6">
        <f t="shared" si="1013"/>
        <v>0</v>
      </c>
      <c r="AO243" s="6">
        <f>AM243-AN243</f>
        <v>5440</v>
      </c>
      <c r="AP243" s="3" t="s">
        <v>498</v>
      </c>
      <c r="AQ243" s="3">
        <f t="shared" si="1015"/>
        <v>5440</v>
      </c>
      <c r="AR243" s="3">
        <f>AQ243</f>
        <v>5440</v>
      </c>
      <c r="AS243" s="3">
        <f t="shared" ref="AS243:AS248" si="1059">AQ243-AR243</f>
        <v>0</v>
      </c>
      <c r="AT243" s="3"/>
    </row>
    <row r="244" spans="1:46" x14ac:dyDescent="0.35">
      <c r="A244" s="3"/>
      <c r="B244" s="172" t="s">
        <v>283</v>
      </c>
      <c r="C244" s="3" t="s">
        <v>182</v>
      </c>
      <c r="D244" s="7">
        <v>0</v>
      </c>
      <c r="E244" s="3">
        <v>55</v>
      </c>
      <c r="F244" s="1">
        <f t="shared" si="997"/>
        <v>0</v>
      </c>
      <c r="G244" s="7">
        <v>0</v>
      </c>
      <c r="H244" s="3">
        <v>55</v>
      </c>
      <c r="I244" s="27">
        <f t="shared" si="998"/>
        <v>0</v>
      </c>
      <c r="J244" s="3">
        <f t="shared" si="999"/>
        <v>0</v>
      </c>
      <c r="K244" s="7">
        <v>55</v>
      </c>
      <c r="L244" s="7">
        <f t="shared" si="1000"/>
        <v>0</v>
      </c>
      <c r="M244" s="3">
        <v>0</v>
      </c>
      <c r="N244" s="6">
        <f t="shared" si="1001"/>
        <v>0</v>
      </c>
      <c r="O244" s="34"/>
      <c r="P244" s="7">
        <v>108</v>
      </c>
      <c r="Q244" s="3">
        <v>90</v>
      </c>
      <c r="R244" s="3">
        <f t="shared" si="1002"/>
        <v>9720</v>
      </c>
      <c r="S244" s="7">
        <v>0</v>
      </c>
      <c r="T244" s="3">
        <v>90</v>
      </c>
      <c r="U244" s="3">
        <f t="shared" si="1003"/>
        <v>0</v>
      </c>
      <c r="V244" s="3">
        <f t="shared" si="1004"/>
        <v>108</v>
      </c>
      <c r="W244" s="7">
        <v>90</v>
      </c>
      <c r="X244" s="7">
        <f t="shared" si="1038"/>
        <v>9720</v>
      </c>
      <c r="Y244" s="3">
        <v>0</v>
      </c>
      <c r="Z244" s="6">
        <f t="shared" si="1006"/>
        <v>9720</v>
      </c>
      <c r="AA244" s="82"/>
      <c r="AB244" s="7">
        <v>84</v>
      </c>
      <c r="AC244" s="3">
        <v>45</v>
      </c>
      <c r="AD244" s="3">
        <f t="shared" si="1007"/>
        <v>3780</v>
      </c>
      <c r="AE244" s="7">
        <v>0</v>
      </c>
      <c r="AF244" s="3">
        <v>45</v>
      </c>
      <c r="AG244" s="3">
        <f t="shared" si="1008"/>
        <v>0</v>
      </c>
      <c r="AH244" s="3">
        <f t="shared" si="1009"/>
        <v>84</v>
      </c>
      <c r="AI244" s="3">
        <v>45</v>
      </c>
      <c r="AJ244" s="7">
        <f t="shared" si="1010"/>
        <v>3780</v>
      </c>
      <c r="AK244" s="3">
        <v>0</v>
      </c>
      <c r="AL244" s="6">
        <f t="shared" si="1011"/>
        <v>3780</v>
      </c>
      <c r="AM244" s="6">
        <f t="shared" si="1012"/>
        <v>13500</v>
      </c>
      <c r="AN244" s="6">
        <f t="shared" si="1013"/>
        <v>0</v>
      </c>
      <c r="AO244" s="6">
        <f>AM244-AN244</f>
        <v>13500</v>
      </c>
      <c r="AP244" s="3" t="s">
        <v>498</v>
      </c>
      <c r="AQ244" s="3">
        <f t="shared" si="1015"/>
        <v>13500</v>
      </c>
      <c r="AR244" s="3">
        <f>AQ244</f>
        <v>13500</v>
      </c>
      <c r="AS244" s="3">
        <f t="shared" si="1059"/>
        <v>0</v>
      </c>
      <c r="AT244" s="3"/>
    </row>
    <row r="245" spans="1:46" x14ac:dyDescent="0.35">
      <c r="A245" s="3"/>
      <c r="B245" s="3" t="s">
        <v>308</v>
      </c>
      <c r="C245" s="3" t="s">
        <v>33</v>
      </c>
      <c r="D245" s="7">
        <v>0</v>
      </c>
      <c r="E245" s="3">
        <v>60</v>
      </c>
      <c r="F245" s="1">
        <f t="shared" si="997"/>
        <v>0</v>
      </c>
      <c r="G245" s="7">
        <v>0</v>
      </c>
      <c r="H245" s="3">
        <v>60</v>
      </c>
      <c r="I245" s="27">
        <f t="shared" si="998"/>
        <v>0</v>
      </c>
      <c r="J245" s="3">
        <f t="shared" si="999"/>
        <v>0</v>
      </c>
      <c r="K245" s="7">
        <v>60</v>
      </c>
      <c r="L245" s="7">
        <f t="shared" si="1000"/>
        <v>0</v>
      </c>
      <c r="M245" s="3">
        <f>J245*5</f>
        <v>0</v>
      </c>
      <c r="N245" s="6">
        <f t="shared" si="1001"/>
        <v>0</v>
      </c>
      <c r="O245" s="34"/>
      <c r="P245" s="7">
        <v>0</v>
      </c>
      <c r="Q245" s="3">
        <v>100</v>
      </c>
      <c r="R245" s="3">
        <f t="shared" si="1002"/>
        <v>0</v>
      </c>
      <c r="S245" s="7">
        <v>0</v>
      </c>
      <c r="T245" s="3">
        <v>100</v>
      </c>
      <c r="U245" s="3">
        <f t="shared" si="1003"/>
        <v>0</v>
      </c>
      <c r="V245" s="3">
        <f t="shared" si="1004"/>
        <v>0</v>
      </c>
      <c r="W245" s="7">
        <v>100</v>
      </c>
      <c r="X245" s="7">
        <f t="shared" si="1038"/>
        <v>0</v>
      </c>
      <c r="Y245" s="3">
        <f>V245*5</f>
        <v>0</v>
      </c>
      <c r="Z245" s="6">
        <f t="shared" si="1006"/>
        <v>0</v>
      </c>
      <c r="AA245" s="82">
        <v>195</v>
      </c>
      <c r="AB245" s="7">
        <v>0</v>
      </c>
      <c r="AC245" s="3">
        <v>50</v>
      </c>
      <c r="AD245" s="3">
        <f t="shared" si="1007"/>
        <v>0</v>
      </c>
      <c r="AE245" s="7">
        <v>0</v>
      </c>
      <c r="AF245" s="3">
        <v>50</v>
      </c>
      <c r="AG245" s="3">
        <f t="shared" si="1008"/>
        <v>0</v>
      </c>
      <c r="AH245" s="3">
        <f t="shared" si="1009"/>
        <v>0</v>
      </c>
      <c r="AI245" s="3">
        <v>50</v>
      </c>
      <c r="AJ245" s="7">
        <f t="shared" si="1010"/>
        <v>0</v>
      </c>
      <c r="AK245" s="3">
        <f>AH245*5</f>
        <v>0</v>
      </c>
      <c r="AL245" s="6">
        <f t="shared" si="1011"/>
        <v>0</v>
      </c>
      <c r="AM245" s="6">
        <f t="shared" si="1012"/>
        <v>0</v>
      </c>
      <c r="AN245" s="6">
        <f t="shared" si="1013"/>
        <v>0</v>
      </c>
      <c r="AO245" s="6">
        <f t="shared" si="1014"/>
        <v>0</v>
      </c>
      <c r="AP245" s="3" t="s">
        <v>498</v>
      </c>
      <c r="AQ245" s="3">
        <f t="shared" si="1015"/>
        <v>0</v>
      </c>
      <c r="AR245" s="3">
        <f>AQ245</f>
        <v>0</v>
      </c>
      <c r="AS245" s="3">
        <f t="shared" si="1059"/>
        <v>0</v>
      </c>
      <c r="AT245" s="3"/>
    </row>
    <row r="246" spans="1:46" x14ac:dyDescent="0.35">
      <c r="A246" s="3"/>
      <c r="B246" s="3" t="s">
        <v>308</v>
      </c>
      <c r="C246" s="3" t="s">
        <v>332</v>
      </c>
      <c r="D246" s="7">
        <v>0</v>
      </c>
      <c r="E246" s="3">
        <v>60</v>
      </c>
      <c r="F246" s="1">
        <v>0</v>
      </c>
      <c r="G246" s="7">
        <v>0</v>
      </c>
      <c r="H246" s="3">
        <v>60</v>
      </c>
      <c r="I246" s="27">
        <f t="shared" si="998"/>
        <v>0</v>
      </c>
      <c r="J246" s="3">
        <v>0</v>
      </c>
      <c r="K246" s="7">
        <v>60</v>
      </c>
      <c r="L246" s="7">
        <f t="shared" si="1000"/>
        <v>0</v>
      </c>
      <c r="M246" s="3">
        <v>0</v>
      </c>
      <c r="N246" s="6">
        <f t="shared" si="1001"/>
        <v>0</v>
      </c>
      <c r="O246" s="34"/>
      <c r="P246" s="7">
        <v>0</v>
      </c>
      <c r="Q246" s="3">
        <v>100</v>
      </c>
      <c r="R246" s="3">
        <v>0</v>
      </c>
      <c r="S246" s="7">
        <v>0</v>
      </c>
      <c r="T246" s="3">
        <v>100</v>
      </c>
      <c r="U246" s="3">
        <f t="shared" si="1003"/>
        <v>0</v>
      </c>
      <c r="V246" s="3">
        <v>0</v>
      </c>
      <c r="W246" s="7">
        <v>100</v>
      </c>
      <c r="X246" s="7">
        <f t="shared" si="1038"/>
        <v>0</v>
      </c>
      <c r="Y246" s="3">
        <v>0</v>
      </c>
      <c r="Z246" s="6">
        <f t="shared" si="1006"/>
        <v>0</v>
      </c>
      <c r="AA246" s="82"/>
      <c r="AB246" s="7">
        <v>0</v>
      </c>
      <c r="AC246" s="3">
        <v>50</v>
      </c>
      <c r="AD246" s="3">
        <v>0</v>
      </c>
      <c r="AE246" s="7">
        <v>0</v>
      </c>
      <c r="AF246" s="3">
        <v>50</v>
      </c>
      <c r="AG246" s="3">
        <f t="shared" si="1008"/>
        <v>0</v>
      </c>
      <c r="AH246" s="3">
        <v>0</v>
      </c>
      <c r="AI246" s="3">
        <v>50</v>
      </c>
      <c r="AJ246" s="7">
        <f t="shared" si="1010"/>
        <v>0</v>
      </c>
      <c r="AK246" s="3">
        <v>0</v>
      </c>
      <c r="AL246" s="6">
        <f t="shared" si="1011"/>
        <v>0</v>
      </c>
      <c r="AM246" s="6">
        <f t="shared" si="1012"/>
        <v>0</v>
      </c>
      <c r="AN246" s="6">
        <f t="shared" si="1013"/>
        <v>0</v>
      </c>
      <c r="AO246" s="6">
        <f t="shared" si="1014"/>
        <v>0</v>
      </c>
      <c r="AP246" s="3" t="s">
        <v>498</v>
      </c>
      <c r="AQ246" s="3">
        <f t="shared" si="1015"/>
        <v>0</v>
      </c>
      <c r="AR246" s="3">
        <f t="shared" ref="AR246" si="1060">AQ246</f>
        <v>0</v>
      </c>
      <c r="AS246" s="3">
        <f t="shared" si="1059"/>
        <v>0</v>
      </c>
      <c r="AT246" s="3"/>
    </row>
    <row r="247" spans="1:46" x14ac:dyDescent="0.35">
      <c r="A247" s="3"/>
      <c r="B247" s="3" t="s">
        <v>287</v>
      </c>
      <c r="C247" s="3" t="s">
        <v>33</v>
      </c>
      <c r="D247" s="7">
        <v>0</v>
      </c>
      <c r="E247" s="3">
        <v>60</v>
      </c>
      <c r="F247" s="1">
        <f t="shared" ref="F247" si="1061">D247*E247</f>
        <v>0</v>
      </c>
      <c r="G247" s="7">
        <v>0</v>
      </c>
      <c r="H247" s="3">
        <v>60</v>
      </c>
      <c r="I247" s="27">
        <f t="shared" si="998"/>
        <v>0</v>
      </c>
      <c r="J247" s="3">
        <f t="shared" ref="J247" si="1062">D247-G247</f>
        <v>0</v>
      </c>
      <c r="K247" s="7">
        <v>60</v>
      </c>
      <c r="L247" s="7">
        <f t="shared" si="1000"/>
        <v>0</v>
      </c>
      <c r="M247" s="3">
        <f>J247*5</f>
        <v>0</v>
      </c>
      <c r="N247" s="6">
        <f t="shared" si="1001"/>
        <v>0</v>
      </c>
      <c r="O247" s="34"/>
      <c r="P247" s="7">
        <v>0</v>
      </c>
      <c r="Q247" s="3">
        <v>100</v>
      </c>
      <c r="R247" s="3">
        <f t="shared" ref="R247" si="1063">P247*Q247</f>
        <v>0</v>
      </c>
      <c r="S247" s="7">
        <v>0</v>
      </c>
      <c r="T247" s="3">
        <v>100</v>
      </c>
      <c r="U247" s="3">
        <f t="shared" si="1003"/>
        <v>0</v>
      </c>
      <c r="V247" s="3">
        <f t="shared" ref="V247" si="1064">P247-S247</f>
        <v>0</v>
      </c>
      <c r="W247" s="7">
        <v>100</v>
      </c>
      <c r="X247" s="7">
        <f t="shared" si="1038"/>
        <v>0</v>
      </c>
      <c r="Y247" s="3">
        <f>V247*10</f>
        <v>0</v>
      </c>
      <c r="Z247" s="6">
        <f t="shared" si="1006"/>
        <v>0</v>
      </c>
      <c r="AA247" s="82"/>
      <c r="AB247" s="7">
        <v>0</v>
      </c>
      <c r="AC247" s="3">
        <v>50</v>
      </c>
      <c r="AD247" s="3">
        <f t="shared" ref="AD247" si="1065">AB247*AC247</f>
        <v>0</v>
      </c>
      <c r="AE247" s="7">
        <v>0</v>
      </c>
      <c r="AF247" s="3">
        <v>50</v>
      </c>
      <c r="AG247" s="3">
        <f t="shared" si="1008"/>
        <v>0</v>
      </c>
      <c r="AH247" s="3">
        <f t="shared" ref="AH247" si="1066">AB247-AE247</f>
        <v>0</v>
      </c>
      <c r="AI247" s="3">
        <v>50</v>
      </c>
      <c r="AJ247" s="7">
        <f t="shared" si="1010"/>
        <v>0</v>
      </c>
      <c r="AK247" s="3">
        <f>AH247*5</f>
        <v>0</v>
      </c>
      <c r="AL247" s="6">
        <f t="shared" si="1011"/>
        <v>0</v>
      </c>
      <c r="AM247" s="6">
        <f t="shared" si="1012"/>
        <v>0</v>
      </c>
      <c r="AN247" s="6">
        <f t="shared" si="1013"/>
        <v>0</v>
      </c>
      <c r="AO247" s="6">
        <f t="shared" si="1014"/>
        <v>0</v>
      </c>
      <c r="AP247" s="3" t="s">
        <v>498</v>
      </c>
      <c r="AQ247" s="3">
        <f t="shared" si="1015"/>
        <v>0</v>
      </c>
      <c r="AR247" s="3">
        <f>AQ247</f>
        <v>0</v>
      </c>
      <c r="AS247" s="3">
        <f t="shared" si="1059"/>
        <v>0</v>
      </c>
      <c r="AT247" s="3"/>
    </row>
    <row r="248" spans="1:46" x14ac:dyDescent="0.35">
      <c r="A248" s="3"/>
      <c r="B248" s="3" t="s">
        <v>287</v>
      </c>
      <c r="C248" s="3" t="s">
        <v>332</v>
      </c>
      <c r="D248" s="7">
        <v>0</v>
      </c>
      <c r="E248" s="3">
        <v>60</v>
      </c>
      <c r="F248" s="1">
        <v>0</v>
      </c>
      <c r="G248" s="7">
        <v>0</v>
      </c>
      <c r="H248" s="3">
        <v>60</v>
      </c>
      <c r="I248" s="27">
        <f t="shared" si="998"/>
        <v>0</v>
      </c>
      <c r="J248" s="3">
        <v>0</v>
      </c>
      <c r="K248" s="7">
        <v>60</v>
      </c>
      <c r="L248" s="7">
        <f t="shared" si="1000"/>
        <v>0</v>
      </c>
      <c r="M248" s="3">
        <v>0</v>
      </c>
      <c r="N248" s="6">
        <f t="shared" si="1001"/>
        <v>0</v>
      </c>
      <c r="O248" s="34"/>
      <c r="P248" s="7">
        <v>0</v>
      </c>
      <c r="Q248" s="3">
        <v>100</v>
      </c>
      <c r="R248" s="3">
        <v>0</v>
      </c>
      <c r="S248" s="7">
        <v>0</v>
      </c>
      <c r="T248" s="3">
        <v>100</v>
      </c>
      <c r="U248" s="3">
        <f t="shared" si="1003"/>
        <v>0</v>
      </c>
      <c r="V248" s="3">
        <v>0</v>
      </c>
      <c r="W248" s="7">
        <v>100</v>
      </c>
      <c r="X248" s="7">
        <f t="shared" si="1038"/>
        <v>0</v>
      </c>
      <c r="Y248" s="3">
        <v>0</v>
      </c>
      <c r="Z248" s="6">
        <f t="shared" si="1006"/>
        <v>0</v>
      </c>
      <c r="AA248" s="82"/>
      <c r="AB248" s="7">
        <v>0</v>
      </c>
      <c r="AC248" s="3">
        <v>50</v>
      </c>
      <c r="AD248" s="3">
        <v>0</v>
      </c>
      <c r="AE248" s="7">
        <v>0</v>
      </c>
      <c r="AF248" s="3">
        <v>50</v>
      </c>
      <c r="AG248" s="3">
        <f t="shared" si="1008"/>
        <v>0</v>
      </c>
      <c r="AH248" s="3">
        <v>0</v>
      </c>
      <c r="AI248" s="3">
        <v>50</v>
      </c>
      <c r="AJ248" s="7">
        <f t="shared" si="1010"/>
        <v>0</v>
      </c>
      <c r="AK248" s="3">
        <v>0</v>
      </c>
      <c r="AL248" s="6">
        <f t="shared" si="1011"/>
        <v>0</v>
      </c>
      <c r="AM248" s="6">
        <f t="shared" si="1012"/>
        <v>0</v>
      </c>
      <c r="AN248" s="6">
        <f t="shared" si="1013"/>
        <v>0</v>
      </c>
      <c r="AO248" s="6">
        <f t="shared" si="1014"/>
        <v>0</v>
      </c>
      <c r="AP248" s="3" t="s">
        <v>498</v>
      </c>
      <c r="AQ248" s="3">
        <f t="shared" si="1015"/>
        <v>0</v>
      </c>
      <c r="AR248" s="3">
        <f t="shared" ref="AR248" si="1067">AQ248</f>
        <v>0</v>
      </c>
      <c r="AS248" s="3">
        <f t="shared" si="1059"/>
        <v>0</v>
      </c>
      <c r="AT248" s="3"/>
    </row>
    <row r="249" spans="1:46" x14ac:dyDescent="0.35">
      <c r="A249" s="19"/>
      <c r="B249" s="19" t="s">
        <v>36</v>
      </c>
      <c r="C249" s="19"/>
      <c r="D249" s="19">
        <f>SUM(D237:D248)</f>
        <v>795</v>
      </c>
      <c r="E249" s="19"/>
      <c r="F249" s="19">
        <f>SUM(F237:F248)</f>
        <v>47400</v>
      </c>
      <c r="G249" s="19">
        <f>SUM(G237:G248)</f>
        <v>242</v>
      </c>
      <c r="H249" s="19"/>
      <c r="I249" s="19">
        <f>SUM(I237:I248)</f>
        <v>14520</v>
      </c>
      <c r="J249" s="19">
        <f>SUM(J237:J248)</f>
        <v>553</v>
      </c>
      <c r="K249" s="19"/>
      <c r="L249" s="19">
        <f>SUM(L237:L248)</f>
        <v>32880</v>
      </c>
      <c r="M249" s="19">
        <f>SUM(M237:M248)</f>
        <v>1125</v>
      </c>
      <c r="N249" s="19">
        <f>SUM(N237:N248)</f>
        <v>31755</v>
      </c>
      <c r="O249" s="34"/>
      <c r="P249" s="19">
        <f>SUM(P237:P248)</f>
        <v>999</v>
      </c>
      <c r="Q249" s="19"/>
      <c r="R249" s="19">
        <f>SUM(R237:R248)</f>
        <v>98820</v>
      </c>
      <c r="S249" s="19">
        <f>SUM(S237:S248)</f>
        <v>13</v>
      </c>
      <c r="T249" s="19"/>
      <c r="U249" s="19">
        <f>SUM(U237:U248)</f>
        <v>1300</v>
      </c>
      <c r="V249" s="19">
        <f>SUM(V237:V248)</f>
        <v>986</v>
      </c>
      <c r="W249" s="19"/>
      <c r="X249" s="19">
        <f>SUM(X237:X248)</f>
        <v>97520</v>
      </c>
      <c r="Y249" s="19">
        <f>SUM(Y237:Y248)</f>
        <v>2880</v>
      </c>
      <c r="Z249" s="19">
        <f>SUM(Z237:Z248)</f>
        <v>94640</v>
      </c>
      <c r="AA249" s="34"/>
      <c r="AB249" s="19">
        <f>SUM(AB237:AB248)</f>
        <v>840</v>
      </c>
      <c r="AC249" s="19"/>
      <c r="AD249" s="19">
        <f>SUM(AD237:AD248)</f>
        <v>41580</v>
      </c>
      <c r="AE249" s="19">
        <f>SUM(AE237:AE248)</f>
        <v>147</v>
      </c>
      <c r="AF249" s="19"/>
      <c r="AG249" s="19">
        <f>SUM(AG237:AG248)</f>
        <v>7350</v>
      </c>
      <c r="AH249" s="19">
        <f>SUM(AH237:AH248)</f>
        <v>693</v>
      </c>
      <c r="AI249" s="19"/>
      <c r="AJ249" s="19">
        <f t="shared" ref="AJ249:AO249" si="1068">SUM(AJ237:AJ248)</f>
        <v>34230</v>
      </c>
      <c r="AK249" s="19">
        <f t="shared" si="1068"/>
        <v>1020</v>
      </c>
      <c r="AL249" s="19">
        <f t="shared" si="1068"/>
        <v>33210</v>
      </c>
      <c r="AM249" s="19">
        <f t="shared" si="1068"/>
        <v>164630</v>
      </c>
      <c r="AN249" s="19">
        <f t="shared" si="1068"/>
        <v>5025</v>
      </c>
      <c r="AO249" s="19">
        <f t="shared" si="1068"/>
        <v>159605</v>
      </c>
      <c r="AP249" s="19"/>
      <c r="AQ249" s="19">
        <f>SUM(AQ237:AQ248)</f>
        <v>159605</v>
      </c>
      <c r="AR249" s="19">
        <f>SUM(AR237:AR248)</f>
        <v>159605</v>
      </c>
      <c r="AS249" s="19">
        <f>SUM(AS237:AS248)</f>
        <v>0</v>
      </c>
      <c r="AT249" s="74"/>
    </row>
    <row r="250" spans="1:46" x14ac:dyDescent="0.35">
      <c r="A250" s="3" t="s">
        <v>499</v>
      </c>
      <c r="B250" s="3" t="s">
        <v>276</v>
      </c>
      <c r="C250" s="3" t="s">
        <v>33</v>
      </c>
      <c r="D250" s="7">
        <v>0</v>
      </c>
      <c r="E250" s="3">
        <v>60</v>
      </c>
      <c r="F250" s="1">
        <f t="shared" ref="F250:F256" si="1069">D250*E250</f>
        <v>0</v>
      </c>
      <c r="G250" s="7">
        <v>0</v>
      </c>
      <c r="H250" s="3">
        <v>60</v>
      </c>
      <c r="I250" s="27">
        <f t="shared" ref="I250:I256" si="1070">G250*H250</f>
        <v>0</v>
      </c>
      <c r="J250" s="3">
        <f t="shared" ref="J250:J256" si="1071">D250-G250</f>
        <v>0</v>
      </c>
      <c r="K250" s="7">
        <v>60</v>
      </c>
      <c r="L250" s="7">
        <f t="shared" ref="L250:L256" si="1072">J250*K250</f>
        <v>0</v>
      </c>
      <c r="M250" s="3">
        <v>0</v>
      </c>
      <c r="N250" s="6">
        <f t="shared" ref="N250:N256" si="1073">L250-M250</f>
        <v>0</v>
      </c>
      <c r="O250" s="34"/>
      <c r="P250" s="7">
        <v>0</v>
      </c>
      <c r="Q250" s="3">
        <v>100</v>
      </c>
      <c r="R250" s="3">
        <f t="shared" ref="R250:R256" si="1074">P250*Q250</f>
        <v>0</v>
      </c>
      <c r="S250" s="7">
        <v>0</v>
      </c>
      <c r="T250" s="3">
        <v>100</v>
      </c>
      <c r="U250" s="3">
        <f t="shared" ref="U250:U256" si="1075">S250*T250</f>
        <v>0</v>
      </c>
      <c r="V250" s="3">
        <f t="shared" ref="V250:V256" si="1076">P250-S250</f>
        <v>0</v>
      </c>
      <c r="W250" s="7">
        <v>100</v>
      </c>
      <c r="X250" s="7">
        <f t="shared" ref="X250" si="1077">V250*W250</f>
        <v>0</v>
      </c>
      <c r="Y250" s="3">
        <v>0</v>
      </c>
      <c r="Z250" s="6">
        <f t="shared" ref="Z250:Z256" si="1078">X250-Y250</f>
        <v>0</v>
      </c>
      <c r="AA250" s="82"/>
      <c r="AB250" s="7">
        <v>0</v>
      </c>
      <c r="AC250" s="3">
        <v>50</v>
      </c>
      <c r="AD250" s="3">
        <f t="shared" ref="AD250:AD256" si="1079">AB250*AC250</f>
        <v>0</v>
      </c>
      <c r="AE250" s="7">
        <v>0</v>
      </c>
      <c r="AF250" s="3">
        <v>50</v>
      </c>
      <c r="AG250" s="3">
        <f t="shared" ref="AG250:AG256" si="1080">AE250*AF250</f>
        <v>0</v>
      </c>
      <c r="AH250" s="3">
        <f t="shared" ref="AH250:AH256" si="1081">AB250-AE250</f>
        <v>0</v>
      </c>
      <c r="AI250" s="3">
        <v>50</v>
      </c>
      <c r="AJ250" s="7">
        <f t="shared" ref="AJ250:AJ256" si="1082">AH250*AI250</f>
        <v>0</v>
      </c>
      <c r="AK250" s="3">
        <v>0</v>
      </c>
      <c r="AL250" s="6">
        <f t="shared" ref="AL250:AL256" si="1083">AJ250-AK250</f>
        <v>0</v>
      </c>
      <c r="AM250" s="6">
        <f t="shared" ref="AM250:AM256" si="1084">L250+X250+AJ250</f>
        <v>0</v>
      </c>
      <c r="AN250" s="6">
        <f t="shared" ref="AN250:AN256" si="1085">M250+Y250+AK250</f>
        <v>0</v>
      </c>
      <c r="AO250" s="6">
        <f t="shared" ref="AO250:AO256" si="1086">AM250-AN250</f>
        <v>0</v>
      </c>
      <c r="AP250" s="3" t="s">
        <v>499</v>
      </c>
      <c r="AQ250" s="3">
        <f t="shared" ref="AQ250:AQ256" si="1087">AO250</f>
        <v>0</v>
      </c>
      <c r="AR250" s="3">
        <f>AQ250</f>
        <v>0</v>
      </c>
      <c r="AS250" s="3">
        <f t="shared" ref="AS250:AS252" si="1088">AQ250-AR250</f>
        <v>0</v>
      </c>
      <c r="AT250" s="3"/>
    </row>
    <row r="251" spans="1:46" x14ac:dyDescent="0.35">
      <c r="A251" s="3"/>
      <c r="B251" s="3" t="s">
        <v>276</v>
      </c>
      <c r="C251" s="3" t="s">
        <v>182</v>
      </c>
      <c r="D251" s="7">
        <v>0</v>
      </c>
      <c r="E251" s="3">
        <v>55</v>
      </c>
      <c r="F251" s="1">
        <f t="shared" si="1069"/>
        <v>0</v>
      </c>
      <c r="G251" s="7">
        <v>0</v>
      </c>
      <c r="H251" s="3">
        <v>55</v>
      </c>
      <c r="I251" s="27">
        <f t="shared" si="1070"/>
        <v>0</v>
      </c>
      <c r="J251" s="3">
        <f t="shared" si="1071"/>
        <v>0</v>
      </c>
      <c r="K251" s="7">
        <v>55</v>
      </c>
      <c r="L251" s="7">
        <f t="shared" si="1072"/>
        <v>0</v>
      </c>
      <c r="M251" s="7">
        <v>0</v>
      </c>
      <c r="N251" s="6">
        <f t="shared" si="1073"/>
        <v>0</v>
      </c>
      <c r="O251" s="34"/>
      <c r="P251" s="7">
        <v>0</v>
      </c>
      <c r="Q251" s="3">
        <v>100</v>
      </c>
      <c r="R251" s="3">
        <f t="shared" si="1074"/>
        <v>0</v>
      </c>
      <c r="S251" s="7">
        <v>0</v>
      </c>
      <c r="T251" s="3">
        <v>100</v>
      </c>
      <c r="U251" s="3">
        <f t="shared" si="1075"/>
        <v>0</v>
      </c>
      <c r="V251" s="3">
        <f t="shared" si="1076"/>
        <v>0</v>
      </c>
      <c r="W251" s="7">
        <v>100</v>
      </c>
      <c r="X251" s="7">
        <f>V251*W251</f>
        <v>0</v>
      </c>
      <c r="Y251" s="7">
        <v>0</v>
      </c>
      <c r="Z251" s="6">
        <f t="shared" si="1078"/>
        <v>0</v>
      </c>
      <c r="AA251" s="82"/>
      <c r="AB251" s="7">
        <v>0</v>
      </c>
      <c r="AC251" s="3">
        <v>50</v>
      </c>
      <c r="AD251" s="3">
        <f t="shared" si="1079"/>
        <v>0</v>
      </c>
      <c r="AE251" s="7">
        <v>0</v>
      </c>
      <c r="AF251" s="3">
        <v>50</v>
      </c>
      <c r="AG251" s="3">
        <f t="shared" si="1080"/>
        <v>0</v>
      </c>
      <c r="AH251" s="3">
        <f t="shared" si="1081"/>
        <v>0</v>
      </c>
      <c r="AI251" s="3">
        <v>50</v>
      </c>
      <c r="AJ251" s="7">
        <f t="shared" si="1082"/>
        <v>0</v>
      </c>
      <c r="AK251" s="7">
        <v>0</v>
      </c>
      <c r="AL251" s="6">
        <f t="shared" si="1083"/>
        <v>0</v>
      </c>
      <c r="AM251" s="6">
        <f t="shared" si="1084"/>
        <v>0</v>
      </c>
      <c r="AN251" s="6">
        <f t="shared" si="1085"/>
        <v>0</v>
      </c>
      <c r="AO251" s="6">
        <f t="shared" si="1086"/>
        <v>0</v>
      </c>
      <c r="AP251" s="3" t="s">
        <v>499</v>
      </c>
      <c r="AQ251" s="3">
        <f t="shared" si="1087"/>
        <v>0</v>
      </c>
      <c r="AR251" s="3">
        <f t="shared" ref="AR251" si="1089">AQ251</f>
        <v>0</v>
      </c>
      <c r="AS251" s="3">
        <f t="shared" si="1088"/>
        <v>0</v>
      </c>
      <c r="AT251" s="3"/>
    </row>
    <row r="252" spans="1:46" x14ac:dyDescent="0.35">
      <c r="A252" s="3"/>
      <c r="B252" s="3" t="s">
        <v>385</v>
      </c>
      <c r="C252" s="3" t="s">
        <v>33</v>
      </c>
      <c r="D252" s="7">
        <v>0</v>
      </c>
      <c r="E252" s="3">
        <v>60</v>
      </c>
      <c r="F252" s="1">
        <f t="shared" si="1069"/>
        <v>0</v>
      </c>
      <c r="G252" s="7">
        <v>0</v>
      </c>
      <c r="H252" s="3">
        <v>60</v>
      </c>
      <c r="I252" s="27">
        <f t="shared" si="1070"/>
        <v>0</v>
      </c>
      <c r="J252" s="3">
        <f t="shared" si="1071"/>
        <v>0</v>
      </c>
      <c r="K252" s="7">
        <v>60</v>
      </c>
      <c r="L252" s="7">
        <f t="shared" si="1072"/>
        <v>0</v>
      </c>
      <c r="M252" s="7">
        <v>0</v>
      </c>
      <c r="N252" s="6">
        <f t="shared" si="1073"/>
        <v>0</v>
      </c>
      <c r="O252" s="34"/>
      <c r="P252" s="7">
        <v>0</v>
      </c>
      <c r="Q252" s="3">
        <v>100</v>
      </c>
      <c r="R252" s="3">
        <f t="shared" si="1074"/>
        <v>0</v>
      </c>
      <c r="S252" s="7">
        <v>0</v>
      </c>
      <c r="T252" s="3">
        <v>100</v>
      </c>
      <c r="U252" s="3">
        <f t="shared" si="1075"/>
        <v>0</v>
      </c>
      <c r="V252" s="3">
        <f t="shared" si="1076"/>
        <v>0</v>
      </c>
      <c r="W252" s="7">
        <v>100</v>
      </c>
      <c r="X252" s="7">
        <f>V252*W252</f>
        <v>0</v>
      </c>
      <c r="Y252" s="7">
        <v>0</v>
      </c>
      <c r="Z252" s="6">
        <f t="shared" si="1078"/>
        <v>0</v>
      </c>
      <c r="AA252" s="82"/>
      <c r="AB252" s="7">
        <v>0</v>
      </c>
      <c r="AC252" s="3">
        <v>50</v>
      </c>
      <c r="AD252" s="3">
        <f t="shared" si="1079"/>
        <v>0</v>
      </c>
      <c r="AE252" s="7">
        <v>0</v>
      </c>
      <c r="AF252" s="3">
        <v>50</v>
      </c>
      <c r="AG252" s="3">
        <f t="shared" si="1080"/>
        <v>0</v>
      </c>
      <c r="AH252" s="3">
        <f t="shared" si="1081"/>
        <v>0</v>
      </c>
      <c r="AI252" s="3">
        <v>50</v>
      </c>
      <c r="AJ252" s="7">
        <f t="shared" si="1082"/>
        <v>0</v>
      </c>
      <c r="AK252" s="7">
        <v>0</v>
      </c>
      <c r="AL252" s="6">
        <f t="shared" si="1083"/>
        <v>0</v>
      </c>
      <c r="AM252" s="6">
        <f t="shared" si="1084"/>
        <v>0</v>
      </c>
      <c r="AN252" s="6">
        <f t="shared" si="1085"/>
        <v>0</v>
      </c>
      <c r="AO252" s="6">
        <f t="shared" si="1086"/>
        <v>0</v>
      </c>
      <c r="AP252" s="3" t="s">
        <v>499</v>
      </c>
      <c r="AQ252" s="3">
        <f t="shared" si="1087"/>
        <v>0</v>
      </c>
      <c r="AR252" s="3">
        <f>AQ252</f>
        <v>0</v>
      </c>
      <c r="AS252" s="3">
        <f t="shared" si="1088"/>
        <v>0</v>
      </c>
      <c r="AT252" s="3"/>
    </row>
    <row r="253" spans="1:46" x14ac:dyDescent="0.35">
      <c r="A253" s="3"/>
      <c r="B253" s="3" t="s">
        <v>18</v>
      </c>
      <c r="C253" s="3" t="s">
        <v>33</v>
      </c>
      <c r="D253" s="7">
        <v>0</v>
      </c>
      <c r="E253" s="3">
        <v>60</v>
      </c>
      <c r="F253" s="1">
        <f t="shared" si="1069"/>
        <v>0</v>
      </c>
      <c r="G253" s="7">
        <v>0</v>
      </c>
      <c r="H253" s="3">
        <v>60</v>
      </c>
      <c r="I253" s="27">
        <f t="shared" si="1070"/>
        <v>0</v>
      </c>
      <c r="J253" s="3">
        <f t="shared" si="1071"/>
        <v>0</v>
      </c>
      <c r="K253" s="7">
        <v>60</v>
      </c>
      <c r="L253" s="7">
        <f t="shared" si="1072"/>
        <v>0</v>
      </c>
      <c r="M253" s="3">
        <f>J253*5</f>
        <v>0</v>
      </c>
      <c r="N253" s="6">
        <f t="shared" si="1073"/>
        <v>0</v>
      </c>
      <c r="O253" s="34"/>
      <c r="P253" s="7">
        <v>0</v>
      </c>
      <c r="Q253" s="3">
        <v>100</v>
      </c>
      <c r="R253" s="3">
        <f t="shared" si="1074"/>
        <v>0</v>
      </c>
      <c r="S253" s="7">
        <v>0</v>
      </c>
      <c r="T253" s="3">
        <v>100</v>
      </c>
      <c r="U253" s="3">
        <f t="shared" si="1075"/>
        <v>0</v>
      </c>
      <c r="V253" s="3">
        <f t="shared" si="1076"/>
        <v>0</v>
      </c>
      <c r="W253" s="7">
        <v>100</v>
      </c>
      <c r="X253" s="7">
        <f t="shared" ref="X253:X256" si="1090">V253*W253</f>
        <v>0</v>
      </c>
      <c r="Y253" s="3">
        <f>V253*10</f>
        <v>0</v>
      </c>
      <c r="Z253" s="6">
        <f t="shared" si="1078"/>
        <v>0</v>
      </c>
      <c r="AA253" s="82"/>
      <c r="AB253" s="7">
        <v>0</v>
      </c>
      <c r="AC253" s="3">
        <v>50</v>
      </c>
      <c r="AD253" s="3">
        <f t="shared" si="1079"/>
        <v>0</v>
      </c>
      <c r="AE253" s="7">
        <v>0</v>
      </c>
      <c r="AF253" s="3">
        <v>50</v>
      </c>
      <c r="AG253" s="3">
        <f t="shared" si="1080"/>
        <v>0</v>
      </c>
      <c r="AH253" s="3">
        <f t="shared" si="1081"/>
        <v>0</v>
      </c>
      <c r="AI253" s="3">
        <v>50</v>
      </c>
      <c r="AJ253" s="7">
        <f t="shared" si="1082"/>
        <v>0</v>
      </c>
      <c r="AK253" s="3">
        <f>AH253*5</f>
        <v>0</v>
      </c>
      <c r="AL253" s="6">
        <f t="shared" si="1083"/>
        <v>0</v>
      </c>
      <c r="AM253" s="6">
        <f t="shared" si="1084"/>
        <v>0</v>
      </c>
      <c r="AN253" s="6">
        <f t="shared" si="1085"/>
        <v>0</v>
      </c>
      <c r="AO253" s="6">
        <f t="shared" si="1086"/>
        <v>0</v>
      </c>
      <c r="AP253" s="3" t="s">
        <v>499</v>
      </c>
      <c r="AQ253" s="3">
        <f t="shared" si="1087"/>
        <v>0</v>
      </c>
      <c r="AR253" s="3">
        <f>AQ253</f>
        <v>0</v>
      </c>
      <c r="AS253" s="3">
        <f>AQ253-AR253</f>
        <v>0</v>
      </c>
      <c r="AT253" s="3"/>
    </row>
    <row r="254" spans="1:46" x14ac:dyDescent="0.35">
      <c r="A254" s="3"/>
      <c r="B254" s="3" t="s">
        <v>326</v>
      </c>
      <c r="C254" s="3" t="s">
        <v>331</v>
      </c>
      <c r="D254" s="7">
        <v>0</v>
      </c>
      <c r="E254" s="3">
        <v>60</v>
      </c>
      <c r="F254" s="1">
        <f t="shared" si="1069"/>
        <v>0</v>
      </c>
      <c r="G254" s="7">
        <v>0</v>
      </c>
      <c r="H254" s="3">
        <v>60</v>
      </c>
      <c r="I254" s="27">
        <f t="shared" si="1070"/>
        <v>0</v>
      </c>
      <c r="J254" s="3">
        <f t="shared" si="1071"/>
        <v>0</v>
      </c>
      <c r="K254" s="7">
        <v>60</v>
      </c>
      <c r="L254" s="7">
        <f t="shared" si="1072"/>
        <v>0</v>
      </c>
      <c r="M254" s="3">
        <v>0</v>
      </c>
      <c r="N254" s="6">
        <f t="shared" si="1073"/>
        <v>0</v>
      </c>
      <c r="O254" s="34"/>
      <c r="P254" s="7">
        <v>0</v>
      </c>
      <c r="Q254" s="3">
        <v>100</v>
      </c>
      <c r="R254" s="3">
        <f t="shared" si="1074"/>
        <v>0</v>
      </c>
      <c r="S254" s="7">
        <v>0</v>
      </c>
      <c r="T254" s="3">
        <v>100</v>
      </c>
      <c r="U254" s="3">
        <f t="shared" si="1075"/>
        <v>0</v>
      </c>
      <c r="V254" s="3">
        <f t="shared" si="1076"/>
        <v>0</v>
      </c>
      <c r="W254" s="7">
        <v>100</v>
      </c>
      <c r="X254" s="7">
        <f t="shared" si="1090"/>
        <v>0</v>
      </c>
      <c r="Y254" s="3">
        <v>0</v>
      </c>
      <c r="Z254" s="6">
        <f t="shared" si="1078"/>
        <v>0</v>
      </c>
      <c r="AA254" s="82"/>
      <c r="AB254" s="7">
        <v>0</v>
      </c>
      <c r="AC254" s="3">
        <v>50</v>
      </c>
      <c r="AD254" s="3">
        <f t="shared" si="1079"/>
        <v>0</v>
      </c>
      <c r="AE254" s="7">
        <v>0</v>
      </c>
      <c r="AF254" s="3">
        <v>50</v>
      </c>
      <c r="AG254" s="3">
        <f t="shared" si="1080"/>
        <v>0</v>
      </c>
      <c r="AH254" s="3">
        <f t="shared" si="1081"/>
        <v>0</v>
      </c>
      <c r="AI254" s="3">
        <v>50</v>
      </c>
      <c r="AJ254" s="7">
        <f t="shared" si="1082"/>
        <v>0</v>
      </c>
      <c r="AK254" s="3">
        <v>0</v>
      </c>
      <c r="AL254" s="6">
        <f t="shared" si="1083"/>
        <v>0</v>
      </c>
      <c r="AM254" s="6">
        <f t="shared" si="1084"/>
        <v>0</v>
      </c>
      <c r="AN254" s="6">
        <f t="shared" si="1085"/>
        <v>0</v>
      </c>
      <c r="AO254" s="6">
        <f t="shared" si="1086"/>
        <v>0</v>
      </c>
      <c r="AP254" s="3" t="s">
        <v>499</v>
      </c>
      <c r="AQ254" s="3">
        <f t="shared" si="1087"/>
        <v>0</v>
      </c>
      <c r="AR254" s="3">
        <f>AQ254</f>
        <v>0</v>
      </c>
      <c r="AS254" s="3">
        <f t="shared" ref="AS254:AS256" si="1091">AQ254-AR254</f>
        <v>0</v>
      </c>
      <c r="AT254" s="3"/>
    </row>
    <row r="255" spans="1:46" x14ac:dyDescent="0.35">
      <c r="A255" s="3"/>
      <c r="B255" s="3" t="s">
        <v>326</v>
      </c>
      <c r="C255" s="3" t="s">
        <v>329</v>
      </c>
      <c r="D255" s="7">
        <v>0</v>
      </c>
      <c r="E255" s="3">
        <v>50</v>
      </c>
      <c r="F255" s="1">
        <f t="shared" si="1069"/>
        <v>0</v>
      </c>
      <c r="G255" s="7">
        <v>0</v>
      </c>
      <c r="H255" s="3">
        <v>50</v>
      </c>
      <c r="I255" s="27">
        <f t="shared" si="1070"/>
        <v>0</v>
      </c>
      <c r="J255" s="3">
        <f t="shared" si="1071"/>
        <v>0</v>
      </c>
      <c r="K255" s="7">
        <v>50</v>
      </c>
      <c r="L255" s="7">
        <f t="shared" si="1072"/>
        <v>0</v>
      </c>
      <c r="M255" s="3">
        <v>0</v>
      </c>
      <c r="N255" s="6">
        <f t="shared" si="1073"/>
        <v>0</v>
      </c>
      <c r="O255" s="34"/>
      <c r="P255" s="7">
        <v>0</v>
      </c>
      <c r="Q255" s="3">
        <v>100</v>
      </c>
      <c r="R255" s="3">
        <f t="shared" si="1074"/>
        <v>0</v>
      </c>
      <c r="S255" s="3">
        <v>0</v>
      </c>
      <c r="T255" s="3">
        <v>100</v>
      </c>
      <c r="U255" s="3">
        <f t="shared" si="1075"/>
        <v>0</v>
      </c>
      <c r="V255" s="3">
        <f t="shared" si="1076"/>
        <v>0</v>
      </c>
      <c r="W255" s="7">
        <v>100</v>
      </c>
      <c r="X255" s="7">
        <f t="shared" si="1090"/>
        <v>0</v>
      </c>
      <c r="Y255" s="3">
        <v>0</v>
      </c>
      <c r="Z255" s="6">
        <f t="shared" si="1078"/>
        <v>0</v>
      </c>
      <c r="AA255" s="82"/>
      <c r="AB255" s="3">
        <v>0</v>
      </c>
      <c r="AC255" s="3">
        <v>50</v>
      </c>
      <c r="AD255" s="3">
        <f t="shared" si="1079"/>
        <v>0</v>
      </c>
      <c r="AE255" s="3">
        <v>0</v>
      </c>
      <c r="AF255" s="3">
        <v>50</v>
      </c>
      <c r="AG255" s="3">
        <f t="shared" si="1080"/>
        <v>0</v>
      </c>
      <c r="AH255" s="3">
        <f t="shared" si="1081"/>
        <v>0</v>
      </c>
      <c r="AI255" s="3">
        <v>50</v>
      </c>
      <c r="AJ255" s="7">
        <f t="shared" si="1082"/>
        <v>0</v>
      </c>
      <c r="AK255" s="3">
        <v>0</v>
      </c>
      <c r="AL255" s="6">
        <f t="shared" si="1083"/>
        <v>0</v>
      </c>
      <c r="AM255" s="6">
        <f t="shared" si="1084"/>
        <v>0</v>
      </c>
      <c r="AN255" s="6">
        <f t="shared" si="1085"/>
        <v>0</v>
      </c>
      <c r="AO255" s="6">
        <f t="shared" si="1086"/>
        <v>0</v>
      </c>
      <c r="AP255" s="3" t="s">
        <v>499</v>
      </c>
      <c r="AQ255" s="3">
        <f t="shared" si="1087"/>
        <v>0</v>
      </c>
      <c r="AR255" s="3">
        <f>AQ255</f>
        <v>0</v>
      </c>
      <c r="AS255" s="3">
        <f t="shared" si="1091"/>
        <v>0</v>
      </c>
      <c r="AT255" s="3"/>
    </row>
    <row r="256" spans="1:46" x14ac:dyDescent="0.35">
      <c r="A256" s="3"/>
      <c r="B256" s="3" t="s">
        <v>283</v>
      </c>
      <c r="C256" s="3" t="s">
        <v>33</v>
      </c>
      <c r="D256" s="7">
        <v>0</v>
      </c>
      <c r="E256" s="3">
        <v>60</v>
      </c>
      <c r="F256" s="1">
        <f t="shared" si="1069"/>
        <v>0</v>
      </c>
      <c r="G256" s="7">
        <v>0</v>
      </c>
      <c r="H256" s="3">
        <v>60</v>
      </c>
      <c r="I256" s="27">
        <f t="shared" si="1070"/>
        <v>0</v>
      </c>
      <c r="J256" s="3">
        <f t="shared" si="1071"/>
        <v>0</v>
      </c>
      <c r="K256" s="7">
        <v>60</v>
      </c>
      <c r="L256" s="7">
        <f t="shared" si="1072"/>
        <v>0</v>
      </c>
      <c r="M256" s="3">
        <v>0</v>
      </c>
      <c r="N256" s="6">
        <f t="shared" si="1073"/>
        <v>0</v>
      </c>
      <c r="O256" s="34"/>
      <c r="P256" s="7">
        <v>0</v>
      </c>
      <c r="Q256" s="3">
        <v>100</v>
      </c>
      <c r="R256" s="3">
        <f t="shared" si="1074"/>
        <v>0</v>
      </c>
      <c r="S256" s="7">
        <v>0</v>
      </c>
      <c r="T256" s="3">
        <v>100</v>
      </c>
      <c r="U256" s="3">
        <f t="shared" si="1075"/>
        <v>0</v>
      </c>
      <c r="V256" s="3">
        <f t="shared" si="1076"/>
        <v>0</v>
      </c>
      <c r="W256" s="7">
        <v>100</v>
      </c>
      <c r="X256" s="7">
        <f t="shared" si="1090"/>
        <v>0</v>
      </c>
      <c r="Y256" s="3">
        <v>0</v>
      </c>
      <c r="Z256" s="6">
        <f t="shared" si="1078"/>
        <v>0</v>
      </c>
      <c r="AA256" s="82"/>
      <c r="AB256" s="7">
        <v>0</v>
      </c>
      <c r="AC256" s="3">
        <v>50</v>
      </c>
      <c r="AD256" s="3">
        <f t="shared" si="1079"/>
        <v>0</v>
      </c>
      <c r="AE256" s="7">
        <v>0</v>
      </c>
      <c r="AF256" s="3">
        <v>50</v>
      </c>
      <c r="AG256" s="3">
        <f t="shared" si="1080"/>
        <v>0</v>
      </c>
      <c r="AH256" s="3">
        <f t="shared" si="1081"/>
        <v>0</v>
      </c>
      <c r="AI256" s="3">
        <v>50</v>
      </c>
      <c r="AJ256" s="7">
        <f t="shared" si="1082"/>
        <v>0</v>
      </c>
      <c r="AK256" s="3">
        <v>0</v>
      </c>
      <c r="AL256" s="6">
        <f t="shared" si="1083"/>
        <v>0</v>
      </c>
      <c r="AM256" s="6">
        <f t="shared" si="1084"/>
        <v>0</v>
      </c>
      <c r="AN256" s="6">
        <f t="shared" si="1085"/>
        <v>0</v>
      </c>
      <c r="AO256" s="6">
        <f t="shared" si="1086"/>
        <v>0</v>
      </c>
      <c r="AP256" s="3" t="s">
        <v>499</v>
      </c>
      <c r="AQ256" s="3">
        <f t="shared" si="1087"/>
        <v>0</v>
      </c>
      <c r="AR256" s="3">
        <f t="shared" ref="AR256" si="1092">AQ256</f>
        <v>0</v>
      </c>
      <c r="AS256" s="3">
        <f t="shared" si="1091"/>
        <v>0</v>
      </c>
      <c r="AT256" s="3"/>
    </row>
    <row r="257" spans="1:48" x14ac:dyDescent="0.35">
      <c r="A257" s="3"/>
      <c r="B257" s="3" t="s">
        <v>287</v>
      </c>
      <c r="C257" s="3" t="s">
        <v>33</v>
      </c>
      <c r="D257" s="7">
        <v>0</v>
      </c>
      <c r="E257" s="3">
        <v>60</v>
      </c>
      <c r="F257" s="1">
        <f t="shared" ref="F257" si="1093">D257*E257</f>
        <v>0</v>
      </c>
      <c r="G257" s="7">
        <v>0</v>
      </c>
      <c r="H257" s="3">
        <v>60</v>
      </c>
      <c r="I257" s="27">
        <f t="shared" ref="I257:I258" si="1094">G257*H257</f>
        <v>0</v>
      </c>
      <c r="J257" s="3">
        <f t="shared" ref="J257" si="1095">D257-G257</f>
        <v>0</v>
      </c>
      <c r="K257" s="7">
        <v>60</v>
      </c>
      <c r="L257" s="7">
        <f t="shared" ref="L257:L258" si="1096">J257*K257</f>
        <v>0</v>
      </c>
      <c r="M257" s="3">
        <f>J257*5</f>
        <v>0</v>
      </c>
      <c r="N257" s="6">
        <f t="shared" ref="N257:N258" si="1097">L257-M257</f>
        <v>0</v>
      </c>
      <c r="O257" s="34"/>
      <c r="P257" s="7">
        <v>0</v>
      </c>
      <c r="Q257" s="3">
        <v>100</v>
      </c>
      <c r="R257" s="3">
        <f t="shared" ref="R257" si="1098">P257*Q257</f>
        <v>0</v>
      </c>
      <c r="S257" s="7">
        <v>0</v>
      </c>
      <c r="T257" s="3">
        <v>100</v>
      </c>
      <c r="U257" s="3">
        <f t="shared" ref="U257:U258" si="1099">S257*T257</f>
        <v>0</v>
      </c>
      <c r="V257" s="3">
        <f t="shared" ref="V257" si="1100">P257-S257</f>
        <v>0</v>
      </c>
      <c r="W257" s="7">
        <v>100</v>
      </c>
      <c r="X257" s="7">
        <f t="shared" ref="X257:X258" si="1101">V257*W257</f>
        <v>0</v>
      </c>
      <c r="Y257" s="3">
        <f>V257*10</f>
        <v>0</v>
      </c>
      <c r="Z257" s="6">
        <f t="shared" ref="Z257:Z258" si="1102">X257-Y257</f>
        <v>0</v>
      </c>
      <c r="AA257" s="82"/>
      <c r="AB257" s="7">
        <v>0</v>
      </c>
      <c r="AC257" s="3">
        <v>50</v>
      </c>
      <c r="AD257" s="3">
        <f t="shared" ref="AD257" si="1103">AB257*AC257</f>
        <v>0</v>
      </c>
      <c r="AE257" s="7">
        <v>0</v>
      </c>
      <c r="AF257" s="3">
        <v>50</v>
      </c>
      <c r="AG257" s="3">
        <f t="shared" ref="AG257:AG258" si="1104">AE257*AF257</f>
        <v>0</v>
      </c>
      <c r="AH257" s="3">
        <f t="shared" ref="AH257" si="1105">AB257-AE257</f>
        <v>0</v>
      </c>
      <c r="AI257" s="3">
        <v>50</v>
      </c>
      <c r="AJ257" s="7">
        <f t="shared" ref="AJ257:AJ258" si="1106">AH257*AI257</f>
        <v>0</v>
      </c>
      <c r="AK257" s="3">
        <f>AH257*5</f>
        <v>0</v>
      </c>
      <c r="AL257" s="6">
        <f t="shared" ref="AL257:AL258" si="1107">AJ257-AK257</f>
        <v>0</v>
      </c>
      <c r="AM257" s="6">
        <f t="shared" ref="AM257:AM258" si="1108">L257+X257+AJ257</f>
        <v>0</v>
      </c>
      <c r="AN257" s="6">
        <f t="shared" ref="AN257:AN258" si="1109">M257+Y257+AK257</f>
        <v>0</v>
      </c>
      <c r="AO257" s="6">
        <f t="shared" ref="AO257:AO258" si="1110">AM257-AN257</f>
        <v>0</v>
      </c>
      <c r="AP257" s="3" t="s">
        <v>499</v>
      </c>
      <c r="AQ257" s="3">
        <f t="shared" ref="AQ257:AQ258" si="1111">AO257</f>
        <v>0</v>
      </c>
      <c r="AR257" s="3">
        <f>AQ257</f>
        <v>0</v>
      </c>
      <c r="AS257" s="3">
        <f t="shared" ref="AS257:AS258" si="1112">AQ257-AR257</f>
        <v>0</v>
      </c>
      <c r="AT257" s="3"/>
    </row>
    <row r="258" spans="1:48" x14ac:dyDescent="0.35">
      <c r="A258" s="3"/>
      <c r="B258" s="3" t="s">
        <v>287</v>
      </c>
      <c r="C258" s="3" t="s">
        <v>332</v>
      </c>
      <c r="D258" s="7">
        <v>0</v>
      </c>
      <c r="E258" s="3">
        <v>60</v>
      </c>
      <c r="F258" s="1">
        <v>0</v>
      </c>
      <c r="G258" s="7">
        <v>0</v>
      </c>
      <c r="H258" s="3">
        <v>60</v>
      </c>
      <c r="I258" s="27">
        <f t="shared" si="1094"/>
        <v>0</v>
      </c>
      <c r="J258" s="3">
        <v>0</v>
      </c>
      <c r="K258" s="7">
        <v>60</v>
      </c>
      <c r="L258" s="7">
        <f t="shared" si="1096"/>
        <v>0</v>
      </c>
      <c r="M258" s="3">
        <v>0</v>
      </c>
      <c r="N258" s="6">
        <f t="shared" si="1097"/>
        <v>0</v>
      </c>
      <c r="O258" s="34"/>
      <c r="P258" s="7">
        <v>0</v>
      </c>
      <c r="Q258" s="3">
        <v>100</v>
      </c>
      <c r="R258" s="3">
        <v>0</v>
      </c>
      <c r="S258" s="7">
        <v>0</v>
      </c>
      <c r="T258" s="3">
        <v>100</v>
      </c>
      <c r="U258" s="3">
        <f t="shared" si="1099"/>
        <v>0</v>
      </c>
      <c r="V258" s="3">
        <v>0</v>
      </c>
      <c r="W258" s="7">
        <v>100</v>
      </c>
      <c r="X258" s="7">
        <f t="shared" si="1101"/>
        <v>0</v>
      </c>
      <c r="Y258" s="3">
        <v>0</v>
      </c>
      <c r="Z258" s="6">
        <f t="shared" si="1102"/>
        <v>0</v>
      </c>
      <c r="AA258" s="82"/>
      <c r="AB258" s="7">
        <v>0</v>
      </c>
      <c r="AC258" s="3">
        <v>50</v>
      </c>
      <c r="AD258" s="3">
        <v>0</v>
      </c>
      <c r="AE258" s="7">
        <v>0</v>
      </c>
      <c r="AF258" s="3">
        <v>50</v>
      </c>
      <c r="AG258" s="3">
        <f t="shared" si="1104"/>
        <v>0</v>
      </c>
      <c r="AH258" s="3">
        <v>0</v>
      </c>
      <c r="AI258" s="3">
        <v>50</v>
      </c>
      <c r="AJ258" s="7">
        <f t="shared" si="1106"/>
        <v>0</v>
      </c>
      <c r="AK258" s="3">
        <v>0</v>
      </c>
      <c r="AL258" s="6">
        <f t="shared" si="1107"/>
        <v>0</v>
      </c>
      <c r="AM258" s="6">
        <f t="shared" si="1108"/>
        <v>0</v>
      </c>
      <c r="AN258" s="6">
        <f t="shared" si="1109"/>
        <v>0</v>
      </c>
      <c r="AO258" s="6">
        <f t="shared" si="1110"/>
        <v>0</v>
      </c>
      <c r="AP258" s="3" t="s">
        <v>499</v>
      </c>
      <c r="AQ258" s="3">
        <f t="shared" si="1111"/>
        <v>0</v>
      </c>
      <c r="AR258" s="3">
        <f t="shared" ref="AR258" si="1113">AQ258</f>
        <v>0</v>
      </c>
      <c r="AS258" s="3">
        <f t="shared" si="1112"/>
        <v>0</v>
      </c>
      <c r="AT258" s="3"/>
    </row>
    <row r="259" spans="1:48" x14ac:dyDescent="0.35">
      <c r="A259" s="19"/>
      <c r="B259" s="19" t="s">
        <v>36</v>
      </c>
      <c r="C259" s="19"/>
      <c r="D259" s="19">
        <f>SUM(D250:D258)</f>
        <v>0</v>
      </c>
      <c r="E259" s="19"/>
      <c r="F259" s="19">
        <f>SUM(F250:F258)</f>
        <v>0</v>
      </c>
      <c r="G259" s="19">
        <f>SUM(G250:G258)</f>
        <v>0</v>
      </c>
      <c r="H259" s="19"/>
      <c r="I259" s="19">
        <f>SUM(I250:I258)</f>
        <v>0</v>
      </c>
      <c r="J259" s="19">
        <f>SUM(J250:J258)</f>
        <v>0</v>
      </c>
      <c r="K259" s="19"/>
      <c r="L259" s="19">
        <f>SUM(L250:L258)</f>
        <v>0</v>
      </c>
      <c r="M259" s="19">
        <f>SUM(M250:M258)</f>
        <v>0</v>
      </c>
      <c r="N259" s="19">
        <f>SUM(N250:N258)</f>
        <v>0</v>
      </c>
      <c r="O259" s="34"/>
      <c r="P259" s="19">
        <f>SUM(P250:P258)</f>
        <v>0</v>
      </c>
      <c r="Q259" s="19"/>
      <c r="R259" s="19">
        <f>SUM(R250:R258)</f>
        <v>0</v>
      </c>
      <c r="S259" s="19">
        <f>SUM(S250:S258)</f>
        <v>0</v>
      </c>
      <c r="T259" s="19"/>
      <c r="U259" s="19">
        <f>SUM(U250:U258)</f>
        <v>0</v>
      </c>
      <c r="V259" s="19">
        <f>SUM(V250:V258)</f>
        <v>0</v>
      </c>
      <c r="W259" s="19"/>
      <c r="X259" s="19">
        <f>SUM(X250:X258)</f>
        <v>0</v>
      </c>
      <c r="Y259" s="19">
        <f>SUM(Y250:Y258)</f>
        <v>0</v>
      </c>
      <c r="Z259" s="19">
        <f>SUM(Z250:Z258)</f>
        <v>0</v>
      </c>
      <c r="AA259" s="34"/>
      <c r="AB259" s="19">
        <f>SUM(AB250:AB258)</f>
        <v>0</v>
      </c>
      <c r="AC259" s="19"/>
      <c r="AD259" s="19">
        <f>SUM(AD250:AD258)</f>
        <v>0</v>
      </c>
      <c r="AE259" s="19">
        <f>SUM(AE250:AE258)</f>
        <v>0</v>
      </c>
      <c r="AF259" s="19"/>
      <c r="AG259" s="19">
        <f>SUM(AG250:AG258)</f>
        <v>0</v>
      </c>
      <c r="AH259" s="19">
        <f>SUM(AH250:AH258)</f>
        <v>0</v>
      </c>
      <c r="AI259" s="19"/>
      <c r="AJ259" s="19">
        <f t="shared" ref="AJ259:AO259" si="1114">SUM(AJ250:AJ258)</f>
        <v>0</v>
      </c>
      <c r="AK259" s="19">
        <f t="shared" si="1114"/>
        <v>0</v>
      </c>
      <c r="AL259" s="19">
        <f t="shared" si="1114"/>
        <v>0</v>
      </c>
      <c r="AM259" s="19">
        <f t="shared" si="1114"/>
        <v>0</v>
      </c>
      <c r="AN259" s="19">
        <f t="shared" si="1114"/>
        <v>0</v>
      </c>
      <c r="AO259" s="19">
        <f t="shared" si="1114"/>
        <v>0</v>
      </c>
      <c r="AP259" s="19"/>
      <c r="AQ259" s="19">
        <f>SUM(AQ250:AQ258)</f>
        <v>0</v>
      </c>
      <c r="AR259" s="19">
        <f>SUM(AR250:AR258)</f>
        <v>0</v>
      </c>
      <c r="AS259" s="19">
        <f>SUM(AS250:AS258)</f>
        <v>0</v>
      </c>
      <c r="AT259" s="74"/>
    </row>
    <row r="260" spans="1:48" x14ac:dyDescent="0.35">
      <c r="A260" s="3" t="s">
        <v>500</v>
      </c>
      <c r="B260" s="172" t="s">
        <v>397</v>
      </c>
      <c r="C260" s="3" t="s">
        <v>33</v>
      </c>
      <c r="D260" s="7">
        <f>225-60</f>
        <v>165</v>
      </c>
      <c r="E260" s="3">
        <v>60</v>
      </c>
      <c r="F260" s="1">
        <f t="shared" ref="F260:F266" si="1115">D260*E260</f>
        <v>9900</v>
      </c>
      <c r="G260" s="7">
        <v>93</v>
      </c>
      <c r="H260" s="3">
        <v>60</v>
      </c>
      <c r="I260" s="27">
        <f t="shared" ref="I260:I266" si="1116">G260*H260</f>
        <v>5580</v>
      </c>
      <c r="J260" s="3">
        <f t="shared" ref="J260:J266" si="1117">D260-G260</f>
        <v>72</v>
      </c>
      <c r="K260" s="7">
        <v>60</v>
      </c>
      <c r="L260" s="7">
        <f t="shared" ref="L260:L266" si="1118">J260*K260</f>
        <v>4320</v>
      </c>
      <c r="M260" s="3">
        <v>0</v>
      </c>
      <c r="N260" s="6">
        <f t="shared" ref="N260:N266" si="1119">L260-M260</f>
        <v>4320</v>
      </c>
      <c r="O260" s="34"/>
      <c r="P260" s="7">
        <v>216</v>
      </c>
      <c r="Q260" s="3">
        <v>100</v>
      </c>
      <c r="R260" s="3">
        <f t="shared" ref="R260:R266" si="1120">P260*Q260</f>
        <v>21600</v>
      </c>
      <c r="S260" s="7">
        <v>0</v>
      </c>
      <c r="T260" s="3">
        <v>100</v>
      </c>
      <c r="U260" s="3">
        <f t="shared" ref="U260:U266" si="1121">S260*T260</f>
        <v>0</v>
      </c>
      <c r="V260" s="3">
        <f t="shared" ref="V260:V266" si="1122">P260-S260</f>
        <v>216</v>
      </c>
      <c r="W260" s="7">
        <v>100</v>
      </c>
      <c r="X260" s="7">
        <f t="shared" ref="X260" si="1123">V260*W260</f>
        <v>21600</v>
      </c>
      <c r="Y260" s="3">
        <v>0</v>
      </c>
      <c r="Z260" s="6">
        <f t="shared" ref="Z260:Z266" si="1124">X260-Y260</f>
        <v>21600</v>
      </c>
      <c r="AA260" s="82"/>
      <c r="AB260" s="7">
        <v>168</v>
      </c>
      <c r="AC260" s="3">
        <v>50</v>
      </c>
      <c r="AD260" s="3">
        <f t="shared" ref="AD260:AD266" si="1125">AB260*AC260</f>
        <v>8400</v>
      </c>
      <c r="AE260" s="7">
        <v>0</v>
      </c>
      <c r="AF260" s="3">
        <v>50</v>
      </c>
      <c r="AG260" s="3">
        <f t="shared" ref="AG260:AG266" si="1126">AE260*AF260</f>
        <v>0</v>
      </c>
      <c r="AH260" s="3">
        <f t="shared" ref="AH260:AH266" si="1127">AB260-AE260</f>
        <v>168</v>
      </c>
      <c r="AI260" s="3">
        <v>50</v>
      </c>
      <c r="AJ260" s="7">
        <f t="shared" ref="AJ260:AJ266" si="1128">AH260*AI260</f>
        <v>8400</v>
      </c>
      <c r="AK260" s="3">
        <v>0</v>
      </c>
      <c r="AL260" s="6">
        <f t="shared" ref="AL260:AL266" si="1129">AJ260-AK260</f>
        <v>8400</v>
      </c>
      <c r="AM260" s="6">
        <f t="shared" ref="AM260:AM266" si="1130">L260+X260+AJ260</f>
        <v>34320</v>
      </c>
      <c r="AN260" s="6">
        <f t="shared" ref="AN260:AN266" si="1131">M260+Y260+AK260</f>
        <v>0</v>
      </c>
      <c r="AO260" s="6">
        <f t="shared" ref="AO260:AO265" si="1132">AM260-AN260</f>
        <v>34320</v>
      </c>
      <c r="AP260" s="3" t="s">
        <v>500</v>
      </c>
      <c r="AQ260" s="3">
        <f t="shared" ref="AQ260:AQ266" si="1133">AO260</f>
        <v>34320</v>
      </c>
      <c r="AR260" s="3">
        <f t="shared" ref="AR260:AR265" si="1134">AQ260</f>
        <v>34320</v>
      </c>
      <c r="AS260" s="3">
        <f t="shared" ref="AS260:AS262" si="1135">AQ260-AR260</f>
        <v>0</v>
      </c>
      <c r="AT260" s="3"/>
    </row>
    <row r="261" spans="1:48" x14ac:dyDescent="0.35">
      <c r="A261" s="3"/>
      <c r="B261" s="172" t="s">
        <v>397</v>
      </c>
      <c r="C261" s="3" t="s">
        <v>182</v>
      </c>
      <c r="D261" s="7">
        <v>60</v>
      </c>
      <c r="E261" s="3">
        <v>55</v>
      </c>
      <c r="F261" s="1">
        <f t="shared" si="1115"/>
        <v>3300</v>
      </c>
      <c r="G261" s="7">
        <v>0</v>
      </c>
      <c r="H261" s="3">
        <v>55</v>
      </c>
      <c r="I261" s="27">
        <f t="shared" si="1116"/>
        <v>0</v>
      </c>
      <c r="J261" s="3">
        <f t="shared" si="1117"/>
        <v>60</v>
      </c>
      <c r="K261" s="7">
        <v>55</v>
      </c>
      <c r="L261" s="7">
        <f t="shared" si="1118"/>
        <v>3300</v>
      </c>
      <c r="M261" s="7">
        <v>0</v>
      </c>
      <c r="N261" s="6">
        <f t="shared" si="1119"/>
        <v>3300</v>
      </c>
      <c r="O261" s="34"/>
      <c r="P261" s="7">
        <v>0</v>
      </c>
      <c r="Q261" s="3">
        <v>100</v>
      </c>
      <c r="R261" s="3">
        <f t="shared" si="1120"/>
        <v>0</v>
      </c>
      <c r="S261" s="7">
        <v>0</v>
      </c>
      <c r="T261" s="3">
        <v>100</v>
      </c>
      <c r="U261" s="3">
        <f t="shared" si="1121"/>
        <v>0</v>
      </c>
      <c r="V261" s="3">
        <f t="shared" si="1122"/>
        <v>0</v>
      </c>
      <c r="W261" s="7">
        <v>100</v>
      </c>
      <c r="X261" s="7">
        <f>V261*W261</f>
        <v>0</v>
      </c>
      <c r="Y261" s="7">
        <v>0</v>
      </c>
      <c r="Z261" s="6">
        <f t="shared" si="1124"/>
        <v>0</v>
      </c>
      <c r="AA261" s="82"/>
      <c r="AB261" s="7">
        <v>0</v>
      </c>
      <c r="AC261" s="3">
        <v>50</v>
      </c>
      <c r="AD261" s="3">
        <f t="shared" si="1125"/>
        <v>0</v>
      </c>
      <c r="AE261" s="7">
        <v>0</v>
      </c>
      <c r="AF261" s="3">
        <v>50</v>
      </c>
      <c r="AG261" s="3">
        <f t="shared" si="1126"/>
        <v>0</v>
      </c>
      <c r="AH261" s="3">
        <f t="shared" si="1127"/>
        <v>0</v>
      </c>
      <c r="AI261" s="3">
        <v>50</v>
      </c>
      <c r="AJ261" s="7">
        <f t="shared" si="1128"/>
        <v>0</v>
      </c>
      <c r="AK261" s="7">
        <v>0</v>
      </c>
      <c r="AL261" s="6">
        <f t="shared" si="1129"/>
        <v>0</v>
      </c>
      <c r="AM261" s="6">
        <f t="shared" si="1130"/>
        <v>3300</v>
      </c>
      <c r="AN261" s="6">
        <f t="shared" si="1131"/>
        <v>0</v>
      </c>
      <c r="AO261" s="6">
        <f t="shared" si="1132"/>
        <v>3300</v>
      </c>
      <c r="AP261" s="3" t="s">
        <v>500</v>
      </c>
      <c r="AQ261" s="3">
        <f t="shared" si="1133"/>
        <v>3300</v>
      </c>
      <c r="AR261" s="3">
        <f t="shared" si="1134"/>
        <v>3300</v>
      </c>
      <c r="AS261" s="3">
        <f t="shared" si="1135"/>
        <v>0</v>
      </c>
      <c r="AT261" s="3"/>
    </row>
    <row r="262" spans="1:48" x14ac:dyDescent="0.35">
      <c r="A262" s="3"/>
      <c r="B262" s="172" t="s">
        <v>463</v>
      </c>
      <c r="C262" s="3" t="s">
        <v>33</v>
      </c>
      <c r="D262" s="7">
        <v>300</v>
      </c>
      <c r="E262" s="3">
        <v>60</v>
      </c>
      <c r="F262" s="1">
        <f t="shared" si="1115"/>
        <v>18000</v>
      </c>
      <c r="G262" s="7">
        <v>211</v>
      </c>
      <c r="H262" s="3">
        <v>60</v>
      </c>
      <c r="I262" s="27">
        <f t="shared" si="1116"/>
        <v>12660</v>
      </c>
      <c r="J262" s="3">
        <f t="shared" si="1117"/>
        <v>89</v>
      </c>
      <c r="K262" s="7">
        <v>60</v>
      </c>
      <c r="L262" s="7">
        <f t="shared" si="1118"/>
        <v>5340</v>
      </c>
      <c r="M262" s="7">
        <v>0</v>
      </c>
      <c r="N262" s="6">
        <f t="shared" si="1119"/>
        <v>5340</v>
      </c>
      <c r="O262" s="34"/>
      <c r="P262" s="7">
        <v>184</v>
      </c>
      <c r="Q262" s="3">
        <v>100</v>
      </c>
      <c r="R262" s="3">
        <f t="shared" si="1120"/>
        <v>18400</v>
      </c>
      <c r="S262" s="7">
        <v>0</v>
      </c>
      <c r="T262" s="3">
        <v>100</v>
      </c>
      <c r="U262" s="3">
        <f t="shared" si="1121"/>
        <v>0</v>
      </c>
      <c r="V262" s="3">
        <f t="shared" si="1122"/>
        <v>184</v>
      </c>
      <c r="W262" s="7">
        <v>100</v>
      </c>
      <c r="X262" s="7">
        <f>V262*W262</f>
        <v>18400</v>
      </c>
      <c r="Y262" s="7">
        <v>0</v>
      </c>
      <c r="Z262" s="6">
        <f t="shared" si="1124"/>
        <v>18400</v>
      </c>
      <c r="AA262" s="82"/>
      <c r="AB262" s="7">
        <v>120</v>
      </c>
      <c r="AC262" s="3">
        <v>50</v>
      </c>
      <c r="AD262" s="3">
        <f t="shared" si="1125"/>
        <v>6000</v>
      </c>
      <c r="AE262" s="7">
        <v>0</v>
      </c>
      <c r="AF262" s="3">
        <v>50</v>
      </c>
      <c r="AG262" s="3">
        <f t="shared" si="1126"/>
        <v>0</v>
      </c>
      <c r="AH262" s="3">
        <f t="shared" si="1127"/>
        <v>120</v>
      </c>
      <c r="AI262" s="3">
        <v>50</v>
      </c>
      <c r="AJ262" s="7">
        <f t="shared" si="1128"/>
        <v>6000</v>
      </c>
      <c r="AK262" s="7">
        <v>0</v>
      </c>
      <c r="AL262" s="6">
        <f t="shared" si="1129"/>
        <v>6000</v>
      </c>
      <c r="AM262" s="6">
        <f t="shared" si="1130"/>
        <v>29740</v>
      </c>
      <c r="AN262" s="6">
        <f t="shared" si="1131"/>
        <v>0</v>
      </c>
      <c r="AO262" s="6">
        <f t="shared" si="1132"/>
        <v>29740</v>
      </c>
      <c r="AP262" s="3" t="s">
        <v>500</v>
      </c>
      <c r="AQ262" s="3">
        <f>AO262</f>
        <v>29740</v>
      </c>
      <c r="AR262" s="3">
        <f t="shared" si="1134"/>
        <v>29740</v>
      </c>
      <c r="AS262" s="3">
        <f t="shared" si="1135"/>
        <v>0</v>
      </c>
      <c r="AT262" s="3"/>
    </row>
    <row r="263" spans="1:48" x14ac:dyDescent="0.35">
      <c r="A263" s="3"/>
      <c r="B263" s="172" t="s">
        <v>415</v>
      </c>
      <c r="C263" s="3" t="s">
        <v>33</v>
      </c>
      <c r="D263" s="7">
        <v>240</v>
      </c>
      <c r="E263" s="3">
        <v>60</v>
      </c>
      <c r="F263" s="1">
        <f t="shared" si="1115"/>
        <v>14400</v>
      </c>
      <c r="G263" s="7">
        <v>30</v>
      </c>
      <c r="H263" s="3">
        <v>60</v>
      </c>
      <c r="I263" s="27">
        <f t="shared" si="1116"/>
        <v>1800</v>
      </c>
      <c r="J263" s="3">
        <f t="shared" si="1117"/>
        <v>210</v>
      </c>
      <c r="K263" s="7">
        <v>60</v>
      </c>
      <c r="L263" s="7">
        <f t="shared" si="1118"/>
        <v>12600</v>
      </c>
      <c r="M263" s="3">
        <f>J263*5</f>
        <v>1050</v>
      </c>
      <c r="N263" s="6">
        <f t="shared" si="1119"/>
        <v>11550</v>
      </c>
      <c r="O263" s="34"/>
      <c r="P263" s="7">
        <v>252</v>
      </c>
      <c r="Q263" s="3">
        <v>100</v>
      </c>
      <c r="R263" s="3">
        <f t="shared" si="1120"/>
        <v>25200</v>
      </c>
      <c r="S263" s="7">
        <v>0</v>
      </c>
      <c r="T263" s="3">
        <v>100</v>
      </c>
      <c r="U263" s="3">
        <f t="shared" si="1121"/>
        <v>0</v>
      </c>
      <c r="V263" s="3">
        <f t="shared" si="1122"/>
        <v>252</v>
      </c>
      <c r="W263" s="7">
        <v>100</v>
      </c>
      <c r="X263" s="7">
        <f t="shared" ref="X263" si="1136">V263*W263</f>
        <v>25200</v>
      </c>
      <c r="Y263" s="3">
        <f>V263*10</f>
        <v>2520</v>
      </c>
      <c r="Z263" s="6">
        <f t="shared" si="1124"/>
        <v>22680</v>
      </c>
      <c r="AA263" s="82"/>
      <c r="AB263" s="7">
        <v>192</v>
      </c>
      <c r="AC263" s="3">
        <v>50</v>
      </c>
      <c r="AD263" s="3">
        <f t="shared" si="1125"/>
        <v>9600</v>
      </c>
      <c r="AE263" s="7">
        <v>0</v>
      </c>
      <c r="AF263" s="3">
        <v>50</v>
      </c>
      <c r="AG263" s="3">
        <f t="shared" si="1126"/>
        <v>0</v>
      </c>
      <c r="AH263" s="3">
        <f t="shared" si="1127"/>
        <v>192</v>
      </c>
      <c r="AI263" s="3">
        <v>50</v>
      </c>
      <c r="AJ263" s="7">
        <f t="shared" si="1128"/>
        <v>9600</v>
      </c>
      <c r="AK263" s="3">
        <f>AH263*5</f>
        <v>960</v>
      </c>
      <c r="AL263" s="6">
        <f t="shared" si="1129"/>
        <v>8640</v>
      </c>
      <c r="AM263" s="6">
        <f t="shared" si="1130"/>
        <v>47400</v>
      </c>
      <c r="AN263" s="6">
        <f t="shared" si="1131"/>
        <v>4530</v>
      </c>
      <c r="AO263" s="6">
        <f t="shared" si="1132"/>
        <v>42870</v>
      </c>
      <c r="AP263" s="3" t="s">
        <v>500</v>
      </c>
      <c r="AQ263" s="3">
        <f t="shared" ref="AQ263" si="1137">AO263</f>
        <v>42870</v>
      </c>
      <c r="AR263" s="3">
        <f>AQ263</f>
        <v>42870</v>
      </c>
      <c r="AS263" s="3">
        <f>AQ263-AR263</f>
        <v>0</v>
      </c>
      <c r="AT263" s="3"/>
    </row>
    <row r="264" spans="1:48" x14ac:dyDescent="0.35">
      <c r="A264" s="3"/>
      <c r="B264" s="172" t="s">
        <v>326</v>
      </c>
      <c r="C264" s="3" t="s">
        <v>33</v>
      </c>
      <c r="D264" s="7">
        <v>30</v>
      </c>
      <c r="E264" s="3">
        <v>60</v>
      </c>
      <c r="F264" s="1">
        <f t="shared" si="1115"/>
        <v>1800</v>
      </c>
      <c r="G264" s="7">
        <v>0</v>
      </c>
      <c r="H264" s="3">
        <v>60</v>
      </c>
      <c r="I264" s="27">
        <f t="shared" si="1116"/>
        <v>0</v>
      </c>
      <c r="J264" s="3">
        <f t="shared" si="1117"/>
        <v>30</v>
      </c>
      <c r="K264" s="7">
        <v>60</v>
      </c>
      <c r="L264" s="7">
        <f t="shared" si="1118"/>
        <v>1800</v>
      </c>
      <c r="M264" s="3">
        <v>0</v>
      </c>
      <c r="N264" s="6">
        <f t="shared" si="1119"/>
        <v>1800</v>
      </c>
      <c r="O264" s="34"/>
      <c r="P264" s="7">
        <v>60</v>
      </c>
      <c r="Q264" s="3">
        <v>100</v>
      </c>
      <c r="R264" s="3">
        <f t="shared" si="1120"/>
        <v>6000</v>
      </c>
      <c r="S264" s="7">
        <v>0</v>
      </c>
      <c r="T264" s="3">
        <v>100</v>
      </c>
      <c r="U264" s="3">
        <f t="shared" si="1121"/>
        <v>0</v>
      </c>
      <c r="V264" s="3">
        <f t="shared" si="1122"/>
        <v>60</v>
      </c>
      <c r="W264" s="7">
        <v>100</v>
      </c>
      <c r="X264" s="7">
        <f t="shared" ref="X264:X266" si="1138">V264*W264</f>
        <v>6000</v>
      </c>
      <c r="Y264" s="3">
        <v>0</v>
      </c>
      <c r="Z264" s="6">
        <f t="shared" si="1124"/>
        <v>6000</v>
      </c>
      <c r="AA264" s="82"/>
      <c r="AB264" s="7">
        <v>24</v>
      </c>
      <c r="AC264" s="3">
        <v>50</v>
      </c>
      <c r="AD264" s="3">
        <f t="shared" si="1125"/>
        <v>1200</v>
      </c>
      <c r="AE264" s="7">
        <v>0</v>
      </c>
      <c r="AF264" s="3">
        <v>50</v>
      </c>
      <c r="AG264" s="3">
        <f t="shared" si="1126"/>
        <v>0</v>
      </c>
      <c r="AH264" s="3">
        <f t="shared" si="1127"/>
        <v>24</v>
      </c>
      <c r="AI264" s="3">
        <v>50</v>
      </c>
      <c r="AJ264" s="7">
        <f t="shared" si="1128"/>
        <v>1200</v>
      </c>
      <c r="AK264" s="3">
        <v>0</v>
      </c>
      <c r="AL264" s="6">
        <f t="shared" si="1129"/>
        <v>1200</v>
      </c>
      <c r="AM264" s="6">
        <f t="shared" si="1130"/>
        <v>9000</v>
      </c>
      <c r="AN264" s="6">
        <f t="shared" si="1131"/>
        <v>0</v>
      </c>
      <c r="AO264" s="6">
        <f t="shared" si="1132"/>
        <v>9000</v>
      </c>
      <c r="AP264" s="3" t="s">
        <v>500</v>
      </c>
      <c r="AQ264" s="3">
        <f t="shared" si="1133"/>
        <v>9000</v>
      </c>
      <c r="AR264" s="3">
        <f t="shared" si="1134"/>
        <v>9000</v>
      </c>
      <c r="AS264" s="3">
        <f t="shared" ref="AS264:AS266" si="1139">AQ264-AR264</f>
        <v>0</v>
      </c>
      <c r="AT264" s="3"/>
    </row>
    <row r="265" spans="1:48" x14ac:dyDescent="0.35">
      <c r="A265" s="3"/>
      <c r="B265" s="172" t="s">
        <v>283</v>
      </c>
      <c r="C265" s="3" t="s">
        <v>33</v>
      </c>
      <c r="D265" s="7">
        <v>18</v>
      </c>
      <c r="E265" s="3">
        <v>60</v>
      </c>
      <c r="F265" s="1">
        <f t="shared" si="1115"/>
        <v>1080</v>
      </c>
      <c r="G265" s="7">
        <v>11</v>
      </c>
      <c r="H265" s="3">
        <v>60</v>
      </c>
      <c r="I265" s="27">
        <f t="shared" si="1116"/>
        <v>660</v>
      </c>
      <c r="J265" s="3">
        <f t="shared" si="1117"/>
        <v>7</v>
      </c>
      <c r="K265" s="7">
        <v>60</v>
      </c>
      <c r="L265" s="7">
        <f t="shared" si="1118"/>
        <v>420</v>
      </c>
      <c r="M265" s="3">
        <v>0</v>
      </c>
      <c r="N265" s="6">
        <f t="shared" si="1119"/>
        <v>420</v>
      </c>
      <c r="O265" s="34"/>
      <c r="P265" s="7">
        <v>46</v>
      </c>
      <c r="Q265" s="3">
        <v>100</v>
      </c>
      <c r="R265" s="3">
        <f t="shared" si="1120"/>
        <v>4600</v>
      </c>
      <c r="S265" s="7">
        <v>12</v>
      </c>
      <c r="T265" s="3">
        <v>100</v>
      </c>
      <c r="U265" s="3">
        <f t="shared" si="1121"/>
        <v>1200</v>
      </c>
      <c r="V265" s="3">
        <f t="shared" si="1122"/>
        <v>34</v>
      </c>
      <c r="W265" s="7">
        <v>100</v>
      </c>
      <c r="X265" s="7">
        <f t="shared" si="1138"/>
        <v>3400</v>
      </c>
      <c r="Y265" s="3">
        <f>24*5</f>
        <v>120</v>
      </c>
      <c r="Z265" s="6">
        <f t="shared" si="1124"/>
        <v>3280</v>
      </c>
      <c r="AA265" s="82"/>
      <c r="AB265" s="7">
        <v>48</v>
      </c>
      <c r="AC265" s="3">
        <v>50</v>
      </c>
      <c r="AD265" s="3">
        <f t="shared" si="1125"/>
        <v>2400</v>
      </c>
      <c r="AE265" s="7">
        <v>0</v>
      </c>
      <c r="AF265" s="3">
        <v>50</v>
      </c>
      <c r="AG265" s="3">
        <f t="shared" si="1126"/>
        <v>0</v>
      </c>
      <c r="AH265" s="3">
        <f t="shared" si="1127"/>
        <v>48</v>
      </c>
      <c r="AI265" s="3">
        <v>50</v>
      </c>
      <c r="AJ265" s="7">
        <f t="shared" si="1128"/>
        <v>2400</v>
      </c>
      <c r="AK265" s="3">
        <v>0</v>
      </c>
      <c r="AL265" s="6">
        <f t="shared" si="1129"/>
        <v>2400</v>
      </c>
      <c r="AM265" s="6">
        <f t="shared" si="1130"/>
        <v>6220</v>
      </c>
      <c r="AN265" s="6">
        <f t="shared" si="1131"/>
        <v>120</v>
      </c>
      <c r="AO265" s="6">
        <f t="shared" si="1132"/>
        <v>6100</v>
      </c>
      <c r="AP265" s="3" t="s">
        <v>500</v>
      </c>
      <c r="AQ265" s="3">
        <f t="shared" si="1133"/>
        <v>6100</v>
      </c>
      <c r="AR265" s="3">
        <f t="shared" si="1134"/>
        <v>6100</v>
      </c>
      <c r="AS265" s="3">
        <f t="shared" si="1139"/>
        <v>0</v>
      </c>
      <c r="AT265" s="3"/>
    </row>
    <row r="266" spans="1:48" x14ac:dyDescent="0.35">
      <c r="A266" s="3"/>
      <c r="B266" s="172" t="s">
        <v>283</v>
      </c>
      <c r="C266" s="3" t="s">
        <v>182</v>
      </c>
      <c r="D266" s="7">
        <v>0</v>
      </c>
      <c r="E266" s="3">
        <v>55</v>
      </c>
      <c r="F266" s="1">
        <f t="shared" si="1115"/>
        <v>0</v>
      </c>
      <c r="G266" s="7">
        <v>0</v>
      </c>
      <c r="H266" s="3">
        <v>55</v>
      </c>
      <c r="I266" s="27">
        <f t="shared" si="1116"/>
        <v>0</v>
      </c>
      <c r="J266" s="3">
        <f t="shared" si="1117"/>
        <v>0</v>
      </c>
      <c r="K266" s="7">
        <v>55</v>
      </c>
      <c r="L266" s="7">
        <f t="shared" si="1118"/>
        <v>0</v>
      </c>
      <c r="M266" s="3">
        <v>0</v>
      </c>
      <c r="N266" s="6">
        <f t="shared" si="1119"/>
        <v>0</v>
      </c>
      <c r="O266" s="34"/>
      <c r="P266" s="7">
        <v>84</v>
      </c>
      <c r="Q266" s="3">
        <v>90</v>
      </c>
      <c r="R266" s="3">
        <f t="shared" si="1120"/>
        <v>7560</v>
      </c>
      <c r="S266" s="7">
        <v>0</v>
      </c>
      <c r="T266" s="3">
        <v>90</v>
      </c>
      <c r="U266" s="3">
        <f t="shared" si="1121"/>
        <v>0</v>
      </c>
      <c r="V266" s="3">
        <f t="shared" si="1122"/>
        <v>84</v>
      </c>
      <c r="W266" s="7">
        <v>90</v>
      </c>
      <c r="X266" s="7">
        <f t="shared" si="1138"/>
        <v>7560</v>
      </c>
      <c r="Y266" s="3">
        <v>0</v>
      </c>
      <c r="Z266" s="6">
        <f t="shared" si="1124"/>
        <v>7560</v>
      </c>
      <c r="AA266" s="82"/>
      <c r="AB266" s="7">
        <v>48</v>
      </c>
      <c r="AC266" s="3">
        <v>45</v>
      </c>
      <c r="AD266" s="3">
        <f t="shared" si="1125"/>
        <v>2160</v>
      </c>
      <c r="AE266" s="7">
        <v>0</v>
      </c>
      <c r="AF266" s="3">
        <v>45</v>
      </c>
      <c r="AG266" s="3">
        <f t="shared" si="1126"/>
        <v>0</v>
      </c>
      <c r="AH266" s="3">
        <f t="shared" si="1127"/>
        <v>48</v>
      </c>
      <c r="AI266" s="3">
        <v>45</v>
      </c>
      <c r="AJ266" s="7">
        <f t="shared" si="1128"/>
        <v>2160</v>
      </c>
      <c r="AK266" s="3">
        <v>0</v>
      </c>
      <c r="AL266" s="6">
        <f t="shared" si="1129"/>
        <v>2160</v>
      </c>
      <c r="AM266" s="6">
        <f t="shared" si="1130"/>
        <v>9720</v>
      </c>
      <c r="AN266" s="6">
        <f t="shared" si="1131"/>
        <v>0</v>
      </c>
      <c r="AO266" s="6">
        <f>AM266-AN266</f>
        <v>9720</v>
      </c>
      <c r="AP266" s="3" t="s">
        <v>500</v>
      </c>
      <c r="AQ266" s="3">
        <f t="shared" si="1133"/>
        <v>9720</v>
      </c>
      <c r="AR266" s="3">
        <f>AQ266</f>
        <v>9720</v>
      </c>
      <c r="AS266" s="3">
        <f t="shared" si="1139"/>
        <v>0</v>
      </c>
      <c r="AT266" s="3"/>
    </row>
    <row r="267" spans="1:48" x14ac:dyDescent="0.35">
      <c r="A267" s="3"/>
      <c r="B267" s="172" t="s">
        <v>308</v>
      </c>
      <c r="C267" s="3" t="s">
        <v>504</v>
      </c>
      <c r="D267" s="7">
        <v>233</v>
      </c>
      <c r="E267" s="3">
        <v>60</v>
      </c>
      <c r="F267" s="1">
        <f>D267*E267</f>
        <v>13980</v>
      </c>
      <c r="G267" s="3">
        <v>105</v>
      </c>
      <c r="H267" s="3">
        <v>60</v>
      </c>
      <c r="I267" s="27">
        <f>G267*H267</f>
        <v>6300</v>
      </c>
      <c r="J267" s="3">
        <f>D267-G267</f>
        <v>128</v>
      </c>
      <c r="K267" s="7">
        <v>60</v>
      </c>
      <c r="L267" s="7">
        <f>J267*K267</f>
        <v>7680</v>
      </c>
      <c r="M267" s="3">
        <f>J267*5</f>
        <v>640</v>
      </c>
      <c r="N267" s="6">
        <f>L267-M267</f>
        <v>7040</v>
      </c>
      <c r="O267" s="34"/>
      <c r="P267" s="3">
        <v>129</v>
      </c>
      <c r="Q267" s="3">
        <v>100</v>
      </c>
      <c r="R267" s="3">
        <f>P267*Q267</f>
        <v>12900</v>
      </c>
      <c r="S267" s="3">
        <v>12</v>
      </c>
      <c r="T267" s="3">
        <v>100</v>
      </c>
      <c r="U267" s="3">
        <f>S267*T267</f>
        <v>1200</v>
      </c>
      <c r="V267" s="3">
        <f>P267-S267</f>
        <v>117</v>
      </c>
      <c r="W267" s="7">
        <v>100</v>
      </c>
      <c r="X267" s="7">
        <f>V267*W267</f>
        <v>11700</v>
      </c>
      <c r="Y267" s="3">
        <f>V267*10</f>
        <v>1170</v>
      </c>
      <c r="Z267" s="6">
        <f>X267-Y267</f>
        <v>10530</v>
      </c>
      <c r="AA267" s="82">
        <v>195</v>
      </c>
      <c r="AB267" s="3">
        <v>181</v>
      </c>
      <c r="AC267" s="3">
        <v>50</v>
      </c>
      <c r="AD267" s="3">
        <f>AB267*AC267</f>
        <v>9050</v>
      </c>
      <c r="AE267" s="3">
        <v>12</v>
      </c>
      <c r="AF267" s="3">
        <v>50</v>
      </c>
      <c r="AG267" s="3">
        <f>AE267*AF267</f>
        <v>600</v>
      </c>
      <c r="AH267" s="3">
        <f>AB267-AE267</f>
        <v>169</v>
      </c>
      <c r="AI267" s="3">
        <v>50</v>
      </c>
      <c r="AJ267" s="7">
        <f>AH267*AI267</f>
        <v>8450</v>
      </c>
      <c r="AK267" s="3">
        <f>AH267*5</f>
        <v>845</v>
      </c>
      <c r="AL267" s="6">
        <f>AJ267-AK267</f>
        <v>7605</v>
      </c>
      <c r="AM267" s="6">
        <f>L267+X267+AJ267</f>
        <v>27830</v>
      </c>
      <c r="AN267" s="6">
        <f>M267+Y267+AK267</f>
        <v>2655</v>
      </c>
      <c r="AO267" s="6">
        <f>AM267-AN267</f>
        <v>25175</v>
      </c>
      <c r="AP267" s="3" t="s">
        <v>499</v>
      </c>
      <c r="AQ267" s="3">
        <f>AO267</f>
        <v>25175</v>
      </c>
      <c r="AR267" s="3">
        <f>AQ267</f>
        <v>25175</v>
      </c>
      <c r="AS267" s="3">
        <f>AQ267-AR267</f>
        <v>0</v>
      </c>
      <c r="AT267" s="3"/>
    </row>
    <row r="268" spans="1:48" x14ac:dyDescent="0.35">
      <c r="A268" s="3"/>
      <c r="B268" s="172" t="s">
        <v>308</v>
      </c>
      <c r="C268" s="3" t="s">
        <v>562</v>
      </c>
      <c r="D268" s="7">
        <v>180</v>
      </c>
      <c r="E268" s="3">
        <v>60</v>
      </c>
      <c r="F268" s="1">
        <v>0</v>
      </c>
      <c r="G268" s="7">
        <v>0</v>
      </c>
      <c r="H268" s="3">
        <v>60</v>
      </c>
      <c r="I268" s="27">
        <f>G268*H268</f>
        <v>0</v>
      </c>
      <c r="J268" s="3">
        <v>0</v>
      </c>
      <c r="K268" s="7">
        <v>60</v>
      </c>
      <c r="L268" s="7">
        <f>J268*K268</f>
        <v>0</v>
      </c>
      <c r="M268" s="3">
        <v>0</v>
      </c>
      <c r="N268" s="6">
        <f>L268-M268</f>
        <v>0</v>
      </c>
      <c r="O268" s="34"/>
      <c r="P268" s="7">
        <v>138</v>
      </c>
      <c r="Q268" s="3">
        <v>100</v>
      </c>
      <c r="R268" s="3">
        <v>0</v>
      </c>
      <c r="S268" s="7">
        <v>0</v>
      </c>
      <c r="T268" s="3">
        <v>100</v>
      </c>
      <c r="U268" s="3">
        <f>S268*T268</f>
        <v>0</v>
      </c>
      <c r="V268" s="3">
        <v>0</v>
      </c>
      <c r="W268" s="7">
        <v>100</v>
      </c>
      <c r="X268" s="7">
        <f>V268*W268</f>
        <v>0</v>
      </c>
      <c r="Y268" s="3">
        <v>0</v>
      </c>
      <c r="Z268" s="6">
        <f>X268-Y268</f>
        <v>0</v>
      </c>
      <c r="AA268" s="82"/>
      <c r="AB268" s="7">
        <v>192</v>
      </c>
      <c r="AC268" s="3">
        <v>50</v>
      </c>
      <c r="AD268" s="3">
        <v>0</v>
      </c>
      <c r="AE268" s="7">
        <v>0</v>
      </c>
      <c r="AF268" s="3">
        <v>50</v>
      </c>
      <c r="AG268" s="3">
        <f>AE268*AF268</f>
        <v>0</v>
      </c>
      <c r="AH268" s="3">
        <v>0</v>
      </c>
      <c r="AI268" s="3">
        <v>50</v>
      </c>
      <c r="AJ268" s="7">
        <f>AH268*AI268</f>
        <v>0</v>
      </c>
      <c r="AK268" s="3">
        <v>0</v>
      </c>
      <c r="AL268" s="6">
        <f>AJ268-AK268</f>
        <v>0</v>
      </c>
      <c r="AM268" s="6">
        <f>L268+X268+AJ268</f>
        <v>0</v>
      </c>
      <c r="AN268" s="6">
        <f>M268+Y268+AK268</f>
        <v>0</v>
      </c>
      <c r="AO268" s="6">
        <f>AM268-AN268</f>
        <v>0</v>
      </c>
      <c r="AP268" s="3" t="s">
        <v>499</v>
      </c>
      <c r="AQ268" s="3">
        <f>AO268</f>
        <v>0</v>
      </c>
      <c r="AR268" s="3">
        <f>AQ268</f>
        <v>0</v>
      </c>
      <c r="AS268" s="3">
        <f>AQ268-AR268</f>
        <v>0</v>
      </c>
      <c r="AT268" s="3"/>
    </row>
    <row r="269" spans="1:48" x14ac:dyDescent="0.35">
      <c r="A269" s="3"/>
      <c r="B269" s="3" t="s">
        <v>287</v>
      </c>
      <c r="C269" s="3" t="s">
        <v>33</v>
      </c>
      <c r="D269" s="7">
        <v>0</v>
      </c>
      <c r="E269" s="3">
        <v>60</v>
      </c>
      <c r="F269" s="1">
        <f t="shared" ref="F269" si="1140">D269*E269</f>
        <v>0</v>
      </c>
      <c r="G269" s="7">
        <v>0</v>
      </c>
      <c r="H269" s="3">
        <v>60</v>
      </c>
      <c r="I269" s="27">
        <f t="shared" ref="I269:I270" si="1141">G269*H269</f>
        <v>0</v>
      </c>
      <c r="J269" s="3">
        <f t="shared" ref="J269" si="1142">D269-G269</f>
        <v>0</v>
      </c>
      <c r="K269" s="7">
        <v>60</v>
      </c>
      <c r="L269" s="7">
        <f t="shared" ref="L269:L270" si="1143">J269*K269</f>
        <v>0</v>
      </c>
      <c r="M269" s="3">
        <f>J269*5</f>
        <v>0</v>
      </c>
      <c r="N269" s="6">
        <f t="shared" ref="N269:N270" si="1144">L269-M269</f>
        <v>0</v>
      </c>
      <c r="O269" s="34"/>
      <c r="P269" s="7">
        <v>0</v>
      </c>
      <c r="Q269" s="3">
        <v>100</v>
      </c>
      <c r="R269" s="3">
        <f t="shared" ref="R269" si="1145">P269*Q269</f>
        <v>0</v>
      </c>
      <c r="S269" s="7">
        <v>0</v>
      </c>
      <c r="T269" s="3">
        <v>100</v>
      </c>
      <c r="U269" s="3">
        <f t="shared" ref="U269:U270" si="1146">S269*T269</f>
        <v>0</v>
      </c>
      <c r="V269" s="3">
        <f t="shared" ref="V269" si="1147">P269-S269</f>
        <v>0</v>
      </c>
      <c r="W269" s="7">
        <v>100</v>
      </c>
      <c r="X269" s="7">
        <f t="shared" ref="X269:X270" si="1148">V269*W269</f>
        <v>0</v>
      </c>
      <c r="Y269" s="3">
        <f>V269*10</f>
        <v>0</v>
      </c>
      <c r="Z269" s="6">
        <f t="shared" ref="Z269:Z270" si="1149">X269-Y269</f>
        <v>0</v>
      </c>
      <c r="AA269" s="82"/>
      <c r="AB269" s="7">
        <v>0</v>
      </c>
      <c r="AC269" s="3">
        <v>50</v>
      </c>
      <c r="AD269" s="3">
        <f t="shared" ref="AD269" si="1150">AB269*AC269</f>
        <v>0</v>
      </c>
      <c r="AE269" s="7">
        <v>0</v>
      </c>
      <c r="AF269" s="3">
        <v>50</v>
      </c>
      <c r="AG269" s="3">
        <f t="shared" ref="AG269:AG270" si="1151">AE269*AF269</f>
        <v>0</v>
      </c>
      <c r="AH269" s="3">
        <f t="shared" ref="AH269" si="1152">AB269-AE269</f>
        <v>0</v>
      </c>
      <c r="AI269" s="3">
        <v>50</v>
      </c>
      <c r="AJ269" s="7">
        <f t="shared" ref="AJ269:AJ270" si="1153">AH269*AI269</f>
        <v>0</v>
      </c>
      <c r="AK269" s="3">
        <f>AH269*5</f>
        <v>0</v>
      </c>
      <c r="AL269" s="6">
        <f t="shared" ref="AL269:AL270" si="1154">AJ269-AK269</f>
        <v>0</v>
      </c>
      <c r="AM269" s="6">
        <f t="shared" ref="AM269:AM270" si="1155">L269+X269+AJ269</f>
        <v>0</v>
      </c>
      <c r="AN269" s="6">
        <f t="shared" ref="AN269:AN270" si="1156">M269+Y269+AK269</f>
        <v>0</v>
      </c>
      <c r="AO269" s="6">
        <f t="shared" ref="AO269:AO270" si="1157">AM269-AN269</f>
        <v>0</v>
      </c>
      <c r="AP269" s="3" t="s">
        <v>500</v>
      </c>
      <c r="AQ269" s="3">
        <f t="shared" ref="AQ269:AQ270" si="1158">AO269</f>
        <v>0</v>
      </c>
      <c r="AR269" s="3">
        <f>AQ269</f>
        <v>0</v>
      </c>
      <c r="AS269" s="3">
        <f t="shared" ref="AS269:AS270" si="1159">AQ269-AR269</f>
        <v>0</v>
      </c>
      <c r="AT269" s="3"/>
    </row>
    <row r="270" spans="1:48" x14ac:dyDescent="0.35">
      <c r="A270" s="3"/>
      <c r="B270" s="3" t="s">
        <v>287</v>
      </c>
      <c r="C270" s="3" t="s">
        <v>332</v>
      </c>
      <c r="D270" s="7">
        <v>0</v>
      </c>
      <c r="E270" s="3">
        <v>60</v>
      </c>
      <c r="F270" s="1">
        <v>0</v>
      </c>
      <c r="G270" s="7">
        <v>0</v>
      </c>
      <c r="H270" s="3">
        <v>60</v>
      </c>
      <c r="I270" s="27">
        <f t="shared" si="1141"/>
        <v>0</v>
      </c>
      <c r="J270" s="3">
        <v>0</v>
      </c>
      <c r="K270" s="7">
        <v>60</v>
      </c>
      <c r="L270" s="7">
        <f t="shared" si="1143"/>
        <v>0</v>
      </c>
      <c r="M270" s="3">
        <v>0</v>
      </c>
      <c r="N270" s="6">
        <f t="shared" si="1144"/>
        <v>0</v>
      </c>
      <c r="O270" s="34"/>
      <c r="P270" s="7">
        <v>0</v>
      </c>
      <c r="Q270" s="3">
        <v>100</v>
      </c>
      <c r="R270" s="3">
        <v>0</v>
      </c>
      <c r="S270" s="7">
        <v>0</v>
      </c>
      <c r="T270" s="3">
        <v>100</v>
      </c>
      <c r="U270" s="3">
        <f t="shared" si="1146"/>
        <v>0</v>
      </c>
      <c r="V270" s="3">
        <v>0</v>
      </c>
      <c r="W270" s="7">
        <v>100</v>
      </c>
      <c r="X270" s="7">
        <f t="shared" si="1148"/>
        <v>0</v>
      </c>
      <c r="Y270" s="3">
        <v>0</v>
      </c>
      <c r="Z270" s="6">
        <f t="shared" si="1149"/>
        <v>0</v>
      </c>
      <c r="AA270" s="82"/>
      <c r="AB270" s="7">
        <v>0</v>
      </c>
      <c r="AC270" s="3">
        <v>50</v>
      </c>
      <c r="AD270" s="3">
        <v>0</v>
      </c>
      <c r="AE270" s="7">
        <v>0</v>
      </c>
      <c r="AF270" s="3">
        <v>50</v>
      </c>
      <c r="AG270" s="3">
        <f t="shared" si="1151"/>
        <v>0</v>
      </c>
      <c r="AH270" s="3">
        <v>0</v>
      </c>
      <c r="AI270" s="3">
        <v>50</v>
      </c>
      <c r="AJ270" s="7">
        <f t="shared" si="1153"/>
        <v>0</v>
      </c>
      <c r="AK270" s="3">
        <v>0</v>
      </c>
      <c r="AL270" s="6">
        <f t="shared" si="1154"/>
        <v>0</v>
      </c>
      <c r="AM270" s="6">
        <f t="shared" si="1155"/>
        <v>0</v>
      </c>
      <c r="AN270" s="6">
        <f t="shared" si="1156"/>
        <v>0</v>
      </c>
      <c r="AO270" s="6">
        <f t="shared" si="1157"/>
        <v>0</v>
      </c>
      <c r="AP270" s="3" t="s">
        <v>500</v>
      </c>
      <c r="AQ270" s="3">
        <f t="shared" si="1158"/>
        <v>0</v>
      </c>
      <c r="AR270" s="3">
        <f t="shared" ref="AR270" si="1160">AQ270</f>
        <v>0</v>
      </c>
      <c r="AS270" s="3">
        <f t="shared" si="1159"/>
        <v>0</v>
      </c>
      <c r="AT270" s="3"/>
    </row>
    <row r="271" spans="1:48" x14ac:dyDescent="0.35">
      <c r="A271" s="19"/>
      <c r="B271" s="19" t="s">
        <v>36</v>
      </c>
      <c r="C271" s="19"/>
      <c r="D271" s="19">
        <f>SUM(D260:D270)</f>
        <v>1226</v>
      </c>
      <c r="E271" s="19"/>
      <c r="F271" s="19">
        <f>SUM(F260:F270)</f>
        <v>62460</v>
      </c>
      <c r="G271" s="19">
        <f>SUM(G260:G270)</f>
        <v>450</v>
      </c>
      <c r="H271" s="19"/>
      <c r="I271" s="19">
        <f>SUM(I260:I270)</f>
        <v>27000</v>
      </c>
      <c r="J271" s="19">
        <f>SUM(J260:J270)</f>
        <v>596</v>
      </c>
      <c r="K271" s="19"/>
      <c r="L271" s="19">
        <f>SUM(L260:L270)</f>
        <v>35460</v>
      </c>
      <c r="M271" s="19">
        <f>SUM(M260:M270)</f>
        <v>1690</v>
      </c>
      <c r="N271" s="19">
        <f>SUM(N260:N270)</f>
        <v>33770</v>
      </c>
      <c r="O271" s="34"/>
      <c r="P271" s="19">
        <f>SUM(P260:P270)</f>
        <v>1109</v>
      </c>
      <c r="Q271" s="19"/>
      <c r="R271" s="19">
        <f>SUM(R260:R270)</f>
        <v>96260</v>
      </c>
      <c r="S271" s="19">
        <f>SUM(S260:S270)</f>
        <v>24</v>
      </c>
      <c r="T271" s="19"/>
      <c r="U271" s="19">
        <f>SUM(U260:U270)</f>
        <v>2400</v>
      </c>
      <c r="V271" s="19">
        <f>SUM(V260:V270)</f>
        <v>947</v>
      </c>
      <c r="W271" s="19"/>
      <c r="X271" s="19">
        <f>SUM(X260:X270)</f>
        <v>93860</v>
      </c>
      <c r="Y271" s="19">
        <f>SUM(Y260:Y270)</f>
        <v>3810</v>
      </c>
      <c r="Z271" s="19">
        <f>SUM(Z260:Z270)</f>
        <v>90050</v>
      </c>
      <c r="AA271" s="34"/>
      <c r="AB271" s="19">
        <f>SUM(AB260:AB270)</f>
        <v>973</v>
      </c>
      <c r="AC271" s="19"/>
      <c r="AD271" s="19">
        <f>SUM(AD260:AD270)</f>
        <v>38810</v>
      </c>
      <c r="AE271" s="19">
        <f>SUM(AE260:AE270)</f>
        <v>12</v>
      </c>
      <c r="AF271" s="19"/>
      <c r="AG271" s="19">
        <f>SUM(AG260:AG270)</f>
        <v>600</v>
      </c>
      <c r="AH271" s="19">
        <f>SUM(AH260:AH270)</f>
        <v>769</v>
      </c>
      <c r="AI271" s="19"/>
      <c r="AJ271" s="19">
        <f t="shared" ref="AJ271:AO271" si="1161">SUM(AJ260:AJ270)</f>
        <v>38210</v>
      </c>
      <c r="AK271" s="19">
        <f t="shared" si="1161"/>
        <v>1805</v>
      </c>
      <c r="AL271" s="19">
        <f t="shared" si="1161"/>
        <v>36405</v>
      </c>
      <c r="AM271" s="19">
        <f t="shared" si="1161"/>
        <v>167530</v>
      </c>
      <c r="AN271" s="19">
        <f t="shared" si="1161"/>
        <v>7305</v>
      </c>
      <c r="AO271" s="19">
        <f t="shared" si="1161"/>
        <v>160225</v>
      </c>
      <c r="AP271" s="19"/>
      <c r="AQ271" s="19">
        <f>SUM(AQ260:AQ270)</f>
        <v>160225</v>
      </c>
      <c r="AR271" s="19">
        <f>SUM(AR260:AR270)</f>
        <v>160225</v>
      </c>
      <c r="AS271" s="19">
        <f>SUM(AS260:AS270)</f>
        <v>0</v>
      </c>
      <c r="AT271" s="74"/>
      <c r="AV271" s="238"/>
    </row>
    <row r="272" spans="1:48" x14ac:dyDescent="0.35">
      <c r="A272" s="3" t="s">
        <v>502</v>
      </c>
      <c r="B272" s="172" t="s">
        <v>276</v>
      </c>
      <c r="C272" s="3" t="s">
        <v>33</v>
      </c>
      <c r="D272" s="7">
        <v>225</v>
      </c>
      <c r="E272" s="3">
        <v>60</v>
      </c>
      <c r="F272" s="1">
        <f t="shared" ref="F272:F279" si="1162">D272*E272</f>
        <v>13500</v>
      </c>
      <c r="G272" s="7">
        <v>158</v>
      </c>
      <c r="H272" s="3">
        <v>60</v>
      </c>
      <c r="I272" s="27">
        <f t="shared" ref="I272:I279" si="1163">G272*H272</f>
        <v>9480</v>
      </c>
      <c r="J272" s="3">
        <f t="shared" ref="J272:J279" si="1164">D272-G272</f>
        <v>67</v>
      </c>
      <c r="K272" s="7">
        <v>60</v>
      </c>
      <c r="L272" s="7">
        <f t="shared" ref="L272:L279" si="1165">J272*K272</f>
        <v>4020</v>
      </c>
      <c r="M272" s="3">
        <v>0</v>
      </c>
      <c r="N272" s="6">
        <f t="shared" ref="N272:N279" si="1166">L272-M272</f>
        <v>4020</v>
      </c>
      <c r="O272" s="34"/>
      <c r="P272" s="7">
        <v>192</v>
      </c>
      <c r="Q272" s="3">
        <v>100</v>
      </c>
      <c r="R272" s="3">
        <f t="shared" ref="R272:R279" si="1167">P272*Q272</f>
        <v>19200</v>
      </c>
      <c r="S272" s="7">
        <v>55</v>
      </c>
      <c r="T272" s="3">
        <v>100</v>
      </c>
      <c r="U272" s="3">
        <f t="shared" ref="U272:U279" si="1168">S272*T272</f>
        <v>5500</v>
      </c>
      <c r="V272" s="3">
        <f t="shared" ref="V272:V279" si="1169">P272-S272</f>
        <v>137</v>
      </c>
      <c r="W272" s="7">
        <v>100</v>
      </c>
      <c r="X272" s="7">
        <f t="shared" ref="X272" si="1170">V272*W272</f>
        <v>13700</v>
      </c>
      <c r="Y272" s="3">
        <v>0</v>
      </c>
      <c r="Z272" s="6">
        <f t="shared" ref="Z272:Z279" si="1171">X272-Y272</f>
        <v>13700</v>
      </c>
      <c r="AA272" s="82"/>
      <c r="AB272" s="7">
        <v>180</v>
      </c>
      <c r="AC272" s="3">
        <v>50</v>
      </c>
      <c r="AD272" s="3">
        <f t="shared" ref="AD272:AD279" si="1172">AB272*AC272</f>
        <v>9000</v>
      </c>
      <c r="AE272" s="7">
        <v>24</v>
      </c>
      <c r="AF272" s="3">
        <v>50</v>
      </c>
      <c r="AG272" s="3">
        <f t="shared" ref="AG272:AG279" si="1173">AE272*AF272</f>
        <v>1200</v>
      </c>
      <c r="AH272" s="3">
        <f t="shared" ref="AH272:AH274" si="1174">AB272-AE272</f>
        <v>156</v>
      </c>
      <c r="AI272" s="3">
        <v>50</v>
      </c>
      <c r="AJ272" s="7">
        <f t="shared" ref="AJ272:AJ279" si="1175">AH272*AI272</f>
        <v>7800</v>
      </c>
      <c r="AK272" s="3">
        <v>0</v>
      </c>
      <c r="AL272" s="6">
        <f t="shared" ref="AL272:AL279" si="1176">AJ272-AK272</f>
        <v>7800</v>
      </c>
      <c r="AM272" s="6">
        <f t="shared" ref="AM272:AM279" si="1177">L272+X272+AJ272</f>
        <v>25520</v>
      </c>
      <c r="AN272" s="6">
        <f t="shared" ref="AN272:AN279" si="1178">M272+Y272+AK272</f>
        <v>0</v>
      </c>
      <c r="AO272" s="6">
        <f t="shared" ref="AO272:AO279" si="1179">AM272-AN272</f>
        <v>25520</v>
      </c>
      <c r="AP272" s="3" t="s">
        <v>502</v>
      </c>
      <c r="AQ272" s="3">
        <f t="shared" ref="AQ272:AQ279" si="1180">AO272</f>
        <v>25520</v>
      </c>
      <c r="AR272" s="3">
        <f t="shared" ref="AR272:AR279" si="1181">AQ272</f>
        <v>25520</v>
      </c>
      <c r="AS272" s="3">
        <f t="shared" ref="AS272:AS275" si="1182">AQ272-AR272</f>
        <v>0</v>
      </c>
      <c r="AT272" s="3"/>
    </row>
    <row r="273" spans="1:46" x14ac:dyDescent="0.35">
      <c r="A273" s="3"/>
      <c r="B273" s="172" t="s">
        <v>276</v>
      </c>
      <c r="C273" s="3" t="s">
        <v>182</v>
      </c>
      <c r="D273" s="7">
        <v>0</v>
      </c>
      <c r="E273" s="3">
        <v>55</v>
      </c>
      <c r="F273" s="1">
        <f t="shared" ref="F273" si="1183">D273*E273</f>
        <v>0</v>
      </c>
      <c r="G273" s="3">
        <v>0</v>
      </c>
      <c r="H273" s="3">
        <v>55</v>
      </c>
      <c r="I273" s="27">
        <f t="shared" ref="I273" si="1184">G273*H273</f>
        <v>0</v>
      </c>
      <c r="J273" s="3">
        <f t="shared" ref="J273" si="1185">D273-G273</f>
        <v>0</v>
      </c>
      <c r="K273" s="7">
        <v>55</v>
      </c>
      <c r="L273" s="7">
        <f t="shared" ref="L273" si="1186">J273*K273</f>
        <v>0</v>
      </c>
      <c r="M273" s="7">
        <v>0</v>
      </c>
      <c r="N273" s="6">
        <f t="shared" ref="N273" si="1187">L273-M273</f>
        <v>0</v>
      </c>
      <c r="O273" s="34"/>
      <c r="P273" s="3">
        <v>0</v>
      </c>
      <c r="Q273" s="3">
        <v>100</v>
      </c>
      <c r="R273" s="3">
        <f t="shared" ref="R273" si="1188">P273*Q273</f>
        <v>0</v>
      </c>
      <c r="S273" s="3">
        <v>0</v>
      </c>
      <c r="T273" s="3">
        <v>100</v>
      </c>
      <c r="U273" s="3">
        <f t="shared" ref="U273" si="1189">S273*T273</f>
        <v>0</v>
      </c>
      <c r="V273" s="3">
        <f t="shared" ref="V273" si="1190">P273-S273</f>
        <v>0</v>
      </c>
      <c r="W273" s="7">
        <v>100</v>
      </c>
      <c r="X273" s="7">
        <f>V273*W273</f>
        <v>0</v>
      </c>
      <c r="Y273" s="7">
        <v>0</v>
      </c>
      <c r="Z273" s="6">
        <f t="shared" ref="Z273" si="1191">X273-Y273</f>
        <v>0</v>
      </c>
      <c r="AA273" s="82"/>
      <c r="AB273" s="3">
        <v>0</v>
      </c>
      <c r="AC273" s="3">
        <v>45</v>
      </c>
      <c r="AD273" s="3">
        <f t="shared" ref="AD273" si="1192">AB273*AC273</f>
        <v>0</v>
      </c>
      <c r="AE273" s="3">
        <v>0</v>
      </c>
      <c r="AF273" s="3">
        <v>45</v>
      </c>
      <c r="AG273" s="3">
        <f t="shared" ref="AG273" si="1193">AE273*AF273</f>
        <v>0</v>
      </c>
      <c r="AH273" s="3">
        <f t="shared" si="1174"/>
        <v>0</v>
      </c>
      <c r="AI273" s="3">
        <v>45</v>
      </c>
      <c r="AJ273" s="7">
        <f t="shared" ref="AJ273" si="1194">AH273*AI273</f>
        <v>0</v>
      </c>
      <c r="AK273" s="7">
        <v>0</v>
      </c>
      <c r="AL273" s="6">
        <f t="shared" ref="AL273" si="1195">AJ273-AK273</f>
        <v>0</v>
      </c>
      <c r="AM273" s="6">
        <f t="shared" ref="AM273" si="1196">L273+X273+AJ273</f>
        <v>0</v>
      </c>
      <c r="AN273" s="6">
        <f t="shared" ref="AN273" si="1197">M273+Y273+AK273</f>
        <v>0</v>
      </c>
      <c r="AO273" s="6">
        <f t="shared" ref="AO273" si="1198">AM273-AN273</f>
        <v>0</v>
      </c>
      <c r="AP273" s="3" t="s">
        <v>502</v>
      </c>
      <c r="AQ273" s="3">
        <f t="shared" ref="AQ273" si="1199">AO273</f>
        <v>0</v>
      </c>
      <c r="AR273" s="3">
        <f t="shared" si="1181"/>
        <v>0</v>
      </c>
      <c r="AS273" s="3">
        <f t="shared" ref="AS273" si="1200">AQ273-AR273</f>
        <v>0</v>
      </c>
      <c r="AT273" s="3"/>
    </row>
    <row r="274" spans="1:46" x14ac:dyDescent="0.35">
      <c r="A274" s="3"/>
      <c r="B274" s="172" t="s">
        <v>463</v>
      </c>
      <c r="C274" s="3" t="s">
        <v>33</v>
      </c>
      <c r="D274" s="7">
        <v>300</v>
      </c>
      <c r="E274" s="3">
        <v>60</v>
      </c>
      <c r="F274" s="1">
        <f t="shared" si="1162"/>
        <v>18000</v>
      </c>
      <c r="G274" s="7">
        <v>200</v>
      </c>
      <c r="H274" s="3">
        <v>60</v>
      </c>
      <c r="I274" s="27">
        <f t="shared" si="1163"/>
        <v>12000</v>
      </c>
      <c r="J274" s="3">
        <f t="shared" si="1164"/>
        <v>100</v>
      </c>
      <c r="K274" s="7">
        <v>60</v>
      </c>
      <c r="L274" s="7">
        <f t="shared" si="1165"/>
        <v>6000</v>
      </c>
      <c r="M274" s="7">
        <v>0</v>
      </c>
      <c r="N274" s="6">
        <f t="shared" si="1166"/>
        <v>6000</v>
      </c>
      <c r="O274" s="34"/>
      <c r="P274" s="7">
        <v>240</v>
      </c>
      <c r="Q274" s="3">
        <v>100</v>
      </c>
      <c r="R274" s="3">
        <f t="shared" si="1167"/>
        <v>24000</v>
      </c>
      <c r="S274" s="7">
        <v>60</v>
      </c>
      <c r="T274" s="3">
        <v>100</v>
      </c>
      <c r="U274" s="3">
        <f t="shared" si="1168"/>
        <v>6000</v>
      </c>
      <c r="V274" s="3">
        <f t="shared" si="1169"/>
        <v>180</v>
      </c>
      <c r="W274" s="7">
        <v>100</v>
      </c>
      <c r="X274" s="7">
        <f>V274*W274</f>
        <v>18000</v>
      </c>
      <c r="Y274" s="7">
        <v>0</v>
      </c>
      <c r="Z274" s="6">
        <f t="shared" si="1171"/>
        <v>18000</v>
      </c>
      <c r="AA274" s="82"/>
      <c r="AB274" s="7">
        <v>240</v>
      </c>
      <c r="AC274" s="3">
        <v>50</v>
      </c>
      <c r="AD274" s="3">
        <f t="shared" si="1172"/>
        <v>12000</v>
      </c>
      <c r="AE274" s="7">
        <v>150</v>
      </c>
      <c r="AF274" s="3">
        <v>50</v>
      </c>
      <c r="AG274" s="3">
        <f t="shared" si="1173"/>
        <v>7500</v>
      </c>
      <c r="AH274" s="3">
        <f t="shared" si="1174"/>
        <v>90</v>
      </c>
      <c r="AI274" s="3">
        <v>50</v>
      </c>
      <c r="AJ274" s="7">
        <f>AH274*AI274</f>
        <v>4500</v>
      </c>
      <c r="AK274" s="7">
        <v>0</v>
      </c>
      <c r="AL274" s="6">
        <f t="shared" si="1176"/>
        <v>4500</v>
      </c>
      <c r="AM274" s="6">
        <f>L274+X274+AJ274</f>
        <v>28500</v>
      </c>
      <c r="AN274" s="6">
        <f t="shared" si="1178"/>
        <v>0</v>
      </c>
      <c r="AO274" s="6">
        <f t="shared" si="1179"/>
        <v>28500</v>
      </c>
      <c r="AP274" s="3" t="s">
        <v>502</v>
      </c>
      <c r="AQ274" s="3">
        <f t="shared" si="1180"/>
        <v>28500</v>
      </c>
      <c r="AR274" s="3">
        <f t="shared" si="1181"/>
        <v>28500</v>
      </c>
      <c r="AS274" s="3">
        <f t="shared" si="1182"/>
        <v>0</v>
      </c>
      <c r="AT274" s="3"/>
    </row>
    <row r="275" spans="1:46" x14ac:dyDescent="0.35">
      <c r="A275" s="3"/>
      <c r="B275" s="172" t="s">
        <v>463</v>
      </c>
      <c r="C275" s="3" t="s">
        <v>182</v>
      </c>
      <c r="D275" s="7">
        <v>0</v>
      </c>
      <c r="E275" s="3">
        <v>55</v>
      </c>
      <c r="F275" s="1">
        <f t="shared" si="1162"/>
        <v>0</v>
      </c>
      <c r="G275" s="3">
        <v>0</v>
      </c>
      <c r="H275" s="3">
        <v>55</v>
      </c>
      <c r="I275" s="27">
        <f t="shared" si="1163"/>
        <v>0</v>
      </c>
      <c r="J275" s="3">
        <f t="shared" si="1164"/>
        <v>0</v>
      </c>
      <c r="K275" s="7">
        <v>55</v>
      </c>
      <c r="L275" s="7">
        <f t="shared" si="1165"/>
        <v>0</v>
      </c>
      <c r="M275" s="7">
        <v>0</v>
      </c>
      <c r="N275" s="6">
        <f t="shared" si="1166"/>
        <v>0</v>
      </c>
      <c r="O275" s="34"/>
      <c r="P275" s="3">
        <v>0</v>
      </c>
      <c r="Q275" s="3">
        <v>100</v>
      </c>
      <c r="R275" s="3">
        <f t="shared" si="1167"/>
        <v>0</v>
      </c>
      <c r="S275" s="3">
        <v>0</v>
      </c>
      <c r="T275" s="3">
        <v>100</v>
      </c>
      <c r="U275" s="3">
        <f t="shared" si="1168"/>
        <v>0</v>
      </c>
      <c r="V275" s="3">
        <f t="shared" si="1169"/>
        <v>0</v>
      </c>
      <c r="W275" s="7">
        <v>100</v>
      </c>
      <c r="X275" s="7">
        <f>V275*W275</f>
        <v>0</v>
      </c>
      <c r="Y275" s="7">
        <v>0</v>
      </c>
      <c r="Z275" s="6">
        <f t="shared" si="1171"/>
        <v>0</v>
      </c>
      <c r="AA275" s="82"/>
      <c r="AB275" s="3">
        <v>0</v>
      </c>
      <c r="AC275" s="3">
        <v>45</v>
      </c>
      <c r="AD275" s="3">
        <f t="shared" si="1172"/>
        <v>0</v>
      </c>
      <c r="AE275" s="3">
        <v>0</v>
      </c>
      <c r="AF275" s="3">
        <v>45</v>
      </c>
      <c r="AG275" s="3">
        <f t="shared" si="1173"/>
        <v>0</v>
      </c>
      <c r="AH275" s="3">
        <f t="shared" ref="AH275" si="1201">AB275-AE275</f>
        <v>0</v>
      </c>
      <c r="AI275" s="3">
        <v>45</v>
      </c>
      <c r="AJ275" s="7">
        <f t="shared" si="1175"/>
        <v>0</v>
      </c>
      <c r="AK275" s="7">
        <v>0</v>
      </c>
      <c r="AL275" s="6">
        <f t="shared" si="1176"/>
        <v>0</v>
      </c>
      <c r="AM275" s="6">
        <f t="shared" si="1177"/>
        <v>0</v>
      </c>
      <c r="AN275" s="6">
        <f t="shared" si="1178"/>
        <v>0</v>
      </c>
      <c r="AO275" s="6">
        <f t="shared" si="1179"/>
        <v>0</v>
      </c>
      <c r="AP275" s="3" t="s">
        <v>502</v>
      </c>
      <c r="AQ275" s="3">
        <f t="shared" si="1180"/>
        <v>0</v>
      </c>
      <c r="AR275" s="3">
        <f t="shared" si="1181"/>
        <v>0</v>
      </c>
      <c r="AS275" s="3">
        <f t="shared" si="1182"/>
        <v>0</v>
      </c>
      <c r="AT275" s="3"/>
    </row>
    <row r="276" spans="1:46" x14ac:dyDescent="0.35">
      <c r="A276" s="3"/>
      <c r="B276" s="172" t="s">
        <v>415</v>
      </c>
      <c r="C276" s="3" t="s">
        <v>33</v>
      </c>
      <c r="D276" s="7">
        <v>90</v>
      </c>
      <c r="E276" s="3">
        <v>60</v>
      </c>
      <c r="F276" s="1">
        <f t="shared" si="1162"/>
        <v>5400</v>
      </c>
      <c r="G276" s="7">
        <v>52</v>
      </c>
      <c r="H276" s="3">
        <v>60</v>
      </c>
      <c r="I276" s="27">
        <f t="shared" si="1163"/>
        <v>3120</v>
      </c>
      <c r="J276" s="3">
        <f t="shared" si="1164"/>
        <v>38</v>
      </c>
      <c r="K276" s="7">
        <v>60</v>
      </c>
      <c r="L276" s="7">
        <f t="shared" si="1165"/>
        <v>2280</v>
      </c>
      <c r="M276" s="3">
        <f>J276*5</f>
        <v>190</v>
      </c>
      <c r="N276" s="6">
        <f t="shared" si="1166"/>
        <v>2090</v>
      </c>
      <c r="O276" s="34"/>
      <c r="P276" s="7">
        <v>84</v>
      </c>
      <c r="Q276" s="3">
        <v>100</v>
      </c>
      <c r="R276" s="3">
        <f t="shared" si="1167"/>
        <v>8400</v>
      </c>
      <c r="S276" s="7">
        <v>0</v>
      </c>
      <c r="T276" s="3">
        <v>100</v>
      </c>
      <c r="U276" s="3">
        <f t="shared" si="1168"/>
        <v>0</v>
      </c>
      <c r="V276" s="3">
        <f t="shared" si="1169"/>
        <v>84</v>
      </c>
      <c r="W276" s="7">
        <v>100</v>
      </c>
      <c r="X276" s="7">
        <f t="shared" ref="X276:X279" si="1202">V276*W276</f>
        <v>8400</v>
      </c>
      <c r="Y276" s="3">
        <f>V276*10</f>
        <v>840</v>
      </c>
      <c r="Z276" s="6">
        <f t="shared" si="1171"/>
        <v>7560</v>
      </c>
      <c r="AA276" s="82"/>
      <c r="AB276" s="7">
        <v>96</v>
      </c>
      <c r="AC276" s="3">
        <v>50</v>
      </c>
      <c r="AD276" s="3">
        <f t="shared" si="1172"/>
        <v>4800</v>
      </c>
      <c r="AE276" s="7">
        <v>7</v>
      </c>
      <c r="AF276" s="3">
        <v>50</v>
      </c>
      <c r="AG276" s="3">
        <f t="shared" si="1173"/>
        <v>350</v>
      </c>
      <c r="AH276" s="3">
        <f t="shared" ref="AH276:AH279" si="1203">AB276-AE276</f>
        <v>89</v>
      </c>
      <c r="AI276" s="3">
        <v>50</v>
      </c>
      <c r="AJ276" s="7">
        <f t="shared" si="1175"/>
        <v>4450</v>
      </c>
      <c r="AK276" s="3">
        <f>AH276*5</f>
        <v>445</v>
      </c>
      <c r="AL276" s="6">
        <f t="shared" si="1176"/>
        <v>4005</v>
      </c>
      <c r="AM276" s="6">
        <f t="shared" si="1177"/>
        <v>15130</v>
      </c>
      <c r="AN276" s="6">
        <f t="shared" si="1178"/>
        <v>1475</v>
      </c>
      <c r="AO276" s="6">
        <f t="shared" si="1179"/>
        <v>13655</v>
      </c>
      <c r="AP276" s="3" t="s">
        <v>502</v>
      </c>
      <c r="AQ276" s="3">
        <f t="shared" si="1180"/>
        <v>13655</v>
      </c>
      <c r="AR276" s="3">
        <f t="shared" si="1181"/>
        <v>13655</v>
      </c>
      <c r="AS276" s="3">
        <f>AQ276-AR276</f>
        <v>0</v>
      </c>
      <c r="AT276" s="3"/>
    </row>
    <row r="277" spans="1:46" x14ac:dyDescent="0.35">
      <c r="A277" s="3"/>
      <c r="B277" s="172" t="s">
        <v>326</v>
      </c>
      <c r="C277" s="3" t="s">
        <v>33</v>
      </c>
      <c r="D277" s="7">
        <v>30</v>
      </c>
      <c r="E277" s="3">
        <v>60</v>
      </c>
      <c r="F277" s="1">
        <f t="shared" si="1162"/>
        <v>1800</v>
      </c>
      <c r="G277" s="7">
        <v>7</v>
      </c>
      <c r="H277" s="3">
        <v>60</v>
      </c>
      <c r="I277" s="27">
        <f t="shared" si="1163"/>
        <v>420</v>
      </c>
      <c r="J277" s="3">
        <f t="shared" si="1164"/>
        <v>23</v>
      </c>
      <c r="K277" s="7">
        <v>60</v>
      </c>
      <c r="L277" s="7">
        <f t="shared" si="1165"/>
        <v>1380</v>
      </c>
      <c r="M277" s="3">
        <v>0</v>
      </c>
      <c r="N277" s="6">
        <f t="shared" si="1166"/>
        <v>1380</v>
      </c>
      <c r="O277" s="34"/>
      <c r="P277" s="7">
        <v>60</v>
      </c>
      <c r="Q277" s="3">
        <v>100</v>
      </c>
      <c r="R277" s="3">
        <f t="shared" si="1167"/>
        <v>6000</v>
      </c>
      <c r="S277" s="7">
        <v>0</v>
      </c>
      <c r="T277" s="3">
        <v>100</v>
      </c>
      <c r="U277" s="3">
        <f t="shared" si="1168"/>
        <v>0</v>
      </c>
      <c r="V277" s="3">
        <f t="shared" si="1169"/>
        <v>60</v>
      </c>
      <c r="W277" s="7">
        <v>100</v>
      </c>
      <c r="X277" s="7">
        <f t="shared" si="1202"/>
        <v>6000</v>
      </c>
      <c r="Y277" s="3">
        <v>0</v>
      </c>
      <c r="Z277" s="6">
        <f t="shared" si="1171"/>
        <v>6000</v>
      </c>
      <c r="AA277" s="82"/>
      <c r="AB277" s="7">
        <v>60</v>
      </c>
      <c r="AC277" s="3">
        <v>50</v>
      </c>
      <c r="AD277" s="3">
        <f t="shared" si="1172"/>
        <v>3000</v>
      </c>
      <c r="AE277" s="7">
        <v>0</v>
      </c>
      <c r="AF277" s="3">
        <v>50</v>
      </c>
      <c r="AG277" s="3">
        <f t="shared" si="1173"/>
        <v>0</v>
      </c>
      <c r="AH277" s="3">
        <f t="shared" si="1203"/>
        <v>60</v>
      </c>
      <c r="AI277" s="3">
        <v>50</v>
      </c>
      <c r="AJ277" s="7">
        <f t="shared" si="1175"/>
        <v>3000</v>
      </c>
      <c r="AK277" s="3">
        <v>0</v>
      </c>
      <c r="AL277" s="6">
        <f t="shared" si="1176"/>
        <v>3000</v>
      </c>
      <c r="AM277" s="6">
        <f t="shared" si="1177"/>
        <v>10380</v>
      </c>
      <c r="AN277" s="6">
        <f t="shared" si="1178"/>
        <v>0</v>
      </c>
      <c r="AO277" s="6">
        <f t="shared" si="1179"/>
        <v>10380</v>
      </c>
      <c r="AP277" s="3" t="s">
        <v>502</v>
      </c>
      <c r="AQ277" s="3">
        <f t="shared" si="1180"/>
        <v>10380</v>
      </c>
      <c r="AR277" s="3">
        <f t="shared" si="1181"/>
        <v>10380</v>
      </c>
      <c r="AS277" s="3">
        <f t="shared" ref="AS277:AS279" si="1204">AQ277-AR277</f>
        <v>0</v>
      </c>
      <c r="AT277" s="3"/>
    </row>
    <row r="278" spans="1:46" x14ac:dyDescent="0.35">
      <c r="A278" s="3"/>
      <c r="B278" s="172" t="s">
        <v>326</v>
      </c>
      <c r="C278" s="3" t="s">
        <v>329</v>
      </c>
      <c r="D278" s="7">
        <v>0</v>
      </c>
      <c r="E278" s="3">
        <v>50</v>
      </c>
      <c r="F278" s="1">
        <f t="shared" si="1162"/>
        <v>0</v>
      </c>
      <c r="G278" s="3">
        <v>0</v>
      </c>
      <c r="H278" s="3">
        <v>50</v>
      </c>
      <c r="I278" s="27">
        <f t="shared" si="1163"/>
        <v>0</v>
      </c>
      <c r="J278" s="3">
        <f t="shared" si="1164"/>
        <v>0</v>
      </c>
      <c r="K278" s="7">
        <v>50</v>
      </c>
      <c r="L278" s="7">
        <f t="shared" si="1165"/>
        <v>0</v>
      </c>
      <c r="M278" s="3">
        <v>0</v>
      </c>
      <c r="N278" s="6">
        <f t="shared" si="1166"/>
        <v>0</v>
      </c>
      <c r="O278" s="34"/>
      <c r="P278" s="3">
        <v>0</v>
      </c>
      <c r="Q278" s="3">
        <v>100</v>
      </c>
      <c r="R278" s="3">
        <f t="shared" si="1167"/>
        <v>0</v>
      </c>
      <c r="S278" s="3">
        <v>0</v>
      </c>
      <c r="T278" s="3">
        <v>100</v>
      </c>
      <c r="U278" s="3">
        <f t="shared" si="1168"/>
        <v>0</v>
      </c>
      <c r="V278" s="3">
        <f t="shared" si="1169"/>
        <v>0</v>
      </c>
      <c r="W278" s="7">
        <v>100</v>
      </c>
      <c r="X278" s="7">
        <f t="shared" si="1202"/>
        <v>0</v>
      </c>
      <c r="Y278" s="3">
        <v>0</v>
      </c>
      <c r="Z278" s="6">
        <f t="shared" si="1171"/>
        <v>0</v>
      </c>
      <c r="AA278" s="82"/>
      <c r="AB278" s="3">
        <v>0</v>
      </c>
      <c r="AC278" s="3">
        <v>50</v>
      </c>
      <c r="AD278" s="3">
        <f t="shared" si="1172"/>
        <v>0</v>
      </c>
      <c r="AE278" s="3">
        <v>0</v>
      </c>
      <c r="AF278" s="3">
        <v>50</v>
      </c>
      <c r="AG278" s="3">
        <f t="shared" si="1173"/>
        <v>0</v>
      </c>
      <c r="AH278" s="3">
        <f t="shared" si="1203"/>
        <v>0</v>
      </c>
      <c r="AI278" s="3">
        <v>50</v>
      </c>
      <c r="AJ278" s="7">
        <f t="shared" si="1175"/>
        <v>0</v>
      </c>
      <c r="AK278" s="3">
        <v>0</v>
      </c>
      <c r="AL278" s="6">
        <f t="shared" si="1176"/>
        <v>0</v>
      </c>
      <c r="AM278" s="6">
        <f t="shared" si="1177"/>
        <v>0</v>
      </c>
      <c r="AN278" s="6">
        <f t="shared" si="1178"/>
        <v>0</v>
      </c>
      <c r="AO278" s="6">
        <f t="shared" si="1179"/>
        <v>0</v>
      </c>
      <c r="AP278" s="3" t="s">
        <v>502</v>
      </c>
      <c r="AQ278" s="3">
        <f t="shared" si="1180"/>
        <v>0</v>
      </c>
      <c r="AR278" s="3">
        <f>AQ278</f>
        <v>0</v>
      </c>
      <c r="AS278" s="3">
        <f t="shared" si="1204"/>
        <v>0</v>
      </c>
      <c r="AT278" s="3"/>
    </row>
    <row r="279" spans="1:46" x14ac:dyDescent="0.35">
      <c r="A279" s="3"/>
      <c r="B279" s="172" t="s">
        <v>283</v>
      </c>
      <c r="C279" s="3" t="s">
        <v>33</v>
      </c>
      <c r="D279" s="7">
        <v>15</v>
      </c>
      <c r="E279" s="3">
        <v>60</v>
      </c>
      <c r="F279" s="1">
        <f t="shared" si="1162"/>
        <v>900</v>
      </c>
      <c r="G279" s="7">
        <v>0</v>
      </c>
      <c r="H279" s="3">
        <v>60</v>
      </c>
      <c r="I279" s="27">
        <f t="shared" si="1163"/>
        <v>0</v>
      </c>
      <c r="J279" s="3">
        <f t="shared" si="1164"/>
        <v>15</v>
      </c>
      <c r="K279" s="7">
        <v>60</v>
      </c>
      <c r="L279" s="7">
        <f t="shared" si="1165"/>
        <v>900</v>
      </c>
      <c r="M279" s="3">
        <v>0</v>
      </c>
      <c r="N279" s="6">
        <f t="shared" si="1166"/>
        <v>900</v>
      </c>
      <c r="O279" s="34"/>
      <c r="P279" s="7">
        <f>34+54+10+103+1</f>
        <v>202</v>
      </c>
      <c r="Q279" s="3">
        <v>100</v>
      </c>
      <c r="R279" s="3">
        <f t="shared" si="1167"/>
        <v>20200</v>
      </c>
      <c r="S279" s="7">
        <v>2</v>
      </c>
      <c r="T279" s="3">
        <v>100</v>
      </c>
      <c r="U279" s="3">
        <f t="shared" si="1168"/>
        <v>200</v>
      </c>
      <c r="V279" s="3">
        <f t="shared" si="1169"/>
        <v>200</v>
      </c>
      <c r="W279" s="7">
        <v>100</v>
      </c>
      <c r="X279" s="7">
        <f t="shared" si="1202"/>
        <v>20000</v>
      </c>
      <c r="Y279" s="3">
        <f>24*5</f>
        <v>120</v>
      </c>
      <c r="Z279" s="6">
        <f t="shared" si="1171"/>
        <v>19880</v>
      </c>
      <c r="AA279" s="82"/>
      <c r="AB279" s="7">
        <v>36</v>
      </c>
      <c r="AC279" s="3">
        <v>50</v>
      </c>
      <c r="AD279" s="3">
        <f t="shared" si="1172"/>
        <v>1800</v>
      </c>
      <c r="AE279" s="7">
        <v>6</v>
      </c>
      <c r="AF279" s="3">
        <v>50</v>
      </c>
      <c r="AG279" s="3">
        <f t="shared" si="1173"/>
        <v>300</v>
      </c>
      <c r="AH279" s="3">
        <f t="shared" si="1203"/>
        <v>30</v>
      </c>
      <c r="AI279" s="3">
        <v>50</v>
      </c>
      <c r="AJ279" s="7">
        <f t="shared" si="1175"/>
        <v>1500</v>
      </c>
      <c r="AK279" s="3">
        <f>12*5</f>
        <v>60</v>
      </c>
      <c r="AL279" s="6">
        <f t="shared" si="1176"/>
        <v>1440</v>
      </c>
      <c r="AM279" s="6">
        <f t="shared" si="1177"/>
        <v>22400</v>
      </c>
      <c r="AN279" s="6">
        <f t="shared" si="1178"/>
        <v>180</v>
      </c>
      <c r="AO279" s="6">
        <f t="shared" si="1179"/>
        <v>22220</v>
      </c>
      <c r="AP279" s="3" t="s">
        <v>502</v>
      </c>
      <c r="AQ279" s="3">
        <f t="shared" si="1180"/>
        <v>22220</v>
      </c>
      <c r="AR279" s="3">
        <f t="shared" si="1181"/>
        <v>22220</v>
      </c>
      <c r="AS279" s="3">
        <f t="shared" si="1204"/>
        <v>0</v>
      </c>
      <c r="AT279" s="3"/>
    </row>
    <row r="280" spans="1:46" x14ac:dyDescent="0.35">
      <c r="A280" s="3"/>
      <c r="B280" s="172" t="s">
        <v>283</v>
      </c>
      <c r="C280" s="3" t="s">
        <v>329</v>
      </c>
      <c r="D280" s="7">
        <v>0</v>
      </c>
      <c r="E280" s="3">
        <v>50</v>
      </c>
      <c r="F280" s="1">
        <f t="shared" ref="F280:F281" si="1205">D280*E280</f>
        <v>0</v>
      </c>
      <c r="G280" s="3">
        <v>0</v>
      </c>
      <c r="H280" s="3">
        <v>50</v>
      </c>
      <c r="I280" s="27">
        <f t="shared" ref="I280:I282" si="1206">G280*H280</f>
        <v>0</v>
      </c>
      <c r="J280" s="3">
        <f t="shared" ref="J280:J281" si="1207">D280-G280</f>
        <v>0</v>
      </c>
      <c r="K280" s="7">
        <v>50</v>
      </c>
      <c r="L280" s="7">
        <f t="shared" ref="L280:L282" si="1208">J280*K280</f>
        <v>0</v>
      </c>
      <c r="M280" s="3">
        <v>0</v>
      </c>
      <c r="N280" s="6">
        <f t="shared" ref="N280:N282" si="1209">L280-M280</f>
        <v>0</v>
      </c>
      <c r="O280" s="34"/>
      <c r="P280" s="3">
        <v>84</v>
      </c>
      <c r="Q280" s="3">
        <v>100</v>
      </c>
      <c r="R280" s="3">
        <f t="shared" ref="R280:R281" si="1210">P280*Q280</f>
        <v>8400</v>
      </c>
      <c r="S280" s="3">
        <v>0</v>
      </c>
      <c r="T280" s="3">
        <v>100</v>
      </c>
      <c r="U280" s="3">
        <f t="shared" ref="U280:U282" si="1211">S280*T280</f>
        <v>0</v>
      </c>
      <c r="V280" s="3">
        <f t="shared" ref="V280:V281" si="1212">P280-S280</f>
        <v>84</v>
      </c>
      <c r="W280" s="7">
        <v>100</v>
      </c>
      <c r="X280" s="7">
        <f t="shared" ref="X280:X282" si="1213">V280*W280</f>
        <v>8400</v>
      </c>
      <c r="Y280" s="3">
        <f>V280*10</f>
        <v>840</v>
      </c>
      <c r="Z280" s="6">
        <f t="shared" ref="Z280:Z282" si="1214">X280-Y280</f>
        <v>7560</v>
      </c>
      <c r="AA280" s="82"/>
      <c r="AB280" s="3">
        <v>60</v>
      </c>
      <c r="AC280" s="3">
        <v>50</v>
      </c>
      <c r="AD280" s="3">
        <f t="shared" ref="AD280:AD281" si="1215">AB280*AC280</f>
        <v>3000</v>
      </c>
      <c r="AE280" s="3">
        <v>0</v>
      </c>
      <c r="AF280" s="3">
        <v>50</v>
      </c>
      <c r="AG280" s="3">
        <f t="shared" ref="AG280:AG282" si="1216">AE280*AF280</f>
        <v>0</v>
      </c>
      <c r="AH280" s="3">
        <f t="shared" ref="AH280:AH281" si="1217">AB280-AE280</f>
        <v>60</v>
      </c>
      <c r="AI280" s="3">
        <v>50</v>
      </c>
      <c r="AJ280" s="7">
        <f t="shared" ref="AJ280:AJ282" si="1218">AH280*AI280</f>
        <v>3000</v>
      </c>
      <c r="AK280" s="3">
        <v>0</v>
      </c>
      <c r="AL280" s="6">
        <f t="shared" ref="AL280:AL282" si="1219">AJ280-AK280</f>
        <v>3000</v>
      </c>
      <c r="AM280" s="6">
        <f t="shared" ref="AM280:AM282" si="1220">L280+X280+AJ280</f>
        <v>11400</v>
      </c>
      <c r="AN280" s="6">
        <f t="shared" ref="AN280:AN282" si="1221">M280+Y280+AK280</f>
        <v>840</v>
      </c>
      <c r="AO280" s="6">
        <f t="shared" ref="AO280:AO282" si="1222">AM280-AN280</f>
        <v>10560</v>
      </c>
      <c r="AP280" s="3" t="s">
        <v>502</v>
      </c>
      <c r="AQ280" s="3">
        <f t="shared" ref="AQ280:AQ282" si="1223">AO280</f>
        <v>10560</v>
      </c>
      <c r="AR280" s="3">
        <f>AQ280</f>
        <v>10560</v>
      </c>
      <c r="AS280" s="3">
        <f t="shared" ref="AS280:AS282" si="1224">AQ280-AR280</f>
        <v>0</v>
      </c>
      <c r="AT280" s="3"/>
    </row>
    <row r="281" spans="1:46" x14ac:dyDescent="0.35">
      <c r="A281" s="3"/>
      <c r="B281" s="172" t="s">
        <v>308</v>
      </c>
      <c r="C281" s="3" t="s">
        <v>563</v>
      </c>
      <c r="D281" s="7">
        <v>180</v>
      </c>
      <c r="E281" s="3">
        <v>60</v>
      </c>
      <c r="F281" s="1">
        <f t="shared" si="1205"/>
        <v>10800</v>
      </c>
      <c r="G281" s="3">
        <v>9</v>
      </c>
      <c r="H281" s="3">
        <v>60</v>
      </c>
      <c r="I281" s="27">
        <f t="shared" si="1206"/>
        <v>540</v>
      </c>
      <c r="J281" s="3">
        <f t="shared" si="1207"/>
        <v>171</v>
      </c>
      <c r="K281" s="7">
        <v>60</v>
      </c>
      <c r="L281" s="7">
        <f t="shared" si="1208"/>
        <v>10260</v>
      </c>
      <c r="M281" s="3">
        <f>J281*5</f>
        <v>855</v>
      </c>
      <c r="N281" s="6">
        <f t="shared" si="1209"/>
        <v>9405</v>
      </c>
      <c r="O281" s="34"/>
      <c r="P281" s="3">
        <v>132</v>
      </c>
      <c r="Q281" s="3">
        <v>100</v>
      </c>
      <c r="R281" s="3">
        <f t="shared" si="1210"/>
        <v>13200</v>
      </c>
      <c r="S281" s="3">
        <v>0</v>
      </c>
      <c r="T281" s="3">
        <v>100</v>
      </c>
      <c r="U281" s="3">
        <f t="shared" si="1211"/>
        <v>0</v>
      </c>
      <c r="V281" s="3">
        <f t="shared" si="1212"/>
        <v>132</v>
      </c>
      <c r="W281" s="7">
        <v>100</v>
      </c>
      <c r="X281" s="7">
        <f t="shared" si="1213"/>
        <v>13200</v>
      </c>
      <c r="Y281" s="3">
        <f>V281*10</f>
        <v>1320</v>
      </c>
      <c r="Z281" s="6">
        <f t="shared" si="1214"/>
        <v>11880</v>
      </c>
      <c r="AA281" s="82">
        <v>195</v>
      </c>
      <c r="AB281" s="3">
        <v>192</v>
      </c>
      <c r="AC281" s="3">
        <v>50</v>
      </c>
      <c r="AD281" s="3">
        <f t="shared" si="1215"/>
        <v>9600</v>
      </c>
      <c r="AE281" s="3">
        <v>0</v>
      </c>
      <c r="AF281" s="3">
        <v>50</v>
      </c>
      <c r="AG281" s="3">
        <f t="shared" si="1216"/>
        <v>0</v>
      </c>
      <c r="AH281" s="3">
        <f t="shared" si="1217"/>
        <v>192</v>
      </c>
      <c r="AI281" s="3">
        <v>50</v>
      </c>
      <c r="AJ281" s="7">
        <f t="shared" si="1218"/>
        <v>9600</v>
      </c>
      <c r="AK281" s="3">
        <f>AH281*5</f>
        <v>960</v>
      </c>
      <c r="AL281" s="6">
        <f t="shared" si="1219"/>
        <v>8640</v>
      </c>
      <c r="AM281" s="6">
        <f t="shared" si="1220"/>
        <v>33060</v>
      </c>
      <c r="AN281" s="6">
        <f t="shared" si="1221"/>
        <v>3135</v>
      </c>
      <c r="AO281" s="6">
        <f t="shared" si="1222"/>
        <v>29925</v>
      </c>
      <c r="AP281" s="3" t="s">
        <v>502</v>
      </c>
      <c r="AQ281" s="3">
        <f t="shared" si="1223"/>
        <v>29925</v>
      </c>
      <c r="AR281" s="3">
        <f t="shared" ref="AR281:AR282" si="1225">AQ281</f>
        <v>29925</v>
      </c>
      <c r="AS281" s="3">
        <f t="shared" si="1224"/>
        <v>0</v>
      </c>
      <c r="AT281" s="3"/>
    </row>
    <row r="282" spans="1:46" x14ac:dyDescent="0.35">
      <c r="A282" s="3"/>
      <c r="B282" s="172" t="s">
        <v>308</v>
      </c>
      <c r="C282" s="3" t="s">
        <v>503</v>
      </c>
      <c r="D282" s="7">
        <v>150</v>
      </c>
      <c r="E282" s="3">
        <v>60</v>
      </c>
      <c r="F282" s="1">
        <v>0</v>
      </c>
      <c r="G282" s="7">
        <v>0</v>
      </c>
      <c r="H282" s="3">
        <v>60</v>
      </c>
      <c r="I282" s="27">
        <f t="shared" si="1206"/>
        <v>0</v>
      </c>
      <c r="J282" s="3">
        <v>0</v>
      </c>
      <c r="K282" s="7">
        <v>60</v>
      </c>
      <c r="L282" s="7">
        <f t="shared" si="1208"/>
        <v>0</v>
      </c>
      <c r="M282" s="3">
        <v>0</v>
      </c>
      <c r="N282" s="6">
        <f t="shared" si="1209"/>
        <v>0</v>
      </c>
      <c r="O282" s="34"/>
      <c r="P282" s="7">
        <v>180</v>
      </c>
      <c r="Q282" s="3">
        <v>100</v>
      </c>
      <c r="R282" s="3">
        <v>0</v>
      </c>
      <c r="S282" s="7">
        <v>0</v>
      </c>
      <c r="T282" s="3">
        <v>100</v>
      </c>
      <c r="U282" s="3">
        <f t="shared" si="1211"/>
        <v>0</v>
      </c>
      <c r="V282" s="3">
        <v>0</v>
      </c>
      <c r="W282" s="7">
        <v>100</v>
      </c>
      <c r="X282" s="7">
        <f t="shared" si="1213"/>
        <v>0</v>
      </c>
      <c r="Y282" s="3">
        <v>0</v>
      </c>
      <c r="Z282" s="6">
        <f t="shared" si="1214"/>
        <v>0</v>
      </c>
      <c r="AA282" s="82"/>
      <c r="AB282" s="7">
        <v>180</v>
      </c>
      <c r="AC282" s="3">
        <v>50</v>
      </c>
      <c r="AD282" s="3">
        <v>0</v>
      </c>
      <c r="AE282" s="7">
        <v>0</v>
      </c>
      <c r="AF282" s="3">
        <v>50</v>
      </c>
      <c r="AG282" s="3">
        <f t="shared" si="1216"/>
        <v>0</v>
      </c>
      <c r="AH282" s="3">
        <v>0</v>
      </c>
      <c r="AI282" s="3">
        <v>50</v>
      </c>
      <c r="AJ282" s="7">
        <f t="shared" si="1218"/>
        <v>0</v>
      </c>
      <c r="AK282" s="3">
        <v>0</v>
      </c>
      <c r="AL282" s="6">
        <f t="shared" si="1219"/>
        <v>0</v>
      </c>
      <c r="AM282" s="6">
        <f t="shared" si="1220"/>
        <v>0</v>
      </c>
      <c r="AN282" s="6">
        <f t="shared" si="1221"/>
        <v>0</v>
      </c>
      <c r="AO282" s="6">
        <f t="shared" si="1222"/>
        <v>0</v>
      </c>
      <c r="AP282" s="3" t="s">
        <v>502</v>
      </c>
      <c r="AQ282" s="3">
        <f t="shared" si="1223"/>
        <v>0</v>
      </c>
      <c r="AR282" s="3">
        <f t="shared" si="1225"/>
        <v>0</v>
      </c>
      <c r="AS282" s="3">
        <f t="shared" si="1224"/>
        <v>0</v>
      </c>
      <c r="AT282" s="3"/>
    </row>
    <row r="283" spans="1:46" x14ac:dyDescent="0.35">
      <c r="A283" s="3"/>
      <c r="B283" s="3" t="s">
        <v>287</v>
      </c>
      <c r="C283" s="3" t="s">
        <v>33</v>
      </c>
      <c r="D283" s="7">
        <v>0</v>
      </c>
      <c r="E283" s="3">
        <v>60</v>
      </c>
      <c r="F283" s="1">
        <f t="shared" ref="F283" si="1226">D283*E283</f>
        <v>0</v>
      </c>
      <c r="G283" s="7">
        <v>0</v>
      </c>
      <c r="H283" s="3">
        <v>60</v>
      </c>
      <c r="I283" s="27">
        <f t="shared" ref="I283:I284" si="1227">G283*H283</f>
        <v>0</v>
      </c>
      <c r="J283" s="3">
        <f t="shared" ref="J283" si="1228">D283-G283</f>
        <v>0</v>
      </c>
      <c r="K283" s="7">
        <v>60</v>
      </c>
      <c r="L283" s="7">
        <f t="shared" ref="L283:L284" si="1229">J283*K283</f>
        <v>0</v>
      </c>
      <c r="M283" s="3">
        <v>0</v>
      </c>
      <c r="N283" s="6">
        <f t="shared" ref="N283:N284" si="1230">L283-M283</f>
        <v>0</v>
      </c>
      <c r="O283" s="34"/>
      <c r="P283" s="7">
        <v>0</v>
      </c>
      <c r="Q283" s="3">
        <v>100</v>
      </c>
      <c r="R283" s="3">
        <f t="shared" ref="R283" si="1231">P283*Q283</f>
        <v>0</v>
      </c>
      <c r="S283" s="7">
        <v>0</v>
      </c>
      <c r="T283" s="3">
        <v>100</v>
      </c>
      <c r="U283" s="3">
        <f t="shared" ref="U283:U284" si="1232">S283*T283</f>
        <v>0</v>
      </c>
      <c r="V283" s="3">
        <f t="shared" ref="V283" si="1233">P283-S283</f>
        <v>0</v>
      </c>
      <c r="W283" s="7">
        <v>100</v>
      </c>
      <c r="X283" s="7">
        <f t="shared" ref="X283:X284" si="1234">V283*W283</f>
        <v>0</v>
      </c>
      <c r="Y283" s="3">
        <v>0</v>
      </c>
      <c r="Z283" s="6">
        <f t="shared" ref="Z283:Z284" si="1235">X283-Y283</f>
        <v>0</v>
      </c>
      <c r="AA283" s="82"/>
      <c r="AB283" s="7">
        <v>0</v>
      </c>
      <c r="AC283" s="3">
        <v>50</v>
      </c>
      <c r="AD283" s="3">
        <f t="shared" ref="AD283" si="1236">AB283*AC283</f>
        <v>0</v>
      </c>
      <c r="AE283" s="7">
        <v>0</v>
      </c>
      <c r="AF283" s="3">
        <v>50</v>
      </c>
      <c r="AG283" s="3">
        <f t="shared" ref="AG283:AG284" si="1237">AE283*AF283</f>
        <v>0</v>
      </c>
      <c r="AH283" s="3">
        <f t="shared" ref="AH283" si="1238">AB283-AE283</f>
        <v>0</v>
      </c>
      <c r="AI283" s="3">
        <v>50</v>
      </c>
      <c r="AJ283" s="7">
        <f t="shared" ref="AJ283:AJ284" si="1239">AH283*AI283</f>
        <v>0</v>
      </c>
      <c r="AK283" s="3">
        <v>0</v>
      </c>
      <c r="AL283" s="6">
        <f t="shared" ref="AL283:AL284" si="1240">AJ283-AK283</f>
        <v>0</v>
      </c>
      <c r="AM283" s="6">
        <f t="shared" ref="AM283:AM284" si="1241">L283+X283+AJ283</f>
        <v>0</v>
      </c>
      <c r="AN283" s="6">
        <f t="shared" ref="AN283:AN284" si="1242">M283+Y283+AK283</f>
        <v>0</v>
      </c>
      <c r="AO283" s="6">
        <f t="shared" ref="AO283:AO284" si="1243">AM283-AN283</f>
        <v>0</v>
      </c>
      <c r="AP283" s="3" t="s">
        <v>502</v>
      </c>
      <c r="AQ283" s="3">
        <f t="shared" ref="AQ283:AQ284" si="1244">AO283</f>
        <v>0</v>
      </c>
      <c r="AR283" s="3">
        <f>AQ283</f>
        <v>0</v>
      </c>
      <c r="AS283" s="3">
        <f t="shared" ref="AS283:AS284" si="1245">AQ283-AR283</f>
        <v>0</v>
      </c>
      <c r="AT283" s="3"/>
    </row>
    <row r="284" spans="1:46" x14ac:dyDescent="0.35">
      <c r="A284" s="3"/>
      <c r="B284" s="3" t="s">
        <v>287</v>
      </c>
      <c r="C284" s="3" t="s">
        <v>11</v>
      </c>
      <c r="D284" s="7">
        <v>0</v>
      </c>
      <c r="E284" s="3">
        <v>60</v>
      </c>
      <c r="F284" s="1">
        <v>0</v>
      </c>
      <c r="G284" s="7">
        <v>0</v>
      </c>
      <c r="H284" s="3">
        <v>60</v>
      </c>
      <c r="I284" s="27">
        <f t="shared" si="1227"/>
        <v>0</v>
      </c>
      <c r="J284" s="3">
        <v>0</v>
      </c>
      <c r="K284" s="7">
        <v>60</v>
      </c>
      <c r="L284" s="7">
        <f t="shared" si="1229"/>
        <v>0</v>
      </c>
      <c r="M284" s="3">
        <v>0</v>
      </c>
      <c r="N284" s="6">
        <f t="shared" si="1230"/>
        <v>0</v>
      </c>
      <c r="O284" s="34"/>
      <c r="P284" s="7">
        <v>0</v>
      </c>
      <c r="Q284" s="3">
        <v>100</v>
      </c>
      <c r="R284" s="3">
        <v>0</v>
      </c>
      <c r="S284" s="7">
        <v>0</v>
      </c>
      <c r="T284" s="3">
        <v>100</v>
      </c>
      <c r="U284" s="3">
        <f t="shared" si="1232"/>
        <v>0</v>
      </c>
      <c r="V284" s="3">
        <v>0</v>
      </c>
      <c r="W284" s="7">
        <v>100</v>
      </c>
      <c r="X284" s="7">
        <f t="shared" si="1234"/>
        <v>0</v>
      </c>
      <c r="Y284" s="3">
        <v>0</v>
      </c>
      <c r="Z284" s="6">
        <f t="shared" si="1235"/>
        <v>0</v>
      </c>
      <c r="AA284" s="82"/>
      <c r="AB284" s="7">
        <v>0</v>
      </c>
      <c r="AC284" s="3">
        <v>50</v>
      </c>
      <c r="AD284" s="3">
        <v>0</v>
      </c>
      <c r="AE284" s="7">
        <v>0</v>
      </c>
      <c r="AF284" s="3">
        <v>50</v>
      </c>
      <c r="AG284" s="3">
        <f t="shared" si="1237"/>
        <v>0</v>
      </c>
      <c r="AH284" s="3">
        <v>0</v>
      </c>
      <c r="AI284" s="3">
        <v>50</v>
      </c>
      <c r="AJ284" s="7">
        <f t="shared" si="1239"/>
        <v>0</v>
      </c>
      <c r="AK284" s="3">
        <v>0</v>
      </c>
      <c r="AL284" s="6">
        <f t="shared" si="1240"/>
        <v>0</v>
      </c>
      <c r="AM284" s="6">
        <f t="shared" si="1241"/>
        <v>0</v>
      </c>
      <c r="AN284" s="6">
        <f t="shared" si="1242"/>
        <v>0</v>
      </c>
      <c r="AO284" s="6">
        <f t="shared" si="1243"/>
        <v>0</v>
      </c>
      <c r="AP284" s="3" t="s">
        <v>502</v>
      </c>
      <c r="AQ284" s="3">
        <f t="shared" si="1244"/>
        <v>0</v>
      </c>
      <c r="AR284" s="3">
        <f>AQ284</f>
        <v>0</v>
      </c>
      <c r="AS284" s="3">
        <f t="shared" si="1245"/>
        <v>0</v>
      </c>
      <c r="AT284" s="3"/>
    </row>
    <row r="285" spans="1:46" x14ac:dyDescent="0.35">
      <c r="A285" s="19"/>
      <c r="B285" s="19" t="s">
        <v>36</v>
      </c>
      <c r="C285" s="19"/>
      <c r="D285" s="19">
        <f>SUM(D272:D284)</f>
        <v>990</v>
      </c>
      <c r="E285" s="19"/>
      <c r="F285" s="19">
        <f>SUM(F272:F284)</f>
        <v>50400</v>
      </c>
      <c r="G285" s="19">
        <f>SUM(G272:G284)</f>
        <v>426</v>
      </c>
      <c r="H285" s="19"/>
      <c r="I285" s="19">
        <f>SUM(I272:I284)</f>
        <v>25560</v>
      </c>
      <c r="J285" s="19">
        <f>SUM(J272:J284)</f>
        <v>414</v>
      </c>
      <c r="K285" s="19"/>
      <c r="L285" s="19">
        <f>SUM(L272:L284)</f>
        <v>24840</v>
      </c>
      <c r="M285" s="19">
        <f>SUM(M272:M284)</f>
        <v>1045</v>
      </c>
      <c r="N285" s="19">
        <f>SUM(N272:N284)</f>
        <v>23795</v>
      </c>
      <c r="O285" s="34"/>
      <c r="P285" s="19">
        <f>SUM(P272:P284)</f>
        <v>1174</v>
      </c>
      <c r="Q285" s="19"/>
      <c r="R285" s="19">
        <f>SUM(R272:R284)</f>
        <v>99400</v>
      </c>
      <c r="S285" s="19">
        <f>SUM(S272:S284)</f>
        <v>117</v>
      </c>
      <c r="T285" s="19"/>
      <c r="U285" s="19">
        <f>SUM(U272:U284)</f>
        <v>11700</v>
      </c>
      <c r="V285" s="19">
        <f>SUM(V272:V284)</f>
        <v>877</v>
      </c>
      <c r="W285" s="19"/>
      <c r="X285" s="19">
        <f>SUM(X272:X284)</f>
        <v>87700</v>
      </c>
      <c r="Y285" s="19">
        <f>SUM(Y272:Y284)</f>
        <v>3120</v>
      </c>
      <c r="Z285" s="19">
        <f>SUM(Z272:Z284)</f>
        <v>84580</v>
      </c>
      <c r="AA285" s="34"/>
      <c r="AB285" s="19">
        <f>SUM(AB272:AB284)</f>
        <v>1044</v>
      </c>
      <c r="AC285" s="19"/>
      <c r="AD285" s="19">
        <f>SUM(AD272:AD284)</f>
        <v>43200</v>
      </c>
      <c r="AE285" s="19">
        <f>SUM(AE272:AE284)</f>
        <v>187</v>
      </c>
      <c r="AF285" s="19"/>
      <c r="AG285" s="19">
        <f>SUM(AG272:AG284)</f>
        <v>9350</v>
      </c>
      <c r="AH285" s="19">
        <f>SUM(AH272:AH284)</f>
        <v>677</v>
      </c>
      <c r="AI285" s="19"/>
      <c r="AJ285" s="19">
        <f t="shared" ref="AJ285:AO285" si="1246">SUM(AJ272:AJ284)</f>
        <v>33850</v>
      </c>
      <c r="AK285" s="19">
        <f t="shared" si="1246"/>
        <v>1465</v>
      </c>
      <c r="AL285" s="19">
        <f t="shared" si="1246"/>
        <v>32385</v>
      </c>
      <c r="AM285" s="19">
        <f t="shared" si="1246"/>
        <v>146390</v>
      </c>
      <c r="AN285" s="19">
        <f t="shared" si="1246"/>
        <v>5630</v>
      </c>
      <c r="AO285" s="19">
        <f t="shared" si="1246"/>
        <v>140760</v>
      </c>
      <c r="AP285" s="19"/>
      <c r="AQ285" s="19">
        <f>SUM(AQ272:AQ284)</f>
        <v>140760</v>
      </c>
      <c r="AR285" s="19">
        <f>SUM(AR272:AR284)</f>
        <v>140760</v>
      </c>
      <c r="AS285" s="19">
        <f>SUM(AS272:AS284)</f>
        <v>0</v>
      </c>
      <c r="AT285" s="74"/>
    </row>
    <row r="286" spans="1:46" x14ac:dyDescent="0.35">
      <c r="A286" s="3" t="s">
        <v>507</v>
      </c>
      <c r="B286" s="172" t="s">
        <v>276</v>
      </c>
      <c r="C286" s="3" t="s">
        <v>33</v>
      </c>
      <c r="D286" s="7">
        <f>225-60</f>
        <v>165</v>
      </c>
      <c r="E286" s="3">
        <v>60</v>
      </c>
      <c r="F286" s="1">
        <f t="shared" ref="F286:F294" si="1247">D286*E286</f>
        <v>9900</v>
      </c>
      <c r="G286" s="7">
        <v>95</v>
      </c>
      <c r="H286" s="3">
        <v>60</v>
      </c>
      <c r="I286" s="27">
        <f t="shared" ref="I286:I297" si="1248">G286*H286</f>
        <v>5700</v>
      </c>
      <c r="J286" s="3">
        <f t="shared" ref="J286:J294" si="1249">D286-G286</f>
        <v>70</v>
      </c>
      <c r="K286" s="7">
        <v>60</v>
      </c>
      <c r="L286" s="7">
        <f t="shared" ref="L286:L295" si="1250">J286*K286</f>
        <v>4200</v>
      </c>
      <c r="M286" s="3">
        <v>0</v>
      </c>
      <c r="N286" s="6">
        <f t="shared" ref="N286:N297" si="1251">L286-M286</f>
        <v>4200</v>
      </c>
      <c r="O286" s="34"/>
      <c r="P286" s="7">
        <v>180</v>
      </c>
      <c r="Q286" s="3">
        <v>100</v>
      </c>
      <c r="R286" s="3">
        <f t="shared" ref="R286:R294" si="1252">P286*Q286</f>
        <v>18000</v>
      </c>
      <c r="S286" s="7">
        <v>16</v>
      </c>
      <c r="T286" s="3">
        <v>100</v>
      </c>
      <c r="U286" s="3">
        <f t="shared" ref="U286:U297" si="1253">S286*T286</f>
        <v>1600</v>
      </c>
      <c r="V286" s="3">
        <f t="shared" ref="V286:V294" si="1254">P286-S286</f>
        <v>164</v>
      </c>
      <c r="W286" s="7">
        <v>100</v>
      </c>
      <c r="X286" s="7">
        <f t="shared" ref="X286" si="1255">V286*W286</f>
        <v>16400</v>
      </c>
      <c r="Y286" s="3">
        <v>0</v>
      </c>
      <c r="Z286" s="6">
        <f t="shared" ref="Z286:Z297" si="1256">X286-Y286</f>
        <v>16400</v>
      </c>
      <c r="AA286" s="82"/>
      <c r="AB286" s="7">
        <v>180</v>
      </c>
      <c r="AC286" s="3">
        <v>50</v>
      </c>
      <c r="AD286" s="3">
        <f t="shared" ref="AD286:AD296" si="1257">AB286*AC286</f>
        <v>9000</v>
      </c>
      <c r="AE286" s="7">
        <v>0</v>
      </c>
      <c r="AF286" s="3">
        <v>50</v>
      </c>
      <c r="AG286" s="3">
        <f t="shared" ref="AG286:AG297" si="1258">AE286*AF286</f>
        <v>0</v>
      </c>
      <c r="AH286" s="3">
        <f t="shared" ref="AH286:AH289" si="1259">AB286-AE286</f>
        <v>180</v>
      </c>
      <c r="AI286" s="3">
        <v>50</v>
      </c>
      <c r="AJ286" s="7">
        <f t="shared" ref="AJ286:AJ297" si="1260">AH286*AI286</f>
        <v>9000</v>
      </c>
      <c r="AK286" s="3">
        <v>0</v>
      </c>
      <c r="AL286" s="6">
        <f t="shared" ref="AL286:AL297" si="1261">AJ286-AK286</f>
        <v>9000</v>
      </c>
      <c r="AM286" s="6">
        <f t="shared" ref="AM286:AM295" si="1262">L286+X286+AJ286</f>
        <v>29600</v>
      </c>
      <c r="AN286" s="6">
        <f t="shared" ref="AN286:AN297" si="1263">M286+Y286+AK286</f>
        <v>0</v>
      </c>
      <c r="AO286" s="6">
        <f t="shared" ref="AO286:AO295" si="1264">AM286-AN286</f>
        <v>29600</v>
      </c>
      <c r="AP286" s="3" t="s">
        <v>507</v>
      </c>
      <c r="AQ286" s="3">
        <f t="shared" ref="AQ286:AQ297" si="1265">AO286</f>
        <v>29600</v>
      </c>
      <c r="AR286" s="3">
        <f>AQ286</f>
        <v>29600</v>
      </c>
      <c r="AS286" s="3">
        <f t="shared" ref="AS286:AS289" si="1266">AQ286-AR286</f>
        <v>0</v>
      </c>
      <c r="AT286" s="3"/>
    </row>
    <row r="287" spans="1:46" x14ac:dyDescent="0.35">
      <c r="B287" s="172" t="s">
        <v>276</v>
      </c>
      <c r="C287" s="3" t="s">
        <v>182</v>
      </c>
      <c r="D287" s="7">
        <v>60</v>
      </c>
      <c r="E287" s="3">
        <v>55</v>
      </c>
      <c r="F287" s="1">
        <f t="shared" si="1247"/>
        <v>3300</v>
      </c>
      <c r="G287" s="7">
        <v>0</v>
      </c>
      <c r="H287" s="3">
        <v>55</v>
      </c>
      <c r="I287" s="27">
        <f t="shared" si="1248"/>
        <v>0</v>
      </c>
      <c r="J287" s="3">
        <f t="shared" si="1249"/>
        <v>60</v>
      </c>
      <c r="K287" s="7">
        <v>55</v>
      </c>
      <c r="L287" s="7">
        <f t="shared" si="1250"/>
        <v>3300</v>
      </c>
      <c r="M287" s="7">
        <v>0</v>
      </c>
      <c r="N287" s="6">
        <f t="shared" si="1251"/>
        <v>3300</v>
      </c>
      <c r="O287" s="34"/>
      <c r="P287" s="7">
        <v>0</v>
      </c>
      <c r="Q287" s="3">
        <v>100</v>
      </c>
      <c r="R287" s="3">
        <f t="shared" si="1252"/>
        <v>0</v>
      </c>
      <c r="S287" s="7">
        <v>0</v>
      </c>
      <c r="T287" s="3">
        <v>100</v>
      </c>
      <c r="U287" s="3">
        <f t="shared" si="1253"/>
        <v>0</v>
      </c>
      <c r="V287" s="3">
        <f t="shared" si="1254"/>
        <v>0</v>
      </c>
      <c r="W287" s="7">
        <v>100</v>
      </c>
      <c r="X287" s="7">
        <f>V287*W287</f>
        <v>0</v>
      </c>
      <c r="Y287" s="7">
        <v>0</v>
      </c>
      <c r="Z287" s="6">
        <f t="shared" si="1256"/>
        <v>0</v>
      </c>
      <c r="AA287" s="82"/>
      <c r="AB287" s="7">
        <v>0</v>
      </c>
      <c r="AC287" s="3">
        <v>50</v>
      </c>
      <c r="AD287" s="3">
        <f t="shared" si="1257"/>
        <v>0</v>
      </c>
      <c r="AE287" s="7">
        <v>0</v>
      </c>
      <c r="AF287" s="3">
        <v>50</v>
      </c>
      <c r="AG287" s="3">
        <f t="shared" si="1258"/>
        <v>0</v>
      </c>
      <c r="AH287" s="3">
        <f t="shared" si="1259"/>
        <v>0</v>
      </c>
      <c r="AI287" s="3">
        <v>50</v>
      </c>
      <c r="AJ287" s="7">
        <f t="shared" si="1260"/>
        <v>0</v>
      </c>
      <c r="AK287" s="7">
        <v>0</v>
      </c>
      <c r="AL287" s="6">
        <f t="shared" si="1261"/>
        <v>0</v>
      </c>
      <c r="AM287" s="6">
        <f t="shared" si="1262"/>
        <v>3300</v>
      </c>
      <c r="AN287" s="6">
        <f t="shared" si="1263"/>
        <v>0</v>
      </c>
      <c r="AO287" s="6">
        <f t="shared" si="1264"/>
        <v>3300</v>
      </c>
      <c r="AP287" s="3" t="s">
        <v>507</v>
      </c>
      <c r="AQ287" s="3">
        <f t="shared" si="1265"/>
        <v>3300</v>
      </c>
      <c r="AR287" s="3">
        <f t="shared" ref="AR287" si="1267">AQ287</f>
        <v>3300</v>
      </c>
      <c r="AS287" s="3">
        <f t="shared" si="1266"/>
        <v>0</v>
      </c>
      <c r="AT287" s="3"/>
    </row>
    <row r="288" spans="1:46" x14ac:dyDescent="0.35">
      <c r="A288" s="3"/>
      <c r="B288" s="172" t="s">
        <v>463</v>
      </c>
      <c r="C288" s="3" t="s">
        <v>33</v>
      </c>
      <c r="D288" s="7">
        <v>300</v>
      </c>
      <c r="E288" s="3">
        <v>60</v>
      </c>
      <c r="F288" s="1">
        <f t="shared" si="1247"/>
        <v>18000</v>
      </c>
      <c r="G288" s="7">
        <v>224</v>
      </c>
      <c r="H288" s="3">
        <v>60</v>
      </c>
      <c r="I288" s="27">
        <f t="shared" si="1248"/>
        <v>13440</v>
      </c>
      <c r="J288" s="3">
        <f t="shared" si="1249"/>
        <v>76</v>
      </c>
      <c r="K288" s="7">
        <v>60</v>
      </c>
      <c r="L288" s="7">
        <f t="shared" si="1250"/>
        <v>4560</v>
      </c>
      <c r="M288" s="7">
        <v>0</v>
      </c>
      <c r="N288" s="6">
        <f t="shared" si="1251"/>
        <v>4560</v>
      </c>
      <c r="O288" s="34"/>
      <c r="P288" s="7">
        <v>240</v>
      </c>
      <c r="Q288" s="3">
        <v>100</v>
      </c>
      <c r="R288" s="3">
        <f t="shared" si="1252"/>
        <v>24000</v>
      </c>
      <c r="S288" s="7">
        <v>61</v>
      </c>
      <c r="T288" s="3">
        <v>100</v>
      </c>
      <c r="U288" s="3">
        <f t="shared" si="1253"/>
        <v>6100</v>
      </c>
      <c r="V288" s="3">
        <f t="shared" si="1254"/>
        <v>179</v>
      </c>
      <c r="W288" s="7">
        <v>100</v>
      </c>
      <c r="X288" s="7">
        <f>V288*W288</f>
        <v>17900</v>
      </c>
      <c r="Y288" s="7">
        <v>0</v>
      </c>
      <c r="Z288" s="6">
        <f t="shared" si="1256"/>
        <v>17900</v>
      </c>
      <c r="AA288" s="82"/>
      <c r="AB288" s="7">
        <v>240</v>
      </c>
      <c r="AC288" s="3">
        <v>50</v>
      </c>
      <c r="AD288" s="3">
        <f t="shared" si="1257"/>
        <v>12000</v>
      </c>
      <c r="AE288" s="7">
        <v>142</v>
      </c>
      <c r="AF288" s="3">
        <v>50</v>
      </c>
      <c r="AG288" s="3">
        <f t="shared" si="1258"/>
        <v>7100</v>
      </c>
      <c r="AH288" s="3">
        <f t="shared" si="1259"/>
        <v>98</v>
      </c>
      <c r="AI288" s="3">
        <v>50</v>
      </c>
      <c r="AJ288" s="7">
        <f t="shared" si="1260"/>
        <v>4900</v>
      </c>
      <c r="AK288" s="7">
        <v>0</v>
      </c>
      <c r="AL288" s="6">
        <f t="shared" si="1261"/>
        <v>4900</v>
      </c>
      <c r="AM288" s="6">
        <f t="shared" si="1262"/>
        <v>27360</v>
      </c>
      <c r="AN288" s="6">
        <f t="shared" si="1263"/>
        <v>0</v>
      </c>
      <c r="AO288" s="6">
        <f t="shared" si="1264"/>
        <v>27360</v>
      </c>
      <c r="AP288" s="3" t="s">
        <v>507</v>
      </c>
      <c r="AQ288" s="3">
        <f t="shared" si="1265"/>
        <v>27360</v>
      </c>
      <c r="AR288" s="3">
        <f t="shared" ref="AR288:AR295" si="1268">AQ288</f>
        <v>27360</v>
      </c>
      <c r="AS288" s="3">
        <f t="shared" si="1266"/>
        <v>0</v>
      </c>
      <c r="AT288" s="3"/>
    </row>
    <row r="289" spans="1:46" x14ac:dyDescent="0.35">
      <c r="A289" s="3"/>
      <c r="B289" s="172" t="s">
        <v>463</v>
      </c>
      <c r="C289" s="3" t="s">
        <v>182</v>
      </c>
      <c r="D289" s="7">
        <v>0</v>
      </c>
      <c r="E289" s="3">
        <v>55</v>
      </c>
      <c r="F289" s="1">
        <f t="shared" si="1247"/>
        <v>0</v>
      </c>
      <c r="G289" s="7">
        <v>0</v>
      </c>
      <c r="H289" s="3">
        <v>55</v>
      </c>
      <c r="I289" s="27">
        <f t="shared" si="1248"/>
        <v>0</v>
      </c>
      <c r="J289" s="3">
        <f t="shared" si="1249"/>
        <v>0</v>
      </c>
      <c r="K289" s="7">
        <v>55</v>
      </c>
      <c r="L289" s="7">
        <f t="shared" si="1250"/>
        <v>0</v>
      </c>
      <c r="M289" s="7">
        <v>0</v>
      </c>
      <c r="N289" s="6">
        <f t="shared" si="1251"/>
        <v>0</v>
      </c>
      <c r="O289" s="34"/>
      <c r="P289" s="7">
        <v>0</v>
      </c>
      <c r="Q289" s="3">
        <v>100</v>
      </c>
      <c r="R289" s="3">
        <f t="shared" si="1252"/>
        <v>0</v>
      </c>
      <c r="S289" s="7">
        <v>0</v>
      </c>
      <c r="T289" s="3">
        <v>100</v>
      </c>
      <c r="U289" s="3">
        <f t="shared" si="1253"/>
        <v>0</v>
      </c>
      <c r="V289" s="3">
        <f t="shared" si="1254"/>
        <v>0</v>
      </c>
      <c r="W289" s="7">
        <v>100</v>
      </c>
      <c r="X289" s="7">
        <f>V289*W289</f>
        <v>0</v>
      </c>
      <c r="Y289" s="7">
        <v>0</v>
      </c>
      <c r="Z289" s="6">
        <f t="shared" si="1256"/>
        <v>0</v>
      </c>
      <c r="AA289" s="82"/>
      <c r="AB289" s="7">
        <v>0</v>
      </c>
      <c r="AC289" s="3">
        <v>45</v>
      </c>
      <c r="AD289" s="3">
        <f t="shared" si="1257"/>
        <v>0</v>
      </c>
      <c r="AE289" s="7">
        <v>0</v>
      </c>
      <c r="AF289" s="3">
        <v>45</v>
      </c>
      <c r="AG289" s="3">
        <f t="shared" si="1258"/>
        <v>0</v>
      </c>
      <c r="AH289" s="3">
        <f t="shared" si="1259"/>
        <v>0</v>
      </c>
      <c r="AI289" s="3">
        <v>45</v>
      </c>
      <c r="AJ289" s="7">
        <f t="shared" si="1260"/>
        <v>0</v>
      </c>
      <c r="AK289" s="7">
        <v>0</v>
      </c>
      <c r="AL289" s="6">
        <f t="shared" si="1261"/>
        <v>0</v>
      </c>
      <c r="AM289" s="6">
        <f t="shared" si="1262"/>
        <v>0</v>
      </c>
      <c r="AN289" s="6">
        <f t="shared" si="1263"/>
        <v>0</v>
      </c>
      <c r="AO289" s="6">
        <f t="shared" si="1264"/>
        <v>0</v>
      </c>
      <c r="AP289" s="3" t="s">
        <v>507</v>
      </c>
      <c r="AQ289" s="3">
        <f t="shared" si="1265"/>
        <v>0</v>
      </c>
      <c r="AR289" s="3">
        <f t="shared" si="1268"/>
        <v>0</v>
      </c>
      <c r="AS289" s="3">
        <f t="shared" si="1266"/>
        <v>0</v>
      </c>
      <c r="AT289" s="3"/>
    </row>
    <row r="290" spans="1:46" x14ac:dyDescent="0.35">
      <c r="A290" s="3"/>
      <c r="B290" s="172" t="s">
        <v>415</v>
      </c>
      <c r="C290" s="3" t="s">
        <v>33</v>
      </c>
      <c r="D290" s="7">
        <v>120</v>
      </c>
      <c r="E290" s="3">
        <v>60</v>
      </c>
      <c r="F290" s="1">
        <f t="shared" si="1247"/>
        <v>7200</v>
      </c>
      <c r="G290" s="7">
        <v>22</v>
      </c>
      <c r="H290" s="3">
        <v>60</v>
      </c>
      <c r="I290" s="27">
        <f t="shared" si="1248"/>
        <v>1320</v>
      </c>
      <c r="J290" s="3">
        <f t="shared" si="1249"/>
        <v>98</v>
      </c>
      <c r="K290" s="7">
        <v>60</v>
      </c>
      <c r="L290" s="7">
        <f t="shared" si="1250"/>
        <v>5880</v>
      </c>
      <c r="M290" s="3">
        <f>J290*5</f>
        <v>490</v>
      </c>
      <c r="N290" s="6">
        <f t="shared" si="1251"/>
        <v>5390</v>
      </c>
      <c r="O290" s="34"/>
      <c r="P290" s="7">
        <v>165</v>
      </c>
      <c r="Q290" s="3">
        <v>100</v>
      </c>
      <c r="R290" s="3">
        <f t="shared" si="1252"/>
        <v>16500</v>
      </c>
      <c r="S290" s="7">
        <v>11</v>
      </c>
      <c r="T290" s="3">
        <v>100</v>
      </c>
      <c r="U290" s="3">
        <f t="shared" si="1253"/>
        <v>1100</v>
      </c>
      <c r="V290" s="3">
        <f t="shared" si="1254"/>
        <v>154</v>
      </c>
      <c r="W290" s="7">
        <v>100</v>
      </c>
      <c r="X290" s="7">
        <f t="shared" ref="X290:X297" si="1269">V290*W290</f>
        <v>15400</v>
      </c>
      <c r="Y290" s="3">
        <f>V290*10</f>
        <v>1540</v>
      </c>
      <c r="Z290" s="6">
        <f t="shared" si="1256"/>
        <v>13860</v>
      </c>
      <c r="AA290" s="82"/>
      <c r="AB290" s="7">
        <v>156</v>
      </c>
      <c r="AC290" s="3">
        <v>50</v>
      </c>
      <c r="AD290" s="3">
        <f t="shared" si="1257"/>
        <v>7800</v>
      </c>
      <c r="AE290" s="7">
        <v>24</v>
      </c>
      <c r="AF290" s="3">
        <v>50</v>
      </c>
      <c r="AG290" s="3">
        <f t="shared" si="1258"/>
        <v>1200</v>
      </c>
      <c r="AH290" s="3">
        <f t="shared" ref="AH290:AH294" si="1270">AB290-AE290</f>
        <v>132</v>
      </c>
      <c r="AI290" s="3">
        <v>50</v>
      </c>
      <c r="AJ290" s="7">
        <f t="shared" si="1260"/>
        <v>6600</v>
      </c>
      <c r="AK290" s="3">
        <f>AH290*5</f>
        <v>660</v>
      </c>
      <c r="AL290" s="6">
        <f t="shared" si="1261"/>
        <v>5940</v>
      </c>
      <c r="AM290" s="6">
        <f t="shared" si="1262"/>
        <v>27880</v>
      </c>
      <c r="AN290" s="6">
        <f t="shared" si="1263"/>
        <v>2690</v>
      </c>
      <c r="AO290" s="6">
        <f t="shared" si="1264"/>
        <v>25190</v>
      </c>
      <c r="AP290" s="3" t="s">
        <v>507</v>
      </c>
      <c r="AQ290" s="3">
        <f t="shared" si="1265"/>
        <v>25190</v>
      </c>
      <c r="AR290" s="3">
        <f t="shared" si="1268"/>
        <v>25190</v>
      </c>
      <c r="AS290" s="3">
        <f>AQ290-AR290</f>
        <v>0</v>
      </c>
      <c r="AT290" s="3"/>
    </row>
    <row r="291" spans="1:46" x14ac:dyDescent="0.35">
      <c r="A291" s="3"/>
      <c r="B291" s="172" t="s">
        <v>326</v>
      </c>
      <c r="C291" s="3" t="s">
        <v>33</v>
      </c>
      <c r="D291" s="7">
        <v>30</v>
      </c>
      <c r="E291" s="3">
        <v>60</v>
      </c>
      <c r="F291" s="1">
        <f t="shared" si="1247"/>
        <v>1800</v>
      </c>
      <c r="G291" s="7">
        <v>11</v>
      </c>
      <c r="H291" s="3">
        <v>60</v>
      </c>
      <c r="I291" s="27">
        <f t="shared" si="1248"/>
        <v>660</v>
      </c>
      <c r="J291" s="3">
        <f t="shared" si="1249"/>
        <v>19</v>
      </c>
      <c r="K291" s="7">
        <v>60</v>
      </c>
      <c r="L291" s="7">
        <f t="shared" si="1250"/>
        <v>1140</v>
      </c>
      <c r="M291" s="3">
        <v>0</v>
      </c>
      <c r="N291" s="6">
        <f t="shared" si="1251"/>
        <v>1140</v>
      </c>
      <c r="O291" s="34"/>
      <c r="P291" s="7">
        <v>60</v>
      </c>
      <c r="Q291" s="3">
        <v>100</v>
      </c>
      <c r="R291" s="3">
        <f t="shared" si="1252"/>
        <v>6000</v>
      </c>
      <c r="S291" s="7">
        <v>8</v>
      </c>
      <c r="T291" s="3">
        <v>100</v>
      </c>
      <c r="U291" s="3">
        <f t="shared" si="1253"/>
        <v>800</v>
      </c>
      <c r="V291" s="3">
        <f t="shared" si="1254"/>
        <v>52</v>
      </c>
      <c r="W291" s="7">
        <v>100</v>
      </c>
      <c r="X291" s="7">
        <f t="shared" si="1269"/>
        <v>5200</v>
      </c>
      <c r="Y291" s="3">
        <v>0</v>
      </c>
      <c r="Z291" s="6">
        <f t="shared" si="1256"/>
        <v>5200</v>
      </c>
      <c r="AA291" s="82"/>
      <c r="AB291" s="7">
        <v>60</v>
      </c>
      <c r="AC291" s="3">
        <v>50</v>
      </c>
      <c r="AD291" s="3">
        <f t="shared" si="1257"/>
        <v>3000</v>
      </c>
      <c r="AE291" s="7">
        <v>2</v>
      </c>
      <c r="AF291" s="3">
        <v>50</v>
      </c>
      <c r="AG291" s="3">
        <f t="shared" si="1258"/>
        <v>100</v>
      </c>
      <c r="AH291" s="3">
        <f t="shared" si="1270"/>
        <v>58</v>
      </c>
      <c r="AI291" s="3">
        <v>50</v>
      </c>
      <c r="AJ291" s="7">
        <f t="shared" si="1260"/>
        <v>2900</v>
      </c>
      <c r="AK291" s="3">
        <v>0</v>
      </c>
      <c r="AL291" s="6">
        <f t="shared" si="1261"/>
        <v>2900</v>
      </c>
      <c r="AM291" s="6">
        <f t="shared" si="1262"/>
        <v>9240</v>
      </c>
      <c r="AN291" s="6">
        <f t="shared" si="1263"/>
        <v>0</v>
      </c>
      <c r="AO291" s="6">
        <f t="shared" si="1264"/>
        <v>9240</v>
      </c>
      <c r="AP291" s="3" t="s">
        <v>507</v>
      </c>
      <c r="AQ291" s="3">
        <f t="shared" si="1265"/>
        <v>9240</v>
      </c>
      <c r="AR291" s="3">
        <f t="shared" si="1268"/>
        <v>9240</v>
      </c>
      <c r="AS291" s="3">
        <f t="shared" ref="AS291:AS297" si="1271">AQ291-AR291</f>
        <v>0</v>
      </c>
      <c r="AT291" s="3"/>
    </row>
    <row r="292" spans="1:46" x14ac:dyDescent="0.35">
      <c r="A292" s="3"/>
      <c r="B292" s="172" t="s">
        <v>283</v>
      </c>
      <c r="C292" s="3" t="s">
        <v>33</v>
      </c>
      <c r="D292" s="7">
        <v>15</v>
      </c>
      <c r="E292" s="3">
        <v>60</v>
      </c>
      <c r="F292" s="1">
        <f t="shared" si="1247"/>
        <v>900</v>
      </c>
      <c r="G292" s="7">
        <v>7</v>
      </c>
      <c r="H292" s="3">
        <v>60</v>
      </c>
      <c r="I292" s="27">
        <f t="shared" si="1248"/>
        <v>420</v>
      </c>
      <c r="J292" s="3">
        <f t="shared" si="1249"/>
        <v>8</v>
      </c>
      <c r="K292" s="7">
        <v>60</v>
      </c>
      <c r="L292" s="7">
        <f t="shared" si="1250"/>
        <v>480</v>
      </c>
      <c r="M292" s="3">
        <v>0</v>
      </c>
      <c r="N292" s="6">
        <f t="shared" si="1251"/>
        <v>480</v>
      </c>
      <c r="O292" s="34"/>
      <c r="P292" s="7">
        <f>37+60</f>
        <v>97</v>
      </c>
      <c r="Q292" s="3">
        <v>100</v>
      </c>
      <c r="R292" s="3">
        <f t="shared" si="1252"/>
        <v>9700</v>
      </c>
      <c r="S292" s="7">
        <v>8</v>
      </c>
      <c r="T292" s="3">
        <v>100</v>
      </c>
      <c r="U292" s="3">
        <f t="shared" si="1253"/>
        <v>800</v>
      </c>
      <c r="V292" s="3">
        <f t="shared" si="1254"/>
        <v>89</v>
      </c>
      <c r="W292" s="7">
        <v>100</v>
      </c>
      <c r="X292" s="7">
        <f t="shared" si="1269"/>
        <v>8900</v>
      </c>
      <c r="Y292" s="3">
        <v>0</v>
      </c>
      <c r="Z292" s="6">
        <f t="shared" si="1256"/>
        <v>8900</v>
      </c>
      <c r="AA292" s="82"/>
      <c r="AB292" s="7">
        <v>36</v>
      </c>
      <c r="AC292" s="3">
        <v>50</v>
      </c>
      <c r="AD292" s="3">
        <f t="shared" si="1257"/>
        <v>1800</v>
      </c>
      <c r="AE292" s="7">
        <v>0</v>
      </c>
      <c r="AF292" s="3">
        <v>50</v>
      </c>
      <c r="AG292" s="3">
        <f t="shared" si="1258"/>
        <v>0</v>
      </c>
      <c r="AH292" s="3">
        <f t="shared" si="1270"/>
        <v>36</v>
      </c>
      <c r="AI292" s="3">
        <v>50</v>
      </c>
      <c r="AJ292" s="7">
        <f t="shared" si="1260"/>
        <v>1800</v>
      </c>
      <c r="AK292" s="3">
        <v>0</v>
      </c>
      <c r="AL292" s="6">
        <f t="shared" si="1261"/>
        <v>1800</v>
      </c>
      <c r="AM292" s="6">
        <f t="shared" si="1262"/>
        <v>11180</v>
      </c>
      <c r="AN292" s="6">
        <f t="shared" si="1263"/>
        <v>0</v>
      </c>
      <c r="AO292" s="6">
        <f t="shared" si="1264"/>
        <v>11180</v>
      </c>
      <c r="AP292" s="3" t="s">
        <v>507</v>
      </c>
      <c r="AQ292" s="3">
        <f t="shared" si="1265"/>
        <v>11180</v>
      </c>
      <c r="AR292" s="3">
        <f t="shared" si="1268"/>
        <v>11180</v>
      </c>
      <c r="AS292" s="3">
        <f t="shared" si="1271"/>
        <v>0</v>
      </c>
      <c r="AT292" s="3"/>
    </row>
    <row r="293" spans="1:46" x14ac:dyDescent="0.35">
      <c r="A293" s="3"/>
      <c r="B293" s="172" t="s">
        <v>283</v>
      </c>
      <c r="C293" s="3" t="s">
        <v>508</v>
      </c>
      <c r="D293" s="7">
        <v>0</v>
      </c>
      <c r="E293" s="3">
        <v>50</v>
      </c>
      <c r="F293" s="1">
        <f t="shared" si="1247"/>
        <v>0</v>
      </c>
      <c r="G293" s="3">
        <v>0</v>
      </c>
      <c r="H293" s="3">
        <v>50</v>
      </c>
      <c r="I293" s="27">
        <f t="shared" si="1248"/>
        <v>0</v>
      </c>
      <c r="J293" s="3">
        <f t="shared" si="1249"/>
        <v>0</v>
      </c>
      <c r="K293" s="7">
        <v>50</v>
      </c>
      <c r="L293" s="7">
        <f t="shared" si="1250"/>
        <v>0</v>
      </c>
      <c r="M293" s="3">
        <v>0</v>
      </c>
      <c r="N293" s="6">
        <f t="shared" si="1251"/>
        <v>0</v>
      </c>
      <c r="O293" s="34"/>
      <c r="P293" s="3">
        <v>60</v>
      </c>
      <c r="Q293" s="3">
        <v>90</v>
      </c>
      <c r="R293" s="3">
        <f t="shared" si="1252"/>
        <v>5400</v>
      </c>
      <c r="S293" s="3">
        <v>0</v>
      </c>
      <c r="T293" s="3">
        <v>90</v>
      </c>
      <c r="U293" s="3">
        <f t="shared" si="1253"/>
        <v>0</v>
      </c>
      <c r="V293" s="3">
        <f t="shared" si="1254"/>
        <v>60</v>
      </c>
      <c r="W293" s="7">
        <v>90</v>
      </c>
      <c r="X293" s="7">
        <f t="shared" si="1269"/>
        <v>5400</v>
      </c>
      <c r="Y293" s="3">
        <f>V293*10</f>
        <v>600</v>
      </c>
      <c r="Z293" s="6">
        <f t="shared" si="1256"/>
        <v>4800</v>
      </c>
      <c r="AA293" s="82"/>
      <c r="AB293" s="3">
        <v>84</v>
      </c>
      <c r="AC293" s="3">
        <v>45</v>
      </c>
      <c r="AD293" s="3">
        <f t="shared" si="1257"/>
        <v>3780</v>
      </c>
      <c r="AE293" s="3">
        <v>0</v>
      </c>
      <c r="AF293" s="3">
        <v>45</v>
      </c>
      <c r="AG293" s="3">
        <f t="shared" si="1258"/>
        <v>0</v>
      </c>
      <c r="AH293" s="3">
        <f t="shared" si="1270"/>
        <v>84</v>
      </c>
      <c r="AI293" s="3">
        <v>45</v>
      </c>
      <c r="AJ293" s="7">
        <f t="shared" si="1260"/>
        <v>3780</v>
      </c>
      <c r="AK293" s="3">
        <v>0</v>
      </c>
      <c r="AL293" s="6">
        <f t="shared" si="1261"/>
        <v>3780</v>
      </c>
      <c r="AM293" s="6">
        <f t="shared" si="1262"/>
        <v>9180</v>
      </c>
      <c r="AN293" s="6">
        <f t="shared" si="1263"/>
        <v>600</v>
      </c>
      <c r="AO293" s="6">
        <f t="shared" si="1264"/>
        <v>8580</v>
      </c>
      <c r="AP293" s="3" t="s">
        <v>507</v>
      </c>
      <c r="AQ293" s="3">
        <f t="shared" si="1265"/>
        <v>8580</v>
      </c>
      <c r="AR293" s="3">
        <f>AQ293</f>
        <v>8580</v>
      </c>
      <c r="AS293" s="3">
        <f t="shared" si="1271"/>
        <v>0</v>
      </c>
      <c r="AT293" s="3"/>
    </row>
    <row r="294" spans="1:46" x14ac:dyDescent="0.35">
      <c r="A294" s="3"/>
      <c r="B294" s="3" t="s">
        <v>308</v>
      </c>
      <c r="C294" s="3" t="s">
        <v>33</v>
      </c>
      <c r="D294" s="7">
        <v>0</v>
      </c>
      <c r="E294" s="3">
        <v>60</v>
      </c>
      <c r="F294" s="1">
        <f t="shared" si="1247"/>
        <v>0</v>
      </c>
      <c r="G294" s="7">
        <v>0</v>
      </c>
      <c r="H294" s="3">
        <v>60</v>
      </c>
      <c r="I294" s="27">
        <f t="shared" si="1248"/>
        <v>0</v>
      </c>
      <c r="J294" s="3">
        <f t="shared" si="1249"/>
        <v>0</v>
      </c>
      <c r="K294" s="7">
        <v>60</v>
      </c>
      <c r="L294" s="7">
        <f t="shared" si="1250"/>
        <v>0</v>
      </c>
      <c r="M294" s="3">
        <f>J294*5</f>
        <v>0</v>
      </c>
      <c r="N294" s="6">
        <f t="shared" si="1251"/>
        <v>0</v>
      </c>
      <c r="O294" s="34"/>
      <c r="P294" s="7">
        <v>0</v>
      </c>
      <c r="Q294" s="3">
        <v>100</v>
      </c>
      <c r="R294" s="3">
        <f t="shared" si="1252"/>
        <v>0</v>
      </c>
      <c r="S294" s="7">
        <v>0</v>
      </c>
      <c r="T294" s="3">
        <v>100</v>
      </c>
      <c r="U294" s="3">
        <f t="shared" si="1253"/>
        <v>0</v>
      </c>
      <c r="V294" s="3">
        <f t="shared" si="1254"/>
        <v>0</v>
      </c>
      <c r="W294" s="7">
        <v>100</v>
      </c>
      <c r="X294" s="7">
        <f t="shared" si="1269"/>
        <v>0</v>
      </c>
      <c r="Y294" s="3">
        <f>V294*5</f>
        <v>0</v>
      </c>
      <c r="Z294" s="6">
        <f t="shared" si="1256"/>
        <v>0</v>
      </c>
      <c r="AA294" s="82">
        <v>195</v>
      </c>
      <c r="AB294" s="7">
        <v>0</v>
      </c>
      <c r="AC294" s="3">
        <v>50</v>
      </c>
      <c r="AD294" s="3">
        <f t="shared" si="1257"/>
        <v>0</v>
      </c>
      <c r="AE294" s="7">
        <v>0</v>
      </c>
      <c r="AF294" s="3">
        <v>50</v>
      </c>
      <c r="AG294" s="3">
        <f t="shared" si="1258"/>
        <v>0</v>
      </c>
      <c r="AH294" s="3">
        <f t="shared" si="1270"/>
        <v>0</v>
      </c>
      <c r="AI294" s="3">
        <v>50</v>
      </c>
      <c r="AJ294" s="7">
        <f t="shared" si="1260"/>
        <v>0</v>
      </c>
      <c r="AK294" s="3">
        <f>AH294*5</f>
        <v>0</v>
      </c>
      <c r="AL294" s="6">
        <f t="shared" si="1261"/>
        <v>0</v>
      </c>
      <c r="AM294" s="6">
        <f t="shared" si="1262"/>
        <v>0</v>
      </c>
      <c r="AN294" s="6">
        <f t="shared" si="1263"/>
        <v>0</v>
      </c>
      <c r="AO294" s="6">
        <f t="shared" si="1264"/>
        <v>0</v>
      </c>
      <c r="AP294" s="3" t="s">
        <v>507</v>
      </c>
      <c r="AQ294" s="3">
        <f t="shared" si="1265"/>
        <v>0</v>
      </c>
      <c r="AR294" s="3">
        <f t="shared" si="1268"/>
        <v>0</v>
      </c>
      <c r="AS294" s="3">
        <f t="shared" si="1271"/>
        <v>0</v>
      </c>
      <c r="AT294" s="3"/>
    </row>
    <row r="295" spans="1:46" x14ac:dyDescent="0.35">
      <c r="A295" s="3"/>
      <c r="B295" s="3" t="s">
        <v>308</v>
      </c>
      <c r="C295" s="3" t="s">
        <v>332</v>
      </c>
      <c r="D295" s="7">
        <v>0</v>
      </c>
      <c r="E295" s="3">
        <v>60</v>
      </c>
      <c r="F295" s="1">
        <v>0</v>
      </c>
      <c r="G295" s="7">
        <v>0</v>
      </c>
      <c r="H295" s="3">
        <v>60</v>
      </c>
      <c r="I295" s="27">
        <f t="shared" si="1248"/>
        <v>0</v>
      </c>
      <c r="J295" s="3">
        <v>0</v>
      </c>
      <c r="K295" s="7">
        <v>60</v>
      </c>
      <c r="L295" s="7">
        <f t="shared" si="1250"/>
        <v>0</v>
      </c>
      <c r="M295" s="3">
        <v>0</v>
      </c>
      <c r="N295" s="6">
        <f t="shared" si="1251"/>
        <v>0</v>
      </c>
      <c r="O295" s="34"/>
      <c r="P295" s="7">
        <v>0</v>
      </c>
      <c r="Q295" s="3">
        <v>100</v>
      </c>
      <c r="R295" s="3">
        <v>0</v>
      </c>
      <c r="S295" s="7">
        <v>0</v>
      </c>
      <c r="T295" s="3">
        <v>100</v>
      </c>
      <c r="U295" s="3">
        <f t="shared" si="1253"/>
        <v>0</v>
      </c>
      <c r="V295" s="3">
        <v>0</v>
      </c>
      <c r="W295" s="7">
        <v>100</v>
      </c>
      <c r="X295" s="7">
        <f t="shared" si="1269"/>
        <v>0</v>
      </c>
      <c r="Y295" s="3">
        <v>0</v>
      </c>
      <c r="Z295" s="6">
        <f t="shared" si="1256"/>
        <v>0</v>
      </c>
      <c r="AA295" s="82"/>
      <c r="AB295" s="7">
        <v>0</v>
      </c>
      <c r="AC295" s="3">
        <v>50</v>
      </c>
      <c r="AD295" s="3">
        <v>0</v>
      </c>
      <c r="AE295" s="7">
        <v>0</v>
      </c>
      <c r="AF295" s="3">
        <v>50</v>
      </c>
      <c r="AG295" s="3">
        <f t="shared" si="1258"/>
        <v>0</v>
      </c>
      <c r="AH295" s="3">
        <v>0</v>
      </c>
      <c r="AI295" s="3">
        <v>50</v>
      </c>
      <c r="AJ295" s="7">
        <f t="shared" si="1260"/>
        <v>0</v>
      </c>
      <c r="AK295" s="3">
        <v>0</v>
      </c>
      <c r="AL295" s="6">
        <f t="shared" si="1261"/>
        <v>0</v>
      </c>
      <c r="AM295" s="6">
        <f t="shared" si="1262"/>
        <v>0</v>
      </c>
      <c r="AN295" s="6">
        <f t="shared" si="1263"/>
        <v>0</v>
      </c>
      <c r="AO295" s="6">
        <f t="shared" si="1264"/>
        <v>0</v>
      </c>
      <c r="AP295" s="3" t="s">
        <v>507</v>
      </c>
      <c r="AQ295" s="3">
        <f t="shared" si="1265"/>
        <v>0</v>
      </c>
      <c r="AR295" s="3">
        <f t="shared" si="1268"/>
        <v>0</v>
      </c>
      <c r="AS295" s="3">
        <f t="shared" si="1271"/>
        <v>0</v>
      </c>
      <c r="AT295" s="3"/>
    </row>
    <row r="296" spans="1:46" x14ac:dyDescent="0.35">
      <c r="A296" s="3"/>
      <c r="B296" s="3" t="s">
        <v>287</v>
      </c>
      <c r="C296" s="3" t="s">
        <v>33</v>
      </c>
      <c r="D296" s="7">
        <v>0</v>
      </c>
      <c r="E296" s="3">
        <v>60</v>
      </c>
      <c r="F296" s="1">
        <f t="shared" ref="F296" si="1272">D296*E296</f>
        <v>0</v>
      </c>
      <c r="G296" s="7">
        <v>0</v>
      </c>
      <c r="H296" s="3">
        <v>60</v>
      </c>
      <c r="I296" s="27">
        <f t="shared" si="1248"/>
        <v>0</v>
      </c>
      <c r="J296" s="3">
        <f t="shared" ref="J296" si="1273">D296-G296</f>
        <v>0</v>
      </c>
      <c r="K296" s="7">
        <v>60</v>
      </c>
      <c r="L296" s="7">
        <f t="shared" ref="L296:L297" si="1274">J296*K296</f>
        <v>0</v>
      </c>
      <c r="M296" s="3">
        <f>J296*5</f>
        <v>0</v>
      </c>
      <c r="N296" s="6">
        <f t="shared" si="1251"/>
        <v>0</v>
      </c>
      <c r="O296" s="34"/>
      <c r="P296" s="7">
        <v>0</v>
      </c>
      <c r="Q296" s="3">
        <v>100</v>
      </c>
      <c r="R296" s="3">
        <f t="shared" ref="R296" si="1275">P296*Q296</f>
        <v>0</v>
      </c>
      <c r="S296" s="7">
        <v>0</v>
      </c>
      <c r="T296" s="3">
        <v>100</v>
      </c>
      <c r="U296" s="3">
        <f t="shared" si="1253"/>
        <v>0</v>
      </c>
      <c r="V296" s="3">
        <f t="shared" ref="V296" si="1276">P296-S296</f>
        <v>0</v>
      </c>
      <c r="W296" s="7">
        <v>100</v>
      </c>
      <c r="X296" s="7">
        <f t="shared" si="1269"/>
        <v>0</v>
      </c>
      <c r="Y296" s="3">
        <f>V296*10</f>
        <v>0</v>
      </c>
      <c r="Z296" s="6">
        <f t="shared" si="1256"/>
        <v>0</v>
      </c>
      <c r="AA296" s="82"/>
      <c r="AB296" s="7">
        <v>0</v>
      </c>
      <c r="AC296" s="3">
        <v>50</v>
      </c>
      <c r="AD296" s="3">
        <f t="shared" si="1257"/>
        <v>0</v>
      </c>
      <c r="AE296" s="7">
        <v>0</v>
      </c>
      <c r="AF296" s="3">
        <v>50</v>
      </c>
      <c r="AG296" s="3">
        <f t="shared" si="1258"/>
        <v>0</v>
      </c>
      <c r="AH296" s="3">
        <f t="shared" ref="AH296" si="1277">AB296-AE296</f>
        <v>0</v>
      </c>
      <c r="AI296" s="3">
        <v>50</v>
      </c>
      <c r="AJ296" s="7">
        <f t="shared" si="1260"/>
        <v>0</v>
      </c>
      <c r="AK296" s="3">
        <f>AH296*5</f>
        <v>0</v>
      </c>
      <c r="AL296" s="6">
        <f t="shared" si="1261"/>
        <v>0</v>
      </c>
      <c r="AM296" s="6">
        <f t="shared" ref="AM296:AM297" si="1278">L296+X296+AJ296</f>
        <v>0</v>
      </c>
      <c r="AN296" s="6">
        <f t="shared" si="1263"/>
        <v>0</v>
      </c>
      <c r="AO296" s="6">
        <f t="shared" ref="AO296:AO297" si="1279">AM296-AN296</f>
        <v>0</v>
      </c>
      <c r="AP296" s="3" t="s">
        <v>507</v>
      </c>
      <c r="AQ296" s="3">
        <f t="shared" si="1265"/>
        <v>0</v>
      </c>
      <c r="AR296" s="3">
        <f>AQ296</f>
        <v>0</v>
      </c>
      <c r="AS296" s="3">
        <f t="shared" si="1271"/>
        <v>0</v>
      </c>
      <c r="AT296" s="3"/>
    </row>
    <row r="297" spans="1:46" x14ac:dyDescent="0.35">
      <c r="A297" s="3"/>
      <c r="B297" s="3" t="s">
        <v>287</v>
      </c>
      <c r="C297" s="3" t="s">
        <v>332</v>
      </c>
      <c r="D297" s="7">
        <v>0</v>
      </c>
      <c r="E297" s="3">
        <v>60</v>
      </c>
      <c r="F297" s="1">
        <v>0</v>
      </c>
      <c r="G297" s="7">
        <v>0</v>
      </c>
      <c r="H297" s="3">
        <v>60</v>
      </c>
      <c r="I297" s="27">
        <f t="shared" si="1248"/>
        <v>0</v>
      </c>
      <c r="J297" s="3">
        <v>0</v>
      </c>
      <c r="K297" s="7">
        <v>60</v>
      </c>
      <c r="L297" s="7">
        <f t="shared" si="1274"/>
        <v>0</v>
      </c>
      <c r="M297" s="3">
        <v>0</v>
      </c>
      <c r="N297" s="6">
        <f t="shared" si="1251"/>
        <v>0</v>
      </c>
      <c r="O297" s="34"/>
      <c r="P297" s="7">
        <v>0</v>
      </c>
      <c r="Q297" s="3">
        <v>100</v>
      </c>
      <c r="R297" s="3">
        <v>0</v>
      </c>
      <c r="S297" s="7">
        <v>0</v>
      </c>
      <c r="T297" s="3">
        <v>100</v>
      </c>
      <c r="U297" s="3">
        <f t="shared" si="1253"/>
        <v>0</v>
      </c>
      <c r="V297" s="3">
        <v>0</v>
      </c>
      <c r="W297" s="7">
        <v>100</v>
      </c>
      <c r="X297" s="7">
        <f t="shared" si="1269"/>
        <v>0</v>
      </c>
      <c r="Y297" s="3">
        <v>0</v>
      </c>
      <c r="Z297" s="6">
        <f t="shared" si="1256"/>
        <v>0</v>
      </c>
      <c r="AA297" s="82"/>
      <c r="AB297" s="7">
        <v>0</v>
      </c>
      <c r="AC297" s="3">
        <v>50</v>
      </c>
      <c r="AD297" s="3">
        <v>0</v>
      </c>
      <c r="AE297" s="7">
        <v>0</v>
      </c>
      <c r="AF297" s="3">
        <v>50</v>
      </c>
      <c r="AG297" s="3">
        <f t="shared" si="1258"/>
        <v>0</v>
      </c>
      <c r="AH297" s="3">
        <v>0</v>
      </c>
      <c r="AI297" s="3">
        <v>50</v>
      </c>
      <c r="AJ297" s="7">
        <f t="shared" si="1260"/>
        <v>0</v>
      </c>
      <c r="AK297" s="3">
        <v>0</v>
      </c>
      <c r="AL297" s="6">
        <f t="shared" si="1261"/>
        <v>0</v>
      </c>
      <c r="AM297" s="6">
        <f t="shared" si="1278"/>
        <v>0</v>
      </c>
      <c r="AN297" s="6">
        <f t="shared" si="1263"/>
        <v>0</v>
      </c>
      <c r="AO297" s="6">
        <f t="shared" si="1279"/>
        <v>0</v>
      </c>
      <c r="AP297" s="3" t="s">
        <v>507</v>
      </c>
      <c r="AQ297" s="3">
        <f t="shared" si="1265"/>
        <v>0</v>
      </c>
      <c r="AR297" s="3">
        <f t="shared" ref="AR297" si="1280">AQ297</f>
        <v>0</v>
      </c>
      <c r="AS297" s="3">
        <f t="shared" si="1271"/>
        <v>0</v>
      </c>
      <c r="AT297" s="3"/>
    </row>
    <row r="298" spans="1:46" x14ac:dyDescent="0.35">
      <c r="A298" s="19"/>
      <c r="B298" s="19" t="s">
        <v>36</v>
      </c>
      <c r="C298" s="19"/>
      <c r="D298" s="19">
        <f>SUM(D286:D297)</f>
        <v>690</v>
      </c>
      <c r="E298" s="19"/>
      <c r="F298" s="19">
        <f>SUM(F286:F297)</f>
        <v>41100</v>
      </c>
      <c r="G298" s="19">
        <f>SUM(G286:G297)</f>
        <v>359</v>
      </c>
      <c r="H298" s="19"/>
      <c r="I298" s="19">
        <f>SUM(I286:I297)</f>
        <v>21540</v>
      </c>
      <c r="J298" s="19">
        <f>SUM(J286:J297)</f>
        <v>331</v>
      </c>
      <c r="K298" s="19"/>
      <c r="L298" s="19">
        <f>SUM(L286:L297)</f>
        <v>19560</v>
      </c>
      <c r="M298" s="19">
        <f>SUM(M286:M297)</f>
        <v>490</v>
      </c>
      <c r="N298" s="19">
        <f>SUM(N286:N297)</f>
        <v>19070</v>
      </c>
      <c r="O298" s="34"/>
      <c r="P298" s="19">
        <f>SUM(P286:P297)</f>
        <v>802</v>
      </c>
      <c r="Q298" s="19"/>
      <c r="R298" s="19">
        <f>SUM(R286:R297)</f>
        <v>79600</v>
      </c>
      <c r="S298" s="19">
        <f>SUM(S286:S297)</f>
        <v>104</v>
      </c>
      <c r="T298" s="19"/>
      <c r="U298" s="19">
        <f>SUM(U286:U297)</f>
        <v>10400</v>
      </c>
      <c r="V298" s="19">
        <f>SUM(V286:V297)</f>
        <v>698</v>
      </c>
      <c r="W298" s="19"/>
      <c r="X298" s="19">
        <f>SUM(X286:X297)</f>
        <v>69200</v>
      </c>
      <c r="Y298" s="19">
        <f>SUM(Y286:Y297)</f>
        <v>2140</v>
      </c>
      <c r="Z298" s="19">
        <f>SUM(Z286:Z297)</f>
        <v>67060</v>
      </c>
      <c r="AA298" s="34"/>
      <c r="AB298" s="19">
        <f>SUM(AB286:AB297)</f>
        <v>756</v>
      </c>
      <c r="AC298" s="19"/>
      <c r="AD298" s="19">
        <f>SUM(AD286:AD297)</f>
        <v>37380</v>
      </c>
      <c r="AE298" s="19">
        <f>SUM(AE286:AE297)</f>
        <v>168</v>
      </c>
      <c r="AF298" s="19"/>
      <c r="AG298" s="19">
        <f>SUM(AG286:AG297)</f>
        <v>8400</v>
      </c>
      <c r="AH298" s="19">
        <f>SUM(AH286:AH297)</f>
        <v>588</v>
      </c>
      <c r="AI298" s="19"/>
      <c r="AJ298" s="19">
        <f t="shared" ref="AJ298:AO298" si="1281">SUM(AJ286:AJ297)</f>
        <v>28980</v>
      </c>
      <c r="AK298" s="19">
        <f t="shared" si="1281"/>
        <v>660</v>
      </c>
      <c r="AL298" s="19">
        <f t="shared" si="1281"/>
        <v>28320</v>
      </c>
      <c r="AM298" s="19">
        <f t="shared" si="1281"/>
        <v>117740</v>
      </c>
      <c r="AN298" s="19">
        <f t="shared" si="1281"/>
        <v>3290</v>
      </c>
      <c r="AO298" s="19">
        <f t="shared" si="1281"/>
        <v>114450</v>
      </c>
      <c r="AP298" s="19"/>
      <c r="AQ298" s="19">
        <f>SUM(AQ286:AQ297)</f>
        <v>114450</v>
      </c>
      <c r="AR298" s="19">
        <f>SUM(AR286:AR297)</f>
        <v>114450</v>
      </c>
      <c r="AS298" s="19">
        <f>SUM(AS286:AS297)</f>
        <v>0</v>
      </c>
      <c r="AT298" s="74"/>
    </row>
    <row r="299" spans="1:46" x14ac:dyDescent="0.35">
      <c r="A299" s="3" t="s">
        <v>509</v>
      </c>
      <c r="B299" s="172" t="s">
        <v>276</v>
      </c>
      <c r="C299" s="3" t="s">
        <v>33</v>
      </c>
      <c r="D299" s="7">
        <f>225-30</f>
        <v>195</v>
      </c>
      <c r="E299" s="3">
        <v>60</v>
      </c>
      <c r="F299" s="1">
        <f t="shared" ref="F299:F305" si="1282">D299*E299</f>
        <v>11700</v>
      </c>
      <c r="G299" s="7">
        <v>146</v>
      </c>
      <c r="H299" s="3">
        <v>60</v>
      </c>
      <c r="I299" s="27">
        <f t="shared" ref="I299:I307" si="1283">G299*H299</f>
        <v>8760</v>
      </c>
      <c r="J299" s="3">
        <f t="shared" ref="J299:J305" si="1284">D299-G299</f>
        <v>49</v>
      </c>
      <c r="K299" s="7">
        <v>60</v>
      </c>
      <c r="L299" s="7">
        <f t="shared" ref="L299:L305" si="1285">J299*K299</f>
        <v>2940</v>
      </c>
      <c r="M299" s="3">
        <v>0</v>
      </c>
      <c r="N299" s="6">
        <f t="shared" ref="N299:N307" si="1286">L299-M299</f>
        <v>2940</v>
      </c>
      <c r="O299" s="34"/>
      <c r="P299" s="7">
        <v>180</v>
      </c>
      <c r="Q299" s="3">
        <v>100</v>
      </c>
      <c r="R299" s="3">
        <f t="shared" ref="R299:R305" si="1287">P299*Q299</f>
        <v>18000</v>
      </c>
      <c r="S299" s="7">
        <v>31</v>
      </c>
      <c r="T299" s="3">
        <v>100</v>
      </c>
      <c r="U299" s="3">
        <f t="shared" ref="U299:U307" si="1288">S299*T299</f>
        <v>3100</v>
      </c>
      <c r="V299" s="3">
        <f t="shared" ref="V299:V305" si="1289">P299-S299</f>
        <v>149</v>
      </c>
      <c r="W299" s="7">
        <v>100</v>
      </c>
      <c r="X299" s="7">
        <f t="shared" ref="X299" si="1290">V299*W299</f>
        <v>14900</v>
      </c>
      <c r="Y299" s="3">
        <v>0</v>
      </c>
      <c r="Z299" s="6">
        <f t="shared" ref="Z299:Z307" si="1291">X299-Y299</f>
        <v>14900</v>
      </c>
      <c r="AA299" s="82"/>
      <c r="AB299" s="7">
        <v>180</v>
      </c>
      <c r="AC299" s="3">
        <v>50</v>
      </c>
      <c r="AD299" s="3">
        <f t="shared" ref="AD299:AD305" si="1292">AB299*AC299</f>
        <v>9000</v>
      </c>
      <c r="AE299" s="7">
        <v>21</v>
      </c>
      <c r="AF299" s="3">
        <v>50</v>
      </c>
      <c r="AG299" s="3">
        <f t="shared" ref="AG299:AG307" si="1293">AE299*AF299</f>
        <v>1050</v>
      </c>
      <c r="AH299" s="3">
        <f t="shared" ref="AH299:AH305" si="1294">AB299-AE299</f>
        <v>159</v>
      </c>
      <c r="AI299" s="3">
        <v>50</v>
      </c>
      <c r="AJ299" s="7">
        <f t="shared" ref="AJ299:AJ307" si="1295">AH299*AI299</f>
        <v>7950</v>
      </c>
      <c r="AK299" s="3">
        <v>0</v>
      </c>
      <c r="AL299" s="6">
        <f t="shared" ref="AL299:AL307" si="1296">AJ299-AK299</f>
        <v>7950</v>
      </c>
      <c r="AM299" s="6">
        <f t="shared" ref="AM299:AM307" si="1297">L299+X299+AJ299</f>
        <v>25790</v>
      </c>
      <c r="AN299" s="6">
        <f t="shared" ref="AN299:AN307" si="1298">M299+Y299+AK299</f>
        <v>0</v>
      </c>
      <c r="AO299" s="6">
        <f t="shared" ref="AO299:AO307" si="1299">AM299-AN299</f>
        <v>25790</v>
      </c>
      <c r="AP299" s="3" t="s">
        <v>509</v>
      </c>
      <c r="AQ299" s="3">
        <f t="shared" ref="AQ299:AQ307" si="1300">AO299</f>
        <v>25790</v>
      </c>
      <c r="AR299" s="3">
        <f>AQ299</f>
        <v>25790</v>
      </c>
      <c r="AS299" s="3">
        <f t="shared" ref="AS299:AS303" si="1301">AQ299-AR299</f>
        <v>0</v>
      </c>
      <c r="AT299" s="3"/>
    </row>
    <row r="300" spans="1:46" x14ac:dyDescent="0.35">
      <c r="A300" s="3"/>
      <c r="B300" s="172" t="s">
        <v>276</v>
      </c>
      <c r="C300" s="3" t="s">
        <v>182</v>
      </c>
      <c r="D300" s="7">
        <v>30</v>
      </c>
      <c r="E300" s="3">
        <v>55</v>
      </c>
      <c r="F300" s="1">
        <f t="shared" si="1282"/>
        <v>1650</v>
      </c>
      <c r="G300" s="7">
        <v>0</v>
      </c>
      <c r="H300" s="3">
        <v>55</v>
      </c>
      <c r="I300" s="27">
        <f t="shared" si="1283"/>
        <v>0</v>
      </c>
      <c r="J300" s="3">
        <f t="shared" si="1284"/>
        <v>30</v>
      </c>
      <c r="K300" s="7">
        <v>55</v>
      </c>
      <c r="L300" s="7">
        <f t="shared" si="1285"/>
        <v>1650</v>
      </c>
      <c r="M300" s="7">
        <v>0</v>
      </c>
      <c r="N300" s="6">
        <f t="shared" si="1286"/>
        <v>1650</v>
      </c>
      <c r="O300" s="34"/>
      <c r="P300" s="7">
        <v>0</v>
      </c>
      <c r="Q300" s="3">
        <v>100</v>
      </c>
      <c r="R300" s="3">
        <f t="shared" si="1287"/>
        <v>0</v>
      </c>
      <c r="S300" s="7">
        <v>0</v>
      </c>
      <c r="T300" s="3">
        <v>100</v>
      </c>
      <c r="U300" s="3">
        <f t="shared" si="1288"/>
        <v>0</v>
      </c>
      <c r="V300" s="3">
        <f t="shared" si="1289"/>
        <v>0</v>
      </c>
      <c r="W300" s="7">
        <v>100</v>
      </c>
      <c r="X300" s="7">
        <f>V300*W300</f>
        <v>0</v>
      </c>
      <c r="Y300" s="7">
        <v>0</v>
      </c>
      <c r="Z300" s="6">
        <f t="shared" si="1291"/>
        <v>0</v>
      </c>
      <c r="AA300" s="82"/>
      <c r="AB300" s="7">
        <v>0</v>
      </c>
      <c r="AC300" s="3">
        <v>25</v>
      </c>
      <c r="AD300" s="3">
        <f t="shared" si="1292"/>
        <v>0</v>
      </c>
      <c r="AE300" s="7">
        <v>0</v>
      </c>
      <c r="AF300" s="3">
        <v>25</v>
      </c>
      <c r="AG300" s="3">
        <f t="shared" si="1293"/>
        <v>0</v>
      </c>
      <c r="AH300" s="3">
        <f t="shared" si="1294"/>
        <v>0</v>
      </c>
      <c r="AI300" s="3">
        <v>25</v>
      </c>
      <c r="AJ300" s="7">
        <f t="shared" si="1295"/>
        <v>0</v>
      </c>
      <c r="AK300" s="7">
        <v>0</v>
      </c>
      <c r="AL300" s="6">
        <f t="shared" si="1296"/>
        <v>0</v>
      </c>
      <c r="AM300" s="6">
        <f t="shared" si="1297"/>
        <v>1650</v>
      </c>
      <c r="AN300" s="6">
        <f t="shared" si="1298"/>
        <v>0</v>
      </c>
      <c r="AO300" s="6">
        <f t="shared" si="1299"/>
        <v>1650</v>
      </c>
      <c r="AP300" s="3" t="s">
        <v>509</v>
      </c>
      <c r="AQ300" s="3">
        <f t="shared" si="1300"/>
        <v>1650</v>
      </c>
      <c r="AR300" s="3">
        <f t="shared" ref="AR300:AR301" si="1302">AQ300</f>
        <v>1650</v>
      </c>
      <c r="AS300" s="3">
        <f t="shared" si="1301"/>
        <v>0</v>
      </c>
      <c r="AT300" s="3"/>
    </row>
    <row r="301" spans="1:46" x14ac:dyDescent="0.35">
      <c r="A301" s="3"/>
      <c r="B301" s="172" t="s">
        <v>463</v>
      </c>
      <c r="C301" s="3" t="s">
        <v>33</v>
      </c>
      <c r="D301" s="7">
        <v>225</v>
      </c>
      <c r="E301" s="3">
        <v>60</v>
      </c>
      <c r="F301" s="1">
        <f t="shared" si="1282"/>
        <v>13500</v>
      </c>
      <c r="G301" s="7">
        <v>172</v>
      </c>
      <c r="H301" s="3">
        <v>60</v>
      </c>
      <c r="I301" s="27">
        <f t="shared" si="1283"/>
        <v>10320</v>
      </c>
      <c r="J301" s="3">
        <f t="shared" si="1284"/>
        <v>53</v>
      </c>
      <c r="K301" s="7">
        <v>60</v>
      </c>
      <c r="L301" s="7">
        <f t="shared" si="1285"/>
        <v>3180</v>
      </c>
      <c r="M301" s="7">
        <v>0</v>
      </c>
      <c r="N301" s="6">
        <f t="shared" si="1286"/>
        <v>3180</v>
      </c>
      <c r="O301" s="34"/>
      <c r="P301" s="7">
        <v>240</v>
      </c>
      <c r="Q301" s="3">
        <v>100</v>
      </c>
      <c r="R301" s="3">
        <f t="shared" si="1287"/>
        <v>24000</v>
      </c>
      <c r="S301" s="7">
        <v>108</v>
      </c>
      <c r="T301" s="3">
        <v>100</v>
      </c>
      <c r="U301" s="3">
        <f t="shared" si="1288"/>
        <v>10800</v>
      </c>
      <c r="V301" s="3">
        <f t="shared" si="1289"/>
        <v>132</v>
      </c>
      <c r="W301" s="7">
        <v>100</v>
      </c>
      <c r="X301" s="7">
        <f>V301*W301</f>
        <v>13200</v>
      </c>
      <c r="Y301" s="7">
        <v>0</v>
      </c>
      <c r="Z301" s="6">
        <f t="shared" si="1291"/>
        <v>13200</v>
      </c>
      <c r="AA301" s="82"/>
      <c r="AB301" s="7">
        <v>240</v>
      </c>
      <c r="AC301" s="3">
        <v>50</v>
      </c>
      <c r="AD301" s="3">
        <f t="shared" si="1292"/>
        <v>12000</v>
      </c>
      <c r="AE301" s="7">
        <v>162</v>
      </c>
      <c r="AF301" s="3">
        <v>50</v>
      </c>
      <c r="AG301" s="3">
        <f t="shared" si="1293"/>
        <v>8100</v>
      </c>
      <c r="AH301" s="3">
        <f t="shared" si="1294"/>
        <v>78</v>
      </c>
      <c r="AI301" s="3">
        <v>50</v>
      </c>
      <c r="AJ301" s="7">
        <f t="shared" si="1295"/>
        <v>3900</v>
      </c>
      <c r="AK301" s="7">
        <v>0</v>
      </c>
      <c r="AL301" s="6">
        <f t="shared" si="1296"/>
        <v>3900</v>
      </c>
      <c r="AM301" s="6">
        <f t="shared" si="1297"/>
        <v>20280</v>
      </c>
      <c r="AN301" s="6">
        <f t="shared" si="1298"/>
        <v>0</v>
      </c>
      <c r="AO301" s="6">
        <f t="shared" si="1299"/>
        <v>20280</v>
      </c>
      <c r="AP301" s="3" t="s">
        <v>509</v>
      </c>
      <c r="AQ301" s="3">
        <f t="shared" si="1300"/>
        <v>20280</v>
      </c>
      <c r="AR301" s="3">
        <f t="shared" si="1302"/>
        <v>20280</v>
      </c>
      <c r="AS301" s="3">
        <f t="shared" si="1301"/>
        <v>0</v>
      </c>
      <c r="AT301" s="3"/>
    </row>
    <row r="302" spans="1:46" x14ac:dyDescent="0.35">
      <c r="A302" s="3"/>
      <c r="B302" s="172" t="s">
        <v>463</v>
      </c>
      <c r="C302" s="3" t="s">
        <v>182</v>
      </c>
      <c r="D302" s="7">
        <v>0</v>
      </c>
      <c r="E302" s="3">
        <v>55</v>
      </c>
      <c r="F302" s="1">
        <f t="shared" si="1282"/>
        <v>0</v>
      </c>
      <c r="G302" s="3">
        <v>0</v>
      </c>
      <c r="H302" s="3">
        <v>55</v>
      </c>
      <c r="I302" s="27">
        <f t="shared" si="1283"/>
        <v>0</v>
      </c>
      <c r="J302" s="3">
        <f t="shared" si="1284"/>
        <v>0</v>
      </c>
      <c r="K302" s="7">
        <v>55</v>
      </c>
      <c r="L302" s="7">
        <f t="shared" si="1285"/>
        <v>0</v>
      </c>
      <c r="M302" s="7">
        <v>0</v>
      </c>
      <c r="N302" s="6">
        <f t="shared" si="1286"/>
        <v>0</v>
      </c>
      <c r="O302" s="34"/>
      <c r="P302" s="3">
        <v>0</v>
      </c>
      <c r="Q302" s="3">
        <v>100</v>
      </c>
      <c r="R302" s="3">
        <f t="shared" si="1287"/>
        <v>0</v>
      </c>
      <c r="S302" s="3">
        <v>0</v>
      </c>
      <c r="T302" s="3">
        <v>100</v>
      </c>
      <c r="U302" s="3">
        <f t="shared" si="1288"/>
        <v>0</v>
      </c>
      <c r="V302" s="3">
        <f t="shared" si="1289"/>
        <v>0</v>
      </c>
      <c r="W302" s="7">
        <v>100</v>
      </c>
      <c r="X302" s="7">
        <f>V302*W302</f>
        <v>0</v>
      </c>
      <c r="Y302" s="7">
        <v>0</v>
      </c>
      <c r="Z302" s="6">
        <f t="shared" si="1291"/>
        <v>0</v>
      </c>
      <c r="AA302" s="82"/>
      <c r="AB302" s="3">
        <v>0</v>
      </c>
      <c r="AC302" s="3">
        <v>45</v>
      </c>
      <c r="AD302" s="3">
        <f t="shared" si="1292"/>
        <v>0</v>
      </c>
      <c r="AE302" s="3">
        <v>0</v>
      </c>
      <c r="AF302" s="3">
        <v>45</v>
      </c>
      <c r="AG302" s="3">
        <f t="shared" si="1293"/>
        <v>0</v>
      </c>
      <c r="AH302" s="3">
        <f t="shared" si="1294"/>
        <v>0</v>
      </c>
      <c r="AI302" s="3">
        <v>45</v>
      </c>
      <c r="AJ302" s="7">
        <f t="shared" si="1295"/>
        <v>0</v>
      </c>
      <c r="AK302" s="7">
        <v>0</v>
      </c>
      <c r="AL302" s="6">
        <f t="shared" si="1296"/>
        <v>0</v>
      </c>
      <c r="AM302" s="6">
        <f t="shared" si="1297"/>
        <v>0</v>
      </c>
      <c r="AN302" s="6">
        <f t="shared" si="1298"/>
        <v>0</v>
      </c>
      <c r="AO302" s="6">
        <f t="shared" si="1299"/>
        <v>0</v>
      </c>
      <c r="AP302" s="3" t="s">
        <v>509</v>
      </c>
      <c r="AQ302" s="3">
        <f t="shared" si="1300"/>
        <v>0</v>
      </c>
      <c r="AR302" s="3">
        <f>AQ302</f>
        <v>0</v>
      </c>
      <c r="AS302" s="3">
        <f t="shared" si="1301"/>
        <v>0</v>
      </c>
      <c r="AT302" s="3"/>
    </row>
    <row r="303" spans="1:46" x14ac:dyDescent="0.35">
      <c r="A303" s="3"/>
      <c r="B303" s="172" t="s">
        <v>415</v>
      </c>
      <c r="C303" s="3" t="s">
        <v>33</v>
      </c>
      <c r="D303" s="7">
        <v>150</v>
      </c>
      <c r="E303" s="3">
        <v>60</v>
      </c>
      <c r="F303" s="1">
        <f t="shared" si="1282"/>
        <v>9000</v>
      </c>
      <c r="G303" s="7">
        <v>0</v>
      </c>
      <c r="H303" s="3">
        <v>60</v>
      </c>
      <c r="I303" s="27">
        <f t="shared" si="1283"/>
        <v>0</v>
      </c>
      <c r="J303" s="3">
        <f t="shared" si="1284"/>
        <v>150</v>
      </c>
      <c r="K303" s="7">
        <v>60</v>
      </c>
      <c r="L303" s="7">
        <f t="shared" si="1285"/>
        <v>9000</v>
      </c>
      <c r="M303" s="3">
        <f>J303*5</f>
        <v>750</v>
      </c>
      <c r="N303" s="6">
        <f t="shared" si="1286"/>
        <v>8250</v>
      </c>
      <c r="O303" s="34"/>
      <c r="P303" s="7">
        <v>144</v>
      </c>
      <c r="Q303" s="3">
        <v>100</v>
      </c>
      <c r="R303" s="3">
        <f t="shared" si="1287"/>
        <v>14400</v>
      </c>
      <c r="S303" s="7">
        <v>0</v>
      </c>
      <c r="T303" s="3">
        <v>100</v>
      </c>
      <c r="U303" s="3">
        <f t="shared" si="1288"/>
        <v>0</v>
      </c>
      <c r="V303" s="3">
        <f t="shared" si="1289"/>
        <v>144</v>
      </c>
      <c r="W303" s="7">
        <v>100</v>
      </c>
      <c r="X303" s="7">
        <f t="shared" ref="X303" si="1303">V303*W303</f>
        <v>14400</v>
      </c>
      <c r="Y303" s="3">
        <f>V303*10</f>
        <v>1440</v>
      </c>
      <c r="Z303" s="6">
        <f t="shared" si="1291"/>
        <v>12960</v>
      </c>
      <c r="AA303" s="82"/>
      <c r="AB303" s="7">
        <v>132</v>
      </c>
      <c r="AC303" s="3">
        <v>50</v>
      </c>
      <c r="AD303" s="3">
        <f t="shared" si="1292"/>
        <v>6600</v>
      </c>
      <c r="AE303" s="7">
        <v>0</v>
      </c>
      <c r="AF303" s="3">
        <v>50</v>
      </c>
      <c r="AG303" s="3">
        <f t="shared" si="1293"/>
        <v>0</v>
      </c>
      <c r="AH303" s="3">
        <f t="shared" si="1294"/>
        <v>132</v>
      </c>
      <c r="AI303" s="3">
        <v>50</v>
      </c>
      <c r="AJ303" s="7">
        <f t="shared" si="1295"/>
        <v>6600</v>
      </c>
      <c r="AK303" s="3">
        <f>AH303*5</f>
        <v>660</v>
      </c>
      <c r="AL303" s="6">
        <f t="shared" si="1296"/>
        <v>5940</v>
      </c>
      <c r="AM303" s="6">
        <f t="shared" si="1297"/>
        <v>30000</v>
      </c>
      <c r="AN303" s="6">
        <f t="shared" si="1298"/>
        <v>2850</v>
      </c>
      <c r="AO303" s="6">
        <f t="shared" si="1299"/>
        <v>27150</v>
      </c>
      <c r="AP303" s="3" t="s">
        <v>509</v>
      </c>
      <c r="AQ303" s="3">
        <f t="shared" si="1300"/>
        <v>27150</v>
      </c>
      <c r="AR303" s="3">
        <f>AQ303</f>
        <v>27150</v>
      </c>
      <c r="AS303" s="3">
        <f t="shared" si="1301"/>
        <v>0</v>
      </c>
      <c r="AT303" s="3"/>
    </row>
    <row r="304" spans="1:46" x14ac:dyDescent="0.35">
      <c r="A304" s="3"/>
      <c r="B304" s="172" t="s">
        <v>326</v>
      </c>
      <c r="C304" s="3" t="s">
        <v>33</v>
      </c>
      <c r="D304" s="7">
        <v>30</v>
      </c>
      <c r="E304" s="3">
        <v>60</v>
      </c>
      <c r="F304" s="1">
        <f t="shared" si="1282"/>
        <v>1800</v>
      </c>
      <c r="G304" s="7">
        <v>15</v>
      </c>
      <c r="H304" s="3">
        <v>60</v>
      </c>
      <c r="I304" s="27">
        <f t="shared" si="1283"/>
        <v>900</v>
      </c>
      <c r="J304" s="3">
        <f t="shared" si="1284"/>
        <v>15</v>
      </c>
      <c r="K304" s="7">
        <v>60</v>
      </c>
      <c r="L304" s="7">
        <f t="shared" si="1285"/>
        <v>900</v>
      </c>
      <c r="M304" s="3">
        <v>0</v>
      </c>
      <c r="N304" s="6">
        <f t="shared" si="1286"/>
        <v>900</v>
      </c>
      <c r="O304" s="34"/>
      <c r="P304" s="7">
        <v>60</v>
      </c>
      <c r="Q304" s="3">
        <v>100</v>
      </c>
      <c r="R304" s="3">
        <f t="shared" si="1287"/>
        <v>6000</v>
      </c>
      <c r="S304" s="7">
        <v>17</v>
      </c>
      <c r="T304" s="3">
        <v>100</v>
      </c>
      <c r="U304" s="3">
        <f t="shared" si="1288"/>
        <v>1700</v>
      </c>
      <c r="V304" s="3">
        <f t="shared" si="1289"/>
        <v>43</v>
      </c>
      <c r="W304" s="7">
        <v>100</v>
      </c>
      <c r="X304" s="7">
        <f t="shared" ref="X304:X307" si="1304">V304*W304</f>
        <v>4300</v>
      </c>
      <c r="Y304" s="3">
        <v>0</v>
      </c>
      <c r="Z304" s="6">
        <f t="shared" si="1291"/>
        <v>4300</v>
      </c>
      <c r="AA304" s="82"/>
      <c r="AB304" s="7">
        <v>60</v>
      </c>
      <c r="AC304" s="3">
        <v>50</v>
      </c>
      <c r="AD304" s="3">
        <f t="shared" si="1292"/>
        <v>3000</v>
      </c>
      <c r="AE304" s="7">
        <v>3</v>
      </c>
      <c r="AF304" s="3">
        <v>50</v>
      </c>
      <c r="AG304" s="3">
        <f t="shared" si="1293"/>
        <v>150</v>
      </c>
      <c r="AH304" s="3">
        <f t="shared" si="1294"/>
        <v>57</v>
      </c>
      <c r="AI304" s="3">
        <v>50</v>
      </c>
      <c r="AJ304" s="7">
        <f t="shared" si="1295"/>
        <v>2850</v>
      </c>
      <c r="AK304" s="3">
        <v>0</v>
      </c>
      <c r="AL304" s="6">
        <f t="shared" si="1296"/>
        <v>2850</v>
      </c>
      <c r="AM304" s="6">
        <f t="shared" si="1297"/>
        <v>8050</v>
      </c>
      <c r="AN304" s="6">
        <f t="shared" si="1298"/>
        <v>0</v>
      </c>
      <c r="AO304" s="6">
        <f t="shared" si="1299"/>
        <v>8050</v>
      </c>
      <c r="AP304" s="3" t="s">
        <v>509</v>
      </c>
      <c r="AQ304" s="3">
        <f t="shared" si="1300"/>
        <v>8050</v>
      </c>
      <c r="AR304" s="3">
        <f>AQ304</f>
        <v>8050</v>
      </c>
      <c r="AS304" s="3">
        <f>AQ304-AR304</f>
        <v>0</v>
      </c>
      <c r="AT304" s="3"/>
    </row>
    <row r="305" spans="1:46" x14ac:dyDescent="0.35">
      <c r="A305" s="3"/>
      <c r="B305" s="172" t="s">
        <v>283</v>
      </c>
      <c r="C305" s="3" t="s">
        <v>33</v>
      </c>
      <c r="D305" s="7">
        <v>45</v>
      </c>
      <c r="E305" s="3">
        <v>60</v>
      </c>
      <c r="F305" s="1">
        <f t="shared" si="1282"/>
        <v>2700</v>
      </c>
      <c r="G305" s="7">
        <v>7</v>
      </c>
      <c r="H305" s="3">
        <v>60</v>
      </c>
      <c r="I305" s="27">
        <f t="shared" si="1283"/>
        <v>420</v>
      </c>
      <c r="J305" s="3">
        <f t="shared" si="1284"/>
        <v>38</v>
      </c>
      <c r="K305" s="7">
        <v>60</v>
      </c>
      <c r="L305" s="7">
        <f t="shared" si="1285"/>
        <v>2280</v>
      </c>
      <c r="M305" s="3">
        <v>0</v>
      </c>
      <c r="N305" s="6">
        <f t="shared" si="1286"/>
        <v>2280</v>
      </c>
      <c r="O305" s="34"/>
      <c r="P305" s="7">
        <v>36</v>
      </c>
      <c r="Q305" s="3">
        <v>100</v>
      </c>
      <c r="R305" s="3">
        <f t="shared" si="1287"/>
        <v>3600</v>
      </c>
      <c r="S305" s="7">
        <v>11</v>
      </c>
      <c r="T305" s="3">
        <v>100</v>
      </c>
      <c r="U305" s="3">
        <f t="shared" si="1288"/>
        <v>1100</v>
      </c>
      <c r="V305" s="3">
        <f t="shared" si="1289"/>
        <v>25</v>
      </c>
      <c r="W305" s="7">
        <v>100</v>
      </c>
      <c r="X305" s="7">
        <f t="shared" si="1304"/>
        <v>2500</v>
      </c>
      <c r="Y305" s="3">
        <v>0</v>
      </c>
      <c r="Z305" s="6">
        <f t="shared" si="1291"/>
        <v>2500</v>
      </c>
      <c r="AA305" s="82"/>
      <c r="AB305" s="7">
        <v>36</v>
      </c>
      <c r="AC305" s="3">
        <v>50</v>
      </c>
      <c r="AD305" s="3">
        <f t="shared" si="1292"/>
        <v>1800</v>
      </c>
      <c r="AE305" s="7">
        <v>8</v>
      </c>
      <c r="AF305" s="3">
        <v>50</v>
      </c>
      <c r="AG305" s="3">
        <f t="shared" si="1293"/>
        <v>400</v>
      </c>
      <c r="AH305" s="3">
        <f t="shared" si="1294"/>
        <v>28</v>
      </c>
      <c r="AI305" s="3">
        <v>50</v>
      </c>
      <c r="AJ305" s="7">
        <f t="shared" si="1295"/>
        <v>1400</v>
      </c>
      <c r="AK305" s="3">
        <v>0</v>
      </c>
      <c r="AL305" s="6">
        <f t="shared" si="1296"/>
        <v>1400</v>
      </c>
      <c r="AM305" s="6">
        <f t="shared" si="1297"/>
        <v>6180</v>
      </c>
      <c r="AN305" s="6">
        <f t="shared" si="1298"/>
        <v>0</v>
      </c>
      <c r="AO305" s="6">
        <f t="shared" si="1299"/>
        <v>6180</v>
      </c>
      <c r="AP305" s="3" t="s">
        <v>509</v>
      </c>
      <c r="AQ305" s="3">
        <f t="shared" si="1300"/>
        <v>6180</v>
      </c>
      <c r="AR305" s="3">
        <f>AQ305</f>
        <v>6180</v>
      </c>
      <c r="AS305" s="3">
        <f>AQ305-AR305</f>
        <v>0</v>
      </c>
      <c r="AT305" s="3"/>
    </row>
    <row r="306" spans="1:46" x14ac:dyDescent="0.35">
      <c r="A306" s="3"/>
      <c r="B306" s="3" t="s">
        <v>287</v>
      </c>
      <c r="C306" s="3" t="s">
        <v>331</v>
      </c>
      <c r="D306" s="7">
        <v>0</v>
      </c>
      <c r="E306" s="3">
        <v>60</v>
      </c>
      <c r="F306" s="1">
        <f t="shared" ref="F306" si="1305">D306*E306</f>
        <v>0</v>
      </c>
      <c r="G306" s="7">
        <v>0</v>
      </c>
      <c r="H306" s="3">
        <v>60</v>
      </c>
      <c r="I306" s="27">
        <f>G306*H306</f>
        <v>0</v>
      </c>
      <c r="J306" s="3">
        <f t="shared" ref="J306" si="1306">D306-G306</f>
        <v>0</v>
      </c>
      <c r="K306" s="7">
        <v>60</v>
      </c>
      <c r="L306" s="7">
        <f t="shared" ref="L306:L307" si="1307">J306*K306</f>
        <v>0</v>
      </c>
      <c r="M306" s="3">
        <f>J306*5</f>
        <v>0</v>
      </c>
      <c r="N306" s="6">
        <f t="shared" si="1286"/>
        <v>0</v>
      </c>
      <c r="O306" s="34"/>
      <c r="P306" s="7">
        <v>0</v>
      </c>
      <c r="Q306" s="3">
        <v>100</v>
      </c>
      <c r="R306" s="3">
        <f t="shared" ref="R306" si="1308">P306*Q306</f>
        <v>0</v>
      </c>
      <c r="S306" s="7">
        <v>0</v>
      </c>
      <c r="T306" s="3">
        <v>100</v>
      </c>
      <c r="U306" s="3">
        <f t="shared" si="1288"/>
        <v>0</v>
      </c>
      <c r="V306" s="3">
        <f t="shared" ref="V306" si="1309">P306-S306</f>
        <v>0</v>
      </c>
      <c r="W306" s="7">
        <v>100</v>
      </c>
      <c r="X306" s="7">
        <f t="shared" si="1304"/>
        <v>0</v>
      </c>
      <c r="Y306" s="3">
        <f>V306*10</f>
        <v>0</v>
      </c>
      <c r="Z306" s="6">
        <f t="shared" si="1291"/>
        <v>0</v>
      </c>
      <c r="AA306" s="82"/>
      <c r="AB306" s="7">
        <v>0</v>
      </c>
      <c r="AC306" s="3">
        <v>50</v>
      </c>
      <c r="AD306" s="3">
        <f t="shared" ref="AD306" si="1310">AB306*AC306</f>
        <v>0</v>
      </c>
      <c r="AE306" s="7">
        <v>0</v>
      </c>
      <c r="AF306" s="3">
        <v>50</v>
      </c>
      <c r="AG306" s="3">
        <f t="shared" si="1293"/>
        <v>0</v>
      </c>
      <c r="AH306" s="3">
        <f t="shared" ref="AH306" si="1311">AB306-AE306</f>
        <v>0</v>
      </c>
      <c r="AI306" s="3">
        <v>50</v>
      </c>
      <c r="AJ306" s="7">
        <f t="shared" si="1295"/>
        <v>0</v>
      </c>
      <c r="AK306" s="3">
        <f>AH306*5</f>
        <v>0</v>
      </c>
      <c r="AL306" s="6">
        <f t="shared" si="1296"/>
        <v>0</v>
      </c>
      <c r="AM306" s="6">
        <f t="shared" si="1297"/>
        <v>0</v>
      </c>
      <c r="AN306" s="6">
        <f t="shared" si="1298"/>
        <v>0</v>
      </c>
      <c r="AO306" s="6">
        <f t="shared" si="1299"/>
        <v>0</v>
      </c>
      <c r="AP306" s="3" t="s">
        <v>509</v>
      </c>
      <c r="AQ306" s="3">
        <f t="shared" si="1300"/>
        <v>0</v>
      </c>
      <c r="AR306" s="3">
        <f>AQ306</f>
        <v>0</v>
      </c>
      <c r="AS306" s="3">
        <f t="shared" ref="AS306:AS316" si="1312">AQ306-AR306</f>
        <v>0</v>
      </c>
      <c r="AT306" s="3"/>
    </row>
    <row r="307" spans="1:46" x14ac:dyDescent="0.35">
      <c r="A307" s="3"/>
      <c r="B307" s="3" t="s">
        <v>287</v>
      </c>
      <c r="C307" s="3" t="s">
        <v>332</v>
      </c>
      <c r="D307" s="7">
        <v>0</v>
      </c>
      <c r="E307" s="3">
        <v>60</v>
      </c>
      <c r="F307" s="1">
        <v>0</v>
      </c>
      <c r="G307" s="7">
        <v>0</v>
      </c>
      <c r="H307" s="3">
        <v>60</v>
      </c>
      <c r="I307" s="27">
        <f t="shared" si="1283"/>
        <v>0</v>
      </c>
      <c r="J307" s="3">
        <v>0</v>
      </c>
      <c r="K307" s="7">
        <v>60</v>
      </c>
      <c r="L307" s="7">
        <f t="shared" si="1307"/>
        <v>0</v>
      </c>
      <c r="M307" s="3">
        <v>0</v>
      </c>
      <c r="N307" s="6">
        <f t="shared" si="1286"/>
        <v>0</v>
      </c>
      <c r="O307" s="34"/>
      <c r="P307" s="7">
        <v>0</v>
      </c>
      <c r="Q307" s="3">
        <v>100</v>
      </c>
      <c r="R307" s="3">
        <v>0</v>
      </c>
      <c r="S307" s="7">
        <v>0</v>
      </c>
      <c r="T307" s="3">
        <v>100</v>
      </c>
      <c r="U307" s="3">
        <f t="shared" si="1288"/>
        <v>0</v>
      </c>
      <c r="V307" s="3">
        <v>0</v>
      </c>
      <c r="W307" s="7">
        <v>100</v>
      </c>
      <c r="X307" s="7">
        <f t="shared" si="1304"/>
        <v>0</v>
      </c>
      <c r="Y307" s="3">
        <v>0</v>
      </c>
      <c r="Z307" s="6">
        <f t="shared" si="1291"/>
        <v>0</v>
      </c>
      <c r="AA307" s="82"/>
      <c r="AB307" s="7">
        <v>0</v>
      </c>
      <c r="AC307" s="3">
        <v>50</v>
      </c>
      <c r="AD307" s="3">
        <v>0</v>
      </c>
      <c r="AE307" s="7">
        <v>0</v>
      </c>
      <c r="AF307" s="3">
        <v>50</v>
      </c>
      <c r="AG307" s="3">
        <f t="shared" si="1293"/>
        <v>0</v>
      </c>
      <c r="AH307" s="3">
        <v>0</v>
      </c>
      <c r="AI307" s="3">
        <v>50</v>
      </c>
      <c r="AJ307" s="7">
        <f t="shared" si="1295"/>
        <v>0</v>
      </c>
      <c r="AK307" s="3">
        <v>0</v>
      </c>
      <c r="AL307" s="6">
        <f t="shared" si="1296"/>
        <v>0</v>
      </c>
      <c r="AM307" s="6">
        <f t="shared" si="1297"/>
        <v>0</v>
      </c>
      <c r="AN307" s="6">
        <f t="shared" si="1298"/>
        <v>0</v>
      </c>
      <c r="AO307" s="6">
        <f t="shared" si="1299"/>
        <v>0</v>
      </c>
      <c r="AP307" s="3" t="s">
        <v>509</v>
      </c>
      <c r="AQ307" s="3">
        <f t="shared" si="1300"/>
        <v>0</v>
      </c>
      <c r="AR307" s="3">
        <f t="shared" ref="AR307" si="1313">AQ307</f>
        <v>0</v>
      </c>
      <c r="AS307" s="3">
        <f t="shared" si="1312"/>
        <v>0</v>
      </c>
      <c r="AT307" s="3"/>
    </row>
    <row r="308" spans="1:46" x14ac:dyDescent="0.35">
      <c r="A308" s="19"/>
      <c r="B308" s="19" t="s">
        <v>36</v>
      </c>
      <c r="C308" s="19"/>
      <c r="D308" s="19">
        <f>SUM(D299:D307)</f>
        <v>675</v>
      </c>
      <c r="E308" s="19"/>
      <c r="F308" s="19">
        <f>SUM(F299:F307)</f>
        <v>40350</v>
      </c>
      <c r="G308" s="19">
        <f>SUM(G299:G307)</f>
        <v>340</v>
      </c>
      <c r="H308" s="19"/>
      <c r="I308" s="19">
        <f>SUM(I299:I307)</f>
        <v>20400</v>
      </c>
      <c r="J308" s="19">
        <f>SUM(J299:J307)</f>
        <v>335</v>
      </c>
      <c r="K308" s="19"/>
      <c r="L308" s="19">
        <f>SUM(L299:L307)</f>
        <v>19950</v>
      </c>
      <c r="M308" s="19">
        <f>SUM(M299:M307)</f>
        <v>750</v>
      </c>
      <c r="N308" s="19">
        <f>SUM(N299:N307)</f>
        <v>19200</v>
      </c>
      <c r="O308" s="34"/>
      <c r="P308" s="19">
        <f>SUM(P299:P307)</f>
        <v>660</v>
      </c>
      <c r="Q308" s="19"/>
      <c r="R308" s="19">
        <f>SUM(R299:R307)</f>
        <v>66000</v>
      </c>
      <c r="S308" s="19">
        <f>SUM(S299:S307)</f>
        <v>167</v>
      </c>
      <c r="T308" s="19"/>
      <c r="U308" s="19">
        <f>SUM(U299:U307)</f>
        <v>16700</v>
      </c>
      <c r="V308" s="19">
        <f>SUM(V299:V307)</f>
        <v>493</v>
      </c>
      <c r="W308" s="19"/>
      <c r="X308" s="19">
        <f>SUM(X299:X307)</f>
        <v>49300</v>
      </c>
      <c r="Y308" s="19">
        <f>SUM(Y299:Y307)</f>
        <v>1440</v>
      </c>
      <c r="Z308" s="19">
        <f>SUM(Z299:Z307)</f>
        <v>47860</v>
      </c>
      <c r="AA308" s="34"/>
      <c r="AB308" s="19">
        <f>SUM(AB299:AB307)</f>
        <v>648</v>
      </c>
      <c r="AC308" s="19"/>
      <c r="AD308" s="19">
        <f>SUM(AD299:AD307)</f>
        <v>32400</v>
      </c>
      <c r="AE308" s="19">
        <f>SUM(AE299:AE307)</f>
        <v>194</v>
      </c>
      <c r="AF308" s="19"/>
      <c r="AG308" s="19">
        <f>SUM(AG299:AG307)</f>
        <v>9700</v>
      </c>
      <c r="AH308" s="19">
        <f>SUM(AH299:AH307)</f>
        <v>454</v>
      </c>
      <c r="AI308" s="19"/>
      <c r="AJ308" s="19">
        <f t="shared" ref="AJ308:AO308" si="1314">SUM(AJ299:AJ307)</f>
        <v>22700</v>
      </c>
      <c r="AK308" s="19">
        <f t="shared" si="1314"/>
        <v>660</v>
      </c>
      <c r="AL308" s="19">
        <f t="shared" si="1314"/>
        <v>22040</v>
      </c>
      <c r="AM308" s="19">
        <f t="shared" si="1314"/>
        <v>91950</v>
      </c>
      <c r="AN308" s="19">
        <f t="shared" si="1314"/>
        <v>2850</v>
      </c>
      <c r="AO308" s="19">
        <f t="shared" si="1314"/>
        <v>89100</v>
      </c>
      <c r="AP308" s="19"/>
      <c r="AQ308" s="19">
        <f>SUM(AQ299:AQ307)</f>
        <v>89100</v>
      </c>
      <c r="AR308" s="19">
        <f>SUM(AR299:AR307)</f>
        <v>89100</v>
      </c>
      <c r="AS308" s="19">
        <f>SUM(AS299:AS307)</f>
        <v>0</v>
      </c>
      <c r="AT308" s="74"/>
    </row>
    <row r="309" spans="1:46" x14ac:dyDescent="0.35">
      <c r="A309" s="3" t="s">
        <v>510</v>
      </c>
      <c r="B309" s="172" t="s">
        <v>276</v>
      </c>
      <c r="C309" s="3" t="s">
        <v>33</v>
      </c>
      <c r="D309" s="7">
        <v>225</v>
      </c>
      <c r="E309" s="3">
        <v>60</v>
      </c>
      <c r="F309" s="1">
        <f t="shared" ref="F309:F316" si="1315">D309*E309</f>
        <v>13500</v>
      </c>
      <c r="G309" s="7">
        <v>184</v>
      </c>
      <c r="H309" s="3">
        <v>60</v>
      </c>
      <c r="I309" s="27">
        <f t="shared" ref="I309:I320" si="1316">G309*H309</f>
        <v>11040</v>
      </c>
      <c r="J309" s="3">
        <f t="shared" ref="J309:J316" si="1317">D309-G309</f>
        <v>41</v>
      </c>
      <c r="K309" s="7">
        <v>60</v>
      </c>
      <c r="L309" s="7">
        <f t="shared" ref="L309:L320" si="1318">J309*K309</f>
        <v>2460</v>
      </c>
      <c r="M309" s="3">
        <v>0</v>
      </c>
      <c r="N309" s="6">
        <f t="shared" ref="N309:N320" si="1319">L309-M309</f>
        <v>2460</v>
      </c>
      <c r="O309" s="34"/>
      <c r="P309" s="7">
        <v>180</v>
      </c>
      <c r="Q309" s="3">
        <v>100</v>
      </c>
      <c r="R309" s="3">
        <f t="shared" ref="R309:R316" si="1320">P309*Q309</f>
        <v>18000</v>
      </c>
      <c r="S309" s="7">
        <v>40</v>
      </c>
      <c r="T309" s="3">
        <v>100</v>
      </c>
      <c r="U309" s="3">
        <f t="shared" ref="U309:U320" si="1321">S309*T309</f>
        <v>4000</v>
      </c>
      <c r="V309" s="3">
        <f t="shared" ref="V309:V316" si="1322">P309-S309</f>
        <v>140</v>
      </c>
      <c r="W309" s="7">
        <v>100</v>
      </c>
      <c r="X309" s="7">
        <f t="shared" ref="X309" si="1323">V309*W309</f>
        <v>14000</v>
      </c>
      <c r="Y309" s="3">
        <v>0</v>
      </c>
      <c r="Z309" s="6">
        <f t="shared" ref="Z309:Z320" si="1324">X309-Y309</f>
        <v>14000</v>
      </c>
      <c r="AA309" s="82"/>
      <c r="AB309" s="7">
        <v>180</v>
      </c>
      <c r="AC309" s="3">
        <v>50</v>
      </c>
      <c r="AD309" s="3">
        <f t="shared" ref="AD309:AD316" si="1325">AB309*AC309</f>
        <v>9000</v>
      </c>
      <c r="AE309" s="7">
        <v>0</v>
      </c>
      <c r="AF309" s="3">
        <v>50</v>
      </c>
      <c r="AG309" s="3">
        <f t="shared" ref="AG309:AG320" si="1326">AE309*AF309</f>
        <v>0</v>
      </c>
      <c r="AH309" s="3">
        <f t="shared" ref="AH309:AH316" si="1327">AB309-AE309</f>
        <v>180</v>
      </c>
      <c r="AI309" s="3">
        <v>50</v>
      </c>
      <c r="AJ309" s="7">
        <f t="shared" ref="AJ309:AJ320" si="1328">AH309*AI309</f>
        <v>9000</v>
      </c>
      <c r="AK309" s="3">
        <v>0</v>
      </c>
      <c r="AL309" s="6">
        <f t="shared" ref="AL309:AL320" si="1329">AJ309-AK309</f>
        <v>9000</v>
      </c>
      <c r="AM309" s="6">
        <f t="shared" ref="AM309:AM320" si="1330">L309+X309+AJ309</f>
        <v>25460</v>
      </c>
      <c r="AN309" s="6">
        <f t="shared" ref="AN309:AN320" si="1331">M309+Y309+AK309</f>
        <v>0</v>
      </c>
      <c r="AO309" s="6">
        <f t="shared" ref="AO309:AO320" si="1332">AM309-AN309</f>
        <v>25460</v>
      </c>
      <c r="AP309" s="3" t="s">
        <v>510</v>
      </c>
      <c r="AQ309" s="3">
        <f t="shared" ref="AQ309:AQ320" si="1333">AO309</f>
        <v>25460</v>
      </c>
      <c r="AR309" s="3">
        <f t="shared" ref="AR309:AR314" si="1334">AQ309</f>
        <v>25460</v>
      </c>
      <c r="AS309" s="3">
        <f t="shared" si="1312"/>
        <v>0</v>
      </c>
      <c r="AT309" s="3"/>
    </row>
    <row r="310" spans="1:46" x14ac:dyDescent="0.35">
      <c r="A310" s="3"/>
      <c r="B310" s="172" t="s">
        <v>276</v>
      </c>
      <c r="C310" s="3" t="s">
        <v>182</v>
      </c>
      <c r="D310" s="7">
        <v>0</v>
      </c>
      <c r="E310" s="3">
        <v>55</v>
      </c>
      <c r="F310" s="1">
        <f t="shared" si="1315"/>
        <v>0</v>
      </c>
      <c r="G310" s="7">
        <v>0</v>
      </c>
      <c r="H310" s="3">
        <v>55</v>
      </c>
      <c r="I310" s="27">
        <f t="shared" si="1316"/>
        <v>0</v>
      </c>
      <c r="J310" s="3">
        <f t="shared" si="1317"/>
        <v>0</v>
      </c>
      <c r="K310" s="7">
        <v>55</v>
      </c>
      <c r="L310" s="7">
        <f t="shared" si="1318"/>
        <v>0</v>
      </c>
      <c r="M310" s="7">
        <v>0</v>
      </c>
      <c r="N310" s="6">
        <f t="shared" si="1319"/>
        <v>0</v>
      </c>
      <c r="O310" s="34"/>
      <c r="P310" s="7">
        <v>0</v>
      </c>
      <c r="Q310" s="3">
        <v>100</v>
      </c>
      <c r="R310" s="3">
        <f t="shared" si="1320"/>
        <v>0</v>
      </c>
      <c r="S310" s="7">
        <v>0</v>
      </c>
      <c r="T310" s="3">
        <v>100</v>
      </c>
      <c r="U310" s="3">
        <f t="shared" si="1321"/>
        <v>0</v>
      </c>
      <c r="V310" s="3">
        <f t="shared" si="1322"/>
        <v>0</v>
      </c>
      <c r="W310" s="7">
        <v>100</v>
      </c>
      <c r="X310" s="7">
        <f>V310*W310</f>
        <v>0</v>
      </c>
      <c r="Y310" s="7">
        <v>0</v>
      </c>
      <c r="Z310" s="6">
        <f t="shared" si="1324"/>
        <v>0</v>
      </c>
      <c r="AA310" s="82"/>
      <c r="AB310" s="7">
        <v>0</v>
      </c>
      <c r="AC310" s="3">
        <v>25</v>
      </c>
      <c r="AD310" s="3">
        <f t="shared" si="1325"/>
        <v>0</v>
      </c>
      <c r="AE310" s="7">
        <v>0</v>
      </c>
      <c r="AF310" s="3">
        <v>25</v>
      </c>
      <c r="AG310" s="3">
        <f t="shared" si="1326"/>
        <v>0</v>
      </c>
      <c r="AH310" s="3">
        <f t="shared" si="1327"/>
        <v>0</v>
      </c>
      <c r="AI310" s="3">
        <v>25</v>
      </c>
      <c r="AJ310" s="7">
        <f t="shared" si="1328"/>
        <v>0</v>
      </c>
      <c r="AK310" s="7">
        <v>0</v>
      </c>
      <c r="AL310" s="6">
        <f t="shared" si="1329"/>
        <v>0</v>
      </c>
      <c r="AM310" s="6">
        <f t="shared" si="1330"/>
        <v>0</v>
      </c>
      <c r="AN310" s="6">
        <f t="shared" si="1331"/>
        <v>0</v>
      </c>
      <c r="AO310" s="6">
        <f t="shared" si="1332"/>
        <v>0</v>
      </c>
      <c r="AP310" s="3" t="s">
        <v>510</v>
      </c>
      <c r="AQ310" s="3">
        <f t="shared" si="1333"/>
        <v>0</v>
      </c>
      <c r="AR310" s="3">
        <f t="shared" si="1334"/>
        <v>0</v>
      </c>
      <c r="AS310" s="3">
        <f t="shared" si="1312"/>
        <v>0</v>
      </c>
      <c r="AT310" s="3"/>
    </row>
    <row r="311" spans="1:46" x14ac:dyDescent="0.35">
      <c r="A311" s="3"/>
      <c r="B311" s="172" t="s">
        <v>463</v>
      </c>
      <c r="C311" s="3" t="s">
        <v>33</v>
      </c>
      <c r="D311" s="7">
        <v>225</v>
      </c>
      <c r="E311" s="3">
        <v>60</v>
      </c>
      <c r="F311" s="1">
        <f t="shared" si="1315"/>
        <v>13500</v>
      </c>
      <c r="G311" s="7">
        <v>140</v>
      </c>
      <c r="H311" s="3">
        <v>60</v>
      </c>
      <c r="I311" s="27">
        <f t="shared" si="1316"/>
        <v>8400</v>
      </c>
      <c r="J311" s="3">
        <f t="shared" si="1317"/>
        <v>85</v>
      </c>
      <c r="K311" s="7">
        <v>60</v>
      </c>
      <c r="L311" s="7">
        <f>J311*K311</f>
        <v>5100</v>
      </c>
      <c r="M311" s="7">
        <v>0</v>
      </c>
      <c r="N311" s="6">
        <f t="shared" si="1319"/>
        <v>5100</v>
      </c>
      <c r="O311" s="34"/>
      <c r="P311" s="7">
        <v>240</v>
      </c>
      <c r="Q311" s="3">
        <v>100</v>
      </c>
      <c r="R311" s="3">
        <f t="shared" si="1320"/>
        <v>24000</v>
      </c>
      <c r="S311" s="7">
        <v>62</v>
      </c>
      <c r="T311" s="3">
        <v>100</v>
      </c>
      <c r="U311" s="3">
        <f t="shared" si="1321"/>
        <v>6200</v>
      </c>
      <c r="V311" s="3">
        <f t="shared" si="1322"/>
        <v>178</v>
      </c>
      <c r="W311" s="7">
        <v>100</v>
      </c>
      <c r="X311" s="7">
        <f>V311*W311</f>
        <v>17800</v>
      </c>
      <c r="Y311" s="7">
        <v>0</v>
      </c>
      <c r="Z311" s="6">
        <f t="shared" si="1324"/>
        <v>17800</v>
      </c>
      <c r="AA311" s="82"/>
      <c r="AB311" s="7">
        <v>240</v>
      </c>
      <c r="AC311" s="3">
        <v>50</v>
      </c>
      <c r="AD311" s="3">
        <f t="shared" si="1325"/>
        <v>12000</v>
      </c>
      <c r="AE311" s="7">
        <v>184</v>
      </c>
      <c r="AF311" s="3">
        <v>50</v>
      </c>
      <c r="AG311" s="3">
        <f t="shared" si="1326"/>
        <v>9200</v>
      </c>
      <c r="AH311" s="3">
        <f t="shared" si="1327"/>
        <v>56</v>
      </c>
      <c r="AI311" s="3">
        <v>50</v>
      </c>
      <c r="AJ311" s="7">
        <f t="shared" si="1328"/>
        <v>2800</v>
      </c>
      <c r="AK311" s="7">
        <v>0</v>
      </c>
      <c r="AL311" s="6">
        <f t="shared" si="1329"/>
        <v>2800</v>
      </c>
      <c r="AM311" s="6">
        <f t="shared" si="1330"/>
        <v>25700</v>
      </c>
      <c r="AN311" s="6">
        <f t="shared" si="1331"/>
        <v>0</v>
      </c>
      <c r="AO311" s="6">
        <f t="shared" si="1332"/>
        <v>25700</v>
      </c>
      <c r="AP311" s="3" t="s">
        <v>510</v>
      </c>
      <c r="AQ311" s="3">
        <f t="shared" si="1333"/>
        <v>25700</v>
      </c>
      <c r="AR311" s="3">
        <f>AQ311</f>
        <v>25700</v>
      </c>
      <c r="AS311" s="3">
        <f t="shared" si="1312"/>
        <v>0</v>
      </c>
      <c r="AT311" s="3"/>
    </row>
    <row r="312" spans="1:46" x14ac:dyDescent="0.35">
      <c r="A312" s="3"/>
      <c r="B312" s="172" t="s">
        <v>463</v>
      </c>
      <c r="C312" s="3" t="s">
        <v>182</v>
      </c>
      <c r="D312" s="7">
        <v>0</v>
      </c>
      <c r="E312" s="3">
        <v>55</v>
      </c>
      <c r="F312" s="1">
        <f t="shared" si="1315"/>
        <v>0</v>
      </c>
      <c r="G312" s="3">
        <v>0</v>
      </c>
      <c r="H312" s="3">
        <v>55</v>
      </c>
      <c r="I312" s="27">
        <f t="shared" si="1316"/>
        <v>0</v>
      </c>
      <c r="J312" s="3">
        <f t="shared" si="1317"/>
        <v>0</v>
      </c>
      <c r="K312" s="7">
        <v>55</v>
      </c>
      <c r="L312" s="7">
        <f t="shared" ref="L312" si="1335">J312*K312</f>
        <v>0</v>
      </c>
      <c r="M312" s="7">
        <v>0</v>
      </c>
      <c r="N312" s="6">
        <f t="shared" si="1319"/>
        <v>0</v>
      </c>
      <c r="O312" s="34"/>
      <c r="P312" s="3">
        <v>0</v>
      </c>
      <c r="Q312" s="3">
        <v>100</v>
      </c>
      <c r="R312" s="3">
        <f t="shared" si="1320"/>
        <v>0</v>
      </c>
      <c r="S312" s="3">
        <v>0</v>
      </c>
      <c r="T312" s="3">
        <v>100</v>
      </c>
      <c r="U312" s="3">
        <f t="shared" si="1321"/>
        <v>0</v>
      </c>
      <c r="V312" s="3">
        <f t="shared" si="1322"/>
        <v>0</v>
      </c>
      <c r="W312" s="7">
        <v>100</v>
      </c>
      <c r="X312" s="7">
        <f>V312*W312</f>
        <v>0</v>
      </c>
      <c r="Y312" s="7">
        <v>0</v>
      </c>
      <c r="Z312" s="6">
        <f t="shared" si="1324"/>
        <v>0</v>
      </c>
      <c r="AA312" s="82"/>
      <c r="AB312" s="3">
        <v>0</v>
      </c>
      <c r="AC312" s="3">
        <v>45</v>
      </c>
      <c r="AD312" s="3">
        <f t="shared" si="1325"/>
        <v>0</v>
      </c>
      <c r="AE312" s="3">
        <v>0</v>
      </c>
      <c r="AF312" s="3">
        <v>45</v>
      </c>
      <c r="AG312" s="3">
        <f t="shared" si="1326"/>
        <v>0</v>
      </c>
      <c r="AH312" s="3">
        <f t="shared" si="1327"/>
        <v>0</v>
      </c>
      <c r="AI312" s="3">
        <v>45</v>
      </c>
      <c r="AJ312" s="7">
        <f t="shared" si="1328"/>
        <v>0</v>
      </c>
      <c r="AK312" s="7">
        <v>0</v>
      </c>
      <c r="AL312" s="6">
        <f t="shared" si="1329"/>
        <v>0</v>
      </c>
      <c r="AM312" s="6">
        <f t="shared" si="1330"/>
        <v>0</v>
      </c>
      <c r="AN312" s="6">
        <f t="shared" si="1331"/>
        <v>0</v>
      </c>
      <c r="AO312" s="6">
        <f t="shared" si="1332"/>
        <v>0</v>
      </c>
      <c r="AP312" s="3" t="s">
        <v>510</v>
      </c>
      <c r="AQ312" s="3">
        <f t="shared" si="1333"/>
        <v>0</v>
      </c>
      <c r="AR312" s="3">
        <f>AQ312</f>
        <v>0</v>
      </c>
      <c r="AS312" s="3">
        <f t="shared" si="1312"/>
        <v>0</v>
      </c>
      <c r="AT312" s="3"/>
    </row>
    <row r="313" spans="1:46" x14ac:dyDescent="0.35">
      <c r="A313" s="3"/>
      <c r="B313" s="172" t="s">
        <v>415</v>
      </c>
      <c r="C313" s="3" t="s">
        <v>33</v>
      </c>
      <c r="D313" s="7">
        <v>195</v>
      </c>
      <c r="E313" s="3">
        <v>60</v>
      </c>
      <c r="F313" s="1">
        <f t="shared" si="1315"/>
        <v>11700</v>
      </c>
      <c r="G313" s="7">
        <v>29</v>
      </c>
      <c r="H313" s="3">
        <v>60</v>
      </c>
      <c r="I313" s="27">
        <f t="shared" si="1316"/>
        <v>1740</v>
      </c>
      <c r="J313" s="3">
        <f t="shared" si="1317"/>
        <v>166</v>
      </c>
      <c r="K313" s="7">
        <v>60</v>
      </c>
      <c r="L313" s="7">
        <f t="shared" si="1318"/>
        <v>9960</v>
      </c>
      <c r="M313" s="3">
        <f>J313*5</f>
        <v>830</v>
      </c>
      <c r="N313" s="6">
        <f t="shared" si="1319"/>
        <v>9130</v>
      </c>
      <c r="O313" s="34"/>
      <c r="P313" s="7">
        <v>192</v>
      </c>
      <c r="Q313" s="3">
        <v>100</v>
      </c>
      <c r="R313" s="3">
        <f t="shared" si="1320"/>
        <v>19200</v>
      </c>
      <c r="S313" s="7">
        <v>0</v>
      </c>
      <c r="T313" s="3">
        <v>100</v>
      </c>
      <c r="U313" s="3">
        <f t="shared" si="1321"/>
        <v>0</v>
      </c>
      <c r="V313" s="3">
        <f t="shared" si="1322"/>
        <v>192</v>
      </c>
      <c r="W313" s="7">
        <v>100</v>
      </c>
      <c r="X313" s="7">
        <f t="shared" ref="X313:X320" si="1336">V313*W313</f>
        <v>19200</v>
      </c>
      <c r="Y313" s="3">
        <f>V313*10</f>
        <v>1920</v>
      </c>
      <c r="Z313" s="6">
        <f t="shared" si="1324"/>
        <v>17280</v>
      </c>
      <c r="AA313" s="82"/>
      <c r="AB313" s="7">
        <v>180</v>
      </c>
      <c r="AC313" s="3">
        <v>50</v>
      </c>
      <c r="AD313" s="3">
        <f t="shared" si="1325"/>
        <v>9000</v>
      </c>
      <c r="AE313" s="7">
        <v>0</v>
      </c>
      <c r="AF313" s="3">
        <v>50</v>
      </c>
      <c r="AG313" s="3">
        <f t="shared" si="1326"/>
        <v>0</v>
      </c>
      <c r="AH313" s="3">
        <f t="shared" si="1327"/>
        <v>180</v>
      </c>
      <c r="AI313" s="3">
        <v>50</v>
      </c>
      <c r="AJ313" s="7">
        <f t="shared" si="1328"/>
        <v>9000</v>
      </c>
      <c r="AK313" s="3">
        <f>AH313*5</f>
        <v>900</v>
      </c>
      <c r="AL313" s="6">
        <f t="shared" si="1329"/>
        <v>8100</v>
      </c>
      <c r="AM313" s="6">
        <f t="shared" si="1330"/>
        <v>38160</v>
      </c>
      <c r="AN313" s="6">
        <f t="shared" si="1331"/>
        <v>3650</v>
      </c>
      <c r="AO313" s="6">
        <f t="shared" si="1332"/>
        <v>34510</v>
      </c>
      <c r="AP313" s="3" t="s">
        <v>510</v>
      </c>
      <c r="AQ313" s="3">
        <f t="shared" si="1333"/>
        <v>34510</v>
      </c>
      <c r="AR313" s="3">
        <f>AQ313</f>
        <v>34510</v>
      </c>
      <c r="AS313" s="3">
        <f t="shared" si="1312"/>
        <v>0</v>
      </c>
      <c r="AT313" s="3"/>
    </row>
    <row r="314" spans="1:46" x14ac:dyDescent="0.35">
      <c r="A314" s="3"/>
      <c r="B314" s="172" t="s">
        <v>326</v>
      </c>
      <c r="C314" s="3" t="s">
        <v>33</v>
      </c>
      <c r="D314" s="7">
        <v>30</v>
      </c>
      <c r="E314" s="3">
        <v>60</v>
      </c>
      <c r="F314" s="1">
        <f t="shared" si="1315"/>
        <v>1800</v>
      </c>
      <c r="G314" s="7">
        <v>17</v>
      </c>
      <c r="H314" s="3">
        <v>60</v>
      </c>
      <c r="I314" s="27">
        <f t="shared" si="1316"/>
        <v>1020</v>
      </c>
      <c r="J314" s="3">
        <f t="shared" si="1317"/>
        <v>13</v>
      </c>
      <c r="K314" s="7">
        <v>60</v>
      </c>
      <c r="L314" s="7">
        <f t="shared" si="1318"/>
        <v>780</v>
      </c>
      <c r="M314" s="3">
        <v>0</v>
      </c>
      <c r="N314" s="6">
        <f t="shared" si="1319"/>
        <v>780</v>
      </c>
      <c r="O314" s="34"/>
      <c r="P314" s="7">
        <v>60</v>
      </c>
      <c r="Q314" s="3">
        <v>100</v>
      </c>
      <c r="R314" s="3">
        <f t="shared" si="1320"/>
        <v>6000</v>
      </c>
      <c r="S314" s="7">
        <v>20</v>
      </c>
      <c r="T314" s="3">
        <v>100</v>
      </c>
      <c r="U314" s="3">
        <f t="shared" si="1321"/>
        <v>2000</v>
      </c>
      <c r="V314" s="3">
        <f t="shared" si="1322"/>
        <v>40</v>
      </c>
      <c r="W314" s="7">
        <v>100</v>
      </c>
      <c r="X314" s="7">
        <f t="shared" si="1336"/>
        <v>4000</v>
      </c>
      <c r="Y314" s="3">
        <v>0</v>
      </c>
      <c r="Z314" s="6">
        <f t="shared" si="1324"/>
        <v>4000</v>
      </c>
      <c r="AA314" s="82"/>
      <c r="AB314" s="7">
        <v>60</v>
      </c>
      <c r="AC314" s="3">
        <v>50</v>
      </c>
      <c r="AD314" s="3">
        <f t="shared" si="1325"/>
        <v>3000</v>
      </c>
      <c r="AE314" s="7">
        <v>0</v>
      </c>
      <c r="AF314" s="3">
        <v>50</v>
      </c>
      <c r="AG314" s="3">
        <f t="shared" si="1326"/>
        <v>0</v>
      </c>
      <c r="AH314" s="3">
        <f t="shared" si="1327"/>
        <v>60</v>
      </c>
      <c r="AI314" s="3">
        <v>50</v>
      </c>
      <c r="AJ314" s="7">
        <f t="shared" si="1328"/>
        <v>3000</v>
      </c>
      <c r="AK314" s="3">
        <v>0</v>
      </c>
      <c r="AL314" s="6">
        <f t="shared" si="1329"/>
        <v>3000</v>
      </c>
      <c r="AM314" s="6">
        <f t="shared" si="1330"/>
        <v>7780</v>
      </c>
      <c r="AN314" s="6">
        <f t="shared" si="1331"/>
        <v>0</v>
      </c>
      <c r="AO314" s="6">
        <f t="shared" si="1332"/>
        <v>7780</v>
      </c>
      <c r="AP314" s="3" t="s">
        <v>510</v>
      </c>
      <c r="AQ314" s="3">
        <f t="shared" si="1333"/>
        <v>7780</v>
      </c>
      <c r="AR314" s="3">
        <f t="shared" si="1334"/>
        <v>7780</v>
      </c>
      <c r="AS314" s="3">
        <f t="shared" si="1312"/>
        <v>0</v>
      </c>
      <c r="AT314" s="3"/>
    </row>
    <row r="315" spans="1:46" x14ac:dyDescent="0.35">
      <c r="A315" s="3"/>
      <c r="B315" s="172" t="s">
        <v>283</v>
      </c>
      <c r="C315" s="3" t="s">
        <v>33</v>
      </c>
      <c r="D315" s="7">
        <v>15</v>
      </c>
      <c r="E315" s="3">
        <v>60</v>
      </c>
      <c r="F315" s="1">
        <f t="shared" si="1315"/>
        <v>900</v>
      </c>
      <c r="G315" s="7">
        <v>8</v>
      </c>
      <c r="H315" s="3">
        <v>60</v>
      </c>
      <c r="I315" s="27">
        <f t="shared" si="1316"/>
        <v>480</v>
      </c>
      <c r="J315" s="3">
        <f t="shared" si="1317"/>
        <v>7</v>
      </c>
      <c r="K315" s="7">
        <v>60</v>
      </c>
      <c r="L315" s="7">
        <f t="shared" si="1318"/>
        <v>420</v>
      </c>
      <c r="M315" s="3">
        <v>0</v>
      </c>
      <c r="N315" s="6">
        <f t="shared" si="1319"/>
        <v>420</v>
      </c>
      <c r="O315" s="34"/>
      <c r="P315" s="7">
        <f>36+60</f>
        <v>96</v>
      </c>
      <c r="Q315" s="3">
        <v>100</v>
      </c>
      <c r="R315" s="3">
        <f t="shared" si="1320"/>
        <v>9600</v>
      </c>
      <c r="S315" s="7">
        <v>6</v>
      </c>
      <c r="T315" s="3">
        <v>100</v>
      </c>
      <c r="U315" s="3">
        <f t="shared" si="1321"/>
        <v>600</v>
      </c>
      <c r="V315" s="3">
        <f t="shared" si="1322"/>
        <v>90</v>
      </c>
      <c r="W315" s="7">
        <v>100</v>
      </c>
      <c r="X315" s="7">
        <f t="shared" si="1336"/>
        <v>9000</v>
      </c>
      <c r="Y315" s="3">
        <v>0</v>
      </c>
      <c r="Z315" s="6">
        <f t="shared" si="1324"/>
        <v>9000</v>
      </c>
      <c r="AA315" s="82"/>
      <c r="AB315" s="7">
        <v>36</v>
      </c>
      <c r="AC315" s="3">
        <v>50</v>
      </c>
      <c r="AD315" s="3">
        <f t="shared" si="1325"/>
        <v>1800</v>
      </c>
      <c r="AE315" s="7">
        <v>0</v>
      </c>
      <c r="AF315" s="3">
        <v>50</v>
      </c>
      <c r="AG315" s="3">
        <f t="shared" si="1326"/>
        <v>0</v>
      </c>
      <c r="AH315" s="3">
        <f t="shared" si="1327"/>
        <v>36</v>
      </c>
      <c r="AI315" s="3">
        <v>50</v>
      </c>
      <c r="AJ315" s="7">
        <f t="shared" si="1328"/>
        <v>1800</v>
      </c>
      <c r="AK315" s="3">
        <v>0</v>
      </c>
      <c r="AL315" s="6">
        <f t="shared" si="1329"/>
        <v>1800</v>
      </c>
      <c r="AM315" s="6">
        <f t="shared" si="1330"/>
        <v>11220</v>
      </c>
      <c r="AN315" s="6">
        <f t="shared" si="1331"/>
        <v>0</v>
      </c>
      <c r="AO315" s="6">
        <f t="shared" si="1332"/>
        <v>11220</v>
      </c>
      <c r="AP315" s="3" t="s">
        <v>510</v>
      </c>
      <c r="AQ315" s="3">
        <f t="shared" si="1333"/>
        <v>11220</v>
      </c>
      <c r="AR315" s="3">
        <f>AQ315</f>
        <v>11220</v>
      </c>
      <c r="AS315" s="3">
        <f t="shared" si="1312"/>
        <v>0</v>
      </c>
      <c r="AT315" s="3"/>
    </row>
    <row r="316" spans="1:46" x14ac:dyDescent="0.35">
      <c r="A316" s="3"/>
      <c r="B316" s="172" t="s">
        <v>283</v>
      </c>
      <c r="C316" s="3" t="s">
        <v>33</v>
      </c>
      <c r="D316" s="7">
        <v>0</v>
      </c>
      <c r="E316" s="3">
        <v>60</v>
      </c>
      <c r="F316" s="1">
        <f t="shared" si="1315"/>
        <v>0</v>
      </c>
      <c r="G316" s="7">
        <v>0</v>
      </c>
      <c r="H316" s="3">
        <v>60</v>
      </c>
      <c r="I316" s="27">
        <f t="shared" si="1316"/>
        <v>0</v>
      </c>
      <c r="J316" s="3">
        <f t="shared" si="1317"/>
        <v>0</v>
      </c>
      <c r="K316" s="7">
        <v>60</v>
      </c>
      <c r="L316" s="7">
        <f t="shared" si="1318"/>
        <v>0</v>
      </c>
      <c r="M316" s="3">
        <v>0</v>
      </c>
      <c r="N316" s="6">
        <f t="shared" si="1319"/>
        <v>0</v>
      </c>
      <c r="O316" s="34"/>
      <c r="P316" s="7">
        <v>72</v>
      </c>
      <c r="Q316" s="3">
        <v>90</v>
      </c>
      <c r="R316" s="3">
        <f t="shared" si="1320"/>
        <v>6480</v>
      </c>
      <c r="S316" s="7">
        <v>0</v>
      </c>
      <c r="T316" s="3">
        <v>90</v>
      </c>
      <c r="U316" s="3">
        <f t="shared" si="1321"/>
        <v>0</v>
      </c>
      <c r="V316" s="3">
        <f t="shared" si="1322"/>
        <v>72</v>
      </c>
      <c r="W316" s="7">
        <v>90</v>
      </c>
      <c r="X316" s="7">
        <f t="shared" si="1336"/>
        <v>6480</v>
      </c>
      <c r="Y316" s="3">
        <v>0</v>
      </c>
      <c r="Z316" s="6">
        <f t="shared" si="1324"/>
        <v>6480</v>
      </c>
      <c r="AA316" s="82"/>
      <c r="AB316" s="7">
        <v>60</v>
      </c>
      <c r="AC316" s="3">
        <v>45</v>
      </c>
      <c r="AD316" s="3">
        <f t="shared" si="1325"/>
        <v>2700</v>
      </c>
      <c r="AE316" s="7">
        <v>0</v>
      </c>
      <c r="AF316" s="3">
        <v>45</v>
      </c>
      <c r="AG316" s="3">
        <f t="shared" si="1326"/>
        <v>0</v>
      </c>
      <c r="AH316" s="3">
        <f t="shared" si="1327"/>
        <v>60</v>
      </c>
      <c r="AI316" s="3">
        <v>45</v>
      </c>
      <c r="AJ316" s="7">
        <f t="shared" si="1328"/>
        <v>2700</v>
      </c>
      <c r="AK316" s="3">
        <v>0</v>
      </c>
      <c r="AL316" s="6">
        <f t="shared" si="1329"/>
        <v>2700</v>
      </c>
      <c r="AM316" s="6">
        <f t="shared" si="1330"/>
        <v>9180</v>
      </c>
      <c r="AN316" s="6">
        <f t="shared" si="1331"/>
        <v>0</v>
      </c>
      <c r="AO316" s="6">
        <f t="shared" si="1332"/>
        <v>9180</v>
      </c>
      <c r="AP316" s="3" t="s">
        <v>510</v>
      </c>
      <c r="AQ316" s="3">
        <f t="shared" si="1333"/>
        <v>9180</v>
      </c>
      <c r="AR316" s="3">
        <f t="shared" ref="AR316" si="1337">AQ316</f>
        <v>9180</v>
      </c>
      <c r="AS316" s="3">
        <f t="shared" si="1312"/>
        <v>0</v>
      </c>
      <c r="AT316" s="3"/>
    </row>
    <row r="317" spans="1:46" x14ac:dyDescent="0.35">
      <c r="A317" s="3"/>
      <c r="B317" s="172" t="s">
        <v>308</v>
      </c>
      <c r="C317" s="3" t="s">
        <v>511</v>
      </c>
      <c r="D317" s="7">
        <v>150</v>
      </c>
      <c r="E317" s="3">
        <v>60</v>
      </c>
      <c r="F317" s="1">
        <f>D317*E317</f>
        <v>9000</v>
      </c>
      <c r="G317" s="3">
        <v>60</v>
      </c>
      <c r="H317" s="3">
        <v>60</v>
      </c>
      <c r="I317" s="27">
        <f>G317*H317</f>
        <v>3600</v>
      </c>
      <c r="J317" s="3">
        <f>D317-G317</f>
        <v>90</v>
      </c>
      <c r="K317" s="7">
        <v>60</v>
      </c>
      <c r="L317" s="7">
        <f>J317*K317</f>
        <v>5400</v>
      </c>
      <c r="M317" s="3">
        <f>J317*5</f>
        <v>450</v>
      </c>
      <c r="N317" s="6">
        <f>L317-M317</f>
        <v>4950</v>
      </c>
      <c r="O317" s="34"/>
      <c r="P317" s="3">
        <v>180</v>
      </c>
      <c r="Q317" s="3">
        <v>100</v>
      </c>
      <c r="R317" s="3">
        <f>P317*Q317</f>
        <v>18000</v>
      </c>
      <c r="S317" s="3">
        <v>52</v>
      </c>
      <c r="T317" s="3">
        <v>100</v>
      </c>
      <c r="U317" s="3">
        <f>S317*T317</f>
        <v>5200</v>
      </c>
      <c r="V317" s="3">
        <f>P317-S317</f>
        <v>128</v>
      </c>
      <c r="W317" s="7">
        <v>100</v>
      </c>
      <c r="X317" s="7">
        <f>V317*W317</f>
        <v>12800</v>
      </c>
      <c r="Y317" s="3">
        <f>V317*10</f>
        <v>1280</v>
      </c>
      <c r="Z317" s="6">
        <f>X317-Y317</f>
        <v>11520</v>
      </c>
      <c r="AA317" s="82">
        <v>195</v>
      </c>
      <c r="AB317" s="3">
        <v>180</v>
      </c>
      <c r="AC317" s="3">
        <v>50</v>
      </c>
      <c r="AD317" s="3">
        <f>AB317*AC317</f>
        <v>9000</v>
      </c>
      <c r="AE317" s="3">
        <v>0</v>
      </c>
      <c r="AF317" s="3">
        <v>50</v>
      </c>
      <c r="AG317" s="3">
        <f>AE317*AF317</f>
        <v>0</v>
      </c>
      <c r="AH317" s="3">
        <f>AB317-AE317</f>
        <v>180</v>
      </c>
      <c r="AI317" s="3">
        <v>50</v>
      </c>
      <c r="AJ317" s="7">
        <f>AH317*AI317</f>
        <v>9000</v>
      </c>
      <c r="AK317" s="3">
        <f>AH317*5</f>
        <v>900</v>
      </c>
      <c r="AL317" s="6">
        <f>AJ317-AK317</f>
        <v>8100</v>
      </c>
      <c r="AM317" s="6">
        <f>L317+X317+AJ317</f>
        <v>27200</v>
      </c>
      <c r="AN317" s="6">
        <f>M317+Y317+AK317</f>
        <v>2630</v>
      </c>
      <c r="AO317" s="6">
        <f>AM317-AN317</f>
        <v>24570</v>
      </c>
      <c r="AP317" s="3" t="s">
        <v>509</v>
      </c>
      <c r="AQ317" s="3">
        <f>AO317</f>
        <v>24570</v>
      </c>
      <c r="AR317" s="3">
        <f t="shared" ref="AR317:AR318" si="1338">AQ317</f>
        <v>24570</v>
      </c>
      <c r="AS317" s="3">
        <f t="shared" ref="AS317:AS318" si="1339">AQ317-AR317</f>
        <v>0</v>
      </c>
      <c r="AT317" s="3"/>
    </row>
    <row r="318" spans="1:46" x14ac:dyDescent="0.35">
      <c r="A318" s="3"/>
      <c r="B318" s="172" t="s">
        <v>308</v>
      </c>
      <c r="C318" s="3" t="s">
        <v>512</v>
      </c>
      <c r="D318" s="7">
        <v>135</v>
      </c>
      <c r="E318" s="3">
        <v>60</v>
      </c>
      <c r="F318" s="1">
        <v>0</v>
      </c>
      <c r="G318" s="7">
        <v>0</v>
      </c>
      <c r="H318" s="3">
        <v>60</v>
      </c>
      <c r="I318" s="27">
        <f>G318*H318</f>
        <v>0</v>
      </c>
      <c r="J318" s="3">
        <v>0</v>
      </c>
      <c r="K318" s="7">
        <v>60</v>
      </c>
      <c r="L318" s="7">
        <f>J318*K318</f>
        <v>0</v>
      </c>
      <c r="M318" s="3">
        <v>0</v>
      </c>
      <c r="N318" s="6">
        <f>L318-M318</f>
        <v>0</v>
      </c>
      <c r="O318" s="34"/>
      <c r="P318" s="7">
        <v>172</v>
      </c>
      <c r="Q318" s="3">
        <v>100</v>
      </c>
      <c r="R318" s="3">
        <v>0</v>
      </c>
      <c r="S318" s="7">
        <v>0</v>
      </c>
      <c r="T318" s="3">
        <v>100</v>
      </c>
      <c r="U318" s="3">
        <f>S318*T318</f>
        <v>0</v>
      </c>
      <c r="V318" s="3">
        <v>0</v>
      </c>
      <c r="W318" s="7">
        <v>100</v>
      </c>
      <c r="X318" s="7">
        <f>V318*W318</f>
        <v>0</v>
      </c>
      <c r="Y318" s="3">
        <v>0</v>
      </c>
      <c r="Z318" s="6">
        <f>X318-Y318</f>
        <v>0</v>
      </c>
      <c r="AA318" s="82"/>
      <c r="AB318" s="7">
        <v>240</v>
      </c>
      <c r="AC318" s="3">
        <v>50</v>
      </c>
      <c r="AD318" s="3">
        <v>0</v>
      </c>
      <c r="AE318" s="7">
        <v>0</v>
      </c>
      <c r="AF318" s="3">
        <v>50</v>
      </c>
      <c r="AG318" s="3">
        <f>AE318*AF318</f>
        <v>0</v>
      </c>
      <c r="AH318" s="3">
        <v>0</v>
      </c>
      <c r="AI318" s="3">
        <v>50</v>
      </c>
      <c r="AJ318" s="7">
        <f>AH318*AI318</f>
        <v>0</v>
      </c>
      <c r="AK318" s="3">
        <v>0</v>
      </c>
      <c r="AL318" s="6">
        <f>AJ318-AK318</f>
        <v>0</v>
      </c>
      <c r="AM318" s="6">
        <f>L318+X318+AJ318</f>
        <v>0</v>
      </c>
      <c r="AN318" s="6">
        <f>M318+Y318+AK318</f>
        <v>0</v>
      </c>
      <c r="AO318" s="6">
        <f>AM318-AN318</f>
        <v>0</v>
      </c>
      <c r="AP318" s="3" t="s">
        <v>509</v>
      </c>
      <c r="AQ318" s="3">
        <f>AO318</f>
        <v>0</v>
      </c>
      <c r="AR318" s="3">
        <f t="shared" si="1338"/>
        <v>0</v>
      </c>
      <c r="AS318" s="3">
        <f t="shared" si="1339"/>
        <v>0</v>
      </c>
      <c r="AT318" s="3"/>
    </row>
    <row r="319" spans="1:46" x14ac:dyDescent="0.35">
      <c r="A319" s="3"/>
      <c r="B319" s="3" t="s">
        <v>287</v>
      </c>
      <c r="C319" s="3" t="s">
        <v>331</v>
      </c>
      <c r="D319" s="7">
        <v>0</v>
      </c>
      <c r="E319" s="3">
        <v>60</v>
      </c>
      <c r="F319" s="1">
        <f t="shared" ref="F319" si="1340">D319*E319</f>
        <v>0</v>
      </c>
      <c r="G319" s="7">
        <v>0</v>
      </c>
      <c r="H319" s="3">
        <v>60</v>
      </c>
      <c r="I319" s="27">
        <f t="shared" si="1316"/>
        <v>0</v>
      </c>
      <c r="J319" s="3">
        <f t="shared" ref="J319" si="1341">D319-G319</f>
        <v>0</v>
      </c>
      <c r="K319" s="7">
        <v>60</v>
      </c>
      <c r="L319" s="7">
        <f t="shared" si="1318"/>
        <v>0</v>
      </c>
      <c r="M319" s="3">
        <f>J319*5</f>
        <v>0</v>
      </c>
      <c r="N319" s="6">
        <f t="shared" si="1319"/>
        <v>0</v>
      </c>
      <c r="O319" s="34"/>
      <c r="P319" s="7">
        <v>0</v>
      </c>
      <c r="Q319" s="3">
        <v>100</v>
      </c>
      <c r="R319" s="3">
        <f t="shared" ref="R319" si="1342">P319*Q319</f>
        <v>0</v>
      </c>
      <c r="S319" s="7">
        <v>0</v>
      </c>
      <c r="T319" s="3">
        <v>100</v>
      </c>
      <c r="U319" s="3">
        <f t="shared" si="1321"/>
        <v>0</v>
      </c>
      <c r="V319" s="3">
        <f t="shared" ref="V319" si="1343">P319-S319</f>
        <v>0</v>
      </c>
      <c r="W319" s="7">
        <v>100</v>
      </c>
      <c r="X319" s="7">
        <f t="shared" si="1336"/>
        <v>0</v>
      </c>
      <c r="Y319" s="3">
        <f>V319*10</f>
        <v>0</v>
      </c>
      <c r="Z319" s="6">
        <f t="shared" si="1324"/>
        <v>0</v>
      </c>
      <c r="AA319" s="82"/>
      <c r="AB319" s="7">
        <v>0</v>
      </c>
      <c r="AC319" s="3">
        <v>50</v>
      </c>
      <c r="AD319" s="3">
        <f t="shared" ref="AD319" si="1344">AB319*AC319</f>
        <v>0</v>
      </c>
      <c r="AE319" s="7">
        <v>0</v>
      </c>
      <c r="AF319" s="3">
        <v>50</v>
      </c>
      <c r="AG319" s="3">
        <f t="shared" si="1326"/>
        <v>0</v>
      </c>
      <c r="AH319" s="3">
        <f t="shared" ref="AH319" si="1345">AB319-AE319</f>
        <v>0</v>
      </c>
      <c r="AI319" s="3">
        <v>50</v>
      </c>
      <c r="AJ319" s="7">
        <f t="shared" si="1328"/>
        <v>0</v>
      </c>
      <c r="AK319" s="3">
        <f>AH319*5</f>
        <v>0</v>
      </c>
      <c r="AL319" s="6">
        <f t="shared" si="1329"/>
        <v>0</v>
      </c>
      <c r="AM319" s="6">
        <f t="shared" si="1330"/>
        <v>0</v>
      </c>
      <c r="AN319" s="6">
        <f t="shared" si="1331"/>
        <v>0</v>
      </c>
      <c r="AO319" s="6">
        <f t="shared" si="1332"/>
        <v>0</v>
      </c>
      <c r="AP319" s="3" t="s">
        <v>510</v>
      </c>
      <c r="AQ319" s="3">
        <f t="shared" si="1333"/>
        <v>0</v>
      </c>
      <c r="AR319" s="3">
        <f>AQ319</f>
        <v>0</v>
      </c>
      <c r="AS319" s="3">
        <f t="shared" ref="AS319:AS320" si="1346">AQ319-AR319</f>
        <v>0</v>
      </c>
      <c r="AT319" s="3"/>
    </row>
    <row r="320" spans="1:46" x14ac:dyDescent="0.35">
      <c r="A320" s="3"/>
      <c r="B320" s="3" t="s">
        <v>287</v>
      </c>
      <c r="C320" s="3" t="s">
        <v>332</v>
      </c>
      <c r="D320" s="7">
        <v>0</v>
      </c>
      <c r="E320" s="3">
        <v>60</v>
      </c>
      <c r="F320" s="1">
        <v>0</v>
      </c>
      <c r="G320" s="7">
        <v>0</v>
      </c>
      <c r="H320" s="3">
        <v>60</v>
      </c>
      <c r="I320" s="27">
        <f t="shared" si="1316"/>
        <v>0</v>
      </c>
      <c r="J320" s="3">
        <v>0</v>
      </c>
      <c r="K320" s="7">
        <v>60</v>
      </c>
      <c r="L320" s="7">
        <f t="shared" si="1318"/>
        <v>0</v>
      </c>
      <c r="M320" s="3">
        <v>0</v>
      </c>
      <c r="N320" s="6">
        <f t="shared" si="1319"/>
        <v>0</v>
      </c>
      <c r="O320" s="34"/>
      <c r="P320" s="7">
        <v>0</v>
      </c>
      <c r="Q320" s="3">
        <v>100</v>
      </c>
      <c r="R320" s="3">
        <v>0</v>
      </c>
      <c r="S320" s="7">
        <v>0</v>
      </c>
      <c r="T320" s="3">
        <v>100</v>
      </c>
      <c r="U320" s="3">
        <f t="shared" si="1321"/>
        <v>0</v>
      </c>
      <c r="V320" s="3">
        <v>0</v>
      </c>
      <c r="W320" s="7">
        <v>100</v>
      </c>
      <c r="X320" s="7">
        <f t="shared" si="1336"/>
        <v>0</v>
      </c>
      <c r="Y320" s="3">
        <v>0</v>
      </c>
      <c r="Z320" s="6">
        <f t="shared" si="1324"/>
        <v>0</v>
      </c>
      <c r="AA320" s="82"/>
      <c r="AB320" s="7">
        <v>0</v>
      </c>
      <c r="AC320" s="3">
        <v>50</v>
      </c>
      <c r="AD320" s="3">
        <v>0</v>
      </c>
      <c r="AE320" s="7">
        <v>0</v>
      </c>
      <c r="AF320" s="3">
        <v>50</v>
      </c>
      <c r="AG320" s="3">
        <f t="shared" si="1326"/>
        <v>0</v>
      </c>
      <c r="AH320" s="3">
        <v>0</v>
      </c>
      <c r="AI320" s="3">
        <v>50</v>
      </c>
      <c r="AJ320" s="7">
        <f t="shared" si="1328"/>
        <v>0</v>
      </c>
      <c r="AK320" s="3">
        <v>0</v>
      </c>
      <c r="AL320" s="6">
        <f t="shared" si="1329"/>
        <v>0</v>
      </c>
      <c r="AM320" s="6">
        <f t="shared" si="1330"/>
        <v>0</v>
      </c>
      <c r="AN320" s="6">
        <f t="shared" si="1331"/>
        <v>0</v>
      </c>
      <c r="AO320" s="6">
        <f t="shared" si="1332"/>
        <v>0</v>
      </c>
      <c r="AP320" s="3" t="s">
        <v>510</v>
      </c>
      <c r="AQ320" s="3">
        <f t="shared" si="1333"/>
        <v>0</v>
      </c>
      <c r="AR320" s="3">
        <f t="shared" ref="AR320" si="1347">AQ320</f>
        <v>0</v>
      </c>
      <c r="AS320" s="3">
        <f t="shared" si="1346"/>
        <v>0</v>
      </c>
      <c r="AT320" s="3"/>
    </row>
    <row r="321" spans="1:48" x14ac:dyDescent="0.35">
      <c r="A321" s="19"/>
      <c r="B321" s="19" t="s">
        <v>36</v>
      </c>
      <c r="C321" s="19"/>
      <c r="D321" s="19">
        <f>SUM(D309:D320)</f>
        <v>975</v>
      </c>
      <c r="E321" s="19"/>
      <c r="F321" s="19">
        <f>SUM(F309:F320)</f>
        <v>50400</v>
      </c>
      <c r="G321" s="19">
        <f>SUM(G309:G320)</f>
        <v>438</v>
      </c>
      <c r="H321" s="19"/>
      <c r="I321" s="19">
        <f>SUM(I309:I320)</f>
        <v>26280</v>
      </c>
      <c r="J321" s="19">
        <f>SUM(J309:J320)</f>
        <v>402</v>
      </c>
      <c r="K321" s="19"/>
      <c r="L321" s="19">
        <f>SUM(L309:L320)</f>
        <v>24120</v>
      </c>
      <c r="M321" s="19">
        <f>SUM(M309:M320)</f>
        <v>1280</v>
      </c>
      <c r="N321" s="19">
        <f>SUM(N309:N320)</f>
        <v>22840</v>
      </c>
      <c r="O321" s="34"/>
      <c r="P321" s="19">
        <f>SUM(P309:P320)</f>
        <v>1192</v>
      </c>
      <c r="Q321" s="19"/>
      <c r="R321" s="19">
        <f>SUM(R309:R320)</f>
        <v>101280</v>
      </c>
      <c r="S321" s="19">
        <f>SUM(S309:S320)</f>
        <v>180</v>
      </c>
      <c r="T321" s="19"/>
      <c r="U321" s="19">
        <f>SUM(U309:U320)</f>
        <v>18000</v>
      </c>
      <c r="V321" s="19">
        <f>SUM(V309:V320)</f>
        <v>840</v>
      </c>
      <c r="W321" s="19"/>
      <c r="X321" s="19">
        <f>SUM(X309:X320)</f>
        <v>83280</v>
      </c>
      <c r="Y321" s="19">
        <f>SUM(Y309:Y320)</f>
        <v>3200</v>
      </c>
      <c r="Z321" s="19">
        <f>SUM(Z309:Z320)</f>
        <v>80080</v>
      </c>
      <c r="AA321" s="34"/>
      <c r="AB321" s="19">
        <f>SUM(AB309:AB320)</f>
        <v>1176</v>
      </c>
      <c r="AC321" s="19"/>
      <c r="AD321" s="19">
        <f>SUM(AD309:AD320)</f>
        <v>46500</v>
      </c>
      <c r="AE321" s="19">
        <f>SUM(AE309:AE320)</f>
        <v>184</v>
      </c>
      <c r="AF321" s="19"/>
      <c r="AG321" s="19">
        <f>SUM(AG309:AG320)</f>
        <v>9200</v>
      </c>
      <c r="AH321" s="19">
        <f>SUM(AH309:AH320)</f>
        <v>752</v>
      </c>
      <c r="AI321" s="19"/>
      <c r="AJ321" s="19">
        <f t="shared" ref="AJ321:AO321" si="1348">SUM(AJ309:AJ320)</f>
        <v>37300</v>
      </c>
      <c r="AK321" s="19">
        <f t="shared" si="1348"/>
        <v>1800</v>
      </c>
      <c r="AL321" s="19">
        <f t="shared" si="1348"/>
        <v>35500</v>
      </c>
      <c r="AM321" s="19">
        <f t="shared" si="1348"/>
        <v>144700</v>
      </c>
      <c r="AN321" s="19">
        <f t="shared" si="1348"/>
        <v>6280</v>
      </c>
      <c r="AO321" s="19">
        <f t="shared" si="1348"/>
        <v>138420</v>
      </c>
      <c r="AP321" s="19"/>
      <c r="AQ321" s="19">
        <f>SUM(AQ309:AQ320)</f>
        <v>138420</v>
      </c>
      <c r="AR321" s="19">
        <f>SUM(AR309:AR320)</f>
        <v>138420</v>
      </c>
      <c r="AS321" s="19">
        <f>SUM(AS309:AS320)</f>
        <v>0</v>
      </c>
      <c r="AT321" s="74"/>
    </row>
    <row r="322" spans="1:48" x14ac:dyDescent="0.35">
      <c r="A322" s="3" t="s">
        <v>513</v>
      </c>
      <c r="B322" s="172" t="s">
        <v>276</v>
      </c>
      <c r="C322" s="3" t="s">
        <v>33</v>
      </c>
      <c r="D322" s="7">
        <f>225-60</f>
        <v>165</v>
      </c>
      <c r="E322" s="3">
        <v>60</v>
      </c>
      <c r="F322" s="1">
        <f t="shared" ref="F322:F330" si="1349">D322*E322</f>
        <v>9900</v>
      </c>
      <c r="G322" s="7">
        <v>67</v>
      </c>
      <c r="H322" s="3">
        <v>60</v>
      </c>
      <c r="I322" s="27">
        <f t="shared" ref="I322:I331" si="1350">G322*H322</f>
        <v>4020</v>
      </c>
      <c r="J322" s="3">
        <f t="shared" ref="J322:J330" si="1351">D322-G322</f>
        <v>98</v>
      </c>
      <c r="K322" s="7">
        <v>60</v>
      </c>
      <c r="L322" s="7">
        <f t="shared" ref="L322:L323" si="1352">J322*K322</f>
        <v>5880</v>
      </c>
      <c r="M322" s="3">
        <v>0</v>
      </c>
      <c r="N322" s="6">
        <f t="shared" ref="N322:N331" si="1353">L322-M322</f>
        <v>5880</v>
      </c>
      <c r="O322" s="34"/>
      <c r="P322" s="7">
        <v>216</v>
      </c>
      <c r="Q322" s="3">
        <v>100</v>
      </c>
      <c r="R322" s="3">
        <f t="shared" ref="R322:R330" si="1354">P322*Q322</f>
        <v>21600</v>
      </c>
      <c r="S322" s="7">
        <v>16</v>
      </c>
      <c r="T322" s="3">
        <v>100</v>
      </c>
      <c r="U322" s="3">
        <f t="shared" ref="U322:U331" si="1355">S322*T322</f>
        <v>1600</v>
      </c>
      <c r="V322" s="3">
        <f t="shared" ref="V322:V330" si="1356">P322-S322</f>
        <v>200</v>
      </c>
      <c r="W322" s="7">
        <v>100</v>
      </c>
      <c r="X322" s="7">
        <f t="shared" ref="X322" si="1357">V322*W322</f>
        <v>20000</v>
      </c>
      <c r="Y322" s="3">
        <v>0</v>
      </c>
      <c r="Z322" s="6">
        <f t="shared" ref="Z322:Z331" si="1358">X322-Y322</f>
        <v>20000</v>
      </c>
      <c r="AA322" s="82"/>
      <c r="AB322" s="7">
        <v>168</v>
      </c>
      <c r="AC322" s="3">
        <v>50</v>
      </c>
      <c r="AD322" s="3">
        <f t="shared" ref="AD322:AD330" si="1359">AB322*AC322</f>
        <v>8400</v>
      </c>
      <c r="AE322" s="7">
        <v>0</v>
      </c>
      <c r="AF322" s="3">
        <v>50</v>
      </c>
      <c r="AG322" s="3">
        <f t="shared" ref="AG322:AG331" si="1360">AE322*AF322</f>
        <v>0</v>
      </c>
      <c r="AH322" s="3">
        <f t="shared" ref="AH322:AH330" si="1361">AB322-AE322</f>
        <v>168</v>
      </c>
      <c r="AI322" s="3">
        <v>50</v>
      </c>
      <c r="AJ322" s="7">
        <f t="shared" ref="AJ322:AJ331" si="1362">AH322*AI322</f>
        <v>8400</v>
      </c>
      <c r="AK322" s="3">
        <v>0</v>
      </c>
      <c r="AL322" s="6">
        <f t="shared" ref="AL322:AL331" si="1363">AJ322-AK322</f>
        <v>8400</v>
      </c>
      <c r="AM322" s="6">
        <f t="shared" ref="AM322:AM331" si="1364">L322+X322+AJ322</f>
        <v>34280</v>
      </c>
      <c r="AN322" s="6">
        <f t="shared" ref="AN322:AN331" si="1365">M322+Y322+AK322</f>
        <v>0</v>
      </c>
      <c r="AO322" s="6">
        <f t="shared" ref="AO322:AO331" si="1366">AM322-AN322</f>
        <v>34280</v>
      </c>
      <c r="AP322" s="3" t="s">
        <v>513</v>
      </c>
      <c r="AQ322" s="3">
        <f t="shared" ref="AQ322:AQ331" si="1367">AO322</f>
        <v>34280</v>
      </c>
      <c r="AR322" s="3">
        <f>AQ322</f>
        <v>34280</v>
      </c>
      <c r="AS322" s="3">
        <f t="shared" ref="AS322:AS325" si="1368">AQ322-AR322</f>
        <v>0</v>
      </c>
      <c r="AT322" s="3"/>
    </row>
    <row r="323" spans="1:48" x14ac:dyDescent="0.35">
      <c r="A323" s="3"/>
      <c r="B323" s="172" t="s">
        <v>276</v>
      </c>
      <c r="C323" s="3" t="s">
        <v>182</v>
      </c>
      <c r="D323" s="7">
        <v>60</v>
      </c>
      <c r="E323" s="3">
        <v>55</v>
      </c>
      <c r="F323" s="1">
        <f t="shared" si="1349"/>
        <v>3300</v>
      </c>
      <c r="G323" s="7">
        <v>0</v>
      </c>
      <c r="H323" s="3">
        <v>55</v>
      </c>
      <c r="I323" s="27">
        <f t="shared" si="1350"/>
        <v>0</v>
      </c>
      <c r="J323" s="3">
        <f t="shared" si="1351"/>
        <v>60</v>
      </c>
      <c r="K323" s="7">
        <v>55</v>
      </c>
      <c r="L323" s="7">
        <f t="shared" si="1352"/>
        <v>3300</v>
      </c>
      <c r="M323" s="7">
        <v>0</v>
      </c>
      <c r="N323" s="6">
        <f t="shared" si="1353"/>
        <v>3300</v>
      </c>
      <c r="O323" s="34"/>
      <c r="P323" s="7">
        <v>0</v>
      </c>
      <c r="Q323" s="3">
        <v>100</v>
      </c>
      <c r="R323" s="3">
        <f t="shared" si="1354"/>
        <v>0</v>
      </c>
      <c r="S323" s="7">
        <v>0</v>
      </c>
      <c r="T323" s="3">
        <v>100</v>
      </c>
      <c r="U323" s="3">
        <f t="shared" si="1355"/>
        <v>0</v>
      </c>
      <c r="V323" s="3">
        <f t="shared" si="1356"/>
        <v>0</v>
      </c>
      <c r="W323" s="7">
        <v>100</v>
      </c>
      <c r="X323" s="7">
        <f>V323*W323</f>
        <v>0</v>
      </c>
      <c r="Y323" s="7">
        <v>0</v>
      </c>
      <c r="Z323" s="6">
        <f t="shared" si="1358"/>
        <v>0</v>
      </c>
      <c r="AA323" s="82"/>
      <c r="AB323" s="7">
        <v>0</v>
      </c>
      <c r="AC323" s="3">
        <v>50</v>
      </c>
      <c r="AD323" s="3">
        <f t="shared" si="1359"/>
        <v>0</v>
      </c>
      <c r="AE323" s="7">
        <v>0</v>
      </c>
      <c r="AF323" s="3">
        <v>50</v>
      </c>
      <c r="AG323" s="3">
        <f t="shared" si="1360"/>
        <v>0</v>
      </c>
      <c r="AH323" s="3">
        <f t="shared" si="1361"/>
        <v>0</v>
      </c>
      <c r="AI323" s="3">
        <v>50</v>
      </c>
      <c r="AJ323" s="7">
        <f t="shared" si="1362"/>
        <v>0</v>
      </c>
      <c r="AK323" s="7">
        <v>0</v>
      </c>
      <c r="AL323" s="6">
        <f t="shared" si="1363"/>
        <v>0</v>
      </c>
      <c r="AM323" s="6">
        <f t="shared" si="1364"/>
        <v>3300</v>
      </c>
      <c r="AN323" s="6">
        <f t="shared" si="1365"/>
        <v>0</v>
      </c>
      <c r="AO323" s="6">
        <f t="shared" si="1366"/>
        <v>3300</v>
      </c>
      <c r="AP323" s="3" t="s">
        <v>513</v>
      </c>
      <c r="AQ323" s="3">
        <f t="shared" si="1367"/>
        <v>3300</v>
      </c>
      <c r="AR323" s="3">
        <f t="shared" ref="AR323" si="1369">AQ323</f>
        <v>3300</v>
      </c>
      <c r="AS323" s="3">
        <f t="shared" si="1368"/>
        <v>0</v>
      </c>
      <c r="AT323" s="3"/>
    </row>
    <row r="324" spans="1:48" x14ac:dyDescent="0.35">
      <c r="A324" s="3"/>
      <c r="B324" s="172" t="s">
        <v>463</v>
      </c>
      <c r="C324" s="3" t="s">
        <v>33</v>
      </c>
      <c r="D324" s="7">
        <v>225</v>
      </c>
      <c r="E324" s="3">
        <v>60</v>
      </c>
      <c r="F324" s="1">
        <f t="shared" si="1349"/>
        <v>13500</v>
      </c>
      <c r="G324" s="7">
        <v>114</v>
      </c>
      <c r="H324" s="3">
        <v>60</v>
      </c>
      <c r="I324" s="27">
        <f t="shared" si="1350"/>
        <v>6840</v>
      </c>
      <c r="J324" s="3">
        <f t="shared" si="1351"/>
        <v>111</v>
      </c>
      <c r="K324" s="7">
        <v>60</v>
      </c>
      <c r="L324" s="7">
        <f>J324*K324</f>
        <v>6660</v>
      </c>
      <c r="M324" s="7">
        <v>0</v>
      </c>
      <c r="N324" s="6">
        <f t="shared" si="1353"/>
        <v>6660</v>
      </c>
      <c r="O324" s="34"/>
      <c r="P324" s="7">
        <v>250</v>
      </c>
      <c r="Q324" s="3">
        <v>100</v>
      </c>
      <c r="R324" s="3">
        <f t="shared" si="1354"/>
        <v>25000</v>
      </c>
      <c r="S324" s="7">
        <v>47</v>
      </c>
      <c r="T324" s="3">
        <v>100</v>
      </c>
      <c r="U324" s="3">
        <f t="shared" si="1355"/>
        <v>4700</v>
      </c>
      <c r="V324" s="3">
        <f t="shared" si="1356"/>
        <v>203</v>
      </c>
      <c r="W324" s="7">
        <v>100</v>
      </c>
      <c r="X324" s="7">
        <f>V324*W324</f>
        <v>20300</v>
      </c>
      <c r="Y324" s="7">
        <v>0</v>
      </c>
      <c r="Z324" s="6">
        <f t="shared" si="1358"/>
        <v>20300</v>
      </c>
      <c r="AA324" s="82"/>
      <c r="AB324" s="7">
        <f>540-480</f>
        <v>60</v>
      </c>
      <c r="AC324" s="3">
        <v>50</v>
      </c>
      <c r="AD324" s="3">
        <f t="shared" si="1359"/>
        <v>3000</v>
      </c>
      <c r="AE324" s="7">
        <v>0</v>
      </c>
      <c r="AF324" s="3">
        <v>50</v>
      </c>
      <c r="AG324" s="3">
        <f t="shared" si="1360"/>
        <v>0</v>
      </c>
      <c r="AH324" s="3">
        <f t="shared" si="1361"/>
        <v>60</v>
      </c>
      <c r="AI324" s="3">
        <v>50</v>
      </c>
      <c r="AJ324" s="7">
        <f t="shared" si="1362"/>
        <v>3000</v>
      </c>
      <c r="AK324" s="7">
        <v>0</v>
      </c>
      <c r="AL324" s="6">
        <f t="shared" si="1363"/>
        <v>3000</v>
      </c>
      <c r="AM324" s="6">
        <f t="shared" si="1364"/>
        <v>29960</v>
      </c>
      <c r="AN324" s="6">
        <f t="shared" si="1365"/>
        <v>0</v>
      </c>
      <c r="AO324" s="6">
        <f t="shared" si="1366"/>
        <v>29960</v>
      </c>
      <c r="AP324" s="3" t="s">
        <v>513</v>
      </c>
      <c r="AQ324" s="3">
        <f t="shared" si="1367"/>
        <v>29960</v>
      </c>
      <c r="AR324" s="3">
        <f t="shared" ref="AR324:AR327" si="1370">AQ324</f>
        <v>29960</v>
      </c>
      <c r="AS324" s="3">
        <f t="shared" si="1368"/>
        <v>0</v>
      </c>
      <c r="AT324" s="3"/>
    </row>
    <row r="325" spans="1:48" x14ac:dyDescent="0.35">
      <c r="A325" s="3"/>
      <c r="B325" s="172" t="s">
        <v>463</v>
      </c>
      <c r="C325" s="3" t="s">
        <v>182</v>
      </c>
      <c r="D325" s="7">
        <v>0</v>
      </c>
      <c r="E325" s="3">
        <v>55</v>
      </c>
      <c r="F325" s="1">
        <f t="shared" si="1349"/>
        <v>0</v>
      </c>
      <c r="G325" s="7">
        <v>0</v>
      </c>
      <c r="H325" s="3">
        <v>55</v>
      </c>
      <c r="I325" s="27">
        <f t="shared" si="1350"/>
        <v>0</v>
      </c>
      <c r="J325" s="3">
        <f t="shared" si="1351"/>
        <v>0</v>
      </c>
      <c r="K325" s="7">
        <v>55</v>
      </c>
      <c r="L325" s="7">
        <f t="shared" ref="L325" si="1371">J325*K325</f>
        <v>0</v>
      </c>
      <c r="M325" s="7">
        <v>0</v>
      </c>
      <c r="N325" s="6">
        <f t="shared" si="1353"/>
        <v>0</v>
      </c>
      <c r="O325" s="34"/>
      <c r="P325" s="7">
        <v>0</v>
      </c>
      <c r="Q325" s="3">
        <v>100</v>
      </c>
      <c r="R325" s="3">
        <f t="shared" si="1354"/>
        <v>0</v>
      </c>
      <c r="S325" s="7">
        <v>0</v>
      </c>
      <c r="T325" s="3">
        <v>100</v>
      </c>
      <c r="U325" s="3">
        <f t="shared" si="1355"/>
        <v>0</v>
      </c>
      <c r="V325" s="3">
        <f t="shared" si="1356"/>
        <v>0</v>
      </c>
      <c r="W325" s="7">
        <v>100</v>
      </c>
      <c r="X325" s="7">
        <f>V325*W325</f>
        <v>0</v>
      </c>
      <c r="Y325" s="7">
        <v>0</v>
      </c>
      <c r="Z325" s="6">
        <f t="shared" si="1358"/>
        <v>0</v>
      </c>
      <c r="AA325" s="82"/>
      <c r="AB325" s="7">
        <v>480</v>
      </c>
      <c r="AC325" s="3">
        <v>45</v>
      </c>
      <c r="AD325" s="3">
        <f t="shared" si="1359"/>
        <v>21600</v>
      </c>
      <c r="AE325" s="7">
        <v>0</v>
      </c>
      <c r="AF325" s="3">
        <v>45</v>
      </c>
      <c r="AG325" s="3">
        <f t="shared" si="1360"/>
        <v>0</v>
      </c>
      <c r="AH325" s="3">
        <f t="shared" si="1361"/>
        <v>480</v>
      </c>
      <c r="AI325" s="3">
        <v>45</v>
      </c>
      <c r="AJ325" s="7">
        <f t="shared" si="1362"/>
        <v>21600</v>
      </c>
      <c r="AK325" s="7">
        <v>0</v>
      </c>
      <c r="AL325" s="6">
        <f t="shared" si="1363"/>
        <v>21600</v>
      </c>
      <c r="AM325" s="6">
        <f t="shared" si="1364"/>
        <v>21600</v>
      </c>
      <c r="AN325" s="6">
        <f t="shared" si="1365"/>
        <v>0</v>
      </c>
      <c r="AO325" s="6">
        <f t="shared" si="1366"/>
        <v>21600</v>
      </c>
      <c r="AP325" s="3" t="s">
        <v>513</v>
      </c>
      <c r="AQ325" s="3">
        <f t="shared" si="1367"/>
        <v>21600</v>
      </c>
      <c r="AR325" s="3">
        <f>AQ325</f>
        <v>21600</v>
      </c>
      <c r="AS325" s="3">
        <f t="shared" si="1368"/>
        <v>0</v>
      </c>
      <c r="AT325" s="3"/>
      <c r="AV325">
        <f>480*5</f>
        <v>2400</v>
      </c>
    </row>
    <row r="326" spans="1:48" x14ac:dyDescent="0.35">
      <c r="A326" s="3"/>
      <c r="B326" s="172" t="s">
        <v>415</v>
      </c>
      <c r="C326" s="3" t="s">
        <v>33</v>
      </c>
      <c r="D326" s="7">
        <v>135</v>
      </c>
      <c r="E326" s="3">
        <v>60</v>
      </c>
      <c r="F326" s="1">
        <f t="shared" si="1349"/>
        <v>8100</v>
      </c>
      <c r="G326" s="7">
        <v>0</v>
      </c>
      <c r="H326" s="3">
        <v>60</v>
      </c>
      <c r="I326" s="27">
        <f t="shared" si="1350"/>
        <v>0</v>
      </c>
      <c r="J326" s="3">
        <f t="shared" si="1351"/>
        <v>135</v>
      </c>
      <c r="K326" s="7">
        <v>60</v>
      </c>
      <c r="L326" s="7">
        <f t="shared" ref="L326:L329" si="1372">J326*K326</f>
        <v>8100</v>
      </c>
      <c r="M326" s="3">
        <f>J326*5</f>
        <v>675</v>
      </c>
      <c r="N326" s="6">
        <f t="shared" si="1353"/>
        <v>7425</v>
      </c>
      <c r="O326" s="34"/>
      <c r="P326" s="7">
        <v>240</v>
      </c>
      <c r="Q326" s="3">
        <v>100</v>
      </c>
      <c r="R326" s="3">
        <f t="shared" si="1354"/>
        <v>24000</v>
      </c>
      <c r="S326" s="7">
        <v>0</v>
      </c>
      <c r="T326" s="3">
        <v>100</v>
      </c>
      <c r="U326" s="3">
        <f t="shared" si="1355"/>
        <v>0</v>
      </c>
      <c r="V326" s="3">
        <f t="shared" si="1356"/>
        <v>240</v>
      </c>
      <c r="W326" s="7">
        <v>100</v>
      </c>
      <c r="X326" s="7">
        <f t="shared" ref="X326:X331" si="1373">V326*W326</f>
        <v>24000</v>
      </c>
      <c r="Y326" s="3">
        <f>V326*10</f>
        <v>2400</v>
      </c>
      <c r="Z326" s="6">
        <f t="shared" si="1358"/>
        <v>21600</v>
      </c>
      <c r="AA326" s="82"/>
      <c r="AB326" s="7">
        <v>144</v>
      </c>
      <c r="AC326" s="3">
        <v>50</v>
      </c>
      <c r="AD326" s="3">
        <f t="shared" si="1359"/>
        <v>7200</v>
      </c>
      <c r="AE326" s="7">
        <v>17</v>
      </c>
      <c r="AF326" s="3">
        <v>50</v>
      </c>
      <c r="AG326" s="3">
        <f t="shared" si="1360"/>
        <v>850</v>
      </c>
      <c r="AH326" s="3">
        <f t="shared" si="1361"/>
        <v>127</v>
      </c>
      <c r="AI326" s="3">
        <v>50</v>
      </c>
      <c r="AJ326" s="7">
        <f t="shared" si="1362"/>
        <v>6350</v>
      </c>
      <c r="AK326" s="3">
        <f>AH326*5</f>
        <v>635</v>
      </c>
      <c r="AL326" s="6">
        <f t="shared" si="1363"/>
        <v>5715</v>
      </c>
      <c r="AM326" s="6">
        <f t="shared" si="1364"/>
        <v>38450</v>
      </c>
      <c r="AN326" s="6">
        <f t="shared" si="1365"/>
        <v>3710</v>
      </c>
      <c r="AO326" s="6">
        <f t="shared" si="1366"/>
        <v>34740</v>
      </c>
      <c r="AP326" s="3" t="s">
        <v>513</v>
      </c>
      <c r="AQ326" s="3">
        <f t="shared" si="1367"/>
        <v>34740</v>
      </c>
      <c r="AR326" s="3">
        <f t="shared" si="1370"/>
        <v>34740</v>
      </c>
      <c r="AS326" s="3">
        <f>AQ326-AR326</f>
        <v>0</v>
      </c>
      <c r="AT326" s="3"/>
    </row>
    <row r="327" spans="1:48" x14ac:dyDescent="0.35">
      <c r="A327" s="3"/>
      <c r="B327" s="172" t="s">
        <v>326</v>
      </c>
      <c r="C327" s="3" t="s">
        <v>33</v>
      </c>
      <c r="D327" s="7">
        <v>15</v>
      </c>
      <c r="E327" s="3">
        <v>60</v>
      </c>
      <c r="F327" s="1">
        <f t="shared" si="1349"/>
        <v>900</v>
      </c>
      <c r="G327" s="7">
        <v>7</v>
      </c>
      <c r="H327" s="3">
        <v>60</v>
      </c>
      <c r="I327" s="27">
        <f t="shared" si="1350"/>
        <v>420</v>
      </c>
      <c r="J327" s="3">
        <f t="shared" si="1351"/>
        <v>8</v>
      </c>
      <c r="K327" s="7">
        <v>60</v>
      </c>
      <c r="L327" s="7">
        <f t="shared" si="1372"/>
        <v>480</v>
      </c>
      <c r="M327" s="3">
        <v>0</v>
      </c>
      <c r="N327" s="6">
        <f t="shared" si="1353"/>
        <v>480</v>
      </c>
      <c r="O327" s="34"/>
      <c r="P327" s="7">
        <v>60</v>
      </c>
      <c r="Q327" s="3">
        <v>100</v>
      </c>
      <c r="R327" s="3">
        <f t="shared" si="1354"/>
        <v>6000</v>
      </c>
      <c r="S327" s="7">
        <v>0</v>
      </c>
      <c r="T327" s="3">
        <v>100</v>
      </c>
      <c r="U327" s="3">
        <f t="shared" si="1355"/>
        <v>0</v>
      </c>
      <c r="V327" s="3">
        <f t="shared" si="1356"/>
        <v>60</v>
      </c>
      <c r="W327" s="7">
        <v>100</v>
      </c>
      <c r="X327" s="7">
        <f t="shared" si="1373"/>
        <v>6000</v>
      </c>
      <c r="Y327" s="3">
        <v>0</v>
      </c>
      <c r="Z327" s="6">
        <f t="shared" si="1358"/>
        <v>6000</v>
      </c>
      <c r="AA327" s="82"/>
      <c r="AB327" s="7">
        <v>60</v>
      </c>
      <c r="AC327" s="3">
        <v>50</v>
      </c>
      <c r="AD327" s="3">
        <f t="shared" si="1359"/>
        <v>3000</v>
      </c>
      <c r="AE327" s="7">
        <v>0</v>
      </c>
      <c r="AF327" s="3">
        <v>50</v>
      </c>
      <c r="AG327" s="3">
        <f t="shared" si="1360"/>
        <v>0</v>
      </c>
      <c r="AH327" s="3">
        <f t="shared" si="1361"/>
        <v>60</v>
      </c>
      <c r="AI327" s="3">
        <v>50</v>
      </c>
      <c r="AJ327" s="7">
        <f t="shared" si="1362"/>
        <v>3000</v>
      </c>
      <c r="AK327" s="3">
        <v>0</v>
      </c>
      <c r="AL327" s="6">
        <f t="shared" si="1363"/>
        <v>3000</v>
      </c>
      <c r="AM327" s="6">
        <f t="shared" si="1364"/>
        <v>9480</v>
      </c>
      <c r="AN327" s="6">
        <f t="shared" si="1365"/>
        <v>0</v>
      </c>
      <c r="AO327" s="6">
        <f t="shared" si="1366"/>
        <v>9480</v>
      </c>
      <c r="AP327" s="3" t="s">
        <v>513</v>
      </c>
      <c r="AQ327" s="3">
        <f t="shared" si="1367"/>
        <v>9480</v>
      </c>
      <c r="AR327" s="3">
        <f t="shared" si="1370"/>
        <v>9480</v>
      </c>
      <c r="AS327" s="3">
        <f t="shared" ref="AS327" si="1374">AQ327-AR327</f>
        <v>0</v>
      </c>
      <c r="AT327" s="3"/>
    </row>
    <row r="328" spans="1:48" x14ac:dyDescent="0.35">
      <c r="A328" s="3"/>
      <c r="B328" s="172" t="s">
        <v>283</v>
      </c>
      <c r="C328" s="3" t="s">
        <v>33</v>
      </c>
      <c r="D328" s="7">
        <v>15</v>
      </c>
      <c r="E328" s="3">
        <v>60</v>
      </c>
      <c r="F328" s="1">
        <f t="shared" si="1349"/>
        <v>900</v>
      </c>
      <c r="G328" s="7">
        <v>0</v>
      </c>
      <c r="H328" s="3">
        <v>60</v>
      </c>
      <c r="I328" s="27">
        <f t="shared" si="1350"/>
        <v>0</v>
      </c>
      <c r="J328" s="3">
        <f t="shared" si="1351"/>
        <v>15</v>
      </c>
      <c r="K328" s="7">
        <v>60</v>
      </c>
      <c r="L328" s="7">
        <f t="shared" si="1372"/>
        <v>900</v>
      </c>
      <c r="M328" s="3">
        <v>0</v>
      </c>
      <c r="N328" s="6">
        <f t="shared" si="1353"/>
        <v>900</v>
      </c>
      <c r="O328" s="34"/>
      <c r="P328" s="7">
        <f>36+24</f>
        <v>60</v>
      </c>
      <c r="Q328" s="3">
        <v>100</v>
      </c>
      <c r="R328" s="3">
        <f t="shared" si="1354"/>
        <v>6000</v>
      </c>
      <c r="S328" s="7">
        <v>5</v>
      </c>
      <c r="T328" s="3">
        <v>100</v>
      </c>
      <c r="U328" s="3">
        <f t="shared" si="1355"/>
        <v>500</v>
      </c>
      <c r="V328" s="3">
        <f t="shared" si="1356"/>
        <v>55</v>
      </c>
      <c r="W328" s="7">
        <v>100</v>
      </c>
      <c r="X328" s="7">
        <f t="shared" si="1373"/>
        <v>5500</v>
      </c>
      <c r="Y328" s="3">
        <v>0</v>
      </c>
      <c r="Z328" s="6">
        <f t="shared" si="1358"/>
        <v>5500</v>
      </c>
      <c r="AA328" s="82"/>
      <c r="AB328" s="7">
        <v>24</v>
      </c>
      <c r="AC328" s="3">
        <v>50</v>
      </c>
      <c r="AD328" s="3">
        <f t="shared" si="1359"/>
        <v>1200</v>
      </c>
      <c r="AE328" s="7">
        <v>0</v>
      </c>
      <c r="AF328" s="3">
        <v>50</v>
      </c>
      <c r="AG328" s="3">
        <f t="shared" si="1360"/>
        <v>0</v>
      </c>
      <c r="AH328" s="3">
        <f t="shared" si="1361"/>
        <v>24</v>
      </c>
      <c r="AI328" s="3">
        <v>50</v>
      </c>
      <c r="AJ328" s="7">
        <f t="shared" si="1362"/>
        <v>1200</v>
      </c>
      <c r="AK328" s="3">
        <v>0</v>
      </c>
      <c r="AL328" s="6">
        <f t="shared" si="1363"/>
        <v>1200</v>
      </c>
      <c r="AM328" s="6">
        <f t="shared" si="1364"/>
        <v>7600</v>
      </c>
      <c r="AN328" s="6">
        <f t="shared" si="1365"/>
        <v>0</v>
      </c>
      <c r="AO328" s="6">
        <f t="shared" si="1366"/>
        <v>7600</v>
      </c>
      <c r="AP328" s="3" t="s">
        <v>513</v>
      </c>
      <c r="AQ328" s="3">
        <f t="shared" si="1367"/>
        <v>7600</v>
      </c>
      <c r="AR328" s="3">
        <f>AQ328</f>
        <v>7600</v>
      </c>
      <c r="AS328" s="3"/>
      <c r="AT328" s="3"/>
    </row>
    <row r="329" spans="1:48" x14ac:dyDescent="0.35">
      <c r="A329" s="3"/>
      <c r="B329" s="172" t="s">
        <v>283</v>
      </c>
      <c r="C329" s="3" t="s">
        <v>33</v>
      </c>
      <c r="D329" s="7">
        <v>0</v>
      </c>
      <c r="E329" s="3">
        <v>55</v>
      </c>
      <c r="F329" s="1">
        <f t="shared" si="1349"/>
        <v>0</v>
      </c>
      <c r="G329" s="7">
        <v>0</v>
      </c>
      <c r="H329" s="3">
        <v>55</v>
      </c>
      <c r="I329" s="27">
        <f t="shared" si="1350"/>
        <v>0</v>
      </c>
      <c r="J329" s="3">
        <f t="shared" si="1351"/>
        <v>0</v>
      </c>
      <c r="K329" s="7">
        <v>55</v>
      </c>
      <c r="L329" s="7">
        <f t="shared" si="1372"/>
        <v>0</v>
      </c>
      <c r="M329" s="3">
        <v>0</v>
      </c>
      <c r="N329" s="6">
        <f t="shared" si="1353"/>
        <v>0</v>
      </c>
      <c r="O329" s="34"/>
      <c r="P329" s="7">
        <v>84</v>
      </c>
      <c r="Q329" s="3">
        <v>90</v>
      </c>
      <c r="R329" s="3">
        <f t="shared" si="1354"/>
        <v>7560</v>
      </c>
      <c r="S329" s="7">
        <v>0</v>
      </c>
      <c r="T329" s="3">
        <v>90</v>
      </c>
      <c r="U329" s="3">
        <f t="shared" si="1355"/>
        <v>0</v>
      </c>
      <c r="V329" s="3">
        <f t="shared" si="1356"/>
        <v>84</v>
      </c>
      <c r="W329" s="7">
        <v>90</v>
      </c>
      <c r="X329" s="7">
        <f t="shared" si="1373"/>
        <v>7560</v>
      </c>
      <c r="Y329" s="3">
        <v>0</v>
      </c>
      <c r="Z329" s="6">
        <f t="shared" si="1358"/>
        <v>7560</v>
      </c>
      <c r="AA329" s="82"/>
      <c r="AB329" s="7">
        <v>72</v>
      </c>
      <c r="AC329" s="3">
        <v>45</v>
      </c>
      <c r="AD329" s="3">
        <f t="shared" si="1359"/>
        <v>3240</v>
      </c>
      <c r="AE329" s="7">
        <v>0</v>
      </c>
      <c r="AF329" s="3">
        <v>45</v>
      </c>
      <c r="AG329" s="3">
        <f t="shared" si="1360"/>
        <v>0</v>
      </c>
      <c r="AH329" s="3">
        <f t="shared" si="1361"/>
        <v>72</v>
      </c>
      <c r="AI329" s="3">
        <v>45</v>
      </c>
      <c r="AJ329" s="7">
        <f t="shared" si="1362"/>
        <v>3240</v>
      </c>
      <c r="AK329" s="3">
        <v>0</v>
      </c>
      <c r="AL329" s="6">
        <f t="shared" si="1363"/>
        <v>3240</v>
      </c>
      <c r="AM329" s="6">
        <f t="shared" si="1364"/>
        <v>10800</v>
      </c>
      <c r="AN329" s="6">
        <f t="shared" si="1365"/>
        <v>0</v>
      </c>
      <c r="AO329" s="6">
        <f t="shared" si="1366"/>
        <v>10800</v>
      </c>
      <c r="AP329" s="3" t="s">
        <v>513</v>
      </c>
      <c r="AQ329" s="3">
        <f t="shared" si="1367"/>
        <v>10800</v>
      </c>
      <c r="AR329" s="3">
        <f>AQ329</f>
        <v>10800</v>
      </c>
      <c r="AS329" s="3">
        <f>AQ329-AR329</f>
        <v>0</v>
      </c>
      <c r="AT329" s="3"/>
    </row>
    <row r="330" spans="1:48" x14ac:dyDescent="0.35">
      <c r="A330" s="3"/>
      <c r="B330" s="3" t="s">
        <v>308</v>
      </c>
      <c r="C330" s="3" t="s">
        <v>33</v>
      </c>
      <c r="D330" s="7">
        <v>0</v>
      </c>
      <c r="E330" s="3">
        <v>60</v>
      </c>
      <c r="F330" s="1">
        <f t="shared" si="1349"/>
        <v>0</v>
      </c>
      <c r="G330" s="7">
        <v>0</v>
      </c>
      <c r="H330" s="3">
        <v>60</v>
      </c>
      <c r="I330" s="27">
        <f t="shared" si="1350"/>
        <v>0</v>
      </c>
      <c r="J330" s="3">
        <f t="shared" si="1351"/>
        <v>0</v>
      </c>
      <c r="K330" s="7">
        <v>60</v>
      </c>
      <c r="L330" s="7">
        <f t="shared" ref="L330:L331" si="1375">J330*K330</f>
        <v>0</v>
      </c>
      <c r="M330" s="3">
        <f>J330*5</f>
        <v>0</v>
      </c>
      <c r="N330" s="6">
        <f t="shared" si="1353"/>
        <v>0</v>
      </c>
      <c r="O330" s="34"/>
      <c r="P330" s="7">
        <v>0</v>
      </c>
      <c r="Q330" s="3">
        <v>100</v>
      </c>
      <c r="R330" s="3">
        <f t="shared" si="1354"/>
        <v>0</v>
      </c>
      <c r="S330" s="7">
        <v>0</v>
      </c>
      <c r="T330" s="3">
        <v>100</v>
      </c>
      <c r="U330" s="3">
        <f t="shared" si="1355"/>
        <v>0</v>
      </c>
      <c r="V330" s="3">
        <f t="shared" si="1356"/>
        <v>0</v>
      </c>
      <c r="W330" s="7">
        <v>100</v>
      </c>
      <c r="X330" s="7">
        <f t="shared" si="1373"/>
        <v>0</v>
      </c>
      <c r="Y330" s="3">
        <f>V330*5</f>
        <v>0</v>
      </c>
      <c r="Z330" s="6">
        <f t="shared" si="1358"/>
        <v>0</v>
      </c>
      <c r="AA330" s="82">
        <v>195</v>
      </c>
      <c r="AB330" s="7">
        <v>0</v>
      </c>
      <c r="AC330" s="3">
        <v>50</v>
      </c>
      <c r="AD330" s="3">
        <f t="shared" si="1359"/>
        <v>0</v>
      </c>
      <c r="AE330" s="7">
        <v>0</v>
      </c>
      <c r="AF330" s="3">
        <v>50</v>
      </c>
      <c r="AG330" s="3">
        <f t="shared" si="1360"/>
        <v>0</v>
      </c>
      <c r="AH330" s="3">
        <f t="shared" si="1361"/>
        <v>0</v>
      </c>
      <c r="AI330" s="3">
        <v>50</v>
      </c>
      <c r="AJ330" s="7">
        <f t="shared" si="1362"/>
        <v>0</v>
      </c>
      <c r="AK330" s="3">
        <f>AH330*5</f>
        <v>0</v>
      </c>
      <c r="AL330" s="6">
        <f t="shared" si="1363"/>
        <v>0</v>
      </c>
      <c r="AM330" s="6">
        <f t="shared" si="1364"/>
        <v>0</v>
      </c>
      <c r="AN330" s="6">
        <f t="shared" si="1365"/>
        <v>0</v>
      </c>
      <c r="AO330" s="6">
        <f t="shared" si="1366"/>
        <v>0</v>
      </c>
      <c r="AP330" s="3" t="s">
        <v>513</v>
      </c>
      <c r="AQ330" s="3">
        <f t="shared" si="1367"/>
        <v>0</v>
      </c>
      <c r="AR330" s="3">
        <f t="shared" ref="AR330:AR331" si="1376">AQ330</f>
        <v>0</v>
      </c>
      <c r="AS330" s="3">
        <f t="shared" ref="AS330:AS331" si="1377">AQ330-AR330</f>
        <v>0</v>
      </c>
      <c r="AT330" s="3"/>
    </row>
    <row r="331" spans="1:48" x14ac:dyDescent="0.35">
      <c r="A331" s="3"/>
      <c r="B331" s="3" t="s">
        <v>308</v>
      </c>
      <c r="C331" s="3" t="s">
        <v>332</v>
      </c>
      <c r="D331" s="7">
        <v>0</v>
      </c>
      <c r="E331" s="3">
        <v>60</v>
      </c>
      <c r="F331" s="1">
        <v>0</v>
      </c>
      <c r="G331" s="7">
        <v>0</v>
      </c>
      <c r="H331" s="3">
        <v>60</v>
      </c>
      <c r="I331" s="27">
        <f t="shared" si="1350"/>
        <v>0</v>
      </c>
      <c r="J331" s="3">
        <v>0</v>
      </c>
      <c r="K331" s="7">
        <v>60</v>
      </c>
      <c r="L331" s="7">
        <f t="shared" si="1375"/>
        <v>0</v>
      </c>
      <c r="M331" s="3">
        <v>0</v>
      </c>
      <c r="N331" s="6">
        <f t="shared" si="1353"/>
        <v>0</v>
      </c>
      <c r="O331" s="34"/>
      <c r="P331" s="7">
        <v>0</v>
      </c>
      <c r="Q331" s="3">
        <v>100</v>
      </c>
      <c r="R331" s="3">
        <v>0</v>
      </c>
      <c r="S331" s="7">
        <v>0</v>
      </c>
      <c r="T331" s="3">
        <v>100</v>
      </c>
      <c r="U331" s="3">
        <f t="shared" si="1355"/>
        <v>0</v>
      </c>
      <c r="V331" s="3">
        <v>0</v>
      </c>
      <c r="W331" s="7">
        <v>100</v>
      </c>
      <c r="X331" s="7">
        <f t="shared" si="1373"/>
        <v>0</v>
      </c>
      <c r="Y331" s="3">
        <v>0</v>
      </c>
      <c r="Z331" s="6">
        <f t="shared" si="1358"/>
        <v>0</v>
      </c>
      <c r="AA331" s="82"/>
      <c r="AB331" s="7">
        <v>0</v>
      </c>
      <c r="AC331" s="3">
        <v>50</v>
      </c>
      <c r="AD331" s="3">
        <v>0</v>
      </c>
      <c r="AE331" s="7">
        <v>0</v>
      </c>
      <c r="AF331" s="3">
        <v>50</v>
      </c>
      <c r="AG331" s="3">
        <f t="shared" si="1360"/>
        <v>0</v>
      </c>
      <c r="AH331" s="3">
        <v>0</v>
      </c>
      <c r="AI331" s="3">
        <v>50</v>
      </c>
      <c r="AJ331" s="7">
        <f t="shared" si="1362"/>
        <v>0</v>
      </c>
      <c r="AK331" s="3">
        <v>0</v>
      </c>
      <c r="AL331" s="6">
        <f t="shared" si="1363"/>
        <v>0</v>
      </c>
      <c r="AM331" s="6">
        <f t="shared" si="1364"/>
        <v>0</v>
      </c>
      <c r="AN331" s="6">
        <f t="shared" si="1365"/>
        <v>0</v>
      </c>
      <c r="AO331" s="6">
        <f t="shared" si="1366"/>
        <v>0</v>
      </c>
      <c r="AP331" s="3" t="s">
        <v>513</v>
      </c>
      <c r="AQ331" s="3">
        <f t="shared" si="1367"/>
        <v>0</v>
      </c>
      <c r="AR331" s="3">
        <f t="shared" si="1376"/>
        <v>0</v>
      </c>
      <c r="AS331" s="3">
        <f t="shared" si="1377"/>
        <v>0</v>
      </c>
      <c r="AT331" s="3"/>
    </row>
    <row r="332" spans="1:48" x14ac:dyDescent="0.35">
      <c r="A332" s="19"/>
      <c r="B332" s="19" t="s">
        <v>36</v>
      </c>
      <c r="C332" s="19"/>
      <c r="D332" s="19">
        <f>SUM(D322:D331)</f>
        <v>615</v>
      </c>
      <c r="E332" s="19"/>
      <c r="F332" s="19">
        <f>SUM(F322:F331)</f>
        <v>36600</v>
      </c>
      <c r="G332" s="19">
        <f>SUM(G322:G331)</f>
        <v>188</v>
      </c>
      <c r="H332" s="19"/>
      <c r="I332" s="19">
        <f>SUM(I322:I331)</f>
        <v>11280</v>
      </c>
      <c r="J332" s="19">
        <f>SUM(J322:J331)</f>
        <v>427</v>
      </c>
      <c r="K332" s="19"/>
      <c r="L332" s="19">
        <f>SUM(L322:L331)</f>
        <v>25320</v>
      </c>
      <c r="M332" s="19">
        <f>SUM(M322:M331)</f>
        <v>675</v>
      </c>
      <c r="N332" s="19">
        <f>SUM(N322:N331)</f>
        <v>24645</v>
      </c>
      <c r="O332" s="34"/>
      <c r="P332" s="19">
        <f>SUM(P322:P331)</f>
        <v>910</v>
      </c>
      <c r="Q332" s="19"/>
      <c r="R332" s="19">
        <f>SUM(R322:R331)</f>
        <v>90160</v>
      </c>
      <c r="S332" s="19">
        <f>SUM(S322:S331)</f>
        <v>68</v>
      </c>
      <c r="T332" s="19"/>
      <c r="U332" s="19">
        <f>SUM(U322:U331)</f>
        <v>6800</v>
      </c>
      <c r="V332" s="19">
        <f>SUM(V322:V331)</f>
        <v>842</v>
      </c>
      <c r="W332" s="19"/>
      <c r="X332" s="19">
        <f>SUM(X322:X331)</f>
        <v>83360</v>
      </c>
      <c r="Y332" s="19">
        <f>SUM(Y322:Y331)</f>
        <v>2400</v>
      </c>
      <c r="Z332" s="19">
        <f>SUM(Z322:Z331)</f>
        <v>80960</v>
      </c>
      <c r="AA332" s="34"/>
      <c r="AB332" s="19">
        <f>SUM(AB322:AB331)</f>
        <v>1008</v>
      </c>
      <c r="AC332" s="19"/>
      <c r="AD332" s="19">
        <f>SUM(AD322:AD331)</f>
        <v>47640</v>
      </c>
      <c r="AE332" s="19">
        <f>SUM(AE322:AE331)</f>
        <v>17</v>
      </c>
      <c r="AF332" s="19"/>
      <c r="AG332" s="19">
        <f>SUM(AG322:AG331)</f>
        <v>850</v>
      </c>
      <c r="AH332" s="19">
        <f>SUM(AH322:AH331)</f>
        <v>991</v>
      </c>
      <c r="AI332" s="19"/>
      <c r="AJ332" s="19">
        <f t="shared" ref="AJ332:AO332" si="1378">SUM(AJ322:AJ331)</f>
        <v>46790</v>
      </c>
      <c r="AK332" s="19">
        <f t="shared" si="1378"/>
        <v>635</v>
      </c>
      <c r="AL332" s="19">
        <f t="shared" si="1378"/>
        <v>46155</v>
      </c>
      <c r="AM332" s="19">
        <f t="shared" si="1378"/>
        <v>155470</v>
      </c>
      <c r="AN332" s="19">
        <f t="shared" si="1378"/>
        <v>3710</v>
      </c>
      <c r="AO332" s="19">
        <f t="shared" si="1378"/>
        <v>151760</v>
      </c>
      <c r="AP332" s="19"/>
      <c r="AQ332" s="19">
        <f>SUM(AQ322:AQ331)</f>
        <v>151760</v>
      </c>
      <c r="AR332" s="19">
        <f>SUM(AR322:AR331)</f>
        <v>151760</v>
      </c>
      <c r="AS332" s="19">
        <f>SUM(AS322:AS331)</f>
        <v>0</v>
      </c>
      <c r="AT332" s="74"/>
    </row>
    <row r="333" spans="1:48" x14ac:dyDescent="0.35">
      <c r="A333" s="3" t="s">
        <v>514</v>
      </c>
      <c r="B333" s="3" t="s">
        <v>276</v>
      </c>
      <c r="C333" s="3" t="s">
        <v>33</v>
      </c>
      <c r="D333" s="7">
        <v>0</v>
      </c>
      <c r="E333" s="3">
        <v>60</v>
      </c>
      <c r="F333" s="1">
        <f t="shared" ref="F333:F342" si="1379">D333*E333</f>
        <v>0</v>
      </c>
      <c r="G333" s="7">
        <v>0</v>
      </c>
      <c r="H333" s="3">
        <v>60</v>
      </c>
      <c r="I333" s="27">
        <f t="shared" ref="I333:I343" si="1380">G333*H333</f>
        <v>0</v>
      </c>
      <c r="J333" s="3">
        <f t="shared" ref="J333:J342" si="1381">D333-G333</f>
        <v>0</v>
      </c>
      <c r="K333" s="7">
        <v>60</v>
      </c>
      <c r="L333" s="7">
        <f t="shared" ref="L333:L334" si="1382">J333*K333</f>
        <v>0</v>
      </c>
      <c r="M333" s="3">
        <v>0</v>
      </c>
      <c r="N333" s="6">
        <f t="shared" ref="N333:N343" si="1383">L333-M333</f>
        <v>0</v>
      </c>
      <c r="O333" s="34"/>
      <c r="P333" s="3">
        <v>0</v>
      </c>
      <c r="Q333" s="3">
        <v>100</v>
      </c>
      <c r="R333" s="3">
        <f t="shared" ref="R333:R342" si="1384">P333*Q333</f>
        <v>0</v>
      </c>
      <c r="S333" s="7">
        <v>0</v>
      </c>
      <c r="T333" s="3">
        <v>100</v>
      </c>
      <c r="U333" s="3">
        <f t="shared" ref="U333:U343" si="1385">S333*T333</f>
        <v>0</v>
      </c>
      <c r="V333" s="3">
        <f t="shared" ref="V333:V342" si="1386">P333-S333</f>
        <v>0</v>
      </c>
      <c r="W333" s="7">
        <v>100</v>
      </c>
      <c r="X333" s="7">
        <f t="shared" ref="X333" si="1387">V333*W333</f>
        <v>0</v>
      </c>
      <c r="Y333" s="3">
        <v>0</v>
      </c>
      <c r="Z333" s="6">
        <f t="shared" ref="Z333:Z343" si="1388">X333-Y333</f>
        <v>0</v>
      </c>
      <c r="AA333" s="82"/>
      <c r="AB333" s="3">
        <v>0</v>
      </c>
      <c r="AC333" s="3">
        <v>50</v>
      </c>
      <c r="AD333" s="3">
        <f t="shared" ref="AD333:AD342" si="1389">AB333*AC333</f>
        <v>0</v>
      </c>
      <c r="AE333" s="3">
        <v>0</v>
      </c>
      <c r="AF333" s="3">
        <v>50</v>
      </c>
      <c r="AG333" s="3">
        <f t="shared" ref="AG333:AG343" si="1390">AE333*AF333</f>
        <v>0</v>
      </c>
      <c r="AH333" s="3">
        <f t="shared" ref="AH333:AH342" si="1391">AB333-AE333</f>
        <v>0</v>
      </c>
      <c r="AI333" s="3">
        <v>50</v>
      </c>
      <c r="AJ333" s="7">
        <f t="shared" ref="AJ333:AJ343" si="1392">AH333*AI333</f>
        <v>0</v>
      </c>
      <c r="AK333" s="3">
        <v>0</v>
      </c>
      <c r="AL333" s="6">
        <f t="shared" ref="AL333:AL343" si="1393">AJ333-AK333</f>
        <v>0</v>
      </c>
      <c r="AM333" s="6">
        <f t="shared" ref="AM333:AM343" si="1394">L333+X333+AJ333</f>
        <v>0</v>
      </c>
      <c r="AN333" s="6">
        <f t="shared" ref="AN333:AN343" si="1395">M333+Y333+AK333</f>
        <v>0</v>
      </c>
      <c r="AO333" s="6">
        <f t="shared" ref="AO333:AO343" si="1396">AM333-AN333</f>
        <v>0</v>
      </c>
      <c r="AP333" s="3" t="s">
        <v>514</v>
      </c>
      <c r="AQ333" s="3">
        <f t="shared" ref="AQ333:AQ343" si="1397">AO333</f>
        <v>0</v>
      </c>
      <c r="AR333" s="3">
        <f t="shared" ref="AR333:AR341" si="1398">AQ333</f>
        <v>0</v>
      </c>
      <c r="AS333" s="3">
        <f t="shared" ref="AS333:AS336" si="1399">AQ333-AR333</f>
        <v>0</v>
      </c>
      <c r="AT333" s="3"/>
    </row>
    <row r="334" spans="1:48" x14ac:dyDescent="0.35">
      <c r="A334" s="3"/>
      <c r="B334" s="3" t="s">
        <v>276</v>
      </c>
      <c r="C334" s="3" t="s">
        <v>182</v>
      </c>
      <c r="D334" s="7">
        <v>0</v>
      </c>
      <c r="E334" s="3">
        <v>55</v>
      </c>
      <c r="F334" s="1">
        <f t="shared" si="1379"/>
        <v>0</v>
      </c>
      <c r="G334" s="7">
        <v>0</v>
      </c>
      <c r="H334" s="3">
        <v>55</v>
      </c>
      <c r="I334" s="27">
        <f t="shared" si="1380"/>
        <v>0</v>
      </c>
      <c r="J334" s="3">
        <f t="shared" si="1381"/>
        <v>0</v>
      </c>
      <c r="K334" s="7">
        <v>55</v>
      </c>
      <c r="L334" s="7">
        <f t="shared" si="1382"/>
        <v>0</v>
      </c>
      <c r="M334" s="7">
        <v>0</v>
      </c>
      <c r="N334" s="6">
        <f t="shared" si="1383"/>
        <v>0</v>
      </c>
      <c r="O334" s="34"/>
      <c r="P334" s="7">
        <v>0</v>
      </c>
      <c r="Q334" s="3">
        <v>100</v>
      </c>
      <c r="R334" s="3">
        <f t="shared" si="1384"/>
        <v>0</v>
      </c>
      <c r="S334" s="7">
        <v>0</v>
      </c>
      <c r="T334" s="3">
        <v>100</v>
      </c>
      <c r="U334" s="3">
        <f t="shared" si="1385"/>
        <v>0</v>
      </c>
      <c r="V334" s="3">
        <f t="shared" si="1386"/>
        <v>0</v>
      </c>
      <c r="W334" s="7">
        <v>100</v>
      </c>
      <c r="X334" s="7">
        <f>V334*W334</f>
        <v>0</v>
      </c>
      <c r="Y334" s="7">
        <v>0</v>
      </c>
      <c r="Z334" s="6">
        <f t="shared" si="1388"/>
        <v>0</v>
      </c>
      <c r="AA334" s="82"/>
      <c r="AB334" s="7">
        <v>0</v>
      </c>
      <c r="AC334" s="3">
        <v>50</v>
      </c>
      <c r="AD334" s="3">
        <f t="shared" si="1389"/>
        <v>0</v>
      </c>
      <c r="AE334" s="7">
        <v>0</v>
      </c>
      <c r="AF334" s="3">
        <v>50</v>
      </c>
      <c r="AG334" s="3">
        <f t="shared" si="1390"/>
        <v>0</v>
      </c>
      <c r="AH334" s="3">
        <f t="shared" si="1391"/>
        <v>0</v>
      </c>
      <c r="AI334" s="3">
        <v>50</v>
      </c>
      <c r="AJ334" s="7">
        <f t="shared" si="1392"/>
        <v>0</v>
      </c>
      <c r="AK334" s="7">
        <v>0</v>
      </c>
      <c r="AL334" s="6">
        <f t="shared" si="1393"/>
        <v>0</v>
      </c>
      <c r="AM334" s="6">
        <f t="shared" si="1394"/>
        <v>0</v>
      </c>
      <c r="AN334" s="6">
        <f t="shared" si="1395"/>
        <v>0</v>
      </c>
      <c r="AO334" s="6">
        <f t="shared" si="1396"/>
        <v>0</v>
      </c>
      <c r="AP334" s="3" t="s">
        <v>514</v>
      </c>
      <c r="AQ334" s="3">
        <f t="shared" si="1397"/>
        <v>0</v>
      </c>
      <c r="AR334" s="3">
        <f t="shared" si="1398"/>
        <v>0</v>
      </c>
      <c r="AS334" s="3">
        <f t="shared" si="1399"/>
        <v>0</v>
      </c>
      <c r="AT334" s="3"/>
    </row>
    <row r="335" spans="1:48" x14ac:dyDescent="0.35">
      <c r="A335" s="3"/>
      <c r="B335" s="3" t="s">
        <v>386</v>
      </c>
      <c r="C335" s="3" t="s">
        <v>33</v>
      </c>
      <c r="D335" s="7">
        <v>0</v>
      </c>
      <c r="E335" s="3">
        <v>60</v>
      </c>
      <c r="F335" s="1">
        <f t="shared" si="1379"/>
        <v>0</v>
      </c>
      <c r="G335" s="7">
        <v>0</v>
      </c>
      <c r="H335" s="3">
        <v>60</v>
      </c>
      <c r="I335" s="27">
        <f t="shared" si="1380"/>
        <v>0</v>
      </c>
      <c r="J335" s="3">
        <f t="shared" si="1381"/>
        <v>0</v>
      </c>
      <c r="K335" s="7">
        <v>60</v>
      </c>
      <c r="L335" s="7">
        <f>J335*K335</f>
        <v>0</v>
      </c>
      <c r="M335" s="7">
        <v>0</v>
      </c>
      <c r="N335" s="6">
        <f t="shared" si="1383"/>
        <v>0</v>
      </c>
      <c r="O335" s="34"/>
      <c r="P335" s="7">
        <v>0</v>
      </c>
      <c r="Q335" s="3">
        <v>100</v>
      </c>
      <c r="R335" s="3">
        <f t="shared" si="1384"/>
        <v>0</v>
      </c>
      <c r="S335" s="7">
        <v>0</v>
      </c>
      <c r="T335" s="3">
        <v>100</v>
      </c>
      <c r="U335" s="3">
        <f t="shared" si="1385"/>
        <v>0</v>
      </c>
      <c r="V335" s="3">
        <f t="shared" si="1386"/>
        <v>0</v>
      </c>
      <c r="W335" s="7">
        <v>100</v>
      </c>
      <c r="X335" s="7">
        <f>V335*W335</f>
        <v>0</v>
      </c>
      <c r="Y335" s="7">
        <v>0</v>
      </c>
      <c r="Z335" s="6">
        <f t="shared" si="1388"/>
        <v>0</v>
      </c>
      <c r="AA335" s="82"/>
      <c r="AB335" s="7">
        <v>0</v>
      </c>
      <c r="AC335" s="3">
        <v>50</v>
      </c>
      <c r="AD335" s="3">
        <f t="shared" si="1389"/>
        <v>0</v>
      </c>
      <c r="AE335" s="7">
        <v>0</v>
      </c>
      <c r="AF335" s="3">
        <v>50</v>
      </c>
      <c r="AG335" s="3">
        <f t="shared" si="1390"/>
        <v>0</v>
      </c>
      <c r="AH335" s="3">
        <f t="shared" si="1391"/>
        <v>0</v>
      </c>
      <c r="AI335" s="3">
        <v>50</v>
      </c>
      <c r="AJ335" s="7">
        <f t="shared" si="1392"/>
        <v>0</v>
      </c>
      <c r="AK335" s="7">
        <v>0</v>
      </c>
      <c r="AL335" s="6">
        <f t="shared" si="1393"/>
        <v>0</v>
      </c>
      <c r="AM335" s="6">
        <f t="shared" si="1394"/>
        <v>0</v>
      </c>
      <c r="AN335" s="6">
        <f t="shared" si="1395"/>
        <v>0</v>
      </c>
      <c r="AO335" s="6">
        <f t="shared" si="1396"/>
        <v>0</v>
      </c>
      <c r="AP335" s="3" t="s">
        <v>514</v>
      </c>
      <c r="AQ335" s="3">
        <f t="shared" si="1397"/>
        <v>0</v>
      </c>
      <c r="AR335" s="3">
        <f t="shared" si="1398"/>
        <v>0</v>
      </c>
      <c r="AS335" s="3">
        <f t="shared" si="1399"/>
        <v>0</v>
      </c>
      <c r="AT335" s="3"/>
    </row>
    <row r="336" spans="1:48" x14ac:dyDescent="0.35">
      <c r="A336" s="3"/>
      <c r="B336" s="3" t="s">
        <v>386</v>
      </c>
      <c r="C336" s="3" t="s">
        <v>182</v>
      </c>
      <c r="D336" s="7">
        <v>0</v>
      </c>
      <c r="E336" s="3">
        <v>55</v>
      </c>
      <c r="F336" s="1">
        <f t="shared" si="1379"/>
        <v>0</v>
      </c>
      <c r="G336" s="7">
        <v>0</v>
      </c>
      <c r="H336" s="3">
        <v>55</v>
      </c>
      <c r="I336" s="27">
        <f t="shared" si="1380"/>
        <v>0</v>
      </c>
      <c r="J336" s="3">
        <f t="shared" si="1381"/>
        <v>0</v>
      </c>
      <c r="K336" s="7">
        <v>55</v>
      </c>
      <c r="L336" s="7">
        <f t="shared" ref="L336" si="1400">J336*K336</f>
        <v>0</v>
      </c>
      <c r="M336" s="7">
        <v>0</v>
      </c>
      <c r="N336" s="6">
        <f t="shared" si="1383"/>
        <v>0</v>
      </c>
      <c r="O336" s="34"/>
      <c r="P336" s="7">
        <v>0</v>
      </c>
      <c r="Q336" s="3">
        <v>100</v>
      </c>
      <c r="R336" s="3">
        <f t="shared" si="1384"/>
        <v>0</v>
      </c>
      <c r="S336" s="7">
        <v>0</v>
      </c>
      <c r="T336" s="3">
        <v>100</v>
      </c>
      <c r="U336" s="3">
        <f t="shared" si="1385"/>
        <v>0</v>
      </c>
      <c r="V336" s="3">
        <f t="shared" si="1386"/>
        <v>0</v>
      </c>
      <c r="W336" s="7">
        <v>100</v>
      </c>
      <c r="X336" s="7">
        <f>V336*W336</f>
        <v>0</v>
      </c>
      <c r="Y336" s="7">
        <v>0</v>
      </c>
      <c r="Z336" s="6">
        <f t="shared" si="1388"/>
        <v>0</v>
      </c>
      <c r="AA336" s="82"/>
      <c r="AB336" s="7">
        <v>0</v>
      </c>
      <c r="AC336" s="3">
        <v>45</v>
      </c>
      <c r="AD336" s="3">
        <f t="shared" si="1389"/>
        <v>0</v>
      </c>
      <c r="AE336" s="7">
        <v>0</v>
      </c>
      <c r="AF336" s="3">
        <v>45</v>
      </c>
      <c r="AG336" s="3">
        <f t="shared" si="1390"/>
        <v>0</v>
      </c>
      <c r="AH336" s="3">
        <f t="shared" si="1391"/>
        <v>0</v>
      </c>
      <c r="AI336" s="3">
        <v>45</v>
      </c>
      <c r="AJ336" s="7">
        <f t="shared" si="1392"/>
        <v>0</v>
      </c>
      <c r="AK336" s="7">
        <v>0</v>
      </c>
      <c r="AL336" s="6">
        <f t="shared" si="1393"/>
        <v>0</v>
      </c>
      <c r="AM336" s="6">
        <f t="shared" si="1394"/>
        <v>0</v>
      </c>
      <c r="AN336" s="6">
        <f t="shared" si="1395"/>
        <v>0</v>
      </c>
      <c r="AO336" s="6">
        <f t="shared" si="1396"/>
        <v>0</v>
      </c>
      <c r="AP336" s="3" t="s">
        <v>514</v>
      </c>
      <c r="AQ336" s="3">
        <f t="shared" si="1397"/>
        <v>0</v>
      </c>
      <c r="AR336" s="3">
        <f t="shared" si="1398"/>
        <v>0</v>
      </c>
      <c r="AS336" s="3">
        <f t="shared" si="1399"/>
        <v>0</v>
      </c>
      <c r="AT336" s="3"/>
    </row>
    <row r="337" spans="1:46" x14ac:dyDescent="0.35">
      <c r="A337" s="3"/>
      <c r="B337" s="3" t="s">
        <v>415</v>
      </c>
      <c r="C337" s="3" t="s">
        <v>33</v>
      </c>
      <c r="D337" s="7">
        <v>0</v>
      </c>
      <c r="E337" s="3">
        <v>60</v>
      </c>
      <c r="F337" s="1">
        <f t="shared" si="1379"/>
        <v>0</v>
      </c>
      <c r="G337" s="7">
        <v>0</v>
      </c>
      <c r="H337" s="3">
        <v>60</v>
      </c>
      <c r="I337" s="27">
        <f t="shared" si="1380"/>
        <v>0</v>
      </c>
      <c r="J337" s="3">
        <f t="shared" si="1381"/>
        <v>0</v>
      </c>
      <c r="K337" s="7">
        <v>60</v>
      </c>
      <c r="L337" s="7">
        <f t="shared" ref="L337:L341" si="1401">J337*K337</f>
        <v>0</v>
      </c>
      <c r="M337" s="3">
        <f>J337*5</f>
        <v>0</v>
      </c>
      <c r="N337" s="6">
        <f t="shared" si="1383"/>
        <v>0</v>
      </c>
      <c r="O337" s="34"/>
      <c r="P337" s="3">
        <f>M337*5</f>
        <v>0</v>
      </c>
      <c r="Q337" s="3">
        <v>100</v>
      </c>
      <c r="R337" s="3">
        <f t="shared" si="1384"/>
        <v>0</v>
      </c>
      <c r="S337" s="7">
        <v>0</v>
      </c>
      <c r="T337" s="3">
        <v>100</v>
      </c>
      <c r="U337" s="3">
        <f t="shared" si="1385"/>
        <v>0</v>
      </c>
      <c r="V337" s="3">
        <f t="shared" si="1386"/>
        <v>0</v>
      </c>
      <c r="W337" s="7">
        <v>100</v>
      </c>
      <c r="X337" s="7">
        <f t="shared" ref="X337:X343" si="1402">V337*W337</f>
        <v>0</v>
      </c>
      <c r="Y337" s="3">
        <f>V337*10</f>
        <v>0</v>
      </c>
      <c r="Z337" s="6">
        <f t="shared" si="1388"/>
        <v>0</v>
      </c>
      <c r="AA337" s="82"/>
      <c r="AB337" s="3">
        <f>Y337*5</f>
        <v>0</v>
      </c>
      <c r="AC337" s="3">
        <v>50</v>
      </c>
      <c r="AD337" s="3">
        <f t="shared" si="1389"/>
        <v>0</v>
      </c>
      <c r="AE337" s="3">
        <f>AB337*5</f>
        <v>0</v>
      </c>
      <c r="AF337" s="3">
        <v>50</v>
      </c>
      <c r="AG337" s="3">
        <f t="shared" si="1390"/>
        <v>0</v>
      </c>
      <c r="AH337" s="3">
        <f t="shared" si="1391"/>
        <v>0</v>
      </c>
      <c r="AI337" s="3">
        <v>50</v>
      </c>
      <c r="AJ337" s="7">
        <f t="shared" si="1392"/>
        <v>0</v>
      </c>
      <c r="AK337" s="3">
        <f>AH337*5</f>
        <v>0</v>
      </c>
      <c r="AL337" s="6">
        <f t="shared" si="1393"/>
        <v>0</v>
      </c>
      <c r="AM337" s="6">
        <f t="shared" si="1394"/>
        <v>0</v>
      </c>
      <c r="AN337" s="6">
        <f t="shared" si="1395"/>
        <v>0</v>
      </c>
      <c r="AO337" s="6">
        <f t="shared" si="1396"/>
        <v>0</v>
      </c>
      <c r="AP337" s="3" t="s">
        <v>514</v>
      </c>
      <c r="AQ337" s="3">
        <f t="shared" si="1397"/>
        <v>0</v>
      </c>
      <c r="AR337" s="3">
        <f t="shared" si="1398"/>
        <v>0</v>
      </c>
      <c r="AS337" s="3">
        <f>AQ337-AR337</f>
        <v>0</v>
      </c>
      <c r="AT337" s="3"/>
    </row>
    <row r="338" spans="1:46" x14ac:dyDescent="0.35">
      <c r="A338" s="3"/>
      <c r="B338" s="3" t="s">
        <v>326</v>
      </c>
      <c r="C338" s="3" t="s">
        <v>33</v>
      </c>
      <c r="D338" s="7">
        <v>0</v>
      </c>
      <c r="E338" s="3">
        <v>60</v>
      </c>
      <c r="F338" s="1">
        <f t="shared" si="1379"/>
        <v>0</v>
      </c>
      <c r="G338" s="7">
        <v>0</v>
      </c>
      <c r="H338" s="3">
        <v>60</v>
      </c>
      <c r="I338" s="27">
        <f t="shared" si="1380"/>
        <v>0</v>
      </c>
      <c r="J338" s="3">
        <f t="shared" si="1381"/>
        <v>0</v>
      </c>
      <c r="K338" s="7">
        <v>60</v>
      </c>
      <c r="L338" s="7">
        <f t="shared" si="1401"/>
        <v>0</v>
      </c>
      <c r="M338" s="3">
        <v>0</v>
      </c>
      <c r="N338" s="6">
        <f t="shared" si="1383"/>
        <v>0</v>
      </c>
      <c r="O338" s="34"/>
      <c r="P338" s="3">
        <v>0</v>
      </c>
      <c r="Q338" s="3">
        <v>100</v>
      </c>
      <c r="R338" s="3">
        <f t="shared" si="1384"/>
        <v>0</v>
      </c>
      <c r="S338" s="7">
        <v>0</v>
      </c>
      <c r="T338" s="3">
        <v>100</v>
      </c>
      <c r="U338" s="3">
        <f t="shared" si="1385"/>
        <v>0</v>
      </c>
      <c r="V338" s="3">
        <f t="shared" si="1386"/>
        <v>0</v>
      </c>
      <c r="W338" s="7">
        <v>100</v>
      </c>
      <c r="X338" s="7">
        <f t="shared" si="1402"/>
        <v>0</v>
      </c>
      <c r="Y338" s="3">
        <v>0</v>
      </c>
      <c r="Z338" s="6">
        <f t="shared" si="1388"/>
        <v>0</v>
      </c>
      <c r="AA338" s="82"/>
      <c r="AB338" s="3">
        <v>0</v>
      </c>
      <c r="AC338" s="3">
        <v>50</v>
      </c>
      <c r="AD338" s="3">
        <f t="shared" si="1389"/>
        <v>0</v>
      </c>
      <c r="AE338" s="3">
        <v>0</v>
      </c>
      <c r="AF338" s="3">
        <v>50</v>
      </c>
      <c r="AG338" s="3">
        <f t="shared" si="1390"/>
        <v>0</v>
      </c>
      <c r="AH338" s="3">
        <f t="shared" si="1391"/>
        <v>0</v>
      </c>
      <c r="AI338" s="3">
        <v>50</v>
      </c>
      <c r="AJ338" s="7">
        <f t="shared" si="1392"/>
        <v>0</v>
      </c>
      <c r="AK338" s="3">
        <v>0</v>
      </c>
      <c r="AL338" s="6">
        <f t="shared" si="1393"/>
        <v>0</v>
      </c>
      <c r="AM338" s="6">
        <f t="shared" si="1394"/>
        <v>0</v>
      </c>
      <c r="AN338" s="6">
        <f t="shared" si="1395"/>
        <v>0</v>
      </c>
      <c r="AO338" s="6">
        <f t="shared" si="1396"/>
        <v>0</v>
      </c>
      <c r="AP338" s="3" t="s">
        <v>514</v>
      </c>
      <c r="AQ338" s="3">
        <f t="shared" si="1397"/>
        <v>0</v>
      </c>
      <c r="AR338" s="3">
        <f t="shared" si="1398"/>
        <v>0</v>
      </c>
      <c r="AS338" s="3">
        <f t="shared" ref="AS338" si="1403">AQ338-AR338</f>
        <v>0</v>
      </c>
      <c r="AT338" s="3"/>
    </row>
    <row r="339" spans="1:46" x14ac:dyDescent="0.35">
      <c r="A339" s="3"/>
      <c r="B339" s="3" t="s">
        <v>283</v>
      </c>
      <c r="C339" s="3" t="s">
        <v>33</v>
      </c>
      <c r="D339" s="7">
        <v>0</v>
      </c>
      <c r="E339" s="3">
        <v>60</v>
      </c>
      <c r="F339" s="1">
        <f t="shared" si="1379"/>
        <v>0</v>
      </c>
      <c r="G339" s="7">
        <v>0</v>
      </c>
      <c r="H339" s="3">
        <v>60</v>
      </c>
      <c r="I339" s="27">
        <f t="shared" si="1380"/>
        <v>0</v>
      </c>
      <c r="J339" s="3">
        <f t="shared" si="1381"/>
        <v>0</v>
      </c>
      <c r="K339" s="7">
        <v>60</v>
      </c>
      <c r="L339" s="7">
        <f t="shared" si="1401"/>
        <v>0</v>
      </c>
      <c r="M339" s="3">
        <v>0</v>
      </c>
      <c r="N339" s="6">
        <f t="shared" si="1383"/>
        <v>0</v>
      </c>
      <c r="O339" s="34"/>
      <c r="P339" s="3">
        <v>0</v>
      </c>
      <c r="Q339" s="3">
        <v>100</v>
      </c>
      <c r="R339" s="3">
        <f t="shared" si="1384"/>
        <v>0</v>
      </c>
      <c r="S339" s="7">
        <v>0</v>
      </c>
      <c r="T339" s="3">
        <v>100</v>
      </c>
      <c r="U339" s="3">
        <f t="shared" si="1385"/>
        <v>0</v>
      </c>
      <c r="V339" s="3">
        <f t="shared" si="1386"/>
        <v>0</v>
      </c>
      <c r="W339" s="7">
        <v>100</v>
      </c>
      <c r="X339" s="7">
        <f t="shared" si="1402"/>
        <v>0</v>
      </c>
      <c r="Y339" s="3">
        <v>0</v>
      </c>
      <c r="Z339" s="6">
        <f t="shared" si="1388"/>
        <v>0</v>
      </c>
      <c r="AA339" s="82"/>
      <c r="AB339" s="3">
        <v>0</v>
      </c>
      <c r="AC339" s="3">
        <v>50</v>
      </c>
      <c r="AD339" s="3">
        <f t="shared" si="1389"/>
        <v>0</v>
      </c>
      <c r="AE339" s="3">
        <v>0</v>
      </c>
      <c r="AF339" s="3">
        <v>50</v>
      </c>
      <c r="AG339" s="3">
        <f t="shared" si="1390"/>
        <v>0</v>
      </c>
      <c r="AH339" s="3">
        <f t="shared" si="1391"/>
        <v>0</v>
      </c>
      <c r="AI339" s="3">
        <v>50</v>
      </c>
      <c r="AJ339" s="7">
        <f t="shared" si="1392"/>
        <v>0</v>
      </c>
      <c r="AK339" s="3">
        <v>0</v>
      </c>
      <c r="AL339" s="6">
        <f t="shared" si="1393"/>
        <v>0</v>
      </c>
      <c r="AM339" s="6">
        <f t="shared" si="1394"/>
        <v>0</v>
      </c>
      <c r="AN339" s="6">
        <f t="shared" si="1395"/>
        <v>0</v>
      </c>
      <c r="AO339" s="6">
        <f t="shared" si="1396"/>
        <v>0</v>
      </c>
      <c r="AP339" s="3" t="s">
        <v>514</v>
      </c>
      <c r="AQ339" s="3">
        <f t="shared" si="1397"/>
        <v>0</v>
      </c>
      <c r="AR339" s="3">
        <f t="shared" si="1398"/>
        <v>0</v>
      </c>
      <c r="AS339" s="3">
        <f t="shared" ref="AS339:AS343" si="1404">AQ339-AR339</f>
        <v>0</v>
      </c>
      <c r="AT339" s="3"/>
    </row>
    <row r="340" spans="1:46" x14ac:dyDescent="0.35">
      <c r="A340" s="3"/>
      <c r="B340" s="3" t="s">
        <v>308</v>
      </c>
      <c r="C340" s="3" t="s">
        <v>331</v>
      </c>
      <c r="D340" s="7">
        <v>0</v>
      </c>
      <c r="E340" s="3">
        <v>60</v>
      </c>
      <c r="F340" s="1">
        <f t="shared" si="1379"/>
        <v>0</v>
      </c>
      <c r="G340" s="7">
        <v>0</v>
      </c>
      <c r="H340" s="3">
        <v>60</v>
      </c>
      <c r="I340" s="27">
        <f t="shared" si="1380"/>
        <v>0</v>
      </c>
      <c r="J340" s="3">
        <f t="shared" si="1381"/>
        <v>0</v>
      </c>
      <c r="K340" s="7">
        <v>60</v>
      </c>
      <c r="L340" s="7">
        <f t="shared" si="1401"/>
        <v>0</v>
      </c>
      <c r="M340" s="3">
        <f>J340*5</f>
        <v>0</v>
      </c>
      <c r="N340" s="6">
        <f t="shared" si="1383"/>
        <v>0</v>
      </c>
      <c r="O340" s="34"/>
      <c r="P340" s="3">
        <f>M340*5</f>
        <v>0</v>
      </c>
      <c r="Q340" s="3">
        <v>100</v>
      </c>
      <c r="R340" s="3">
        <f t="shared" si="1384"/>
        <v>0</v>
      </c>
      <c r="S340" s="7">
        <v>0</v>
      </c>
      <c r="T340" s="3">
        <v>100</v>
      </c>
      <c r="U340" s="3">
        <f t="shared" si="1385"/>
        <v>0</v>
      </c>
      <c r="V340" s="3">
        <f t="shared" si="1386"/>
        <v>0</v>
      </c>
      <c r="W340" s="7">
        <v>100</v>
      </c>
      <c r="X340" s="7">
        <f t="shared" si="1402"/>
        <v>0</v>
      </c>
      <c r="Y340" s="3">
        <f>V340*5</f>
        <v>0</v>
      </c>
      <c r="Z340" s="6">
        <f t="shared" si="1388"/>
        <v>0</v>
      </c>
      <c r="AA340" s="82">
        <v>195</v>
      </c>
      <c r="AB340" s="3">
        <f>Y340*5</f>
        <v>0</v>
      </c>
      <c r="AC340" s="3">
        <v>50</v>
      </c>
      <c r="AD340" s="3">
        <f t="shared" si="1389"/>
        <v>0</v>
      </c>
      <c r="AE340" s="3">
        <f>AB340*5</f>
        <v>0</v>
      </c>
      <c r="AF340" s="3">
        <v>50</v>
      </c>
      <c r="AG340" s="3">
        <f t="shared" si="1390"/>
        <v>0</v>
      </c>
      <c r="AH340" s="3">
        <f t="shared" si="1391"/>
        <v>0</v>
      </c>
      <c r="AI340" s="3">
        <v>50</v>
      </c>
      <c r="AJ340" s="7">
        <f t="shared" si="1392"/>
        <v>0</v>
      </c>
      <c r="AK340" s="3">
        <f>AH340*5</f>
        <v>0</v>
      </c>
      <c r="AL340" s="6">
        <f t="shared" si="1393"/>
        <v>0</v>
      </c>
      <c r="AM340" s="6">
        <f t="shared" si="1394"/>
        <v>0</v>
      </c>
      <c r="AN340" s="6">
        <f t="shared" si="1395"/>
        <v>0</v>
      </c>
      <c r="AO340" s="6">
        <f t="shared" si="1396"/>
        <v>0</v>
      </c>
      <c r="AP340" s="3" t="s">
        <v>514</v>
      </c>
      <c r="AQ340" s="3">
        <f t="shared" si="1397"/>
        <v>0</v>
      </c>
      <c r="AR340" s="3">
        <f t="shared" si="1398"/>
        <v>0</v>
      </c>
      <c r="AS340" s="3">
        <f t="shared" si="1404"/>
        <v>0</v>
      </c>
      <c r="AT340" s="3"/>
    </row>
    <row r="341" spans="1:46" x14ac:dyDescent="0.35">
      <c r="A341" s="3"/>
      <c r="B341" s="3" t="s">
        <v>308</v>
      </c>
      <c r="C341" s="3" t="s">
        <v>332</v>
      </c>
      <c r="D341" s="7">
        <v>0</v>
      </c>
      <c r="E341" s="3">
        <v>60</v>
      </c>
      <c r="F341" s="1">
        <v>0</v>
      </c>
      <c r="G341" s="7">
        <v>0</v>
      </c>
      <c r="H341" s="3">
        <v>60</v>
      </c>
      <c r="I341" s="27">
        <f t="shared" si="1380"/>
        <v>0</v>
      </c>
      <c r="J341" s="3">
        <v>0</v>
      </c>
      <c r="K341" s="7">
        <v>60</v>
      </c>
      <c r="L341" s="7">
        <f t="shared" si="1401"/>
        <v>0</v>
      </c>
      <c r="M341" s="3">
        <v>0</v>
      </c>
      <c r="N341" s="6">
        <f t="shared" si="1383"/>
        <v>0</v>
      </c>
      <c r="O341" s="34"/>
      <c r="P341" s="3">
        <v>0</v>
      </c>
      <c r="Q341" s="3">
        <v>100</v>
      </c>
      <c r="R341" s="3">
        <v>0</v>
      </c>
      <c r="S341" s="7">
        <v>0</v>
      </c>
      <c r="T341" s="3">
        <v>100</v>
      </c>
      <c r="U341" s="3">
        <f t="shared" si="1385"/>
        <v>0</v>
      </c>
      <c r="V341" s="3">
        <v>0</v>
      </c>
      <c r="W341" s="7">
        <v>100</v>
      </c>
      <c r="X341" s="7">
        <f t="shared" si="1402"/>
        <v>0</v>
      </c>
      <c r="Y341" s="3">
        <v>0</v>
      </c>
      <c r="Z341" s="6">
        <f t="shared" si="1388"/>
        <v>0</v>
      </c>
      <c r="AA341" s="82"/>
      <c r="AB341" s="3">
        <v>0</v>
      </c>
      <c r="AC341" s="3">
        <v>50</v>
      </c>
      <c r="AD341" s="3">
        <v>0</v>
      </c>
      <c r="AE341" s="3">
        <v>0</v>
      </c>
      <c r="AF341" s="3">
        <v>50</v>
      </c>
      <c r="AG341" s="3">
        <f t="shared" si="1390"/>
        <v>0</v>
      </c>
      <c r="AH341" s="3">
        <v>0</v>
      </c>
      <c r="AI341" s="3">
        <v>50</v>
      </c>
      <c r="AJ341" s="7">
        <f t="shared" si="1392"/>
        <v>0</v>
      </c>
      <c r="AK341" s="3">
        <v>0</v>
      </c>
      <c r="AL341" s="6">
        <f t="shared" si="1393"/>
        <v>0</v>
      </c>
      <c r="AM341" s="6">
        <f t="shared" si="1394"/>
        <v>0</v>
      </c>
      <c r="AN341" s="6">
        <f t="shared" si="1395"/>
        <v>0</v>
      </c>
      <c r="AO341" s="6">
        <f t="shared" si="1396"/>
        <v>0</v>
      </c>
      <c r="AP341" s="3" t="s">
        <v>514</v>
      </c>
      <c r="AQ341" s="3">
        <f t="shared" si="1397"/>
        <v>0</v>
      </c>
      <c r="AR341" s="3">
        <f t="shared" si="1398"/>
        <v>0</v>
      </c>
      <c r="AS341" s="3">
        <f t="shared" si="1404"/>
        <v>0</v>
      </c>
      <c r="AT341" s="3"/>
    </row>
    <row r="342" spans="1:46" x14ac:dyDescent="0.35">
      <c r="A342" s="3"/>
      <c r="B342" s="3" t="s">
        <v>287</v>
      </c>
      <c r="C342" s="3" t="s">
        <v>331</v>
      </c>
      <c r="D342" s="7">
        <v>0</v>
      </c>
      <c r="E342" s="3">
        <v>60</v>
      </c>
      <c r="F342" s="1">
        <f t="shared" si="1379"/>
        <v>0</v>
      </c>
      <c r="G342" s="7">
        <v>0</v>
      </c>
      <c r="H342" s="3">
        <v>60</v>
      </c>
      <c r="I342" s="27">
        <f t="shared" si="1380"/>
        <v>0</v>
      </c>
      <c r="J342" s="3">
        <f t="shared" si="1381"/>
        <v>0</v>
      </c>
      <c r="K342" s="7">
        <v>60</v>
      </c>
      <c r="L342" s="7">
        <f t="shared" ref="L342:L343" si="1405">J342*K342</f>
        <v>0</v>
      </c>
      <c r="M342" s="3">
        <f>J342*5</f>
        <v>0</v>
      </c>
      <c r="N342" s="6">
        <f t="shared" si="1383"/>
        <v>0</v>
      </c>
      <c r="O342" s="34"/>
      <c r="P342" s="3">
        <f>M342*5</f>
        <v>0</v>
      </c>
      <c r="Q342" s="3">
        <v>100</v>
      </c>
      <c r="R342" s="3">
        <f t="shared" si="1384"/>
        <v>0</v>
      </c>
      <c r="S342" s="7">
        <v>0</v>
      </c>
      <c r="T342" s="3">
        <v>100</v>
      </c>
      <c r="U342" s="3">
        <f t="shared" si="1385"/>
        <v>0</v>
      </c>
      <c r="V342" s="3">
        <f t="shared" si="1386"/>
        <v>0</v>
      </c>
      <c r="W342" s="7">
        <v>100</v>
      </c>
      <c r="X342" s="7">
        <f t="shared" si="1402"/>
        <v>0</v>
      </c>
      <c r="Y342" s="3">
        <f>V342*5</f>
        <v>0</v>
      </c>
      <c r="Z342" s="6">
        <f t="shared" si="1388"/>
        <v>0</v>
      </c>
      <c r="AA342" s="82"/>
      <c r="AB342" s="3">
        <f>Y342*5</f>
        <v>0</v>
      </c>
      <c r="AC342" s="3">
        <v>50</v>
      </c>
      <c r="AD342" s="3">
        <f t="shared" si="1389"/>
        <v>0</v>
      </c>
      <c r="AE342" s="3">
        <f>AB342*5</f>
        <v>0</v>
      </c>
      <c r="AF342" s="3">
        <v>50</v>
      </c>
      <c r="AG342" s="3">
        <f t="shared" si="1390"/>
        <v>0</v>
      </c>
      <c r="AH342" s="3">
        <f t="shared" si="1391"/>
        <v>0</v>
      </c>
      <c r="AI342" s="3">
        <v>50</v>
      </c>
      <c r="AJ342" s="7">
        <f t="shared" si="1392"/>
        <v>0</v>
      </c>
      <c r="AK342" s="3">
        <f>AH342*5</f>
        <v>0</v>
      </c>
      <c r="AL342" s="6">
        <f t="shared" si="1393"/>
        <v>0</v>
      </c>
      <c r="AM342" s="6">
        <f t="shared" si="1394"/>
        <v>0</v>
      </c>
      <c r="AN342" s="6">
        <f t="shared" si="1395"/>
        <v>0</v>
      </c>
      <c r="AO342" s="6">
        <f t="shared" si="1396"/>
        <v>0</v>
      </c>
      <c r="AP342" s="3" t="s">
        <v>514</v>
      </c>
      <c r="AQ342" s="3">
        <f t="shared" si="1397"/>
        <v>0</v>
      </c>
      <c r="AR342" s="3">
        <f>AQ342</f>
        <v>0</v>
      </c>
      <c r="AS342" s="3">
        <f t="shared" si="1404"/>
        <v>0</v>
      </c>
      <c r="AT342" s="3"/>
    </row>
    <row r="343" spans="1:46" x14ac:dyDescent="0.35">
      <c r="A343" s="3"/>
      <c r="B343" s="3" t="s">
        <v>287</v>
      </c>
      <c r="C343" s="3" t="s">
        <v>332</v>
      </c>
      <c r="D343" s="7">
        <v>0</v>
      </c>
      <c r="E343" s="3">
        <v>60</v>
      </c>
      <c r="F343" s="1">
        <v>0</v>
      </c>
      <c r="G343" s="7">
        <v>0</v>
      </c>
      <c r="H343" s="3">
        <v>60</v>
      </c>
      <c r="I343" s="27">
        <f t="shared" si="1380"/>
        <v>0</v>
      </c>
      <c r="J343" s="3">
        <v>0</v>
      </c>
      <c r="K343" s="7">
        <v>60</v>
      </c>
      <c r="L343" s="7">
        <f t="shared" si="1405"/>
        <v>0</v>
      </c>
      <c r="M343" s="3">
        <v>0</v>
      </c>
      <c r="N343" s="6">
        <f t="shared" si="1383"/>
        <v>0</v>
      </c>
      <c r="O343" s="34"/>
      <c r="P343" s="3">
        <v>0</v>
      </c>
      <c r="Q343" s="3">
        <v>100</v>
      </c>
      <c r="R343" s="3">
        <v>0</v>
      </c>
      <c r="S343" s="7">
        <v>0</v>
      </c>
      <c r="T343" s="3">
        <v>100</v>
      </c>
      <c r="U343" s="3">
        <f t="shared" si="1385"/>
        <v>0</v>
      </c>
      <c r="V343" s="3">
        <v>0</v>
      </c>
      <c r="W343" s="7">
        <v>100</v>
      </c>
      <c r="X343" s="7">
        <f t="shared" si="1402"/>
        <v>0</v>
      </c>
      <c r="Y343" s="3">
        <v>0</v>
      </c>
      <c r="Z343" s="6">
        <f t="shared" si="1388"/>
        <v>0</v>
      </c>
      <c r="AA343" s="82"/>
      <c r="AB343" s="3">
        <v>0</v>
      </c>
      <c r="AC343" s="3">
        <v>50</v>
      </c>
      <c r="AD343" s="3">
        <v>0</v>
      </c>
      <c r="AE343" s="3">
        <v>0</v>
      </c>
      <c r="AF343" s="3">
        <v>50</v>
      </c>
      <c r="AG343" s="3">
        <f t="shared" si="1390"/>
        <v>0</v>
      </c>
      <c r="AH343" s="3">
        <v>0</v>
      </c>
      <c r="AI343" s="3">
        <v>50</v>
      </c>
      <c r="AJ343" s="7">
        <f t="shared" si="1392"/>
        <v>0</v>
      </c>
      <c r="AK343" s="3">
        <v>0</v>
      </c>
      <c r="AL343" s="6">
        <f t="shared" si="1393"/>
        <v>0</v>
      </c>
      <c r="AM343" s="6">
        <f t="shared" si="1394"/>
        <v>0</v>
      </c>
      <c r="AN343" s="6">
        <f t="shared" si="1395"/>
        <v>0</v>
      </c>
      <c r="AO343" s="6">
        <f t="shared" si="1396"/>
        <v>0</v>
      </c>
      <c r="AP343" s="3" t="s">
        <v>514</v>
      </c>
      <c r="AQ343" s="3">
        <f t="shared" si="1397"/>
        <v>0</v>
      </c>
      <c r="AR343" s="3">
        <f t="shared" ref="AR343" si="1406">AQ343</f>
        <v>0</v>
      </c>
      <c r="AS343" s="3">
        <f t="shared" si="1404"/>
        <v>0</v>
      </c>
      <c r="AT343" s="3"/>
    </row>
    <row r="344" spans="1:46" x14ac:dyDescent="0.35">
      <c r="A344" s="19"/>
      <c r="B344" s="19" t="s">
        <v>36</v>
      </c>
      <c r="C344" s="19"/>
      <c r="D344" s="19">
        <f>SUM(D333:D343)</f>
        <v>0</v>
      </c>
      <c r="E344" s="19"/>
      <c r="F344" s="19">
        <f>SUM(F333:F343)</f>
        <v>0</v>
      </c>
      <c r="G344" s="19">
        <f>SUM(G333:G343)</f>
        <v>0</v>
      </c>
      <c r="H344" s="19"/>
      <c r="I344" s="19">
        <f>SUM(I333:I343)</f>
        <v>0</v>
      </c>
      <c r="J344" s="19">
        <f>SUM(J333:J343)</f>
        <v>0</v>
      </c>
      <c r="K344" s="19"/>
      <c r="L344" s="19">
        <f>SUM(L333:L343)</f>
        <v>0</v>
      </c>
      <c r="M344" s="19">
        <f>SUM(M333:M343)</f>
        <v>0</v>
      </c>
      <c r="N344" s="19">
        <f>SUM(N333:N343)</f>
        <v>0</v>
      </c>
      <c r="O344" s="34"/>
      <c r="P344" s="19">
        <f>SUM(P333:P343)</f>
        <v>0</v>
      </c>
      <c r="Q344" s="19"/>
      <c r="R344" s="19">
        <f>SUM(R333:R343)</f>
        <v>0</v>
      </c>
      <c r="S344" s="19">
        <f>SUM(S333:S343)</f>
        <v>0</v>
      </c>
      <c r="T344" s="19"/>
      <c r="U344" s="19">
        <f>SUM(U333:U343)</f>
        <v>0</v>
      </c>
      <c r="V344" s="19">
        <f>SUM(V333:V343)</f>
        <v>0</v>
      </c>
      <c r="W344" s="19"/>
      <c r="X344" s="19">
        <f>SUM(X333:X343)</f>
        <v>0</v>
      </c>
      <c r="Y344" s="19">
        <f>SUM(Y333:Y343)</f>
        <v>0</v>
      </c>
      <c r="Z344" s="19">
        <f>SUM(Z333:Z343)</f>
        <v>0</v>
      </c>
      <c r="AA344" s="34"/>
      <c r="AB344" s="19">
        <f>SUM(AB333:AB343)</f>
        <v>0</v>
      </c>
      <c r="AC344" s="19"/>
      <c r="AD344" s="19">
        <f>SUM(AD333:AD343)</f>
        <v>0</v>
      </c>
      <c r="AE344" s="19">
        <f>SUM(AE333:AE343)</f>
        <v>0</v>
      </c>
      <c r="AF344" s="19"/>
      <c r="AG344" s="19">
        <f>SUM(AG333:AG343)</f>
        <v>0</v>
      </c>
      <c r="AH344" s="19">
        <f>SUM(AH333:AH343)</f>
        <v>0</v>
      </c>
      <c r="AI344" s="19"/>
      <c r="AJ344" s="19">
        <f t="shared" ref="AJ344:AO344" si="1407">SUM(AJ333:AJ343)</f>
        <v>0</v>
      </c>
      <c r="AK344" s="19">
        <f t="shared" si="1407"/>
        <v>0</v>
      </c>
      <c r="AL344" s="19">
        <f t="shared" si="1407"/>
        <v>0</v>
      </c>
      <c r="AM344" s="19">
        <f t="shared" si="1407"/>
        <v>0</v>
      </c>
      <c r="AN344" s="19">
        <f t="shared" si="1407"/>
        <v>0</v>
      </c>
      <c r="AO344" s="19">
        <f t="shared" si="1407"/>
        <v>0</v>
      </c>
      <c r="AP344" s="19"/>
      <c r="AQ344" s="19">
        <f>SUM(AQ333:AQ343)</f>
        <v>0</v>
      </c>
      <c r="AR344" s="19">
        <f>SUM(AR333:AR343)</f>
        <v>0</v>
      </c>
      <c r="AS344" s="19">
        <f>SUM(AS333:AS343)</f>
        <v>0</v>
      </c>
      <c r="AT344" s="74"/>
    </row>
    <row r="345" spans="1:46" x14ac:dyDescent="0.35">
      <c r="A345" s="3" t="s">
        <v>515</v>
      </c>
      <c r="B345" s="172" t="s">
        <v>276</v>
      </c>
      <c r="C345" s="3" t="s">
        <v>33</v>
      </c>
      <c r="D345" s="7">
        <f>270-45</f>
        <v>225</v>
      </c>
      <c r="E345" s="3">
        <v>60</v>
      </c>
      <c r="F345" s="1">
        <f t="shared" ref="F345:F354" si="1408">D345*E345</f>
        <v>13500</v>
      </c>
      <c r="G345" s="7">
        <v>167</v>
      </c>
      <c r="H345" s="3">
        <v>60</v>
      </c>
      <c r="I345" s="27">
        <f t="shared" ref="I345:I357" si="1409">G345*H345</f>
        <v>10020</v>
      </c>
      <c r="J345" s="3">
        <f t="shared" ref="J345:J354" si="1410">D345-G345</f>
        <v>58</v>
      </c>
      <c r="K345" s="7">
        <v>60</v>
      </c>
      <c r="L345" s="7">
        <f t="shared" ref="L345:L346" si="1411">J345*K345</f>
        <v>3480</v>
      </c>
      <c r="M345" s="3">
        <v>0</v>
      </c>
      <c r="N345" s="6">
        <f t="shared" ref="N345:N357" si="1412">L345-M345</f>
        <v>3480</v>
      </c>
      <c r="O345" s="34"/>
      <c r="P345" s="7">
        <v>300</v>
      </c>
      <c r="Q345" s="3">
        <v>100</v>
      </c>
      <c r="R345" s="3">
        <f t="shared" ref="R345:R354" si="1413">P345*Q345</f>
        <v>30000</v>
      </c>
      <c r="S345" s="7">
        <v>17</v>
      </c>
      <c r="T345" s="3">
        <v>100</v>
      </c>
      <c r="U345" s="3">
        <f t="shared" ref="U345:U357" si="1414">S345*T345</f>
        <v>1700</v>
      </c>
      <c r="V345" s="3">
        <f t="shared" ref="V345:V354" si="1415">P345-S345</f>
        <v>283</v>
      </c>
      <c r="W345" s="7">
        <v>100</v>
      </c>
      <c r="X345" s="7">
        <f t="shared" ref="X345" si="1416">V345*W345</f>
        <v>28300</v>
      </c>
      <c r="Y345" s="3">
        <v>0</v>
      </c>
      <c r="Z345" s="6">
        <f t="shared" ref="Z345:Z357" si="1417">X345-Y345</f>
        <v>28300</v>
      </c>
      <c r="AA345" s="82"/>
      <c r="AB345" s="7">
        <v>48</v>
      </c>
      <c r="AC345" s="3">
        <v>50</v>
      </c>
      <c r="AD345" s="3">
        <f t="shared" ref="AD345:AD354" si="1418">AB345*AC345</f>
        <v>2400</v>
      </c>
      <c r="AE345" s="7">
        <v>0</v>
      </c>
      <c r="AF345" s="3">
        <v>50</v>
      </c>
      <c r="AG345" s="3">
        <f t="shared" ref="AG345:AG357" si="1419">AE345*AF345</f>
        <v>0</v>
      </c>
      <c r="AH345" s="3">
        <f t="shared" ref="AH345:AH354" si="1420">AB345-AE345</f>
        <v>48</v>
      </c>
      <c r="AI345" s="3">
        <v>50</v>
      </c>
      <c r="AJ345" s="7">
        <f t="shared" ref="AJ345:AJ357" si="1421">AH345*AI345</f>
        <v>2400</v>
      </c>
      <c r="AK345" s="3">
        <v>0</v>
      </c>
      <c r="AL345" s="6">
        <f t="shared" ref="AL345:AL357" si="1422">AJ345-AK345</f>
        <v>2400</v>
      </c>
      <c r="AM345" s="6">
        <f t="shared" ref="AM345:AM357" si="1423">L345+X345+AJ345</f>
        <v>34180</v>
      </c>
      <c r="AN345" s="6">
        <f t="shared" ref="AN345:AN357" si="1424">M345+Y345+AK345</f>
        <v>0</v>
      </c>
      <c r="AO345" s="6">
        <f t="shared" ref="AO345:AO357" si="1425">AM345-AN345</f>
        <v>34180</v>
      </c>
      <c r="AP345" s="3" t="s">
        <v>515</v>
      </c>
      <c r="AQ345" s="3">
        <f t="shared" ref="AQ345:AQ357" si="1426">AO345</f>
        <v>34180</v>
      </c>
      <c r="AR345" s="3">
        <f t="shared" ref="AR345:AR352" si="1427">AQ345</f>
        <v>34180</v>
      </c>
      <c r="AS345" s="3">
        <f t="shared" ref="AS345:AS348" si="1428">AQ345-AR345</f>
        <v>0</v>
      </c>
      <c r="AT345" s="3"/>
    </row>
    <row r="346" spans="1:46" x14ac:dyDescent="0.35">
      <c r="A346" s="3"/>
      <c r="B346" s="172" t="s">
        <v>276</v>
      </c>
      <c r="C346" s="3" t="s">
        <v>182</v>
      </c>
      <c r="D346" s="7">
        <v>45</v>
      </c>
      <c r="E346" s="3">
        <v>55</v>
      </c>
      <c r="F346" s="1">
        <f t="shared" si="1408"/>
        <v>2475</v>
      </c>
      <c r="G346" s="7">
        <v>0</v>
      </c>
      <c r="H346" s="3">
        <v>55</v>
      </c>
      <c r="I346" s="27">
        <f t="shared" si="1409"/>
        <v>0</v>
      </c>
      <c r="J346" s="3">
        <f t="shared" si="1410"/>
        <v>45</v>
      </c>
      <c r="K346" s="7">
        <v>55</v>
      </c>
      <c r="L346" s="7">
        <f t="shared" si="1411"/>
        <v>2475</v>
      </c>
      <c r="M346" s="7">
        <v>0</v>
      </c>
      <c r="N346" s="6">
        <f t="shared" si="1412"/>
        <v>2475</v>
      </c>
      <c r="O346" s="34"/>
      <c r="P346" s="7">
        <v>0</v>
      </c>
      <c r="Q346" s="3">
        <v>100</v>
      </c>
      <c r="R346" s="3">
        <f t="shared" si="1413"/>
        <v>0</v>
      </c>
      <c r="S346" s="7">
        <v>0</v>
      </c>
      <c r="T346" s="3">
        <v>100</v>
      </c>
      <c r="U346" s="3">
        <f t="shared" si="1414"/>
        <v>0</v>
      </c>
      <c r="V346" s="3">
        <f t="shared" si="1415"/>
        <v>0</v>
      </c>
      <c r="W346" s="7">
        <v>100</v>
      </c>
      <c r="X346" s="7">
        <f>V346*W346</f>
        <v>0</v>
      </c>
      <c r="Y346" s="7">
        <v>0</v>
      </c>
      <c r="Z346" s="6">
        <f t="shared" si="1417"/>
        <v>0</v>
      </c>
      <c r="AA346" s="82"/>
      <c r="AB346" s="7">
        <v>0</v>
      </c>
      <c r="AC346" s="3">
        <v>50</v>
      </c>
      <c r="AD346" s="3">
        <f t="shared" si="1418"/>
        <v>0</v>
      </c>
      <c r="AE346" s="7">
        <v>0</v>
      </c>
      <c r="AF346" s="3">
        <v>50</v>
      </c>
      <c r="AG346" s="3">
        <f t="shared" si="1419"/>
        <v>0</v>
      </c>
      <c r="AH346" s="3">
        <f t="shared" si="1420"/>
        <v>0</v>
      </c>
      <c r="AI346" s="3">
        <v>50</v>
      </c>
      <c r="AJ346" s="7">
        <f t="shared" si="1421"/>
        <v>0</v>
      </c>
      <c r="AK346" s="7">
        <v>0</v>
      </c>
      <c r="AL346" s="6">
        <f t="shared" si="1422"/>
        <v>0</v>
      </c>
      <c r="AM346" s="6">
        <f t="shared" si="1423"/>
        <v>2475</v>
      </c>
      <c r="AN346" s="6">
        <f t="shared" si="1424"/>
        <v>0</v>
      </c>
      <c r="AO346" s="6">
        <f t="shared" si="1425"/>
        <v>2475</v>
      </c>
      <c r="AP346" s="3" t="s">
        <v>515</v>
      </c>
      <c r="AQ346" s="3">
        <f t="shared" si="1426"/>
        <v>2475</v>
      </c>
      <c r="AR346" s="3">
        <f t="shared" si="1427"/>
        <v>2475</v>
      </c>
      <c r="AS346" s="3">
        <f t="shared" si="1428"/>
        <v>0</v>
      </c>
      <c r="AT346" s="3"/>
    </row>
    <row r="347" spans="1:46" x14ac:dyDescent="0.35">
      <c r="A347" s="3"/>
      <c r="B347" s="172" t="s">
        <v>463</v>
      </c>
      <c r="C347" s="3" t="s">
        <v>33</v>
      </c>
      <c r="D347" s="7">
        <v>225</v>
      </c>
      <c r="E347" s="3">
        <v>60</v>
      </c>
      <c r="F347" s="1">
        <f t="shared" si="1408"/>
        <v>13500</v>
      </c>
      <c r="G347" s="7">
        <v>136</v>
      </c>
      <c r="H347" s="3">
        <v>60</v>
      </c>
      <c r="I347" s="27">
        <f t="shared" si="1409"/>
        <v>8160</v>
      </c>
      <c r="J347" s="3">
        <f t="shared" si="1410"/>
        <v>89</v>
      </c>
      <c r="K347" s="7">
        <v>60</v>
      </c>
      <c r="L347" s="7">
        <f>J347*K347</f>
        <v>5340</v>
      </c>
      <c r="M347" s="7">
        <v>0</v>
      </c>
      <c r="N347" s="6">
        <f t="shared" si="1412"/>
        <v>5340</v>
      </c>
      <c r="O347" s="34"/>
      <c r="P347" s="7">
        <v>240</v>
      </c>
      <c r="Q347" s="3">
        <v>100</v>
      </c>
      <c r="R347" s="3">
        <f t="shared" si="1413"/>
        <v>24000</v>
      </c>
      <c r="S347" s="7">
        <v>57</v>
      </c>
      <c r="T347" s="3">
        <v>100</v>
      </c>
      <c r="U347" s="3">
        <f t="shared" si="1414"/>
        <v>5700</v>
      </c>
      <c r="V347" s="3">
        <f t="shared" si="1415"/>
        <v>183</v>
      </c>
      <c r="W347" s="7">
        <v>100</v>
      </c>
      <c r="X347" s="7">
        <f>V347*W347</f>
        <v>18300</v>
      </c>
      <c r="Y347" s="7">
        <v>0</v>
      </c>
      <c r="Z347" s="6">
        <f t="shared" si="1417"/>
        <v>18300</v>
      </c>
      <c r="AA347" s="82"/>
      <c r="AB347" s="7">
        <v>24</v>
      </c>
      <c r="AC347" s="3">
        <v>50</v>
      </c>
      <c r="AD347" s="3">
        <f t="shared" si="1418"/>
        <v>1200</v>
      </c>
      <c r="AE347" s="7">
        <v>7</v>
      </c>
      <c r="AF347" s="3">
        <v>50</v>
      </c>
      <c r="AG347" s="3">
        <f t="shared" si="1419"/>
        <v>350</v>
      </c>
      <c r="AH347" s="3">
        <f t="shared" si="1420"/>
        <v>17</v>
      </c>
      <c r="AI347" s="3">
        <v>50</v>
      </c>
      <c r="AJ347" s="7">
        <f t="shared" si="1421"/>
        <v>850</v>
      </c>
      <c r="AK347" s="7">
        <v>0</v>
      </c>
      <c r="AL347" s="6">
        <f t="shared" si="1422"/>
        <v>850</v>
      </c>
      <c r="AM347" s="6">
        <f t="shared" si="1423"/>
        <v>24490</v>
      </c>
      <c r="AN347" s="6">
        <f t="shared" si="1424"/>
        <v>0</v>
      </c>
      <c r="AO347" s="6">
        <f t="shared" si="1425"/>
        <v>24490</v>
      </c>
      <c r="AP347" s="3" t="s">
        <v>515</v>
      </c>
      <c r="AQ347" s="3">
        <f t="shared" si="1426"/>
        <v>24490</v>
      </c>
      <c r="AR347" s="3">
        <f t="shared" si="1427"/>
        <v>24490</v>
      </c>
      <c r="AS347" s="3">
        <f t="shared" si="1428"/>
        <v>0</v>
      </c>
      <c r="AT347" s="3"/>
    </row>
    <row r="348" spans="1:46" x14ac:dyDescent="0.35">
      <c r="A348" s="3"/>
      <c r="B348" s="172" t="s">
        <v>463</v>
      </c>
      <c r="C348" s="3" t="s">
        <v>182</v>
      </c>
      <c r="D348" s="7">
        <v>0</v>
      </c>
      <c r="E348" s="3">
        <v>55</v>
      </c>
      <c r="F348" s="1">
        <f t="shared" si="1408"/>
        <v>0</v>
      </c>
      <c r="G348" s="7">
        <v>0</v>
      </c>
      <c r="H348" s="3">
        <v>55</v>
      </c>
      <c r="I348" s="27">
        <f t="shared" si="1409"/>
        <v>0</v>
      </c>
      <c r="J348" s="3">
        <f t="shared" si="1410"/>
        <v>0</v>
      </c>
      <c r="K348" s="7">
        <v>55</v>
      </c>
      <c r="L348" s="7">
        <f t="shared" ref="L348:L355" si="1429">J348*K348</f>
        <v>0</v>
      </c>
      <c r="M348" s="7">
        <v>0</v>
      </c>
      <c r="N348" s="6">
        <f t="shared" si="1412"/>
        <v>0</v>
      </c>
      <c r="O348" s="34"/>
      <c r="P348" s="7">
        <v>0</v>
      </c>
      <c r="Q348" s="3">
        <v>100</v>
      </c>
      <c r="R348" s="3">
        <f t="shared" si="1413"/>
        <v>0</v>
      </c>
      <c r="S348" s="7">
        <v>0</v>
      </c>
      <c r="T348" s="3">
        <v>100</v>
      </c>
      <c r="U348" s="3">
        <f t="shared" si="1414"/>
        <v>0</v>
      </c>
      <c r="V348" s="3">
        <f t="shared" si="1415"/>
        <v>0</v>
      </c>
      <c r="W348" s="7">
        <v>100</v>
      </c>
      <c r="X348" s="7">
        <f>V348*W348</f>
        <v>0</v>
      </c>
      <c r="Y348" s="7">
        <v>0</v>
      </c>
      <c r="Z348" s="6">
        <f t="shared" si="1417"/>
        <v>0</v>
      </c>
      <c r="AA348" s="82"/>
      <c r="AB348" s="7">
        <v>400</v>
      </c>
      <c r="AC348" s="3">
        <v>45</v>
      </c>
      <c r="AD348" s="3">
        <f t="shared" si="1418"/>
        <v>18000</v>
      </c>
      <c r="AE348" s="7">
        <v>0</v>
      </c>
      <c r="AF348" s="3">
        <v>45</v>
      </c>
      <c r="AG348" s="3">
        <f t="shared" si="1419"/>
        <v>0</v>
      </c>
      <c r="AH348" s="3">
        <f t="shared" si="1420"/>
        <v>400</v>
      </c>
      <c r="AI348" s="3">
        <v>45</v>
      </c>
      <c r="AJ348" s="7">
        <f t="shared" si="1421"/>
        <v>18000</v>
      </c>
      <c r="AK348" s="7">
        <v>0</v>
      </c>
      <c r="AL348" s="6">
        <f t="shared" si="1422"/>
        <v>18000</v>
      </c>
      <c r="AM348" s="6">
        <f t="shared" si="1423"/>
        <v>18000</v>
      </c>
      <c r="AN348" s="6">
        <f t="shared" si="1424"/>
        <v>0</v>
      </c>
      <c r="AO348" s="6">
        <f t="shared" si="1425"/>
        <v>18000</v>
      </c>
      <c r="AP348" s="3" t="s">
        <v>520</v>
      </c>
      <c r="AQ348" s="3">
        <f t="shared" si="1426"/>
        <v>18000</v>
      </c>
      <c r="AR348" s="3">
        <f t="shared" si="1427"/>
        <v>18000</v>
      </c>
      <c r="AS348" s="3">
        <f t="shared" si="1428"/>
        <v>0</v>
      </c>
      <c r="AT348" s="3"/>
    </row>
    <row r="349" spans="1:46" x14ac:dyDescent="0.35">
      <c r="A349" s="3"/>
      <c r="B349" s="172" t="s">
        <v>519</v>
      </c>
      <c r="C349" s="3" t="s">
        <v>33</v>
      </c>
      <c r="D349" s="7">
        <v>255</v>
      </c>
      <c r="E349" s="3">
        <v>60</v>
      </c>
      <c r="F349" s="1">
        <f t="shared" ref="F349" si="1430">D349*E349</f>
        <v>15300</v>
      </c>
      <c r="G349" s="7">
        <v>203</v>
      </c>
      <c r="H349" s="3">
        <v>60</v>
      </c>
      <c r="I349" s="27">
        <f t="shared" ref="I349" si="1431">G349*H349</f>
        <v>12180</v>
      </c>
      <c r="J349" s="3">
        <f t="shared" ref="J349" si="1432">D349-G349</f>
        <v>52</v>
      </c>
      <c r="K349" s="7">
        <v>60</v>
      </c>
      <c r="L349" s="7">
        <f>J349*K349</f>
        <v>3120</v>
      </c>
      <c r="M349" s="7">
        <v>0</v>
      </c>
      <c r="N349" s="6">
        <f t="shared" ref="N349" si="1433">L349-M349</f>
        <v>3120</v>
      </c>
      <c r="O349" s="34"/>
      <c r="P349" s="7">
        <v>97</v>
      </c>
      <c r="Q349" s="3">
        <v>100</v>
      </c>
      <c r="R349" s="3">
        <f t="shared" ref="R349" si="1434">P349*Q349</f>
        <v>9700</v>
      </c>
      <c r="S349" s="7">
        <v>0</v>
      </c>
      <c r="T349" s="3">
        <v>100</v>
      </c>
      <c r="U349" s="3">
        <f t="shared" ref="U349" si="1435">S349*T349</f>
        <v>0</v>
      </c>
      <c r="V349" s="3">
        <f t="shared" ref="V349" si="1436">P349-S349</f>
        <v>97</v>
      </c>
      <c r="W349" s="7">
        <v>100</v>
      </c>
      <c r="X349" s="7">
        <f>V349*W349</f>
        <v>9700</v>
      </c>
      <c r="Y349" s="7">
        <v>0</v>
      </c>
      <c r="Z349" s="6">
        <f t="shared" ref="Z349" si="1437">X349-Y349</f>
        <v>9700</v>
      </c>
      <c r="AA349" s="82"/>
      <c r="AB349" s="7">
        <v>0</v>
      </c>
      <c r="AC349" s="3">
        <v>50</v>
      </c>
      <c r="AD349" s="3">
        <f t="shared" ref="AD349" si="1438">AB349*AC349</f>
        <v>0</v>
      </c>
      <c r="AE349" s="7">
        <v>0</v>
      </c>
      <c r="AF349" s="3">
        <v>50</v>
      </c>
      <c r="AG349" s="3">
        <f t="shared" ref="AG349" si="1439">AE349*AF349</f>
        <v>0</v>
      </c>
      <c r="AH349" s="3">
        <f t="shared" ref="AH349" si="1440">AB349-AE349</f>
        <v>0</v>
      </c>
      <c r="AI349" s="3">
        <v>50</v>
      </c>
      <c r="AJ349" s="7">
        <f t="shared" ref="AJ349" si="1441">AH349*AI349</f>
        <v>0</v>
      </c>
      <c r="AK349" s="7">
        <v>0</v>
      </c>
      <c r="AL349" s="6">
        <f t="shared" ref="AL349" si="1442">AJ349-AK349</f>
        <v>0</v>
      </c>
      <c r="AM349" s="6">
        <f t="shared" ref="AM349" si="1443">L349+X349+AJ349</f>
        <v>12820</v>
      </c>
      <c r="AN349" s="6">
        <f t="shared" ref="AN349" si="1444">M349+Y349+AK349</f>
        <v>0</v>
      </c>
      <c r="AO349" s="6">
        <f t="shared" ref="AO349" si="1445">AM349-AN349</f>
        <v>12820</v>
      </c>
      <c r="AP349" s="3" t="s">
        <v>515</v>
      </c>
      <c r="AQ349" s="3">
        <f t="shared" ref="AQ349" si="1446">AO349</f>
        <v>12820</v>
      </c>
      <c r="AR349" s="3">
        <f t="shared" ref="AR349" si="1447">AQ349</f>
        <v>12820</v>
      </c>
      <c r="AS349" s="3">
        <f t="shared" ref="AS349" si="1448">AQ349-AR349</f>
        <v>0</v>
      </c>
      <c r="AT349" s="3"/>
    </row>
    <row r="350" spans="1:46" x14ac:dyDescent="0.35">
      <c r="A350" s="3"/>
      <c r="B350" s="172" t="s">
        <v>415</v>
      </c>
      <c r="C350" s="3" t="s">
        <v>33</v>
      </c>
      <c r="D350" s="7">
        <v>225</v>
      </c>
      <c r="E350" s="3">
        <v>60</v>
      </c>
      <c r="F350" s="1">
        <f t="shared" si="1408"/>
        <v>13500</v>
      </c>
      <c r="G350" s="7">
        <v>34</v>
      </c>
      <c r="H350" s="3">
        <v>60</v>
      </c>
      <c r="I350" s="27">
        <f t="shared" si="1409"/>
        <v>2040</v>
      </c>
      <c r="J350" s="3">
        <f t="shared" si="1410"/>
        <v>191</v>
      </c>
      <c r="K350" s="7">
        <v>60</v>
      </c>
      <c r="L350" s="7">
        <f t="shared" si="1429"/>
        <v>11460</v>
      </c>
      <c r="M350" s="3">
        <f>J350*5</f>
        <v>955</v>
      </c>
      <c r="N350" s="6">
        <f t="shared" si="1412"/>
        <v>10505</v>
      </c>
      <c r="O350" s="34"/>
      <c r="P350" s="7">
        <v>204</v>
      </c>
      <c r="Q350" s="3">
        <v>100</v>
      </c>
      <c r="R350" s="3">
        <f t="shared" si="1413"/>
        <v>20400</v>
      </c>
      <c r="S350" s="7">
        <v>28</v>
      </c>
      <c r="T350" s="3">
        <v>100</v>
      </c>
      <c r="U350" s="3">
        <f t="shared" si="1414"/>
        <v>2800</v>
      </c>
      <c r="V350" s="3">
        <f t="shared" si="1415"/>
        <v>176</v>
      </c>
      <c r="W350" s="7">
        <v>100</v>
      </c>
      <c r="X350" s="7">
        <f t="shared" ref="X350:X357" si="1449">V350*W350</f>
        <v>17600</v>
      </c>
      <c r="Y350" s="3">
        <f>V350*10</f>
        <v>1760</v>
      </c>
      <c r="Z350" s="6">
        <f t="shared" si="1417"/>
        <v>15840</v>
      </c>
      <c r="AA350" s="82"/>
      <c r="AB350" s="7">
        <v>120</v>
      </c>
      <c r="AC350" s="3">
        <v>50</v>
      </c>
      <c r="AD350" s="3">
        <f t="shared" si="1418"/>
        <v>6000</v>
      </c>
      <c r="AE350" s="7">
        <v>5</v>
      </c>
      <c r="AF350" s="3">
        <v>50</v>
      </c>
      <c r="AG350" s="3">
        <f t="shared" si="1419"/>
        <v>250</v>
      </c>
      <c r="AH350" s="3">
        <f t="shared" si="1420"/>
        <v>115</v>
      </c>
      <c r="AI350" s="3">
        <v>50</v>
      </c>
      <c r="AJ350" s="7">
        <f t="shared" si="1421"/>
        <v>5750</v>
      </c>
      <c r="AK350" s="3">
        <f>AH350*5</f>
        <v>575</v>
      </c>
      <c r="AL350" s="6">
        <f t="shared" si="1422"/>
        <v>5175</v>
      </c>
      <c r="AM350" s="6">
        <f t="shared" si="1423"/>
        <v>34810</v>
      </c>
      <c r="AN350" s="6">
        <f t="shared" si="1424"/>
        <v>3290</v>
      </c>
      <c r="AO350" s="6">
        <f t="shared" si="1425"/>
        <v>31520</v>
      </c>
      <c r="AP350" s="3" t="s">
        <v>515</v>
      </c>
      <c r="AQ350" s="3">
        <f t="shared" si="1426"/>
        <v>31520</v>
      </c>
      <c r="AR350" s="3">
        <f t="shared" si="1427"/>
        <v>31520</v>
      </c>
      <c r="AS350" s="3">
        <f>AQ350-AR350</f>
        <v>0</v>
      </c>
      <c r="AT350" s="3"/>
    </row>
    <row r="351" spans="1:46" x14ac:dyDescent="0.35">
      <c r="A351" s="3"/>
      <c r="B351" s="172" t="s">
        <v>326</v>
      </c>
      <c r="C351" s="3" t="s">
        <v>33</v>
      </c>
      <c r="D351" s="7">
        <v>45</v>
      </c>
      <c r="E351" s="3">
        <v>60</v>
      </c>
      <c r="F351" s="1">
        <f t="shared" si="1408"/>
        <v>2700</v>
      </c>
      <c r="G351" s="7">
        <v>8</v>
      </c>
      <c r="H351" s="3">
        <v>60</v>
      </c>
      <c r="I351" s="27">
        <f t="shared" si="1409"/>
        <v>480</v>
      </c>
      <c r="J351" s="3">
        <f t="shared" si="1410"/>
        <v>37</v>
      </c>
      <c r="K351" s="7">
        <v>60</v>
      </c>
      <c r="L351" s="7">
        <f t="shared" si="1429"/>
        <v>2220</v>
      </c>
      <c r="M351" s="3">
        <v>0</v>
      </c>
      <c r="N351" s="6">
        <f t="shared" si="1412"/>
        <v>2220</v>
      </c>
      <c r="O351" s="34"/>
      <c r="P351" s="7">
        <v>72</v>
      </c>
      <c r="Q351" s="3">
        <v>100</v>
      </c>
      <c r="R351" s="3">
        <f t="shared" si="1413"/>
        <v>7200</v>
      </c>
      <c r="S351" s="7">
        <v>2</v>
      </c>
      <c r="T351" s="3">
        <v>100</v>
      </c>
      <c r="U351" s="3">
        <f t="shared" si="1414"/>
        <v>200</v>
      </c>
      <c r="V351" s="3">
        <f t="shared" si="1415"/>
        <v>70</v>
      </c>
      <c r="W351" s="7">
        <v>100</v>
      </c>
      <c r="X351" s="7">
        <f t="shared" si="1449"/>
        <v>7000</v>
      </c>
      <c r="Y351" s="3">
        <v>0</v>
      </c>
      <c r="Z351" s="6">
        <f t="shared" si="1417"/>
        <v>7000</v>
      </c>
      <c r="AA351" s="82"/>
      <c r="AB351" s="7">
        <v>36</v>
      </c>
      <c r="AC351" s="3">
        <v>50</v>
      </c>
      <c r="AD351" s="3">
        <f t="shared" si="1418"/>
        <v>1800</v>
      </c>
      <c r="AE351" s="7">
        <v>0</v>
      </c>
      <c r="AF351" s="3">
        <v>50</v>
      </c>
      <c r="AG351" s="3">
        <f t="shared" si="1419"/>
        <v>0</v>
      </c>
      <c r="AH351" s="3">
        <f t="shared" si="1420"/>
        <v>36</v>
      </c>
      <c r="AI351" s="3">
        <v>50</v>
      </c>
      <c r="AJ351" s="7">
        <f t="shared" si="1421"/>
        <v>1800</v>
      </c>
      <c r="AK351" s="3">
        <v>0</v>
      </c>
      <c r="AL351" s="6">
        <f t="shared" si="1422"/>
        <v>1800</v>
      </c>
      <c r="AM351" s="6">
        <f t="shared" si="1423"/>
        <v>11020</v>
      </c>
      <c r="AN351" s="6">
        <f t="shared" si="1424"/>
        <v>0</v>
      </c>
      <c r="AO351" s="6">
        <f t="shared" si="1425"/>
        <v>11020</v>
      </c>
      <c r="AP351" s="3" t="s">
        <v>515</v>
      </c>
      <c r="AQ351" s="3">
        <f t="shared" si="1426"/>
        <v>11020</v>
      </c>
      <c r="AR351" s="3">
        <f t="shared" si="1427"/>
        <v>11020</v>
      </c>
      <c r="AS351" s="3">
        <f t="shared" ref="AS351:AS357" si="1450">AQ351-AR351</f>
        <v>0</v>
      </c>
      <c r="AT351" s="3"/>
    </row>
    <row r="352" spans="1:46" x14ac:dyDescent="0.35">
      <c r="A352" s="3"/>
      <c r="B352" s="172" t="s">
        <v>283</v>
      </c>
      <c r="C352" s="3" t="s">
        <v>33</v>
      </c>
      <c r="D352" s="7">
        <v>30</v>
      </c>
      <c r="E352" s="3">
        <v>60</v>
      </c>
      <c r="F352" s="1">
        <f t="shared" si="1408"/>
        <v>1800</v>
      </c>
      <c r="G352" s="7">
        <v>7</v>
      </c>
      <c r="H352" s="3">
        <v>60</v>
      </c>
      <c r="I352" s="27">
        <f t="shared" si="1409"/>
        <v>420</v>
      </c>
      <c r="J352" s="3">
        <f t="shared" si="1410"/>
        <v>23</v>
      </c>
      <c r="K352" s="7">
        <v>60</v>
      </c>
      <c r="L352" s="7">
        <f t="shared" si="1429"/>
        <v>1380</v>
      </c>
      <c r="M352" s="3">
        <v>0</v>
      </c>
      <c r="N352" s="6">
        <f t="shared" si="1412"/>
        <v>1380</v>
      </c>
      <c r="O352" s="34"/>
      <c r="P352" s="7">
        <f>48+97+36</f>
        <v>181</v>
      </c>
      <c r="Q352" s="3">
        <v>100</v>
      </c>
      <c r="R352" s="3">
        <f t="shared" si="1413"/>
        <v>18100</v>
      </c>
      <c r="S352" s="7">
        <v>7</v>
      </c>
      <c r="T352" s="3">
        <v>100</v>
      </c>
      <c r="U352" s="3">
        <f t="shared" si="1414"/>
        <v>700</v>
      </c>
      <c r="V352" s="3">
        <f t="shared" si="1415"/>
        <v>174</v>
      </c>
      <c r="W352" s="7">
        <v>100</v>
      </c>
      <c r="X352" s="7">
        <f t="shared" si="1449"/>
        <v>17400</v>
      </c>
      <c r="Y352" s="3">
        <v>0</v>
      </c>
      <c r="Z352" s="6">
        <f t="shared" si="1417"/>
        <v>17400</v>
      </c>
      <c r="AA352" s="82"/>
      <c r="AB352" s="7">
        <v>12</v>
      </c>
      <c r="AC352" s="3">
        <v>50</v>
      </c>
      <c r="AD352" s="3">
        <f t="shared" si="1418"/>
        <v>600</v>
      </c>
      <c r="AE352" s="7">
        <v>1</v>
      </c>
      <c r="AF352" s="3">
        <v>50</v>
      </c>
      <c r="AG352" s="3">
        <f t="shared" si="1419"/>
        <v>50</v>
      </c>
      <c r="AH352" s="3">
        <f t="shared" si="1420"/>
        <v>11</v>
      </c>
      <c r="AI352" s="3">
        <v>50</v>
      </c>
      <c r="AJ352" s="7">
        <f t="shared" si="1421"/>
        <v>550</v>
      </c>
      <c r="AK352" s="3">
        <v>0</v>
      </c>
      <c r="AL352" s="6">
        <f t="shared" si="1422"/>
        <v>550</v>
      </c>
      <c r="AM352" s="6">
        <f t="shared" si="1423"/>
        <v>19330</v>
      </c>
      <c r="AN352" s="6">
        <f t="shared" si="1424"/>
        <v>0</v>
      </c>
      <c r="AO352" s="6">
        <f t="shared" si="1425"/>
        <v>19330</v>
      </c>
      <c r="AP352" s="3" t="s">
        <v>515</v>
      </c>
      <c r="AQ352" s="3">
        <f t="shared" si="1426"/>
        <v>19330</v>
      </c>
      <c r="AR352" s="3">
        <f t="shared" si="1427"/>
        <v>19330</v>
      </c>
      <c r="AS352" s="3">
        <f t="shared" si="1450"/>
        <v>0</v>
      </c>
      <c r="AT352" s="3"/>
    </row>
    <row r="353" spans="1:46" x14ac:dyDescent="0.35">
      <c r="A353" s="3"/>
      <c r="B353" s="172" t="s">
        <v>283</v>
      </c>
      <c r="C353" s="3" t="s">
        <v>418</v>
      </c>
      <c r="D353" s="7">
        <v>0</v>
      </c>
      <c r="E353" s="3">
        <v>50</v>
      </c>
      <c r="F353" s="1">
        <f t="shared" si="1408"/>
        <v>0</v>
      </c>
      <c r="G353" s="3">
        <v>0</v>
      </c>
      <c r="H353" s="3">
        <v>50</v>
      </c>
      <c r="I353" s="27">
        <f t="shared" si="1409"/>
        <v>0</v>
      </c>
      <c r="J353" s="3">
        <f t="shared" si="1410"/>
        <v>0</v>
      </c>
      <c r="K353" s="7">
        <v>50</v>
      </c>
      <c r="L353" s="7">
        <f t="shared" si="1429"/>
        <v>0</v>
      </c>
      <c r="M353" s="3">
        <v>0</v>
      </c>
      <c r="N353" s="6">
        <f t="shared" si="1412"/>
        <v>0</v>
      </c>
      <c r="O353" s="34"/>
      <c r="P353" s="3">
        <v>0</v>
      </c>
      <c r="Q353" s="3">
        <v>90</v>
      </c>
      <c r="R353" s="3">
        <f t="shared" si="1413"/>
        <v>0</v>
      </c>
      <c r="S353" s="3">
        <v>0</v>
      </c>
      <c r="T353" s="3">
        <v>90</v>
      </c>
      <c r="U353" s="3">
        <f t="shared" si="1414"/>
        <v>0</v>
      </c>
      <c r="V353" s="3">
        <f t="shared" si="1415"/>
        <v>0</v>
      </c>
      <c r="W353" s="7">
        <v>90</v>
      </c>
      <c r="X353" s="7">
        <f t="shared" si="1449"/>
        <v>0</v>
      </c>
      <c r="Y353" s="3">
        <f>V353*10</f>
        <v>0</v>
      </c>
      <c r="Z353" s="6">
        <f t="shared" si="1417"/>
        <v>0</v>
      </c>
      <c r="AA353" s="82"/>
      <c r="AB353" s="3">
        <v>0</v>
      </c>
      <c r="AC353" s="3">
        <v>45</v>
      </c>
      <c r="AD353" s="3">
        <f t="shared" si="1418"/>
        <v>0</v>
      </c>
      <c r="AE353" s="3">
        <v>0</v>
      </c>
      <c r="AF353" s="3">
        <v>45</v>
      </c>
      <c r="AG353" s="3">
        <f t="shared" si="1419"/>
        <v>0</v>
      </c>
      <c r="AH353" s="3">
        <f t="shared" si="1420"/>
        <v>0</v>
      </c>
      <c r="AI353" s="3">
        <v>45</v>
      </c>
      <c r="AJ353" s="7">
        <f t="shared" si="1421"/>
        <v>0</v>
      </c>
      <c r="AK353" s="3">
        <v>0</v>
      </c>
      <c r="AL353" s="6">
        <f t="shared" si="1422"/>
        <v>0</v>
      </c>
      <c r="AM353" s="6">
        <f t="shared" si="1423"/>
        <v>0</v>
      </c>
      <c r="AN353" s="6">
        <f t="shared" si="1424"/>
        <v>0</v>
      </c>
      <c r="AO353" s="6">
        <f t="shared" si="1425"/>
        <v>0</v>
      </c>
      <c r="AP353" s="3" t="s">
        <v>515</v>
      </c>
      <c r="AQ353" s="3">
        <f t="shared" si="1426"/>
        <v>0</v>
      </c>
      <c r="AR353" s="3">
        <f>AQ353</f>
        <v>0</v>
      </c>
      <c r="AS353" s="3">
        <f t="shared" si="1450"/>
        <v>0</v>
      </c>
      <c r="AT353" s="3"/>
    </row>
    <row r="354" spans="1:46" x14ac:dyDescent="0.35">
      <c r="A354" s="3"/>
      <c r="B354" s="172" t="s">
        <v>308</v>
      </c>
      <c r="C354" s="3" t="s">
        <v>517</v>
      </c>
      <c r="D354" s="7">
        <v>135</v>
      </c>
      <c r="E354" s="3">
        <v>60</v>
      </c>
      <c r="F354" s="1">
        <f t="shared" si="1408"/>
        <v>8100</v>
      </c>
      <c r="G354" s="3">
        <v>0</v>
      </c>
      <c r="H354" s="3">
        <v>60</v>
      </c>
      <c r="I354" s="27">
        <f t="shared" si="1409"/>
        <v>0</v>
      </c>
      <c r="J354" s="3">
        <f t="shared" si="1410"/>
        <v>135</v>
      </c>
      <c r="K354" s="7">
        <v>60</v>
      </c>
      <c r="L354" s="7">
        <f t="shared" si="1429"/>
        <v>8100</v>
      </c>
      <c r="M354" s="3">
        <f>J354*5</f>
        <v>675</v>
      </c>
      <c r="N354" s="6">
        <f t="shared" si="1412"/>
        <v>7425</v>
      </c>
      <c r="O354" s="34"/>
      <c r="P354" s="3">
        <v>172</v>
      </c>
      <c r="Q354" s="3">
        <v>100</v>
      </c>
      <c r="R354" s="3">
        <f t="shared" si="1413"/>
        <v>17200</v>
      </c>
      <c r="S354" s="3">
        <v>0</v>
      </c>
      <c r="T354" s="3">
        <v>100</v>
      </c>
      <c r="U354" s="3">
        <f t="shared" si="1414"/>
        <v>0</v>
      </c>
      <c r="V354" s="3">
        <f t="shared" si="1415"/>
        <v>172</v>
      </c>
      <c r="W354" s="7">
        <v>100</v>
      </c>
      <c r="X354" s="7">
        <f t="shared" si="1449"/>
        <v>17200</v>
      </c>
      <c r="Y354" s="3">
        <f>V354*10</f>
        <v>1720</v>
      </c>
      <c r="Z354" s="6">
        <f t="shared" si="1417"/>
        <v>15480</v>
      </c>
      <c r="AA354" s="82">
        <v>195</v>
      </c>
      <c r="AB354" s="3">
        <v>240</v>
      </c>
      <c r="AC354" s="3">
        <v>50</v>
      </c>
      <c r="AD354" s="3">
        <f t="shared" si="1418"/>
        <v>12000</v>
      </c>
      <c r="AE354" s="3">
        <v>0</v>
      </c>
      <c r="AF354" s="3">
        <v>50</v>
      </c>
      <c r="AG354" s="3">
        <f t="shared" si="1419"/>
        <v>0</v>
      </c>
      <c r="AH354" s="3">
        <f t="shared" si="1420"/>
        <v>240</v>
      </c>
      <c r="AI354" s="3">
        <v>50</v>
      </c>
      <c r="AJ354" s="7">
        <f t="shared" si="1421"/>
        <v>12000</v>
      </c>
      <c r="AK354" s="3">
        <f>AH354*5</f>
        <v>1200</v>
      </c>
      <c r="AL354" s="6">
        <f t="shared" si="1422"/>
        <v>10800</v>
      </c>
      <c r="AM354" s="6">
        <f t="shared" si="1423"/>
        <v>37300</v>
      </c>
      <c r="AN354" s="6">
        <f t="shared" si="1424"/>
        <v>3595</v>
      </c>
      <c r="AO354" s="6">
        <f t="shared" si="1425"/>
        <v>33705</v>
      </c>
      <c r="AP354" s="3" t="s">
        <v>515</v>
      </c>
      <c r="AQ354" s="3">
        <f t="shared" si="1426"/>
        <v>33705</v>
      </c>
      <c r="AR354" s="3">
        <f t="shared" ref="AR354:AR355" si="1451">AQ354</f>
        <v>33705</v>
      </c>
      <c r="AS354" s="3">
        <f t="shared" si="1450"/>
        <v>0</v>
      </c>
      <c r="AT354" s="3"/>
    </row>
    <row r="355" spans="1:46" x14ac:dyDescent="0.35">
      <c r="A355" s="3"/>
      <c r="B355" s="172" t="s">
        <v>308</v>
      </c>
      <c r="C355" s="3" t="s">
        <v>518</v>
      </c>
      <c r="D355" s="7">
        <v>150</v>
      </c>
      <c r="E355" s="3">
        <v>60</v>
      </c>
      <c r="F355" s="1">
        <v>0</v>
      </c>
      <c r="G355" s="7">
        <v>0</v>
      </c>
      <c r="H355" s="3">
        <v>60</v>
      </c>
      <c r="I355" s="27">
        <f t="shared" si="1409"/>
        <v>0</v>
      </c>
      <c r="J355" s="3">
        <v>0</v>
      </c>
      <c r="K355" s="7">
        <v>60</v>
      </c>
      <c r="L355" s="7">
        <f t="shared" si="1429"/>
        <v>0</v>
      </c>
      <c r="M355" s="3">
        <v>0</v>
      </c>
      <c r="N355" s="6">
        <f t="shared" si="1412"/>
        <v>0</v>
      </c>
      <c r="O355" s="34"/>
      <c r="P355" s="7">
        <v>120</v>
      </c>
      <c r="Q355" s="3">
        <v>100</v>
      </c>
      <c r="R355" s="3">
        <v>0</v>
      </c>
      <c r="S355" s="7">
        <v>0</v>
      </c>
      <c r="T355" s="3">
        <v>100</v>
      </c>
      <c r="U355" s="3">
        <f t="shared" si="1414"/>
        <v>0</v>
      </c>
      <c r="V355" s="3">
        <v>0</v>
      </c>
      <c r="W355" s="7">
        <v>100</v>
      </c>
      <c r="X355" s="7">
        <f t="shared" si="1449"/>
        <v>0</v>
      </c>
      <c r="Y355" s="3">
        <v>0</v>
      </c>
      <c r="Z355" s="6">
        <f t="shared" si="1417"/>
        <v>0</v>
      </c>
      <c r="AA355" s="82"/>
      <c r="AB355" s="7">
        <v>180</v>
      </c>
      <c r="AC355" s="3">
        <v>50</v>
      </c>
      <c r="AD355" s="3">
        <v>0</v>
      </c>
      <c r="AE355" s="7">
        <v>0</v>
      </c>
      <c r="AF355" s="3">
        <v>50</v>
      </c>
      <c r="AG355" s="3">
        <f t="shared" si="1419"/>
        <v>0</v>
      </c>
      <c r="AH355" s="3">
        <v>0</v>
      </c>
      <c r="AI355" s="3">
        <v>50</v>
      </c>
      <c r="AJ355" s="7">
        <f t="shared" si="1421"/>
        <v>0</v>
      </c>
      <c r="AK355" s="3">
        <v>0</v>
      </c>
      <c r="AL355" s="6">
        <f t="shared" si="1422"/>
        <v>0</v>
      </c>
      <c r="AM355" s="6">
        <f t="shared" si="1423"/>
        <v>0</v>
      </c>
      <c r="AN355" s="6">
        <f t="shared" si="1424"/>
        <v>0</v>
      </c>
      <c r="AO355" s="6">
        <f t="shared" si="1425"/>
        <v>0</v>
      </c>
      <c r="AP355" s="3" t="s">
        <v>515</v>
      </c>
      <c r="AQ355" s="3">
        <f t="shared" si="1426"/>
        <v>0</v>
      </c>
      <c r="AR355" s="3">
        <f t="shared" si="1451"/>
        <v>0</v>
      </c>
      <c r="AS355" s="3">
        <f t="shared" si="1450"/>
        <v>0</v>
      </c>
      <c r="AT355" s="3"/>
    </row>
    <row r="356" spans="1:46" x14ac:dyDescent="0.35">
      <c r="A356" s="3"/>
      <c r="B356" s="3" t="s">
        <v>287</v>
      </c>
      <c r="C356" s="3" t="s">
        <v>331</v>
      </c>
      <c r="D356" s="7">
        <v>0</v>
      </c>
      <c r="E356" s="3">
        <v>60</v>
      </c>
      <c r="F356" s="1">
        <f t="shared" ref="F356" si="1452">D356*E356</f>
        <v>0</v>
      </c>
      <c r="G356" s="7">
        <v>0</v>
      </c>
      <c r="H356" s="3">
        <v>60</v>
      </c>
      <c r="I356" s="27">
        <f t="shared" si="1409"/>
        <v>0</v>
      </c>
      <c r="J356" s="3">
        <f t="shared" ref="J356" si="1453">D356-G356</f>
        <v>0</v>
      </c>
      <c r="K356" s="7">
        <v>60</v>
      </c>
      <c r="L356" s="7">
        <f t="shared" ref="L356:L357" si="1454">J356*K356</f>
        <v>0</v>
      </c>
      <c r="M356" s="3">
        <f>J356*5</f>
        <v>0</v>
      </c>
      <c r="N356" s="6">
        <f t="shared" si="1412"/>
        <v>0</v>
      </c>
      <c r="O356" s="34"/>
      <c r="P356" s="7">
        <v>0</v>
      </c>
      <c r="Q356" s="3">
        <v>100</v>
      </c>
      <c r="R356" s="3">
        <f t="shared" ref="R356" si="1455">P356*Q356</f>
        <v>0</v>
      </c>
      <c r="S356" s="7">
        <v>0</v>
      </c>
      <c r="T356" s="3">
        <v>100</v>
      </c>
      <c r="U356" s="3">
        <f t="shared" si="1414"/>
        <v>0</v>
      </c>
      <c r="V356" s="3">
        <f t="shared" ref="V356" si="1456">P356-S356</f>
        <v>0</v>
      </c>
      <c r="W356" s="7">
        <v>100</v>
      </c>
      <c r="X356" s="7">
        <f t="shared" si="1449"/>
        <v>0</v>
      </c>
      <c r="Y356" s="3">
        <f>V356*10</f>
        <v>0</v>
      </c>
      <c r="Z356" s="6">
        <f t="shared" si="1417"/>
        <v>0</v>
      </c>
      <c r="AA356" s="82"/>
      <c r="AB356" s="7">
        <v>0</v>
      </c>
      <c r="AC356" s="3">
        <v>50</v>
      </c>
      <c r="AD356" s="3">
        <f t="shared" ref="AD356" si="1457">AB356*AC356</f>
        <v>0</v>
      </c>
      <c r="AE356" s="7">
        <v>0</v>
      </c>
      <c r="AF356" s="3">
        <v>50</v>
      </c>
      <c r="AG356" s="3">
        <f t="shared" si="1419"/>
        <v>0</v>
      </c>
      <c r="AH356" s="3">
        <f t="shared" ref="AH356" si="1458">AB356-AE356</f>
        <v>0</v>
      </c>
      <c r="AI356" s="3">
        <v>50</v>
      </c>
      <c r="AJ356" s="7">
        <f t="shared" si="1421"/>
        <v>0</v>
      </c>
      <c r="AK356" s="3">
        <f>AH356*5</f>
        <v>0</v>
      </c>
      <c r="AL356" s="6">
        <f t="shared" si="1422"/>
        <v>0</v>
      </c>
      <c r="AM356" s="6">
        <f t="shared" si="1423"/>
        <v>0</v>
      </c>
      <c r="AN356" s="6">
        <f t="shared" si="1424"/>
        <v>0</v>
      </c>
      <c r="AO356" s="6">
        <f t="shared" si="1425"/>
        <v>0</v>
      </c>
      <c r="AP356" s="3" t="s">
        <v>515</v>
      </c>
      <c r="AQ356" s="3">
        <f t="shared" si="1426"/>
        <v>0</v>
      </c>
      <c r="AR356" s="3">
        <f>AQ356</f>
        <v>0</v>
      </c>
      <c r="AS356" s="3">
        <f t="shared" si="1450"/>
        <v>0</v>
      </c>
      <c r="AT356" s="3"/>
    </row>
    <row r="357" spans="1:46" x14ac:dyDescent="0.35">
      <c r="A357" s="3"/>
      <c r="B357" s="3" t="s">
        <v>287</v>
      </c>
      <c r="C357" s="3" t="s">
        <v>332</v>
      </c>
      <c r="D357" s="7">
        <v>0</v>
      </c>
      <c r="E357" s="3">
        <v>60</v>
      </c>
      <c r="F357" s="1">
        <v>0</v>
      </c>
      <c r="G357" s="7">
        <v>0</v>
      </c>
      <c r="H357" s="3">
        <v>60</v>
      </c>
      <c r="I357" s="27">
        <f t="shared" si="1409"/>
        <v>0</v>
      </c>
      <c r="J357" s="3">
        <v>0</v>
      </c>
      <c r="K357" s="7">
        <v>60</v>
      </c>
      <c r="L357" s="7">
        <f t="shared" si="1454"/>
        <v>0</v>
      </c>
      <c r="M357" s="3">
        <v>0</v>
      </c>
      <c r="N357" s="6">
        <f t="shared" si="1412"/>
        <v>0</v>
      </c>
      <c r="O357" s="34"/>
      <c r="P357" s="7">
        <v>0</v>
      </c>
      <c r="Q357" s="3">
        <v>100</v>
      </c>
      <c r="R357" s="3">
        <v>0</v>
      </c>
      <c r="S357" s="7">
        <v>0</v>
      </c>
      <c r="T357" s="3">
        <v>100</v>
      </c>
      <c r="U357" s="3">
        <f t="shared" si="1414"/>
        <v>0</v>
      </c>
      <c r="V357" s="3">
        <v>0</v>
      </c>
      <c r="W357" s="7">
        <v>100</v>
      </c>
      <c r="X357" s="7">
        <f t="shared" si="1449"/>
        <v>0</v>
      </c>
      <c r="Y357" s="3">
        <v>0</v>
      </c>
      <c r="Z357" s="6">
        <f t="shared" si="1417"/>
        <v>0</v>
      </c>
      <c r="AA357" s="82"/>
      <c r="AB357" s="7">
        <v>0</v>
      </c>
      <c r="AC357" s="3">
        <v>50</v>
      </c>
      <c r="AD357" s="3">
        <v>0</v>
      </c>
      <c r="AE357" s="7">
        <v>0</v>
      </c>
      <c r="AF357" s="3">
        <v>50</v>
      </c>
      <c r="AG357" s="3">
        <f t="shared" si="1419"/>
        <v>0</v>
      </c>
      <c r="AH357" s="3">
        <v>0</v>
      </c>
      <c r="AI357" s="3">
        <v>50</v>
      </c>
      <c r="AJ357" s="7">
        <f t="shared" si="1421"/>
        <v>0</v>
      </c>
      <c r="AK357" s="3">
        <v>0</v>
      </c>
      <c r="AL357" s="6">
        <f t="shared" si="1422"/>
        <v>0</v>
      </c>
      <c r="AM357" s="6">
        <f t="shared" si="1423"/>
        <v>0</v>
      </c>
      <c r="AN357" s="6">
        <f t="shared" si="1424"/>
        <v>0</v>
      </c>
      <c r="AO357" s="6">
        <f t="shared" si="1425"/>
        <v>0</v>
      </c>
      <c r="AP357" s="3" t="s">
        <v>515</v>
      </c>
      <c r="AQ357" s="3">
        <f t="shared" si="1426"/>
        <v>0</v>
      </c>
      <c r="AR357" s="3">
        <f t="shared" ref="AR357" si="1459">AQ357</f>
        <v>0</v>
      </c>
      <c r="AS357" s="3">
        <f t="shared" si="1450"/>
        <v>0</v>
      </c>
      <c r="AT357" s="3"/>
    </row>
    <row r="358" spans="1:46" x14ac:dyDescent="0.35">
      <c r="A358" s="19"/>
      <c r="B358" s="19" t="s">
        <v>36</v>
      </c>
      <c r="C358" s="19"/>
      <c r="D358" s="19">
        <f>SUM(D345:D357)</f>
        <v>1335</v>
      </c>
      <c r="E358" s="19"/>
      <c r="F358" s="19">
        <f>SUM(F345:F357)</f>
        <v>70875</v>
      </c>
      <c r="G358" s="19">
        <f>SUM(G345:G357)</f>
        <v>555</v>
      </c>
      <c r="H358" s="19"/>
      <c r="I358" s="19">
        <f>SUM(I345:I357)</f>
        <v>33300</v>
      </c>
      <c r="J358" s="19">
        <f>SUM(J345:J357)</f>
        <v>630</v>
      </c>
      <c r="K358" s="19"/>
      <c r="L358" s="19">
        <f>SUM(L345:L357)</f>
        <v>37575</v>
      </c>
      <c r="M358" s="19">
        <f>SUM(M345:M357)</f>
        <v>1630</v>
      </c>
      <c r="N358" s="19">
        <f>SUM(N345:N357)</f>
        <v>35945</v>
      </c>
      <c r="O358" s="34"/>
      <c r="P358" s="19">
        <f>SUM(P345:P357)</f>
        <v>1386</v>
      </c>
      <c r="Q358" s="19"/>
      <c r="R358" s="19">
        <f>SUM(R345:R357)</f>
        <v>126600</v>
      </c>
      <c r="S358" s="19">
        <f>SUM(S345:S357)</f>
        <v>111</v>
      </c>
      <c r="T358" s="19"/>
      <c r="U358" s="19">
        <f>SUM(U345:U357)</f>
        <v>11100</v>
      </c>
      <c r="V358" s="19">
        <f>SUM(V345:V357)</f>
        <v>1155</v>
      </c>
      <c r="W358" s="19"/>
      <c r="X358" s="19">
        <f>SUM(X345:X357)</f>
        <v>115500</v>
      </c>
      <c r="Y358" s="19">
        <f>SUM(Y345:Y357)</f>
        <v>3480</v>
      </c>
      <c r="Z358" s="19">
        <f>SUM(Z345:Z357)</f>
        <v>112020</v>
      </c>
      <c r="AA358" s="34"/>
      <c r="AB358" s="19">
        <f>SUM(AB345:AB357)</f>
        <v>1060</v>
      </c>
      <c r="AC358" s="19"/>
      <c r="AD358" s="19">
        <f>SUM(AD345:AD357)</f>
        <v>42000</v>
      </c>
      <c r="AE358" s="19">
        <f>SUM(AE345:AE357)</f>
        <v>13</v>
      </c>
      <c r="AF358" s="19"/>
      <c r="AG358" s="19">
        <f>SUM(AG345:AG357)</f>
        <v>650</v>
      </c>
      <c r="AH358" s="19">
        <f>SUM(AH345:AH357)</f>
        <v>867</v>
      </c>
      <c r="AI358" s="19"/>
      <c r="AJ358" s="19">
        <f t="shared" ref="AJ358:AO358" si="1460">SUM(AJ345:AJ357)</f>
        <v>41350</v>
      </c>
      <c r="AK358" s="19">
        <f t="shared" si="1460"/>
        <v>1775</v>
      </c>
      <c r="AL358" s="19">
        <f t="shared" si="1460"/>
        <v>39575</v>
      </c>
      <c r="AM358" s="19">
        <f t="shared" si="1460"/>
        <v>194425</v>
      </c>
      <c r="AN358" s="19">
        <f t="shared" si="1460"/>
        <v>6885</v>
      </c>
      <c r="AO358" s="19">
        <f t="shared" si="1460"/>
        <v>187540</v>
      </c>
      <c r="AP358" s="19"/>
      <c r="AQ358" s="19">
        <f>SUM(AQ345:AQ357)</f>
        <v>187540</v>
      </c>
      <c r="AR358" s="19">
        <f>SUM(AR345:AR357)</f>
        <v>187540</v>
      </c>
      <c r="AS358" s="19">
        <f>SUM(AS345:AS357)</f>
        <v>0</v>
      </c>
      <c r="AT358" s="74"/>
    </row>
    <row r="359" spans="1:46" x14ac:dyDescent="0.35">
      <c r="A359" s="3" t="s">
        <v>521</v>
      </c>
      <c r="B359" s="172" t="s">
        <v>276</v>
      </c>
      <c r="C359" s="3" t="s">
        <v>33</v>
      </c>
      <c r="D359" s="7">
        <f>225-60</f>
        <v>165</v>
      </c>
      <c r="E359" s="3">
        <v>60</v>
      </c>
      <c r="F359" s="1">
        <f t="shared" ref="F359:F368" si="1461">D359*E359</f>
        <v>9900</v>
      </c>
      <c r="G359" s="7">
        <v>78</v>
      </c>
      <c r="H359" s="3">
        <v>60</v>
      </c>
      <c r="I359" s="27">
        <f t="shared" ref="I359:I370" si="1462">G359*H359</f>
        <v>4680</v>
      </c>
      <c r="J359" s="3">
        <f t="shared" ref="J359:J368" si="1463">D359-G359</f>
        <v>87</v>
      </c>
      <c r="K359" s="7">
        <v>60</v>
      </c>
      <c r="L359" s="7">
        <f t="shared" ref="L359:L360" si="1464">J359*K359</f>
        <v>5220</v>
      </c>
      <c r="M359" s="3">
        <v>0</v>
      </c>
      <c r="N359" s="6">
        <f t="shared" ref="N359:N370" si="1465">L359-M359</f>
        <v>5220</v>
      </c>
      <c r="O359" s="34"/>
      <c r="P359" s="7">
        <v>192</v>
      </c>
      <c r="Q359" s="3">
        <v>100</v>
      </c>
      <c r="R359" s="3">
        <f t="shared" ref="R359:R368" si="1466">P359*Q359</f>
        <v>19200</v>
      </c>
      <c r="S359" s="7">
        <v>11</v>
      </c>
      <c r="T359" s="3">
        <v>100</v>
      </c>
      <c r="U359" s="3">
        <f t="shared" ref="U359:U370" si="1467">S359*T359</f>
        <v>1100</v>
      </c>
      <c r="V359" s="3">
        <f t="shared" ref="V359:V368" si="1468">P359-S359</f>
        <v>181</v>
      </c>
      <c r="W359" s="7">
        <v>100</v>
      </c>
      <c r="X359" s="7">
        <f t="shared" ref="X359" si="1469">V359*W359</f>
        <v>18100</v>
      </c>
      <c r="Y359" s="3">
        <v>0</v>
      </c>
      <c r="Z359" s="6">
        <f t="shared" ref="Z359:Z370" si="1470">X359-Y359</f>
        <v>18100</v>
      </c>
      <c r="AA359" s="82"/>
      <c r="AB359" s="7">
        <v>72</v>
      </c>
      <c r="AC359" s="3">
        <v>50</v>
      </c>
      <c r="AD359" s="3">
        <f t="shared" ref="AD359:AD368" si="1471">AB359*AC359</f>
        <v>3600</v>
      </c>
      <c r="AE359" s="7">
        <v>0</v>
      </c>
      <c r="AF359" s="3">
        <v>50</v>
      </c>
      <c r="AG359" s="3">
        <f t="shared" ref="AG359:AG370" si="1472">AE359*AF359</f>
        <v>0</v>
      </c>
      <c r="AH359" s="3">
        <f t="shared" ref="AH359:AH368" si="1473">AB359-AE359</f>
        <v>72</v>
      </c>
      <c r="AI359" s="3">
        <v>50</v>
      </c>
      <c r="AJ359" s="7">
        <f t="shared" ref="AJ359:AJ370" si="1474">AH359*AI359</f>
        <v>3600</v>
      </c>
      <c r="AK359" s="3">
        <v>0</v>
      </c>
      <c r="AL359" s="6">
        <f t="shared" ref="AL359:AL370" si="1475">AJ359-AK359</f>
        <v>3600</v>
      </c>
      <c r="AM359" s="6">
        <f t="shared" ref="AM359:AM370" si="1476">L359+X359+AJ359</f>
        <v>26920</v>
      </c>
      <c r="AN359" s="6">
        <f t="shared" ref="AN359:AN370" si="1477">M359+Y359+AK359</f>
        <v>0</v>
      </c>
      <c r="AO359" s="6">
        <f t="shared" ref="AO359:AO368" si="1478">AM359-AN359</f>
        <v>26920</v>
      </c>
      <c r="AP359" s="3" t="s">
        <v>521</v>
      </c>
      <c r="AQ359" s="3">
        <f t="shared" ref="AQ359:AQ370" si="1479">AO359</f>
        <v>26920</v>
      </c>
      <c r="AR359" s="3">
        <f t="shared" ref="AR359:AR367" si="1480">AQ359</f>
        <v>26920</v>
      </c>
      <c r="AS359" s="3">
        <f t="shared" ref="AS359:AS363" si="1481">AQ359-AR359</f>
        <v>0</v>
      </c>
      <c r="AT359" s="3"/>
    </row>
    <row r="360" spans="1:46" x14ac:dyDescent="0.35">
      <c r="A360" s="3"/>
      <c r="B360" s="172" t="s">
        <v>276</v>
      </c>
      <c r="C360" s="3" t="s">
        <v>182</v>
      </c>
      <c r="D360" s="7">
        <v>60</v>
      </c>
      <c r="E360" s="3">
        <v>55</v>
      </c>
      <c r="F360" s="1">
        <f t="shared" si="1461"/>
        <v>3300</v>
      </c>
      <c r="G360" s="7">
        <v>0</v>
      </c>
      <c r="H360" s="3">
        <v>55</v>
      </c>
      <c r="I360" s="27">
        <f t="shared" si="1462"/>
        <v>0</v>
      </c>
      <c r="J360" s="3">
        <f t="shared" si="1463"/>
        <v>60</v>
      </c>
      <c r="K360" s="7">
        <v>55</v>
      </c>
      <c r="L360" s="7">
        <f t="shared" si="1464"/>
        <v>3300</v>
      </c>
      <c r="M360" s="7">
        <v>0</v>
      </c>
      <c r="N360" s="6">
        <f t="shared" si="1465"/>
        <v>3300</v>
      </c>
      <c r="O360" s="34"/>
      <c r="P360" s="7">
        <v>0</v>
      </c>
      <c r="Q360" s="3">
        <v>100</v>
      </c>
      <c r="R360" s="3">
        <f t="shared" si="1466"/>
        <v>0</v>
      </c>
      <c r="S360" s="7">
        <v>0</v>
      </c>
      <c r="T360" s="3">
        <v>100</v>
      </c>
      <c r="U360" s="3">
        <f t="shared" si="1467"/>
        <v>0</v>
      </c>
      <c r="V360" s="3">
        <f t="shared" si="1468"/>
        <v>0</v>
      </c>
      <c r="W360" s="7">
        <v>100</v>
      </c>
      <c r="X360" s="7">
        <f>V360*W360</f>
        <v>0</v>
      </c>
      <c r="Y360" s="7">
        <v>0</v>
      </c>
      <c r="Z360" s="6">
        <f t="shared" si="1470"/>
        <v>0</v>
      </c>
      <c r="AA360" s="82"/>
      <c r="AB360" s="7">
        <v>0</v>
      </c>
      <c r="AC360" s="3">
        <v>50</v>
      </c>
      <c r="AD360" s="3">
        <f t="shared" si="1471"/>
        <v>0</v>
      </c>
      <c r="AE360" s="7">
        <v>0</v>
      </c>
      <c r="AF360" s="3">
        <v>50</v>
      </c>
      <c r="AG360" s="3">
        <f t="shared" si="1472"/>
        <v>0</v>
      </c>
      <c r="AH360" s="3">
        <f t="shared" si="1473"/>
        <v>0</v>
      </c>
      <c r="AI360" s="3">
        <v>50</v>
      </c>
      <c r="AJ360" s="7">
        <f t="shared" si="1474"/>
        <v>0</v>
      </c>
      <c r="AK360" s="7">
        <v>0</v>
      </c>
      <c r="AL360" s="6">
        <f t="shared" si="1475"/>
        <v>0</v>
      </c>
      <c r="AM360" s="6">
        <f t="shared" si="1476"/>
        <v>3300</v>
      </c>
      <c r="AN360" s="6">
        <f t="shared" si="1477"/>
        <v>0</v>
      </c>
      <c r="AO360" s="6">
        <f t="shared" si="1478"/>
        <v>3300</v>
      </c>
      <c r="AP360" s="3" t="s">
        <v>521</v>
      </c>
      <c r="AQ360" s="3">
        <f t="shared" si="1479"/>
        <v>3300</v>
      </c>
      <c r="AR360" s="3">
        <f t="shared" si="1480"/>
        <v>3300</v>
      </c>
      <c r="AS360" s="3">
        <f t="shared" si="1481"/>
        <v>0</v>
      </c>
      <c r="AT360" s="3"/>
    </row>
    <row r="361" spans="1:46" x14ac:dyDescent="0.35">
      <c r="A361" s="3"/>
      <c r="B361" s="172" t="s">
        <v>463</v>
      </c>
      <c r="C361" s="3" t="s">
        <v>33</v>
      </c>
      <c r="D361" s="7">
        <v>300</v>
      </c>
      <c r="E361" s="3">
        <v>60</v>
      </c>
      <c r="F361" s="1">
        <f t="shared" si="1461"/>
        <v>18000</v>
      </c>
      <c r="G361" s="7">
        <v>185</v>
      </c>
      <c r="H361" s="3">
        <v>60</v>
      </c>
      <c r="I361" s="27">
        <f t="shared" si="1462"/>
        <v>11100</v>
      </c>
      <c r="J361" s="3">
        <f t="shared" si="1463"/>
        <v>115</v>
      </c>
      <c r="K361" s="7">
        <v>60</v>
      </c>
      <c r="L361" s="7">
        <f>J361*K361</f>
        <v>6900</v>
      </c>
      <c r="M361" s="7">
        <v>0</v>
      </c>
      <c r="N361" s="6">
        <f t="shared" si="1465"/>
        <v>6900</v>
      </c>
      <c r="O361" s="34"/>
      <c r="P361" s="7">
        <v>240</v>
      </c>
      <c r="Q361" s="3">
        <v>100</v>
      </c>
      <c r="R361" s="3">
        <f t="shared" si="1466"/>
        <v>24000</v>
      </c>
      <c r="S361" s="7">
        <v>45</v>
      </c>
      <c r="T361" s="3">
        <v>100</v>
      </c>
      <c r="U361" s="3">
        <f t="shared" si="1467"/>
        <v>4500</v>
      </c>
      <c r="V361" s="3">
        <f t="shared" si="1468"/>
        <v>195</v>
      </c>
      <c r="W361" s="7">
        <v>100</v>
      </c>
      <c r="X361" s="7">
        <f>V361*W361</f>
        <v>19500</v>
      </c>
      <c r="Y361" s="7">
        <v>0</v>
      </c>
      <c r="Z361" s="6">
        <f t="shared" si="1470"/>
        <v>19500</v>
      </c>
      <c r="AA361" s="82"/>
      <c r="AB361" s="7">
        <v>84</v>
      </c>
      <c r="AC361" s="3">
        <v>50</v>
      </c>
      <c r="AD361" s="3">
        <f t="shared" si="1471"/>
        <v>4200</v>
      </c>
      <c r="AE361" s="7">
        <v>14</v>
      </c>
      <c r="AF361" s="3">
        <v>50</v>
      </c>
      <c r="AG361" s="3">
        <f t="shared" si="1472"/>
        <v>700</v>
      </c>
      <c r="AH361" s="3">
        <f t="shared" si="1473"/>
        <v>70</v>
      </c>
      <c r="AI361" s="3">
        <v>50</v>
      </c>
      <c r="AJ361" s="7">
        <f t="shared" si="1474"/>
        <v>3500</v>
      </c>
      <c r="AK361" s="7">
        <v>0</v>
      </c>
      <c r="AL361" s="6">
        <f t="shared" si="1475"/>
        <v>3500</v>
      </c>
      <c r="AM361" s="6">
        <f t="shared" si="1476"/>
        <v>29900</v>
      </c>
      <c r="AN361" s="6">
        <f t="shared" si="1477"/>
        <v>0</v>
      </c>
      <c r="AO361" s="6">
        <f t="shared" si="1478"/>
        <v>29900</v>
      </c>
      <c r="AP361" s="3" t="s">
        <v>521</v>
      </c>
      <c r="AQ361" s="3">
        <f t="shared" si="1479"/>
        <v>29900</v>
      </c>
      <c r="AR361" s="3">
        <f t="shared" si="1480"/>
        <v>29900</v>
      </c>
      <c r="AS361" s="3">
        <f t="shared" si="1481"/>
        <v>0</v>
      </c>
      <c r="AT361" s="3"/>
    </row>
    <row r="362" spans="1:46" x14ac:dyDescent="0.35">
      <c r="A362" s="3"/>
      <c r="B362" s="172" t="s">
        <v>463</v>
      </c>
      <c r="C362" s="3" t="s">
        <v>182</v>
      </c>
      <c r="D362" s="7">
        <v>0</v>
      </c>
      <c r="E362" s="3">
        <v>55</v>
      </c>
      <c r="F362" s="1">
        <f t="shared" si="1461"/>
        <v>0</v>
      </c>
      <c r="G362" s="7">
        <v>0</v>
      </c>
      <c r="H362" s="3">
        <v>55</v>
      </c>
      <c r="I362" s="27">
        <f t="shared" si="1462"/>
        <v>0</v>
      </c>
      <c r="J362" s="3">
        <f t="shared" si="1463"/>
        <v>0</v>
      </c>
      <c r="K362" s="7">
        <v>55</v>
      </c>
      <c r="L362" s="7">
        <f t="shared" ref="L362:L368" si="1482">J362*K362</f>
        <v>0</v>
      </c>
      <c r="M362" s="7">
        <v>0</v>
      </c>
      <c r="N362" s="6">
        <f t="shared" si="1465"/>
        <v>0</v>
      </c>
      <c r="O362" s="34"/>
      <c r="P362" s="7">
        <v>0</v>
      </c>
      <c r="Q362" s="3">
        <v>100</v>
      </c>
      <c r="R362" s="3">
        <f t="shared" si="1466"/>
        <v>0</v>
      </c>
      <c r="S362" s="7">
        <v>0</v>
      </c>
      <c r="T362" s="3">
        <v>100</v>
      </c>
      <c r="U362" s="3">
        <f t="shared" si="1467"/>
        <v>0</v>
      </c>
      <c r="V362" s="3">
        <f t="shared" si="1468"/>
        <v>0</v>
      </c>
      <c r="W362" s="7">
        <v>100</v>
      </c>
      <c r="X362" s="7">
        <f>V362*W362</f>
        <v>0</v>
      </c>
      <c r="Y362" s="7">
        <v>0</v>
      </c>
      <c r="Z362" s="6">
        <f t="shared" si="1470"/>
        <v>0</v>
      </c>
      <c r="AA362" s="82"/>
      <c r="AB362" s="7">
        <v>400</v>
      </c>
      <c r="AC362" s="3">
        <v>45</v>
      </c>
      <c r="AD362" s="3">
        <f t="shared" si="1471"/>
        <v>18000</v>
      </c>
      <c r="AE362" s="7">
        <v>0</v>
      </c>
      <c r="AF362" s="3">
        <v>45</v>
      </c>
      <c r="AG362" s="3">
        <f t="shared" si="1472"/>
        <v>0</v>
      </c>
      <c r="AH362" s="3">
        <f t="shared" si="1473"/>
        <v>400</v>
      </c>
      <c r="AI362" s="3">
        <v>45</v>
      </c>
      <c r="AJ362" s="7">
        <f t="shared" si="1474"/>
        <v>18000</v>
      </c>
      <c r="AK362" s="7">
        <v>0</v>
      </c>
      <c r="AL362" s="6">
        <f t="shared" si="1475"/>
        <v>18000</v>
      </c>
      <c r="AM362" s="6">
        <f t="shared" si="1476"/>
        <v>18000</v>
      </c>
      <c r="AN362" s="6">
        <f t="shared" si="1477"/>
        <v>0</v>
      </c>
      <c r="AO362" s="6">
        <f t="shared" si="1478"/>
        <v>18000</v>
      </c>
      <c r="AP362" s="3" t="s">
        <v>521</v>
      </c>
      <c r="AQ362" s="3">
        <f t="shared" si="1479"/>
        <v>18000</v>
      </c>
      <c r="AR362" s="3">
        <f t="shared" si="1480"/>
        <v>18000</v>
      </c>
      <c r="AS362" s="3">
        <f t="shared" si="1481"/>
        <v>0</v>
      </c>
      <c r="AT362" s="3"/>
    </row>
    <row r="363" spans="1:46" x14ac:dyDescent="0.35">
      <c r="A363" s="3"/>
      <c r="B363" s="172" t="s">
        <v>519</v>
      </c>
      <c r="C363" s="3" t="s">
        <v>33</v>
      </c>
      <c r="D363" s="7">
        <v>225</v>
      </c>
      <c r="E363" s="3">
        <v>60</v>
      </c>
      <c r="F363" s="1">
        <f t="shared" si="1461"/>
        <v>13500</v>
      </c>
      <c r="G363" s="7">
        <v>170</v>
      </c>
      <c r="H363" s="3">
        <v>60</v>
      </c>
      <c r="I363" s="27">
        <f t="shared" si="1462"/>
        <v>10200</v>
      </c>
      <c r="J363" s="3">
        <f t="shared" si="1463"/>
        <v>55</v>
      </c>
      <c r="K363" s="7">
        <v>60</v>
      </c>
      <c r="L363" s="7">
        <f>J363*K363</f>
        <v>3300</v>
      </c>
      <c r="M363" s="7">
        <v>0</v>
      </c>
      <c r="N363" s="6">
        <f t="shared" si="1465"/>
        <v>3300</v>
      </c>
      <c r="O363" s="34"/>
      <c r="P363" s="7">
        <v>120</v>
      </c>
      <c r="Q363" s="3">
        <v>100</v>
      </c>
      <c r="R363" s="3">
        <f t="shared" si="1466"/>
        <v>12000</v>
      </c>
      <c r="S363" s="7">
        <v>61</v>
      </c>
      <c r="T363" s="3">
        <v>100</v>
      </c>
      <c r="U363" s="3">
        <f t="shared" si="1467"/>
        <v>6100</v>
      </c>
      <c r="V363" s="3">
        <f t="shared" si="1468"/>
        <v>59</v>
      </c>
      <c r="W363" s="7">
        <v>100</v>
      </c>
      <c r="X363" s="7">
        <f>V363*W363</f>
        <v>5900</v>
      </c>
      <c r="Y363" s="7">
        <v>0</v>
      </c>
      <c r="Z363" s="6">
        <f t="shared" si="1470"/>
        <v>5900</v>
      </c>
      <c r="AA363" s="82"/>
      <c r="AB363" s="7">
        <v>60</v>
      </c>
      <c r="AC363" s="3">
        <v>50</v>
      </c>
      <c r="AD363" s="3">
        <f t="shared" si="1471"/>
        <v>3000</v>
      </c>
      <c r="AE363" s="7">
        <v>0</v>
      </c>
      <c r="AF363" s="3">
        <v>50</v>
      </c>
      <c r="AG363" s="3">
        <f t="shared" si="1472"/>
        <v>0</v>
      </c>
      <c r="AH363" s="3">
        <f t="shared" si="1473"/>
        <v>60</v>
      </c>
      <c r="AI363" s="3">
        <v>50</v>
      </c>
      <c r="AJ363" s="7">
        <f t="shared" si="1474"/>
        <v>3000</v>
      </c>
      <c r="AK363" s="7">
        <v>0</v>
      </c>
      <c r="AL363" s="6">
        <f t="shared" si="1475"/>
        <v>3000</v>
      </c>
      <c r="AM363" s="6">
        <f t="shared" si="1476"/>
        <v>12200</v>
      </c>
      <c r="AN363" s="6">
        <f t="shared" si="1477"/>
        <v>0</v>
      </c>
      <c r="AO363" s="6">
        <f t="shared" si="1478"/>
        <v>12200</v>
      </c>
      <c r="AP363" s="3" t="s">
        <v>521</v>
      </c>
      <c r="AQ363" s="3">
        <f t="shared" si="1479"/>
        <v>12200</v>
      </c>
      <c r="AR363" s="3">
        <f t="shared" si="1480"/>
        <v>12200</v>
      </c>
      <c r="AS363" s="3">
        <f t="shared" si="1481"/>
        <v>0</v>
      </c>
      <c r="AT363" s="3"/>
    </row>
    <row r="364" spans="1:46" x14ac:dyDescent="0.35">
      <c r="A364" s="3"/>
      <c r="B364" s="172" t="s">
        <v>415</v>
      </c>
      <c r="C364" s="3" t="s">
        <v>33</v>
      </c>
      <c r="D364" s="7">
        <v>150</v>
      </c>
      <c r="E364" s="3">
        <v>60</v>
      </c>
      <c r="F364" s="1">
        <f t="shared" si="1461"/>
        <v>9000</v>
      </c>
      <c r="G364" s="7">
        <v>14</v>
      </c>
      <c r="H364" s="3">
        <v>60</v>
      </c>
      <c r="I364" s="27">
        <f t="shared" si="1462"/>
        <v>840</v>
      </c>
      <c r="J364" s="3">
        <f t="shared" si="1463"/>
        <v>136</v>
      </c>
      <c r="K364" s="7">
        <v>60</v>
      </c>
      <c r="L364" s="7">
        <f t="shared" si="1482"/>
        <v>8160</v>
      </c>
      <c r="M364" s="3">
        <f>J364*5</f>
        <v>680</v>
      </c>
      <c r="N364" s="6">
        <f t="shared" si="1465"/>
        <v>7480</v>
      </c>
      <c r="O364" s="34"/>
      <c r="P364" s="7">
        <v>156</v>
      </c>
      <c r="Q364" s="3">
        <v>100</v>
      </c>
      <c r="R364" s="3">
        <f t="shared" si="1466"/>
        <v>15600</v>
      </c>
      <c r="S364" s="7">
        <v>5</v>
      </c>
      <c r="T364" s="3">
        <v>100</v>
      </c>
      <c r="U364" s="3">
        <f t="shared" si="1467"/>
        <v>500</v>
      </c>
      <c r="V364" s="3">
        <f t="shared" si="1468"/>
        <v>151</v>
      </c>
      <c r="W364" s="7">
        <v>100</v>
      </c>
      <c r="X364" s="7">
        <f t="shared" ref="X364:X370" si="1483">V364*W364</f>
        <v>15100</v>
      </c>
      <c r="Y364" s="3">
        <f>V364*10</f>
        <v>1510</v>
      </c>
      <c r="Z364" s="6">
        <f t="shared" si="1470"/>
        <v>13590</v>
      </c>
      <c r="AA364" s="82"/>
      <c r="AB364" s="7">
        <v>108</v>
      </c>
      <c r="AC364" s="3">
        <v>50</v>
      </c>
      <c r="AD364" s="3">
        <f t="shared" si="1471"/>
        <v>5400</v>
      </c>
      <c r="AE364" s="7">
        <v>0</v>
      </c>
      <c r="AF364" s="3">
        <v>50</v>
      </c>
      <c r="AG364" s="3">
        <f t="shared" si="1472"/>
        <v>0</v>
      </c>
      <c r="AH364" s="3">
        <f t="shared" si="1473"/>
        <v>108</v>
      </c>
      <c r="AI364" s="3">
        <v>50</v>
      </c>
      <c r="AJ364" s="7">
        <f t="shared" si="1474"/>
        <v>5400</v>
      </c>
      <c r="AK364" s="3">
        <f>AH364*5</f>
        <v>540</v>
      </c>
      <c r="AL364" s="6">
        <f t="shared" si="1475"/>
        <v>4860</v>
      </c>
      <c r="AM364" s="6">
        <f t="shared" si="1476"/>
        <v>28660</v>
      </c>
      <c r="AN364" s="6">
        <f t="shared" si="1477"/>
        <v>2730</v>
      </c>
      <c r="AO364" s="6">
        <f t="shared" si="1478"/>
        <v>25930</v>
      </c>
      <c r="AP364" s="3" t="s">
        <v>521</v>
      </c>
      <c r="AQ364" s="3">
        <f t="shared" si="1479"/>
        <v>25930</v>
      </c>
      <c r="AR364" s="3">
        <f t="shared" si="1480"/>
        <v>25930</v>
      </c>
      <c r="AS364" s="3">
        <f>AQ364-AR364</f>
        <v>0</v>
      </c>
      <c r="AT364" s="3"/>
    </row>
    <row r="365" spans="1:46" x14ac:dyDescent="0.35">
      <c r="A365" s="3"/>
      <c r="B365" s="172" t="s">
        <v>326</v>
      </c>
      <c r="C365" s="3" t="s">
        <v>33</v>
      </c>
      <c r="D365" s="7">
        <v>30</v>
      </c>
      <c r="E365" s="3">
        <v>60</v>
      </c>
      <c r="F365" s="1">
        <f t="shared" si="1461"/>
        <v>1800</v>
      </c>
      <c r="G365" s="7">
        <v>0</v>
      </c>
      <c r="H365" s="3">
        <v>60</v>
      </c>
      <c r="I365" s="27">
        <f t="shared" si="1462"/>
        <v>0</v>
      </c>
      <c r="J365" s="3">
        <f t="shared" si="1463"/>
        <v>30</v>
      </c>
      <c r="K365" s="7">
        <v>60</v>
      </c>
      <c r="L365" s="7">
        <f t="shared" si="1482"/>
        <v>1800</v>
      </c>
      <c r="M365" s="3">
        <v>0</v>
      </c>
      <c r="N365" s="6">
        <f t="shared" si="1465"/>
        <v>1800</v>
      </c>
      <c r="O365" s="34"/>
      <c r="P365" s="7">
        <v>60</v>
      </c>
      <c r="Q365" s="3">
        <v>100</v>
      </c>
      <c r="R365" s="3">
        <f t="shared" si="1466"/>
        <v>6000</v>
      </c>
      <c r="S365" s="7">
        <v>7</v>
      </c>
      <c r="T365" s="3">
        <v>100</v>
      </c>
      <c r="U365" s="3">
        <f t="shared" si="1467"/>
        <v>700</v>
      </c>
      <c r="V365" s="3">
        <f t="shared" si="1468"/>
        <v>53</v>
      </c>
      <c r="W365" s="7">
        <v>100</v>
      </c>
      <c r="X365" s="7">
        <f t="shared" si="1483"/>
        <v>5300</v>
      </c>
      <c r="Y365" s="3">
        <v>0</v>
      </c>
      <c r="Z365" s="6">
        <f t="shared" si="1470"/>
        <v>5300</v>
      </c>
      <c r="AA365" s="82"/>
      <c r="AB365" s="7">
        <v>60</v>
      </c>
      <c r="AC365" s="3">
        <v>50</v>
      </c>
      <c r="AD365" s="3">
        <f t="shared" si="1471"/>
        <v>3000</v>
      </c>
      <c r="AE365" s="7">
        <v>0</v>
      </c>
      <c r="AF365" s="3">
        <v>50</v>
      </c>
      <c r="AG365" s="3">
        <f t="shared" si="1472"/>
        <v>0</v>
      </c>
      <c r="AH365" s="3">
        <f t="shared" si="1473"/>
        <v>60</v>
      </c>
      <c r="AI365" s="3">
        <v>50</v>
      </c>
      <c r="AJ365" s="7">
        <f t="shared" si="1474"/>
        <v>3000</v>
      </c>
      <c r="AK365" s="3">
        <v>0</v>
      </c>
      <c r="AL365" s="6">
        <f t="shared" si="1475"/>
        <v>3000</v>
      </c>
      <c r="AM365" s="6">
        <f t="shared" si="1476"/>
        <v>10100</v>
      </c>
      <c r="AN365" s="6">
        <f t="shared" si="1477"/>
        <v>0</v>
      </c>
      <c r="AO365" s="6">
        <f t="shared" si="1478"/>
        <v>10100</v>
      </c>
      <c r="AP365" s="3" t="s">
        <v>521</v>
      </c>
      <c r="AQ365" s="3">
        <f t="shared" si="1479"/>
        <v>10100</v>
      </c>
      <c r="AR365" s="3">
        <f t="shared" si="1480"/>
        <v>10100</v>
      </c>
      <c r="AS365" s="3">
        <f t="shared" ref="AS365:AS370" si="1484">AQ365-AR365</f>
        <v>0</v>
      </c>
      <c r="AT365" s="3"/>
    </row>
    <row r="366" spans="1:46" x14ac:dyDescent="0.35">
      <c r="A366" s="3"/>
      <c r="B366" s="172" t="s">
        <v>326</v>
      </c>
      <c r="C366" s="3" t="s">
        <v>387</v>
      </c>
      <c r="D366" s="7">
        <v>0</v>
      </c>
      <c r="E366" s="3">
        <v>50</v>
      </c>
      <c r="F366" s="1">
        <f t="shared" si="1461"/>
        <v>0</v>
      </c>
      <c r="G366" s="3">
        <v>0</v>
      </c>
      <c r="H366" s="3">
        <v>50</v>
      </c>
      <c r="I366" s="27">
        <f t="shared" si="1462"/>
        <v>0</v>
      </c>
      <c r="J366" s="3">
        <f t="shared" si="1463"/>
        <v>0</v>
      </c>
      <c r="K366" s="7">
        <v>50</v>
      </c>
      <c r="L366" s="7">
        <f t="shared" si="1482"/>
        <v>0</v>
      </c>
      <c r="M366" s="3">
        <v>0</v>
      </c>
      <c r="N366" s="6">
        <f t="shared" si="1465"/>
        <v>0</v>
      </c>
      <c r="O366" s="34"/>
      <c r="P366" s="3">
        <v>0</v>
      </c>
      <c r="Q366" s="3">
        <v>90</v>
      </c>
      <c r="R366" s="3">
        <f t="shared" si="1466"/>
        <v>0</v>
      </c>
      <c r="S366" s="3">
        <v>0</v>
      </c>
      <c r="T366" s="3">
        <v>90</v>
      </c>
      <c r="U366" s="3">
        <f t="shared" si="1467"/>
        <v>0</v>
      </c>
      <c r="V366" s="3">
        <f t="shared" si="1468"/>
        <v>0</v>
      </c>
      <c r="W366" s="7">
        <v>90</v>
      </c>
      <c r="X366" s="7">
        <f t="shared" si="1483"/>
        <v>0</v>
      </c>
      <c r="Y366" s="3">
        <f>V366*10</f>
        <v>0</v>
      </c>
      <c r="Z366" s="6">
        <f t="shared" si="1470"/>
        <v>0</v>
      </c>
      <c r="AA366" s="82"/>
      <c r="AB366" s="3">
        <v>0</v>
      </c>
      <c r="AC366" s="3">
        <v>45</v>
      </c>
      <c r="AD366" s="3">
        <f t="shared" si="1471"/>
        <v>0</v>
      </c>
      <c r="AE366" s="3">
        <v>0</v>
      </c>
      <c r="AF366" s="3">
        <v>45</v>
      </c>
      <c r="AG366" s="3">
        <f t="shared" si="1472"/>
        <v>0</v>
      </c>
      <c r="AH366" s="3">
        <f t="shared" si="1473"/>
        <v>0</v>
      </c>
      <c r="AI366" s="3">
        <v>45</v>
      </c>
      <c r="AJ366" s="7">
        <f t="shared" si="1474"/>
        <v>0</v>
      </c>
      <c r="AK366" s="3">
        <v>0</v>
      </c>
      <c r="AL366" s="6">
        <f t="shared" si="1475"/>
        <v>0</v>
      </c>
      <c r="AM366" s="6">
        <f t="shared" si="1476"/>
        <v>0</v>
      </c>
      <c r="AN366" s="6">
        <f t="shared" si="1477"/>
        <v>0</v>
      </c>
      <c r="AO366" s="6">
        <f t="shared" si="1478"/>
        <v>0</v>
      </c>
      <c r="AP366" s="3" t="s">
        <v>521</v>
      </c>
      <c r="AQ366" s="3">
        <f t="shared" si="1479"/>
        <v>0</v>
      </c>
      <c r="AR366" s="3">
        <f>AQ366</f>
        <v>0</v>
      </c>
      <c r="AS366" s="3">
        <f t="shared" si="1484"/>
        <v>0</v>
      </c>
      <c r="AT366" s="3"/>
    </row>
    <row r="367" spans="1:46" x14ac:dyDescent="0.35">
      <c r="A367" s="3"/>
      <c r="B367" s="172" t="s">
        <v>283</v>
      </c>
      <c r="C367" s="3" t="s">
        <v>33</v>
      </c>
      <c r="D367" s="7">
        <v>15</v>
      </c>
      <c r="E367" s="3">
        <v>60</v>
      </c>
      <c r="F367" s="1">
        <f t="shared" si="1461"/>
        <v>900</v>
      </c>
      <c r="G367" s="7">
        <v>7</v>
      </c>
      <c r="H367" s="3">
        <v>60</v>
      </c>
      <c r="I367" s="27">
        <f t="shared" si="1462"/>
        <v>420</v>
      </c>
      <c r="J367" s="3">
        <f t="shared" si="1463"/>
        <v>8</v>
      </c>
      <c r="K367" s="7">
        <v>60</v>
      </c>
      <c r="L367" s="7">
        <f t="shared" si="1482"/>
        <v>480</v>
      </c>
      <c r="M367" s="3">
        <v>0</v>
      </c>
      <c r="N367" s="6">
        <f t="shared" si="1465"/>
        <v>480</v>
      </c>
      <c r="O367" s="34"/>
      <c r="P367" s="7">
        <v>29</v>
      </c>
      <c r="Q367" s="3">
        <v>100</v>
      </c>
      <c r="R367" s="3">
        <f t="shared" si="1466"/>
        <v>2900</v>
      </c>
      <c r="S367" s="7">
        <v>13</v>
      </c>
      <c r="T367" s="3">
        <v>100</v>
      </c>
      <c r="U367" s="3">
        <f t="shared" si="1467"/>
        <v>1300</v>
      </c>
      <c r="V367" s="3">
        <f t="shared" si="1468"/>
        <v>16</v>
      </c>
      <c r="W367" s="7">
        <v>100</v>
      </c>
      <c r="X367" s="7">
        <f t="shared" si="1483"/>
        <v>1600</v>
      </c>
      <c r="Y367" s="3">
        <v>0</v>
      </c>
      <c r="Z367" s="6">
        <f t="shared" si="1470"/>
        <v>1600</v>
      </c>
      <c r="AA367" s="82"/>
      <c r="AB367" s="7">
        <v>32</v>
      </c>
      <c r="AC367" s="3">
        <v>50</v>
      </c>
      <c r="AD367" s="3">
        <f t="shared" si="1471"/>
        <v>1600</v>
      </c>
      <c r="AE367" s="7">
        <v>15</v>
      </c>
      <c r="AF367" s="3">
        <v>50</v>
      </c>
      <c r="AG367" s="3">
        <f t="shared" si="1472"/>
        <v>750</v>
      </c>
      <c r="AH367" s="3">
        <f t="shared" si="1473"/>
        <v>17</v>
      </c>
      <c r="AI367" s="3">
        <v>50</v>
      </c>
      <c r="AJ367" s="7">
        <f t="shared" si="1474"/>
        <v>850</v>
      </c>
      <c r="AK367" s="3">
        <v>0</v>
      </c>
      <c r="AL367" s="6">
        <f t="shared" si="1475"/>
        <v>850</v>
      </c>
      <c r="AM367" s="6">
        <f t="shared" si="1476"/>
        <v>2930</v>
      </c>
      <c r="AN367" s="6">
        <f t="shared" si="1477"/>
        <v>0</v>
      </c>
      <c r="AO367" s="6">
        <f t="shared" si="1478"/>
        <v>2930</v>
      </c>
      <c r="AP367" s="3" t="s">
        <v>521</v>
      </c>
      <c r="AQ367" s="3">
        <f t="shared" si="1479"/>
        <v>2930</v>
      </c>
      <c r="AR367" s="3">
        <f t="shared" si="1480"/>
        <v>2930</v>
      </c>
      <c r="AS367" s="3">
        <f t="shared" si="1484"/>
        <v>0</v>
      </c>
      <c r="AT367" s="3"/>
    </row>
    <row r="368" spans="1:46" x14ac:dyDescent="0.35">
      <c r="A368" s="3"/>
      <c r="B368" s="172" t="s">
        <v>283</v>
      </c>
      <c r="C368" s="3" t="s">
        <v>418</v>
      </c>
      <c r="D368" s="7">
        <v>0</v>
      </c>
      <c r="E368" s="3">
        <v>50</v>
      </c>
      <c r="F368" s="1">
        <f t="shared" si="1461"/>
        <v>0</v>
      </c>
      <c r="G368" s="3">
        <v>0</v>
      </c>
      <c r="H368" s="3">
        <v>50</v>
      </c>
      <c r="I368" s="27">
        <f t="shared" si="1462"/>
        <v>0</v>
      </c>
      <c r="J368" s="3">
        <f t="shared" si="1463"/>
        <v>0</v>
      </c>
      <c r="K368" s="7">
        <v>50</v>
      </c>
      <c r="L368" s="7">
        <f t="shared" si="1482"/>
        <v>0</v>
      </c>
      <c r="M368" s="3">
        <v>0</v>
      </c>
      <c r="N368" s="6">
        <f t="shared" si="1465"/>
        <v>0</v>
      </c>
      <c r="O368" s="34"/>
      <c r="P368" s="3">
        <v>0</v>
      </c>
      <c r="Q368" s="3">
        <v>90</v>
      </c>
      <c r="R368" s="3">
        <f t="shared" si="1466"/>
        <v>0</v>
      </c>
      <c r="S368" s="3">
        <v>0</v>
      </c>
      <c r="T368" s="3">
        <v>90</v>
      </c>
      <c r="U368" s="3">
        <f t="shared" si="1467"/>
        <v>0</v>
      </c>
      <c r="V368" s="3">
        <f t="shared" si="1468"/>
        <v>0</v>
      </c>
      <c r="W368" s="7">
        <v>90</v>
      </c>
      <c r="X368" s="7">
        <f t="shared" si="1483"/>
        <v>0</v>
      </c>
      <c r="Y368" s="3">
        <f>V368*10</f>
        <v>0</v>
      </c>
      <c r="Z368" s="6">
        <f t="shared" si="1470"/>
        <v>0</v>
      </c>
      <c r="AA368" s="82"/>
      <c r="AB368" s="3">
        <v>0</v>
      </c>
      <c r="AC368" s="3">
        <v>45</v>
      </c>
      <c r="AD368" s="3">
        <f t="shared" si="1471"/>
        <v>0</v>
      </c>
      <c r="AE368" s="3">
        <v>0</v>
      </c>
      <c r="AF368" s="3">
        <v>45</v>
      </c>
      <c r="AG368" s="3">
        <f t="shared" si="1472"/>
        <v>0</v>
      </c>
      <c r="AH368" s="3">
        <f t="shared" si="1473"/>
        <v>0</v>
      </c>
      <c r="AI368" s="3">
        <v>45</v>
      </c>
      <c r="AJ368" s="7">
        <f t="shared" si="1474"/>
        <v>0</v>
      </c>
      <c r="AK368" s="3">
        <v>0</v>
      </c>
      <c r="AL368" s="6">
        <f t="shared" si="1475"/>
        <v>0</v>
      </c>
      <c r="AM368" s="6">
        <f t="shared" si="1476"/>
        <v>0</v>
      </c>
      <c r="AN368" s="6">
        <f t="shared" si="1477"/>
        <v>0</v>
      </c>
      <c r="AO368" s="6">
        <f t="shared" si="1478"/>
        <v>0</v>
      </c>
      <c r="AP368" s="3" t="s">
        <v>521</v>
      </c>
      <c r="AQ368" s="3">
        <f t="shared" si="1479"/>
        <v>0</v>
      </c>
      <c r="AR368" s="3">
        <f>AQ368</f>
        <v>0</v>
      </c>
      <c r="AS368" s="3">
        <f t="shared" si="1484"/>
        <v>0</v>
      </c>
      <c r="AT368" s="3"/>
    </row>
    <row r="369" spans="1:46" x14ac:dyDescent="0.35">
      <c r="A369" s="3"/>
      <c r="B369" s="3" t="s">
        <v>287</v>
      </c>
      <c r="C369" s="3" t="s">
        <v>331</v>
      </c>
      <c r="D369" s="7">
        <v>0</v>
      </c>
      <c r="E369" s="3">
        <v>60</v>
      </c>
      <c r="F369" s="1">
        <f t="shared" ref="F369" si="1485">D369*E369</f>
        <v>0</v>
      </c>
      <c r="G369" s="7">
        <v>0</v>
      </c>
      <c r="H369" s="3">
        <v>60</v>
      </c>
      <c r="I369" s="27">
        <f t="shared" si="1462"/>
        <v>0</v>
      </c>
      <c r="J369" s="3">
        <f t="shared" ref="J369" si="1486">D369-G369</f>
        <v>0</v>
      </c>
      <c r="K369" s="7">
        <v>60</v>
      </c>
      <c r="L369" s="7">
        <f t="shared" ref="L369:L370" si="1487">J369*K369</f>
        <v>0</v>
      </c>
      <c r="M369" s="3">
        <f>J369*5</f>
        <v>0</v>
      </c>
      <c r="N369" s="6">
        <f t="shared" si="1465"/>
        <v>0</v>
      </c>
      <c r="O369" s="34"/>
      <c r="P369" s="7">
        <v>0</v>
      </c>
      <c r="Q369" s="3">
        <v>100</v>
      </c>
      <c r="R369" s="3">
        <f t="shared" ref="R369" si="1488">P369*Q369</f>
        <v>0</v>
      </c>
      <c r="S369" s="7">
        <v>0</v>
      </c>
      <c r="T369" s="3">
        <v>100</v>
      </c>
      <c r="U369" s="3">
        <f t="shared" si="1467"/>
        <v>0</v>
      </c>
      <c r="V369" s="3">
        <f t="shared" ref="V369" si="1489">P369-S369</f>
        <v>0</v>
      </c>
      <c r="W369" s="7">
        <v>100</v>
      </c>
      <c r="X369" s="7">
        <f t="shared" si="1483"/>
        <v>0</v>
      </c>
      <c r="Y369" s="3">
        <f>V369*10</f>
        <v>0</v>
      </c>
      <c r="Z369" s="6">
        <f t="shared" si="1470"/>
        <v>0</v>
      </c>
      <c r="AA369" s="82"/>
      <c r="AB369" s="7">
        <v>0</v>
      </c>
      <c r="AC369" s="3">
        <v>50</v>
      </c>
      <c r="AD369" s="3">
        <f t="shared" ref="AD369" si="1490">AB369*AC369</f>
        <v>0</v>
      </c>
      <c r="AE369" s="7">
        <v>0</v>
      </c>
      <c r="AF369" s="3">
        <v>50</v>
      </c>
      <c r="AG369" s="3">
        <f t="shared" si="1472"/>
        <v>0</v>
      </c>
      <c r="AH369" s="3">
        <f t="shared" ref="AH369" si="1491">AB369-AE369</f>
        <v>0</v>
      </c>
      <c r="AI369" s="3">
        <v>50</v>
      </c>
      <c r="AJ369" s="7">
        <f t="shared" si="1474"/>
        <v>0</v>
      </c>
      <c r="AK369" s="3">
        <f>AH369*5</f>
        <v>0</v>
      </c>
      <c r="AL369" s="6">
        <f t="shared" si="1475"/>
        <v>0</v>
      </c>
      <c r="AM369" s="6">
        <f t="shared" si="1476"/>
        <v>0</v>
      </c>
      <c r="AN369" s="6">
        <f t="shared" si="1477"/>
        <v>0</v>
      </c>
      <c r="AO369" s="6">
        <f>AM369-AN369</f>
        <v>0</v>
      </c>
      <c r="AP369" s="3" t="s">
        <v>521</v>
      </c>
      <c r="AQ369" s="3">
        <f t="shared" si="1479"/>
        <v>0</v>
      </c>
      <c r="AR369" s="3">
        <f>AQ369</f>
        <v>0</v>
      </c>
      <c r="AS369" s="3">
        <f t="shared" si="1484"/>
        <v>0</v>
      </c>
      <c r="AT369" s="3"/>
    </row>
    <row r="370" spans="1:46" x14ac:dyDescent="0.35">
      <c r="A370" s="3"/>
      <c r="B370" s="3" t="s">
        <v>287</v>
      </c>
      <c r="C370" s="3" t="s">
        <v>332</v>
      </c>
      <c r="D370" s="7">
        <v>0</v>
      </c>
      <c r="E370" s="3">
        <v>60</v>
      </c>
      <c r="F370" s="1">
        <v>0</v>
      </c>
      <c r="G370" s="7">
        <v>0</v>
      </c>
      <c r="H370" s="3">
        <v>60</v>
      </c>
      <c r="I370" s="27">
        <f t="shared" si="1462"/>
        <v>0</v>
      </c>
      <c r="J370" s="3">
        <v>0</v>
      </c>
      <c r="K370" s="7">
        <v>60</v>
      </c>
      <c r="L370" s="7">
        <f t="shared" si="1487"/>
        <v>0</v>
      </c>
      <c r="M370" s="3">
        <v>0</v>
      </c>
      <c r="N370" s="6">
        <f t="shared" si="1465"/>
        <v>0</v>
      </c>
      <c r="O370" s="34"/>
      <c r="P370" s="7">
        <v>0</v>
      </c>
      <c r="Q370" s="3">
        <v>100</v>
      </c>
      <c r="R370" s="3">
        <v>0</v>
      </c>
      <c r="S370" s="7">
        <v>0</v>
      </c>
      <c r="T370" s="3">
        <v>100</v>
      </c>
      <c r="U370" s="3">
        <f t="shared" si="1467"/>
        <v>0</v>
      </c>
      <c r="V370" s="3">
        <v>0</v>
      </c>
      <c r="W370" s="7">
        <v>100</v>
      </c>
      <c r="X370" s="7">
        <f t="shared" si="1483"/>
        <v>0</v>
      </c>
      <c r="Y370" s="3">
        <v>0</v>
      </c>
      <c r="Z370" s="6">
        <f t="shared" si="1470"/>
        <v>0</v>
      </c>
      <c r="AA370" s="82"/>
      <c r="AB370" s="7">
        <v>0</v>
      </c>
      <c r="AC370" s="3">
        <v>50</v>
      </c>
      <c r="AD370" s="3">
        <v>0</v>
      </c>
      <c r="AE370" s="7">
        <v>0</v>
      </c>
      <c r="AF370" s="3">
        <v>50</v>
      </c>
      <c r="AG370" s="3">
        <f t="shared" si="1472"/>
        <v>0</v>
      </c>
      <c r="AH370" s="3">
        <v>0</v>
      </c>
      <c r="AI370" s="3">
        <v>50</v>
      </c>
      <c r="AJ370" s="7">
        <f t="shared" si="1474"/>
        <v>0</v>
      </c>
      <c r="AK370" s="3">
        <v>0</v>
      </c>
      <c r="AL370" s="6">
        <f t="shared" si="1475"/>
        <v>0</v>
      </c>
      <c r="AM370" s="6">
        <f t="shared" si="1476"/>
        <v>0</v>
      </c>
      <c r="AN370" s="6">
        <f t="shared" si="1477"/>
        <v>0</v>
      </c>
      <c r="AO370" s="6">
        <f t="shared" ref="AO370" si="1492">AM370-AN370</f>
        <v>0</v>
      </c>
      <c r="AP370" s="3" t="s">
        <v>521</v>
      </c>
      <c r="AQ370" s="3">
        <f t="shared" si="1479"/>
        <v>0</v>
      </c>
      <c r="AR370" s="3">
        <f t="shared" ref="AR370" si="1493">AQ370</f>
        <v>0</v>
      </c>
      <c r="AS370" s="3">
        <f t="shared" si="1484"/>
        <v>0</v>
      </c>
      <c r="AT370" s="3"/>
    </row>
    <row r="371" spans="1:46" x14ac:dyDescent="0.35">
      <c r="A371" s="19"/>
      <c r="B371" s="19" t="s">
        <v>36</v>
      </c>
      <c r="C371" s="19"/>
      <c r="D371" s="19">
        <f>SUM(D359:D370)</f>
        <v>945</v>
      </c>
      <c r="E371" s="19"/>
      <c r="F371" s="19">
        <f>SUM(F359:F370)</f>
        <v>56400</v>
      </c>
      <c r="G371" s="19">
        <f>SUM(G359:G370)</f>
        <v>454</v>
      </c>
      <c r="H371" s="19"/>
      <c r="I371" s="19">
        <f>SUM(I359:I370)</f>
        <v>27240</v>
      </c>
      <c r="J371" s="19">
        <f>SUM(J359:J370)</f>
        <v>491</v>
      </c>
      <c r="K371" s="19"/>
      <c r="L371" s="19">
        <f>SUM(L359:L370)</f>
        <v>29160</v>
      </c>
      <c r="M371" s="19">
        <f>SUM(M359:M370)</f>
        <v>680</v>
      </c>
      <c r="N371" s="19">
        <f>SUM(N359:N370)</f>
        <v>28480</v>
      </c>
      <c r="O371" s="34"/>
      <c r="P371" s="19">
        <f>SUM(P359:P370)</f>
        <v>797</v>
      </c>
      <c r="Q371" s="19"/>
      <c r="R371" s="19">
        <f>SUM(R359:R370)</f>
        <v>79700</v>
      </c>
      <c r="S371" s="19">
        <f>SUM(S359:S370)</f>
        <v>142</v>
      </c>
      <c r="T371" s="19"/>
      <c r="U371" s="19">
        <f>SUM(U359:U370)</f>
        <v>14200</v>
      </c>
      <c r="V371" s="19">
        <f>SUM(V359:V370)</f>
        <v>655</v>
      </c>
      <c r="W371" s="19"/>
      <c r="X371" s="19">
        <f>SUM(X359:X370)</f>
        <v>65500</v>
      </c>
      <c r="Y371" s="19">
        <f>SUM(Y359:Y370)</f>
        <v>1510</v>
      </c>
      <c r="Z371" s="19">
        <f>SUM(Z359:Z370)</f>
        <v>63990</v>
      </c>
      <c r="AA371" s="34"/>
      <c r="AB371" s="19">
        <f>SUM(AB359:AB370)</f>
        <v>816</v>
      </c>
      <c r="AC371" s="19"/>
      <c r="AD371" s="19">
        <f>SUM(AD359:AD370)</f>
        <v>38800</v>
      </c>
      <c r="AE371" s="19">
        <f>SUM(AE359:AE370)</f>
        <v>29</v>
      </c>
      <c r="AF371" s="19"/>
      <c r="AG371" s="19">
        <f>SUM(AG359:AG370)</f>
        <v>1450</v>
      </c>
      <c r="AH371" s="19">
        <f>SUM(AH359:AH370)</f>
        <v>787</v>
      </c>
      <c r="AI371" s="19"/>
      <c r="AJ371" s="19">
        <f t="shared" ref="AJ371:AO371" si="1494">SUM(AJ359:AJ370)</f>
        <v>37350</v>
      </c>
      <c r="AK371" s="19">
        <f t="shared" si="1494"/>
        <v>540</v>
      </c>
      <c r="AL371" s="19">
        <f t="shared" si="1494"/>
        <v>36810</v>
      </c>
      <c r="AM371" s="19">
        <f t="shared" si="1494"/>
        <v>132010</v>
      </c>
      <c r="AN371" s="19">
        <f t="shared" si="1494"/>
        <v>2730</v>
      </c>
      <c r="AO371" s="19">
        <f t="shared" si="1494"/>
        <v>129280</v>
      </c>
      <c r="AP371" s="19"/>
      <c r="AQ371" s="19">
        <f>SUM(AQ359:AQ370)</f>
        <v>129280</v>
      </c>
      <c r="AR371" s="19">
        <f>SUM(AR359:AR370)</f>
        <v>129280</v>
      </c>
      <c r="AS371" s="19">
        <f>SUM(AS359:AS370)</f>
        <v>0</v>
      </c>
      <c r="AT371" s="74"/>
    </row>
    <row r="372" spans="1:46" x14ac:dyDescent="0.35">
      <c r="A372" s="3"/>
      <c r="B372" s="3"/>
      <c r="C372" s="3"/>
      <c r="D372" s="7"/>
      <c r="E372" s="3"/>
      <c r="F372" s="3"/>
      <c r="G372" s="3"/>
      <c r="H372" s="3"/>
      <c r="I372" s="27"/>
      <c r="J372" s="3"/>
      <c r="K372" s="7"/>
      <c r="L372" s="7"/>
      <c r="M372" s="7"/>
      <c r="N372" s="7"/>
      <c r="O372" s="34"/>
      <c r="P372" s="3"/>
      <c r="Q372" s="3"/>
      <c r="R372" s="3"/>
      <c r="S372" s="3"/>
      <c r="T372" s="3"/>
      <c r="U372" s="3"/>
      <c r="V372" s="3"/>
      <c r="W372" s="7"/>
      <c r="X372" s="7"/>
      <c r="Y372" s="7"/>
      <c r="Z372" s="7"/>
      <c r="AA372" s="169"/>
      <c r="AB372" s="3"/>
      <c r="AC372" s="3"/>
      <c r="AD372" s="3"/>
      <c r="AE372" s="3"/>
      <c r="AF372" s="3"/>
      <c r="AG372" s="3"/>
      <c r="AH372" s="3"/>
      <c r="AI372" s="3"/>
      <c r="AJ372" s="7"/>
      <c r="AK372" s="7"/>
      <c r="AL372" s="7"/>
      <c r="AM372" s="7"/>
      <c r="AN372" s="7"/>
      <c r="AO372" s="7"/>
      <c r="AP372" s="3"/>
      <c r="AQ372" s="3"/>
      <c r="AR372" s="3"/>
      <c r="AS372" s="3"/>
    </row>
    <row r="373" spans="1:46" s="168" customFormat="1" x14ac:dyDescent="0.35">
      <c r="A373" s="165" t="s">
        <v>521</v>
      </c>
      <c r="B373" s="165" t="s">
        <v>47</v>
      </c>
      <c r="C373" s="165"/>
      <c r="D373" s="166">
        <f>'Closing stock product'!D509</f>
        <v>1538</v>
      </c>
      <c r="E373" s="165">
        <v>60</v>
      </c>
      <c r="F373" s="165">
        <f t="shared" ref="F373" si="1495">D373*E373</f>
        <v>92280</v>
      </c>
      <c r="G373" s="165">
        <v>0</v>
      </c>
      <c r="H373" s="165">
        <v>60</v>
      </c>
      <c r="I373" s="167">
        <f t="shared" ref="I373" si="1496">G373*H373</f>
        <v>0</v>
      </c>
      <c r="J373" s="165">
        <f t="shared" ref="J373" si="1497">D373-G373</f>
        <v>1538</v>
      </c>
      <c r="K373" s="166">
        <v>60</v>
      </c>
      <c r="L373" s="166">
        <f>J373*K373</f>
        <v>92280</v>
      </c>
      <c r="M373" s="166">
        <v>0</v>
      </c>
      <c r="N373" s="166">
        <f t="shared" ref="N373" si="1498">L373-M373</f>
        <v>92280</v>
      </c>
      <c r="O373" s="171"/>
      <c r="P373" s="165">
        <f>'Closing stock product'!I509</f>
        <v>1260</v>
      </c>
      <c r="Q373" s="165">
        <v>100</v>
      </c>
      <c r="R373" s="165">
        <f t="shared" ref="R373" si="1499">P373*Q373</f>
        <v>126000</v>
      </c>
      <c r="S373" s="165">
        <v>0</v>
      </c>
      <c r="T373" s="165">
        <v>100</v>
      </c>
      <c r="U373" s="165">
        <f t="shared" ref="U373" si="1500">S373*T373</f>
        <v>0</v>
      </c>
      <c r="V373" s="172">
        <f t="shared" ref="V373" si="1501">P373-S373</f>
        <v>1260</v>
      </c>
      <c r="W373" s="166">
        <v>100</v>
      </c>
      <c r="X373" s="166">
        <f t="shared" ref="X373" si="1502">V373*W373</f>
        <v>126000</v>
      </c>
      <c r="Y373" s="166">
        <v>0</v>
      </c>
      <c r="Z373" s="166">
        <f t="shared" ref="Z373" si="1503">X373-Y373</f>
        <v>126000</v>
      </c>
      <c r="AA373" s="170"/>
      <c r="AB373" s="165">
        <f>'Closing stock product'!N509</f>
        <v>1138</v>
      </c>
      <c r="AC373" s="165">
        <v>50</v>
      </c>
      <c r="AD373" s="165">
        <f t="shared" ref="AD373" si="1504">AB373*AC373</f>
        <v>56900</v>
      </c>
      <c r="AE373" s="165">
        <v>0</v>
      </c>
      <c r="AF373" s="165">
        <v>50</v>
      </c>
      <c r="AG373" s="165">
        <v>0</v>
      </c>
      <c r="AH373" s="165">
        <f t="shared" ref="AH373" si="1505">AB373-AE373</f>
        <v>1138</v>
      </c>
      <c r="AI373" s="165">
        <v>50</v>
      </c>
      <c r="AJ373" s="166">
        <f t="shared" ref="AJ373" si="1506">AH373*AI373</f>
        <v>56900</v>
      </c>
      <c r="AK373" s="166">
        <v>0</v>
      </c>
      <c r="AL373" s="166">
        <f t="shared" ref="AL373" si="1507">AJ373-AK373</f>
        <v>56900</v>
      </c>
      <c r="AM373" s="166">
        <f>L373+X373+AJ373</f>
        <v>275180</v>
      </c>
      <c r="AN373" s="166">
        <f t="shared" ref="AN373" si="1508">M373+Y373+AK373</f>
        <v>0</v>
      </c>
      <c r="AO373" s="166">
        <f t="shared" ref="AO373" si="1509">AM373-AN373</f>
        <v>275180</v>
      </c>
      <c r="AP373" s="165"/>
      <c r="AQ373" s="165">
        <f t="shared" ref="AQ373" si="1510">AO373</f>
        <v>275180</v>
      </c>
      <c r="AR373" s="165">
        <f>AQ373</f>
        <v>275180</v>
      </c>
      <c r="AS373" s="165">
        <f t="shared" ref="AS373" si="1511">AQ373-AR373</f>
        <v>0</v>
      </c>
      <c r="AT373" s="165"/>
    </row>
    <row r="374" spans="1:46" x14ac:dyDescent="0.35">
      <c r="A374" s="3"/>
      <c r="B374" s="3"/>
      <c r="C374" s="3"/>
      <c r="D374" s="3"/>
      <c r="E374" s="3"/>
      <c r="F374" s="1"/>
      <c r="G374" s="3"/>
      <c r="H374" s="3"/>
      <c r="I374" s="27"/>
      <c r="J374" s="3"/>
      <c r="K374" s="3"/>
      <c r="L374" s="3"/>
      <c r="M374" s="3"/>
      <c r="N374" s="1"/>
      <c r="O374" s="34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1"/>
      <c r="AA374" s="82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1"/>
      <c r="AM374" s="6"/>
      <c r="AN374" s="6"/>
      <c r="AO374" s="6"/>
      <c r="AP374" s="3"/>
      <c r="AQ374" s="3"/>
      <c r="AR374" s="3"/>
      <c r="AS374" s="3"/>
      <c r="AT374" s="3"/>
    </row>
    <row r="375" spans="1:46" x14ac:dyDescent="0.35">
      <c r="A375" s="20" t="s">
        <v>37</v>
      </c>
      <c r="B375" s="152"/>
      <c r="C375" s="152"/>
      <c r="D375" s="20">
        <f>SUM(D24,D37,D50,D61,D74,D85,D97,D111,D123,D136,D148,D161,D173,D186,D199,D210,D223,D236,D249,D259,D271,D285,D298,D308,D321,D332,D344,D358,D371,D373)</f>
        <v>24117</v>
      </c>
      <c r="E375" s="152"/>
      <c r="F375" s="20">
        <f>SUM(F24,F37,F50,F61,F74,F85,F97,F111,F123,F136,F148,F161,F173,F186,F199,F210,F223,F236,F249,F259,F271,F285,F298,F308,F321,F332,F344,F358,F371,F373)</f>
        <v>1333105</v>
      </c>
      <c r="G375" s="20">
        <f>SUM(G24,G37,G50,G61,G74,G85,G97,G111,G123,G136,G148,G161,G173,G186,G199,G210,G223,G236,G249,G259,G271,G285,G298,G308,G321,G332,G344,G358,G371,G373)</f>
        <v>8977</v>
      </c>
      <c r="H375" s="152"/>
      <c r="I375" s="20">
        <f>SUM(I24,I37,I50,I61,I74,I85,I97,I111,I123,I136,I148,I161,I173,I186,I199,I210,I223,I236,I249,I259,I271,I285,I298,I308,I321,I332,I344,I358,I371,I373)</f>
        <v>538470</v>
      </c>
      <c r="J375" s="20">
        <f>SUM(J24,J37,J50,J61,J74,J85,J97,J111,J123,J136,J148,J161,J173,J186,J199,J210,J223,J236,J249,J259,J271,J285,J298,J308,J321,J332,J344,J358,J371,J373)</f>
        <v>13295</v>
      </c>
      <c r="K375" s="20"/>
      <c r="L375" s="20">
        <f>SUM(L24,L37,L50,L61,L74,L85,L97,L111,L123,L136,L148,L161,L173,L186,L199,L210,L223,L236,L249,L259,L271,L285,L298,L308,L321,L332,L344,L358,L371,L373)</f>
        <v>794635</v>
      </c>
      <c r="M375" s="20">
        <f>SUM(M24,M37,M50,M61,M74,M85,M97,M111,M123,M136,M148,M161,M173,M186,M199,M210,M223,M236,M249,M259,M271,M285,M298,M308,M321,M332,M344,M358,M371,M373)</f>
        <v>24900</v>
      </c>
      <c r="N375" s="20">
        <f>SUM(N24,N37,N50,N61,N74,N85,N97,N111,N123,N136,N148,N161,N173,N186,N199,N210,N223,N236,N249,N259,N271,N285,N298,N308,N321,N332,N344,N358,N371,N373)</f>
        <v>763960</v>
      </c>
      <c r="O375" s="171"/>
      <c r="P375" s="20">
        <f>SUM(P24,P37,P50,P61,P74,P85,P97,P111,P123,P136,P148,P161,P173,P186,P199,P210,P223,P236,P249,P259,P271,P285,P298,P308,P321,P332,P344,P358,P371,P373)</f>
        <v>25228</v>
      </c>
      <c r="Q375" s="152"/>
      <c r="R375" s="20">
        <f>SUM(R24,R37,R50,R61,R74,R85,R97,R111,R123,R136,R148,R161,R173,R186,R199,R210,R223,R236,R249,R259,R271,R285,R298,R308,R321,R332,R344,R358,R371,R373)</f>
        <v>2361300</v>
      </c>
      <c r="S375" s="20">
        <f>SUM(S24,S37,S50,S61,S74,S85,S97,S111,S123,S136,S148,S161,S173,S186,S199,S210,S223,S236,S249,S259,S271,S285,S298,S308,S321,S332,S344,S358,S371,S373)</f>
        <v>2434</v>
      </c>
      <c r="T375" s="152"/>
      <c r="U375" s="20">
        <f>SUM(U24,U37,U50,U61,U74,U85,U97,U111,U123,U136,U148,U161,U173,U186,U199,U210,U223,U236,U249,U259,U271,U285,U298,U308,U321,U332,U344,U358,U371,U373)</f>
        <v>243400</v>
      </c>
      <c r="V375" s="20">
        <f>SUM(V24,V37,V50,V61,V74,V85,V97,V111,V123,V136,V148,V161,V173,V186,V199,V210,V223,V236,V249,V259,V271,V285,V298,V308,V321,V332,V344,V358,V371,V373)</f>
        <v>21290</v>
      </c>
      <c r="W375" s="20"/>
      <c r="X375" s="20">
        <f>SUM(X24,X37,X50,X61,X74,X85,X97,X111,X123,X136,X148,X161,X173,X186,X199,X210,X223,X236,X249,X259,X271,X285,X298,X308,X321,X332,X344,X358,X371,X373)</f>
        <v>2117900</v>
      </c>
      <c r="Y375" s="20">
        <f>SUM(Y24,Y37,Y50,Y61,Y74,Y85,Y97,Y111,Y123,Y136,Y148,Y161,Y173,Y186,Y199,Y210,Y223,Y236,Y249,Y259,Y271,Y285,Y298,Y308,Y321,Y332,Y344,Y358,Y371,Y373)</f>
        <v>56675</v>
      </c>
      <c r="Z375" s="20">
        <f>SUM(Z24,Z37,Z50,Z61,Z74,Z85,Z97,Z111,Z123,Z136,Z148,Z161,Z173,Z186,Z199,Z210,Z223,Z236,Z249,Z259,Z271,Z285,Z298,Z308,Z321,Z332,Z344,Z358,Z371,Z373)</f>
        <v>2061225</v>
      </c>
      <c r="AA375" s="171"/>
      <c r="AB375" s="20">
        <f>SUM(AB24,AB37,AB50,AB61,AB74,AB85,AB97,AB111,AB123,AB136,AB148,AB161,AB173,AB186,AB199,AB210,AB223,AB236,AB249,AB259,AB271,AB285,AB298,AB308,AB321,AB332,AB344,AB358,AB371,AB373)</f>
        <v>22908</v>
      </c>
      <c r="AC375" s="152"/>
      <c r="AD375" s="20">
        <f>SUM(AD24,AD37,AD50,AD61,AD74,AD85,AD97,AD111,AD123,AD136,AD148,AD161,AD173,AD186,AD199,AD210,AD223,AD236,AD249,AD259,AD271,AD285,AD298,AD308,AD321,AD332,AD344,AD358,AD371,AD373)</f>
        <v>1030630</v>
      </c>
      <c r="AE375" s="20">
        <f>SUM(AE24,AE37,AE50,AE61,AE74,AE85,AE97,AE111,AE123,AE136,AE148,AE161,AE173,AE186,AE199,AE210,AE223,AE236,AE249,AE259,AE271,AE285,AE298,AE308,AE321,AE332,AE344,AE358,AE371,AE373)</f>
        <v>3309</v>
      </c>
      <c r="AF375" s="152"/>
      <c r="AG375" s="20">
        <f>SUM(AG24,AG37,AG50,AG61,AG74,AG85,AG97,AG111,AG123,AG136,AG148,AG161,AG173,AG186,AG199,AG210,AG223,AG236,AG249,AG259,AG271,AG285,AG298,AG308,AG321,AG332,AG344,AG358,AG371,AG373)</f>
        <v>165150</v>
      </c>
      <c r="AH375" s="20">
        <f>SUM(AH24,AH37,AH50,AH61,AH74,AH85,AH97,AH111,AH123,AH136,AH148,AH161,AH173,AH186,AH199,AH210,AH223,AH236,AH249,AH259,AH271,AH285,AH298,AH308,AH321,AH332,AH344,AH358,AH371,AH373)</f>
        <v>17564</v>
      </c>
      <c r="AI375" s="20"/>
      <c r="AJ375" s="20">
        <f t="shared" ref="AJ375:AO375" si="1512">SUM(AJ24,AJ37,AJ50,AJ61,AJ74,AJ85,AJ97,AJ111,AJ123,AJ136,AJ148,AJ161,AJ173,AJ186,AJ199,AJ210,AJ223,AJ236,AJ249,AJ259,AJ271,AJ285,AJ298,AJ308,AJ321,AJ332,AJ344,AJ358,AJ371,AJ373)</f>
        <v>865180</v>
      </c>
      <c r="AK375" s="20">
        <f t="shared" si="1512"/>
        <v>26455</v>
      </c>
      <c r="AL375" s="20">
        <f t="shared" si="1512"/>
        <v>838725</v>
      </c>
      <c r="AM375" s="20">
        <f t="shared" si="1512"/>
        <v>3777715</v>
      </c>
      <c r="AN375" s="20">
        <f t="shared" si="1512"/>
        <v>108030</v>
      </c>
      <c r="AO375" s="20">
        <f t="shared" si="1512"/>
        <v>3669685</v>
      </c>
      <c r="AP375" s="152"/>
      <c r="AQ375" s="20">
        <f>SUM(AQ24,AQ37,AQ50,AQ61,AQ74,AQ85,AQ97,AQ111,AQ123,AQ136,AQ148,AQ161,AQ173,AQ186,AQ199,AQ210,AQ223,AQ236,AQ249,AQ259,AQ271,AQ285,AQ298,AQ308,AQ321,AQ332,AQ344,AQ358,AQ371,AQ373)</f>
        <v>3669685</v>
      </c>
      <c r="AR375" s="20">
        <f>SUM(AR24,AR37,AR50,AR61,AR74,AR85,AR97,AR111,AR123,AR136,AR148,AR161,AR173,AR186,AR199,AR210,AR223,AR236,AR249,AR259,AR271,AR285,AR298,AR308,AR321,AR332,AR344,AR358,AR371,AR373)</f>
        <v>3669685</v>
      </c>
      <c r="AS375" s="20">
        <f>SUM(AS24,AS37,AS50,AS61,AS74,AS85,AS97,AS111,AS123,AS136,AS148,AS161,AS173,AS186,AS199,AS210,AS223,AS236,AS249,AS259,AS271,AS285,AS298,AS308,AS321,AS332,AS344,AS373)</f>
        <v>0</v>
      </c>
      <c r="AT375" s="152">
        <f>AQ375-AR375</f>
        <v>0</v>
      </c>
    </row>
    <row r="377" spans="1:46" x14ac:dyDescent="0.35">
      <c r="J377" s="8"/>
      <c r="K377" s="8"/>
      <c r="L377" s="8"/>
      <c r="Z377" s="65"/>
      <c r="AA377" s="117"/>
      <c r="AL377" s="65"/>
      <c r="AM377" s="65"/>
    </row>
    <row r="378" spans="1:46" x14ac:dyDescent="0.35">
      <c r="R378" s="65"/>
      <c r="V378" s="8"/>
      <c r="W378" s="8"/>
      <c r="X378" s="8"/>
      <c r="AD378" s="65"/>
      <c r="AH378" s="8"/>
      <c r="AI378" s="8"/>
      <c r="AJ378" s="8"/>
      <c r="AL378">
        <f>2160+655+400</f>
        <v>3215</v>
      </c>
      <c r="AM378" s="65"/>
    </row>
    <row r="381" spans="1:46" x14ac:dyDescent="0.35">
      <c r="AC381">
        <f>550/50</f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13"/>
  <sheetViews>
    <sheetView topLeftCell="A449" zoomScale="70" zoomScaleNormal="70" workbookViewId="0">
      <selection activeCell="L516" sqref="L516"/>
    </sheetView>
  </sheetViews>
  <sheetFormatPr defaultRowHeight="14.5" x14ac:dyDescent="0.35"/>
  <cols>
    <col min="1" max="1" width="10.90625" bestFit="1" customWidth="1"/>
    <col min="2" max="2" width="24.453125" bestFit="1" customWidth="1"/>
    <col min="3" max="3" width="10.453125" bestFit="1" customWidth="1"/>
    <col min="4" max="4" width="9.6328125" customWidth="1"/>
    <col min="6" max="6" width="10.90625" bestFit="1" customWidth="1"/>
    <col min="7" max="7" width="24.453125" bestFit="1" customWidth="1"/>
    <col min="8" max="8" width="10.453125" bestFit="1" customWidth="1"/>
    <col min="11" max="11" width="10.90625" bestFit="1" customWidth="1"/>
    <col min="12" max="12" width="24.453125" bestFit="1" customWidth="1"/>
    <col min="13" max="13" width="10.453125" bestFit="1" customWidth="1"/>
    <col min="15" max="15" width="6.08984375" bestFit="1" customWidth="1"/>
  </cols>
  <sheetData>
    <row r="1" spans="1:15" x14ac:dyDescent="0.35">
      <c r="A1" s="39"/>
      <c r="B1" s="136" t="s">
        <v>0</v>
      </c>
      <c r="C1" s="136"/>
      <c r="D1" s="136"/>
      <c r="E1" s="137"/>
      <c r="F1" s="138" t="s">
        <v>1</v>
      </c>
      <c r="G1" s="136"/>
      <c r="H1" s="136"/>
      <c r="I1" s="136"/>
      <c r="J1" s="49"/>
      <c r="K1" s="138" t="s">
        <v>203</v>
      </c>
      <c r="L1" s="136"/>
      <c r="M1" s="136"/>
      <c r="N1" s="136"/>
      <c r="O1" s="49"/>
    </row>
    <row r="2" spans="1:15" ht="15" thickBot="1" x14ac:dyDescent="0.4">
      <c r="A2" s="14"/>
      <c r="B2" s="15"/>
      <c r="C2" s="15" t="s">
        <v>42</v>
      </c>
      <c r="D2" s="15" t="s">
        <v>40</v>
      </c>
      <c r="E2" s="16" t="s">
        <v>41</v>
      </c>
      <c r="F2" s="18"/>
      <c r="G2" s="15"/>
      <c r="H2" s="15" t="s">
        <v>42</v>
      </c>
      <c r="I2" s="15" t="s">
        <v>85</v>
      </c>
      <c r="J2" s="16" t="s">
        <v>82</v>
      </c>
      <c r="K2" s="18"/>
      <c r="L2" s="15"/>
      <c r="M2" s="15" t="s">
        <v>42</v>
      </c>
      <c r="N2" s="15" t="s">
        <v>85</v>
      </c>
      <c r="O2" s="16" t="s">
        <v>82</v>
      </c>
    </row>
    <row r="3" spans="1:15" x14ac:dyDescent="0.35">
      <c r="A3" s="80" t="s">
        <v>450</v>
      </c>
      <c r="B3" s="41" t="s">
        <v>39</v>
      </c>
      <c r="C3" s="41"/>
      <c r="D3" s="41">
        <f>940</f>
        <v>940</v>
      </c>
      <c r="E3" s="92"/>
      <c r="F3" s="80" t="s">
        <v>450</v>
      </c>
      <c r="G3" s="41" t="s">
        <v>47</v>
      </c>
      <c r="H3" s="41"/>
      <c r="I3" s="41">
        <v>284</v>
      </c>
      <c r="J3" s="81"/>
      <c r="K3" s="80" t="s">
        <v>450</v>
      </c>
      <c r="L3" s="41" t="s">
        <v>47</v>
      </c>
      <c r="M3" s="41"/>
      <c r="N3" s="41">
        <v>101</v>
      </c>
      <c r="O3" s="81"/>
    </row>
    <row r="4" spans="1:15" x14ac:dyDescent="0.35">
      <c r="A4" s="9"/>
      <c r="B4" s="1" t="s">
        <v>533</v>
      </c>
      <c r="C4" s="1"/>
      <c r="D4" s="1">
        <f>Production!G19</f>
        <v>1056</v>
      </c>
      <c r="E4" s="79"/>
      <c r="F4" s="9"/>
      <c r="G4" s="1" t="s">
        <v>278</v>
      </c>
      <c r="H4" s="1"/>
      <c r="I4" s="57">
        <f>Production!O19</f>
        <v>832</v>
      </c>
      <c r="J4" s="10"/>
      <c r="K4" s="9"/>
      <c r="L4" s="1" t="s">
        <v>192</v>
      </c>
      <c r="M4" s="1"/>
      <c r="N4" s="57">
        <f>Production!Y19</f>
        <v>612</v>
      </c>
      <c r="O4" s="10"/>
    </row>
    <row r="5" spans="1:15" ht="15" thickBot="1" x14ac:dyDescent="0.4">
      <c r="A5" s="9"/>
      <c r="B5" s="1" t="s">
        <v>153</v>
      </c>
      <c r="C5" s="1"/>
      <c r="D5" s="78">
        <f>D3+D4</f>
        <v>1996</v>
      </c>
      <c r="E5" s="79"/>
      <c r="F5" s="9"/>
      <c r="G5" s="1" t="s">
        <v>153</v>
      </c>
      <c r="H5" s="1"/>
      <c r="I5" s="78">
        <f>I3+I4</f>
        <v>1116</v>
      </c>
      <c r="J5" s="10"/>
      <c r="K5" s="9"/>
      <c r="L5" s="1" t="s">
        <v>153</v>
      </c>
      <c r="M5" s="1"/>
      <c r="N5" s="78">
        <f>N3+N4</f>
        <v>713</v>
      </c>
      <c r="O5" s="10"/>
    </row>
    <row r="6" spans="1:15" ht="15" thickTop="1" x14ac:dyDescent="0.35">
      <c r="A6" s="9" t="s">
        <v>46</v>
      </c>
      <c r="B6" s="1" t="s">
        <v>277</v>
      </c>
      <c r="C6" s="1">
        <f>'Dispatch and Sales per day'!D3+'Dispatch and Sales per day'!D4</f>
        <v>275</v>
      </c>
      <c r="D6" s="6"/>
      <c r="E6" s="79"/>
      <c r="F6" s="9" t="s">
        <v>46</v>
      </c>
      <c r="G6" s="1" t="s">
        <v>83</v>
      </c>
      <c r="H6" s="1">
        <f>'Dispatch and Sales per day'!P3</f>
        <v>120</v>
      </c>
      <c r="I6" s="6"/>
      <c r="J6" s="10"/>
      <c r="K6" s="9" t="s">
        <v>46</v>
      </c>
      <c r="L6" s="1" t="s">
        <v>83</v>
      </c>
      <c r="M6" s="1">
        <f>'Dispatch and Sales per day'!AB3</f>
        <v>108</v>
      </c>
      <c r="N6" s="6"/>
      <c r="O6" s="10"/>
    </row>
    <row r="7" spans="1:15" x14ac:dyDescent="0.35">
      <c r="A7" s="9"/>
      <c r="B7" s="1" t="s">
        <v>505</v>
      </c>
      <c r="C7" s="1">
        <f>'Dispatch and Sales per day'!D5</f>
        <v>0</v>
      </c>
      <c r="D7" s="1"/>
      <c r="E7" s="79"/>
      <c r="F7" s="9"/>
      <c r="G7" s="1" t="s">
        <v>505</v>
      </c>
      <c r="H7" s="1">
        <f>'Dispatch and Sales per day'!P5</f>
        <v>0</v>
      </c>
      <c r="I7" s="1"/>
      <c r="J7" s="10"/>
      <c r="K7" s="9"/>
      <c r="L7" s="1" t="s">
        <v>505</v>
      </c>
      <c r="M7" s="1">
        <f>'Dispatch and Sales per day'!AB5</f>
        <v>0</v>
      </c>
      <c r="N7" s="1"/>
      <c r="O7" s="10"/>
    </row>
    <row r="8" spans="1:15" x14ac:dyDescent="0.35">
      <c r="A8" s="9"/>
      <c r="B8" s="1" t="s">
        <v>506</v>
      </c>
      <c r="C8" s="1">
        <f>'Dispatch and Sales per day'!D6</f>
        <v>240</v>
      </c>
      <c r="D8" s="1"/>
      <c r="E8" s="79"/>
      <c r="F8" s="9"/>
      <c r="G8" s="1" t="s">
        <v>506</v>
      </c>
      <c r="H8" s="1">
        <f>'Dispatch and Sales per day'!P6</f>
        <v>144</v>
      </c>
      <c r="I8" s="1"/>
      <c r="J8" s="10"/>
      <c r="K8" s="9"/>
      <c r="L8" s="1" t="s">
        <v>506</v>
      </c>
      <c r="M8" s="1">
        <f>'Dispatch and Sales per day'!AB6</f>
        <v>36</v>
      </c>
      <c r="N8" s="1"/>
      <c r="O8" s="10"/>
    </row>
    <row r="9" spans="1:15" x14ac:dyDescent="0.35">
      <c r="A9" s="9"/>
      <c r="B9" s="1" t="s">
        <v>84</v>
      </c>
      <c r="C9" s="1">
        <f>'Dispatch and Sales per day'!D7</f>
        <v>75</v>
      </c>
      <c r="D9" s="1"/>
      <c r="E9" s="79"/>
      <c r="F9" s="9"/>
      <c r="G9" s="1" t="s">
        <v>84</v>
      </c>
      <c r="H9" s="1">
        <f>'Dispatch and Sales per day'!P7</f>
        <v>0</v>
      </c>
      <c r="I9" s="1"/>
      <c r="J9" s="10"/>
      <c r="K9" s="9"/>
      <c r="L9" s="1" t="s">
        <v>84</v>
      </c>
      <c r="M9" s="1">
        <f>'Dispatch and Sales per day'!AB7</f>
        <v>0</v>
      </c>
      <c r="N9" s="1"/>
      <c r="O9" s="10"/>
    </row>
    <row r="10" spans="1:15" x14ac:dyDescent="0.35">
      <c r="A10" s="9"/>
      <c r="B10" s="1" t="s">
        <v>285</v>
      </c>
      <c r="C10" s="1">
        <f>'Dispatch and Sales per day'!D8+'Dispatch and Sales per day'!D9</f>
        <v>30</v>
      </c>
      <c r="D10" s="1"/>
      <c r="E10" s="79"/>
      <c r="F10" s="9"/>
      <c r="G10" s="1" t="s">
        <v>285</v>
      </c>
      <c r="H10" s="1">
        <f>'Dispatch and Sales per day'!P8</f>
        <v>36</v>
      </c>
      <c r="I10" s="1"/>
      <c r="J10" s="10"/>
      <c r="K10" s="9"/>
      <c r="L10" s="1" t="s">
        <v>285</v>
      </c>
      <c r="M10" s="1">
        <f>'Dispatch and Sales per day'!AB8</f>
        <v>24</v>
      </c>
      <c r="N10" s="1"/>
      <c r="O10" s="10"/>
    </row>
    <row r="11" spans="1:15" x14ac:dyDescent="0.35">
      <c r="A11" s="9"/>
      <c r="B11" s="1" t="s">
        <v>311</v>
      </c>
      <c r="C11" s="1">
        <f>'Dispatch and Sales per day'!D11</f>
        <v>225</v>
      </c>
      <c r="D11" s="1"/>
      <c r="E11" s="79"/>
      <c r="F11" s="9"/>
      <c r="G11" s="1" t="s">
        <v>311</v>
      </c>
      <c r="H11" s="1">
        <f>'Dispatch and Sales per day'!P11</f>
        <v>89</v>
      </c>
      <c r="I11" s="1"/>
      <c r="J11" s="10"/>
      <c r="K11" s="9"/>
      <c r="L11" s="1" t="s">
        <v>311</v>
      </c>
      <c r="M11" s="1">
        <f>'Dispatch and Sales per day'!AB11</f>
        <v>180</v>
      </c>
      <c r="N11" s="1"/>
      <c r="O11" s="10"/>
    </row>
    <row r="12" spans="1:15" x14ac:dyDescent="0.35">
      <c r="A12" s="9"/>
      <c r="B12" s="1" t="s">
        <v>306</v>
      </c>
      <c r="C12" s="1">
        <f>'Dispatch and Sales per day'!D13</f>
        <v>0</v>
      </c>
      <c r="D12" s="1"/>
      <c r="E12" s="79"/>
      <c r="F12" s="9"/>
      <c r="G12" s="1" t="s">
        <v>306</v>
      </c>
      <c r="H12" s="1">
        <f>'Dispatch and Sales per day'!P13</f>
        <v>0</v>
      </c>
      <c r="I12" s="1"/>
      <c r="J12" s="10"/>
      <c r="K12" s="9"/>
      <c r="L12" s="1" t="s">
        <v>306</v>
      </c>
      <c r="M12" s="1">
        <f>'Dispatch and Sales per day'!AB13</f>
        <v>0</v>
      </c>
      <c r="N12" s="1"/>
      <c r="O12" s="10"/>
    </row>
    <row r="13" spans="1:15" x14ac:dyDescent="0.35">
      <c r="A13" s="9"/>
      <c r="B13" s="1" t="s">
        <v>154</v>
      </c>
      <c r="C13" s="1"/>
      <c r="D13" s="1">
        <f>SUM(C6:C12)</f>
        <v>845</v>
      </c>
      <c r="E13" s="79"/>
      <c r="F13" s="9"/>
      <c r="G13" s="1" t="s">
        <v>154</v>
      </c>
      <c r="H13" s="1"/>
      <c r="I13" s="1">
        <f>SUM(H6:H12)</f>
        <v>389</v>
      </c>
      <c r="J13" s="10"/>
      <c r="K13" s="9"/>
      <c r="L13" s="1" t="s">
        <v>154</v>
      </c>
      <c r="M13" s="1"/>
      <c r="N13" s="1">
        <f>SUM(M6:M12)</f>
        <v>348</v>
      </c>
      <c r="O13" s="10"/>
    </row>
    <row r="14" spans="1:15" ht="15" thickBot="1" x14ac:dyDescent="0.4">
      <c r="A14" s="9"/>
      <c r="B14" s="1" t="s">
        <v>155</v>
      </c>
      <c r="C14" s="1"/>
      <c r="D14" s="78">
        <f>D5-D13</f>
        <v>1151</v>
      </c>
      <c r="E14" s="79"/>
      <c r="F14" s="9"/>
      <c r="G14" s="1" t="s">
        <v>155</v>
      </c>
      <c r="H14" s="1"/>
      <c r="I14" s="78">
        <f>I5-I13</f>
        <v>727</v>
      </c>
      <c r="J14" s="10"/>
      <c r="K14" s="9"/>
      <c r="L14" s="1" t="s">
        <v>155</v>
      </c>
      <c r="M14" s="1"/>
      <c r="N14" s="78">
        <f>N5-N13</f>
        <v>365</v>
      </c>
      <c r="O14" s="10"/>
    </row>
    <row r="15" spans="1:15" ht="15" thickTop="1" x14ac:dyDescent="0.35">
      <c r="A15" s="9" t="s">
        <v>48</v>
      </c>
      <c r="B15" s="1" t="s">
        <v>14</v>
      </c>
      <c r="C15" s="1"/>
      <c r="D15" s="6">
        <f>'Dispatch and Sales per day'!G14</f>
        <v>210</v>
      </c>
      <c r="E15" s="79"/>
      <c r="F15" s="9" t="s">
        <v>48</v>
      </c>
      <c r="G15" s="1" t="s">
        <v>14</v>
      </c>
      <c r="H15" s="1"/>
      <c r="I15" s="6">
        <f>'Dispatch and Sales per day'!S14</f>
        <v>43</v>
      </c>
      <c r="J15" s="10"/>
      <c r="K15" s="9" t="s">
        <v>48</v>
      </c>
      <c r="L15" s="1" t="s">
        <v>14</v>
      </c>
      <c r="M15" s="1"/>
      <c r="N15" s="6">
        <f>'Dispatch and Sales per day'!AE14</f>
        <v>2</v>
      </c>
      <c r="O15" s="10"/>
    </row>
    <row r="16" spans="1:15" ht="15" thickBot="1" x14ac:dyDescent="0.4">
      <c r="A16" s="9"/>
      <c r="B16" s="1" t="s">
        <v>47</v>
      </c>
      <c r="C16" s="1"/>
      <c r="D16" s="76">
        <f>D14+D15</f>
        <v>1361</v>
      </c>
      <c r="E16" s="36"/>
      <c r="F16" s="9"/>
      <c r="G16" s="1" t="s">
        <v>47</v>
      </c>
      <c r="H16" s="1"/>
      <c r="I16" s="76">
        <f>I14+I15</f>
        <v>770</v>
      </c>
      <c r="J16" s="10"/>
      <c r="K16" s="9"/>
      <c r="L16" s="1" t="s">
        <v>47</v>
      </c>
      <c r="M16" s="1"/>
      <c r="N16" s="76">
        <f>N14+N15</f>
        <v>367</v>
      </c>
      <c r="O16" s="10"/>
    </row>
    <row r="17" spans="1:15" ht="15" thickTop="1" x14ac:dyDescent="0.35">
      <c r="A17" s="35"/>
      <c r="B17" s="5" t="s">
        <v>438</v>
      </c>
      <c r="C17" s="5"/>
      <c r="D17" s="298">
        <f>D3-838+127+10+10</f>
        <v>249</v>
      </c>
      <c r="F17" s="35"/>
      <c r="G17" s="5" t="s">
        <v>534</v>
      </c>
      <c r="H17" s="5"/>
      <c r="I17" s="298">
        <f>I16-678</f>
        <v>92</v>
      </c>
      <c r="J17" s="37"/>
      <c r="K17" s="35"/>
      <c r="L17" s="5" t="s">
        <v>535</v>
      </c>
      <c r="M17" s="5"/>
      <c r="N17" s="298">
        <v>2</v>
      </c>
      <c r="O17" s="37"/>
    </row>
    <row r="18" spans="1:15" ht="15.5" thickTop="1" thickBot="1" x14ac:dyDescent="0.4">
      <c r="A18" s="11"/>
      <c r="B18" s="12"/>
      <c r="C18" s="12"/>
      <c r="D18" s="203">
        <f>D16-D17</f>
        <v>1112</v>
      </c>
      <c r="E18" s="17"/>
      <c r="F18" s="11"/>
      <c r="G18" s="12"/>
      <c r="H18" s="12"/>
      <c r="I18" s="203">
        <f>I16-I17</f>
        <v>678</v>
      </c>
      <c r="J18" s="13"/>
      <c r="K18" s="11"/>
      <c r="L18" s="12"/>
      <c r="M18" s="12"/>
      <c r="N18" s="203">
        <f>N16-N17</f>
        <v>365</v>
      </c>
      <c r="O18" s="13"/>
    </row>
    <row r="19" spans="1:15" x14ac:dyDescent="0.35">
      <c r="A19" s="80" t="s">
        <v>452</v>
      </c>
      <c r="B19" s="41" t="s">
        <v>39</v>
      </c>
      <c r="C19" s="41"/>
      <c r="D19" s="41">
        <f>D18</f>
        <v>1112</v>
      </c>
      <c r="E19" s="92"/>
      <c r="F19" s="80" t="s">
        <v>452</v>
      </c>
      <c r="G19" s="41" t="s">
        <v>39</v>
      </c>
      <c r="H19" s="41"/>
      <c r="I19" s="41">
        <f>I18</f>
        <v>678</v>
      </c>
      <c r="J19" s="81"/>
      <c r="K19" s="80" t="s">
        <v>452</v>
      </c>
      <c r="L19" s="41" t="s">
        <v>39</v>
      </c>
      <c r="M19" s="41"/>
      <c r="N19" s="41">
        <f>N18</f>
        <v>365</v>
      </c>
      <c r="O19" s="81"/>
    </row>
    <row r="20" spans="1:15" x14ac:dyDescent="0.35">
      <c r="A20" s="9"/>
      <c r="B20" s="1" t="s">
        <v>369</v>
      </c>
      <c r="C20" s="1"/>
      <c r="D20" s="1">
        <f>Production!G38</f>
        <v>528</v>
      </c>
      <c r="E20" s="79"/>
      <c r="F20" s="9"/>
      <c r="G20" s="1" t="s">
        <v>278</v>
      </c>
      <c r="H20" s="1"/>
      <c r="I20" s="57">
        <f>Production!O38</f>
        <v>804</v>
      </c>
      <c r="J20" s="10"/>
      <c r="K20" s="9"/>
      <c r="L20" s="1" t="s">
        <v>537</v>
      </c>
      <c r="M20" s="1"/>
      <c r="N20" s="57">
        <f>Production!Y38</f>
        <v>918</v>
      </c>
      <c r="O20" s="10"/>
    </row>
    <row r="21" spans="1:15" ht="15" thickBot="1" x14ac:dyDescent="0.4">
      <c r="A21" s="9"/>
      <c r="B21" s="1" t="s">
        <v>153</v>
      </c>
      <c r="C21" s="1"/>
      <c r="D21" s="78">
        <f>D19+D20</f>
        <v>1640</v>
      </c>
      <c r="E21" s="79"/>
      <c r="F21" s="9"/>
      <c r="G21" s="1" t="s">
        <v>153</v>
      </c>
      <c r="H21" s="1"/>
      <c r="I21" s="78">
        <f>I19+I20</f>
        <v>1482</v>
      </c>
      <c r="J21" s="10"/>
      <c r="K21" s="9"/>
      <c r="L21" s="1" t="s">
        <v>153</v>
      </c>
      <c r="M21" s="1"/>
      <c r="N21" s="78">
        <f>N19+N20</f>
        <v>1283</v>
      </c>
      <c r="O21" s="10"/>
    </row>
    <row r="22" spans="1:15" ht="15" thickTop="1" x14ac:dyDescent="0.35">
      <c r="A22" s="9" t="s">
        <v>46</v>
      </c>
      <c r="B22" s="1" t="s">
        <v>83</v>
      </c>
      <c r="C22" s="1">
        <f>'Dispatch and Sales per day'!D15+'Dispatch and Sales per day'!D16</f>
        <v>225</v>
      </c>
      <c r="D22" s="6"/>
      <c r="E22" s="79"/>
      <c r="F22" s="9" t="s">
        <v>46</v>
      </c>
      <c r="G22" s="1" t="s">
        <v>83</v>
      </c>
      <c r="H22" s="1">
        <f>'Dispatch and Sales per day'!P15</f>
        <v>180</v>
      </c>
      <c r="I22" s="6"/>
      <c r="J22" s="10"/>
      <c r="K22" s="9" t="s">
        <v>46</v>
      </c>
      <c r="L22" s="1" t="s">
        <v>83</v>
      </c>
      <c r="M22" s="1">
        <f>'Dispatch and Sales per day'!AB15</f>
        <v>180</v>
      </c>
      <c r="N22" s="6"/>
      <c r="O22" s="10"/>
    </row>
    <row r="23" spans="1:15" x14ac:dyDescent="0.35">
      <c r="A23" s="9"/>
      <c r="B23" s="1" t="s">
        <v>536</v>
      </c>
      <c r="C23" s="1">
        <f>'Dispatch and Sales per day'!D17</f>
        <v>300</v>
      </c>
      <c r="D23" s="1"/>
      <c r="E23" s="79"/>
      <c r="F23" s="9"/>
      <c r="G23" s="1" t="s">
        <v>536</v>
      </c>
      <c r="H23" s="1">
        <f>'Dispatch and Sales per day'!P17</f>
        <v>240</v>
      </c>
      <c r="I23" s="1"/>
      <c r="J23" s="10"/>
      <c r="K23" s="9"/>
      <c r="L23" s="1" t="s">
        <v>536</v>
      </c>
      <c r="M23" s="1">
        <f>'Dispatch and Sales per day'!AB17</f>
        <v>96</v>
      </c>
      <c r="N23" s="1"/>
      <c r="O23" s="10"/>
    </row>
    <row r="24" spans="1:15" x14ac:dyDescent="0.35">
      <c r="A24" s="9"/>
      <c r="B24" s="1" t="s">
        <v>506</v>
      </c>
      <c r="C24" s="1">
        <f>'Dispatch and Sales per day'!D18</f>
        <v>140</v>
      </c>
      <c r="D24" s="1"/>
      <c r="E24" s="79"/>
      <c r="F24" s="9"/>
      <c r="G24" s="1" t="s">
        <v>506</v>
      </c>
      <c r="H24" s="1">
        <f>'Dispatch and Sales per day'!P18</f>
        <v>228</v>
      </c>
      <c r="I24" s="1"/>
      <c r="J24" s="10"/>
      <c r="K24" s="9"/>
      <c r="L24" s="1" t="s">
        <v>506</v>
      </c>
      <c r="M24" s="1">
        <f>'Dispatch and Sales per day'!AB18</f>
        <v>144</v>
      </c>
      <c r="N24" s="1"/>
      <c r="O24" s="10"/>
    </row>
    <row r="25" spans="1:15" x14ac:dyDescent="0.35">
      <c r="A25" s="9"/>
      <c r="B25" s="1" t="s">
        <v>84</v>
      </c>
      <c r="C25" s="1">
        <f>'Dispatch and Sales per day'!D19</f>
        <v>30</v>
      </c>
      <c r="D25" s="1"/>
      <c r="E25" s="79"/>
      <c r="F25" s="9"/>
      <c r="G25" s="1" t="s">
        <v>84</v>
      </c>
      <c r="H25" s="1">
        <f>'Dispatch and Sales per day'!P19</f>
        <v>48</v>
      </c>
      <c r="I25" s="1"/>
      <c r="J25" s="10"/>
      <c r="K25" s="9"/>
      <c r="L25" s="1" t="s">
        <v>84</v>
      </c>
      <c r="M25" s="1">
        <f>'Dispatch and Sales per day'!AB19</f>
        <v>48</v>
      </c>
      <c r="N25" s="1"/>
      <c r="O25" s="10"/>
    </row>
    <row r="26" spans="1:15" x14ac:dyDescent="0.35">
      <c r="A26" s="9"/>
      <c r="B26" s="1" t="s">
        <v>285</v>
      </c>
      <c r="C26" s="1">
        <f>'Dispatch and Sales per day'!D20+'Dispatch and Sales per day'!D21</f>
        <v>47</v>
      </c>
      <c r="D26" s="1"/>
      <c r="E26" s="79"/>
      <c r="F26" s="9"/>
      <c r="G26" s="1" t="s">
        <v>285</v>
      </c>
      <c r="H26" s="1">
        <f>'Dispatch and Sales per day'!P20</f>
        <v>149</v>
      </c>
      <c r="I26" s="1"/>
      <c r="J26" s="10"/>
      <c r="K26" s="9"/>
      <c r="L26" s="1" t="s">
        <v>285</v>
      </c>
      <c r="M26" s="1">
        <f>'Dispatch and Sales per day'!AB20</f>
        <v>24</v>
      </c>
      <c r="N26" s="1"/>
      <c r="O26" s="10"/>
    </row>
    <row r="27" spans="1:15" x14ac:dyDescent="0.35">
      <c r="A27" s="9"/>
      <c r="B27" s="1" t="s">
        <v>321</v>
      </c>
      <c r="C27" s="1">
        <v>0</v>
      </c>
      <c r="D27" s="1"/>
      <c r="E27" s="79"/>
      <c r="F27" s="9"/>
      <c r="G27" s="1" t="s">
        <v>321</v>
      </c>
      <c r="H27" s="1">
        <v>0</v>
      </c>
      <c r="I27" s="1"/>
      <c r="J27" s="10"/>
      <c r="K27" s="9"/>
      <c r="L27" s="1" t="s">
        <v>321</v>
      </c>
      <c r="M27" s="1">
        <v>0</v>
      </c>
      <c r="N27" s="1"/>
      <c r="O27" s="10"/>
    </row>
    <row r="28" spans="1:15" x14ac:dyDescent="0.35">
      <c r="A28" s="9"/>
      <c r="B28" s="1" t="s">
        <v>306</v>
      </c>
      <c r="C28" s="1">
        <f>'Dispatch and Sales per day'!D23</f>
        <v>0</v>
      </c>
      <c r="D28" s="1"/>
      <c r="E28" s="79"/>
      <c r="F28" s="9"/>
      <c r="G28" s="1" t="s">
        <v>306</v>
      </c>
      <c r="H28" s="1">
        <f>'Dispatch and Sales per day'!P23</f>
        <v>0</v>
      </c>
      <c r="I28" s="1"/>
      <c r="J28" s="10"/>
      <c r="K28" s="9"/>
      <c r="L28" s="1" t="s">
        <v>306</v>
      </c>
      <c r="M28" s="1">
        <f>'Dispatch and Sales per day'!AB23</f>
        <v>0</v>
      </c>
      <c r="N28" s="1"/>
      <c r="O28" s="10"/>
    </row>
    <row r="29" spans="1:15" x14ac:dyDescent="0.35">
      <c r="A29" s="9"/>
      <c r="B29" s="1" t="s">
        <v>154</v>
      </c>
      <c r="C29" s="1"/>
      <c r="D29" s="1">
        <f>SUM(C22:C28)</f>
        <v>742</v>
      </c>
      <c r="E29" s="79"/>
      <c r="F29" s="9"/>
      <c r="G29" s="1" t="s">
        <v>154</v>
      </c>
      <c r="H29" s="1"/>
      <c r="I29" s="1">
        <f>SUM(H22:H28)</f>
        <v>845</v>
      </c>
      <c r="J29" s="10"/>
      <c r="K29" s="9"/>
      <c r="L29" s="1" t="s">
        <v>154</v>
      </c>
      <c r="M29" s="1"/>
      <c r="N29" s="1">
        <f>SUM(M22:M28)</f>
        <v>492</v>
      </c>
      <c r="O29" s="10"/>
    </row>
    <row r="30" spans="1:15" ht="15" thickBot="1" x14ac:dyDescent="0.4">
      <c r="A30" s="9"/>
      <c r="B30" s="1" t="s">
        <v>155</v>
      </c>
      <c r="C30" s="1"/>
      <c r="D30" s="78">
        <f>D21-D29</f>
        <v>898</v>
      </c>
      <c r="E30" s="79"/>
      <c r="F30" s="9"/>
      <c r="G30" s="1" t="s">
        <v>155</v>
      </c>
      <c r="H30" s="1"/>
      <c r="I30" s="78">
        <f>I21-I29</f>
        <v>637</v>
      </c>
      <c r="J30" s="10"/>
      <c r="K30" s="9"/>
      <c r="L30" s="1" t="s">
        <v>155</v>
      </c>
      <c r="M30" s="1"/>
      <c r="N30" s="78">
        <f>N21-N29</f>
        <v>791</v>
      </c>
      <c r="O30" s="10"/>
    </row>
    <row r="31" spans="1:15" ht="15" thickTop="1" x14ac:dyDescent="0.35">
      <c r="A31" s="9" t="s">
        <v>48</v>
      </c>
      <c r="B31" s="1" t="s">
        <v>14</v>
      </c>
      <c r="C31" s="1"/>
      <c r="D31" s="6">
        <f>'Dispatch and Sales per day'!G24</f>
        <v>345</v>
      </c>
      <c r="E31" s="79"/>
      <c r="F31" s="9" t="s">
        <v>48</v>
      </c>
      <c r="G31" s="1" t="s">
        <v>14</v>
      </c>
      <c r="H31" s="1"/>
      <c r="I31" s="6">
        <f>'Dispatch and Sales per day'!S24</f>
        <v>19</v>
      </c>
      <c r="J31" s="10"/>
      <c r="K31" s="9" t="s">
        <v>48</v>
      </c>
      <c r="L31" s="1" t="s">
        <v>14</v>
      </c>
      <c r="M31" s="1"/>
      <c r="N31" s="6">
        <f>'Dispatch and Sales per day'!AE24</f>
        <v>44</v>
      </c>
      <c r="O31" s="10"/>
    </row>
    <row r="32" spans="1:15" ht="15" thickBot="1" x14ac:dyDescent="0.4">
      <c r="A32" s="9"/>
      <c r="B32" s="1" t="s">
        <v>47</v>
      </c>
      <c r="C32" s="1"/>
      <c r="D32" s="76">
        <f>D30+D31</f>
        <v>1243</v>
      </c>
      <c r="E32" s="36"/>
      <c r="F32" s="9"/>
      <c r="G32" s="1" t="s">
        <v>47</v>
      </c>
      <c r="H32" s="1"/>
      <c r="I32" s="76">
        <f>I30+I31</f>
        <v>656</v>
      </c>
      <c r="J32" s="10"/>
      <c r="K32" s="9"/>
      <c r="L32" s="1" t="s">
        <v>47</v>
      </c>
      <c r="M32" s="1"/>
      <c r="N32" s="76">
        <f>N30+N31</f>
        <v>835</v>
      </c>
      <c r="O32" s="10"/>
    </row>
    <row r="33" spans="1:15" ht="15" thickTop="1" x14ac:dyDescent="0.35">
      <c r="A33" s="35"/>
      <c r="B33" s="5"/>
      <c r="C33" s="5"/>
      <c r="D33" s="2">
        <v>0</v>
      </c>
      <c r="F33" s="35"/>
      <c r="G33" s="5"/>
      <c r="H33" s="5"/>
      <c r="I33" s="2">
        <v>0</v>
      </c>
      <c r="J33" s="37"/>
      <c r="K33" s="35"/>
      <c r="L33" s="5"/>
      <c r="M33" s="5"/>
      <c r="N33" s="2"/>
      <c r="O33" s="37"/>
    </row>
    <row r="34" spans="1:15" ht="15" thickBot="1" x14ac:dyDescent="0.4">
      <c r="A34" s="11"/>
      <c r="B34" s="12"/>
      <c r="C34" s="12"/>
      <c r="D34" s="76">
        <f>D32-D33</f>
        <v>1243</v>
      </c>
      <c r="E34" s="17"/>
      <c r="F34" s="11"/>
      <c r="G34" s="12"/>
      <c r="H34" s="12"/>
      <c r="I34" s="76">
        <f>I32-I33</f>
        <v>656</v>
      </c>
      <c r="J34" s="13"/>
      <c r="K34" s="11"/>
      <c r="L34" s="12"/>
      <c r="M34" s="12"/>
      <c r="N34" s="12"/>
      <c r="O34" s="13"/>
    </row>
    <row r="35" spans="1:15" x14ac:dyDescent="0.35">
      <c r="A35" s="80" t="s">
        <v>458</v>
      </c>
      <c r="B35" s="41" t="s">
        <v>39</v>
      </c>
      <c r="C35" s="41"/>
      <c r="D35" s="6">
        <f>D34</f>
        <v>1243</v>
      </c>
      <c r="E35" s="92"/>
      <c r="F35" s="80" t="s">
        <v>458</v>
      </c>
      <c r="G35" s="41" t="s">
        <v>39</v>
      </c>
      <c r="H35" s="41"/>
      <c r="I35" s="6">
        <f>I34</f>
        <v>656</v>
      </c>
      <c r="J35" s="81"/>
      <c r="K35" s="80" t="s">
        <v>458</v>
      </c>
      <c r="L35" s="41" t="s">
        <v>39</v>
      </c>
      <c r="M35" s="41"/>
      <c r="N35" s="41">
        <f>N32</f>
        <v>835</v>
      </c>
      <c r="O35" s="81"/>
    </row>
    <row r="36" spans="1:15" x14ac:dyDescent="0.35">
      <c r="A36" s="9"/>
      <c r="B36" s="1" t="s">
        <v>369</v>
      </c>
      <c r="C36" s="1"/>
      <c r="D36" s="1">
        <f>Production!G56</f>
        <v>528</v>
      </c>
      <c r="E36" s="79"/>
      <c r="F36" s="9"/>
      <c r="G36" s="1" t="s">
        <v>533</v>
      </c>
      <c r="H36" s="1"/>
      <c r="I36" s="57">
        <f>Production!O56</f>
        <v>823</v>
      </c>
      <c r="J36" s="10"/>
      <c r="K36" s="9"/>
      <c r="L36" s="1" t="s">
        <v>256</v>
      </c>
      <c r="M36" s="1"/>
      <c r="N36" s="57">
        <f>Production!Y56</f>
        <v>714</v>
      </c>
      <c r="O36" s="10"/>
    </row>
    <row r="37" spans="1:15" ht="15" thickBot="1" x14ac:dyDescent="0.4">
      <c r="A37" s="9"/>
      <c r="B37" s="1" t="s">
        <v>153</v>
      </c>
      <c r="C37" s="1"/>
      <c r="D37" s="78">
        <f>D35+D36</f>
        <v>1771</v>
      </c>
      <c r="E37" s="79"/>
      <c r="F37" s="9"/>
      <c r="G37" s="1" t="s">
        <v>153</v>
      </c>
      <c r="H37" s="1"/>
      <c r="I37" s="78">
        <f>I35+I36</f>
        <v>1479</v>
      </c>
      <c r="J37" s="10"/>
      <c r="K37" s="9"/>
      <c r="L37" s="1" t="s">
        <v>153</v>
      </c>
      <c r="M37" s="1"/>
      <c r="N37" s="78">
        <f>N35+N36</f>
        <v>1549</v>
      </c>
      <c r="O37" s="10"/>
    </row>
    <row r="38" spans="1:15" ht="15" thickTop="1" x14ac:dyDescent="0.35">
      <c r="A38" s="9" t="s">
        <v>46</v>
      </c>
      <c r="B38" s="1" t="s">
        <v>538</v>
      </c>
      <c r="C38" s="1">
        <f>'Dispatch and Sales per day'!D25+'Dispatch and Sales per day'!D26</f>
        <v>225</v>
      </c>
      <c r="D38" s="6"/>
      <c r="E38" s="79"/>
      <c r="F38" s="9" t="s">
        <v>46</v>
      </c>
      <c r="G38" s="1" t="s">
        <v>538</v>
      </c>
      <c r="H38" s="1">
        <f>'Dispatch and Sales per day'!P25</f>
        <v>180</v>
      </c>
      <c r="I38" s="6"/>
      <c r="J38" s="10"/>
      <c r="K38" s="9" t="s">
        <v>46</v>
      </c>
      <c r="L38" s="1" t="s">
        <v>538</v>
      </c>
      <c r="M38" s="1">
        <f>'Dispatch and Sales per day'!AB25+'Dispatch and Sales per day'!AB26</f>
        <v>208</v>
      </c>
      <c r="N38" s="6"/>
      <c r="O38" s="10"/>
    </row>
    <row r="39" spans="1:15" x14ac:dyDescent="0.35">
      <c r="A39" s="9"/>
      <c r="B39" s="1" t="s">
        <v>505</v>
      </c>
      <c r="C39" s="1">
        <f>'Dispatch and Sales per day'!D27+'Dispatch and Sales per day'!D28</f>
        <v>300</v>
      </c>
      <c r="D39" s="1"/>
      <c r="E39" s="79"/>
      <c r="F39" s="9"/>
      <c r="G39" s="1" t="s">
        <v>505</v>
      </c>
      <c r="H39" s="1">
        <f>'Dispatch and Sales per day'!P27</f>
        <v>264</v>
      </c>
      <c r="I39" s="1"/>
      <c r="J39" s="10"/>
      <c r="K39" s="9"/>
      <c r="L39" s="1" t="s">
        <v>505</v>
      </c>
      <c r="M39" s="1">
        <f>'Dispatch and Sales per day'!AB27</f>
        <v>240</v>
      </c>
      <c r="N39" s="1"/>
      <c r="O39" s="10"/>
    </row>
    <row r="40" spans="1:15" x14ac:dyDescent="0.35">
      <c r="A40" s="9"/>
      <c r="B40" s="1" t="s">
        <v>506</v>
      </c>
      <c r="C40" s="1">
        <f>'Dispatch and Sales per day'!D29</f>
        <v>150</v>
      </c>
      <c r="D40" s="1"/>
      <c r="E40" s="79"/>
      <c r="F40" s="9"/>
      <c r="G40" s="1" t="s">
        <v>506</v>
      </c>
      <c r="H40" s="1">
        <f>'Dispatch and Sales per day'!P29</f>
        <v>180</v>
      </c>
      <c r="I40" s="1"/>
      <c r="J40" s="10"/>
      <c r="K40" s="9"/>
      <c r="L40" s="1" t="s">
        <v>506</v>
      </c>
      <c r="M40" s="1">
        <f>'Dispatch and Sales per day'!AB29</f>
        <v>132</v>
      </c>
      <c r="N40" s="1"/>
      <c r="O40" s="10"/>
    </row>
    <row r="41" spans="1:15" x14ac:dyDescent="0.35">
      <c r="A41" s="9"/>
      <c r="B41" s="1" t="s">
        <v>84</v>
      </c>
      <c r="C41" s="1">
        <f>'Dispatch and Sales per day'!D30</f>
        <v>30</v>
      </c>
      <c r="D41" s="1"/>
      <c r="E41" s="79"/>
      <c r="F41" s="9"/>
      <c r="G41" s="1" t="s">
        <v>84</v>
      </c>
      <c r="H41" s="1">
        <f>'Dispatch and Sales per day'!P30</f>
        <v>60</v>
      </c>
      <c r="I41" s="1"/>
      <c r="J41" s="10"/>
      <c r="K41" s="9"/>
      <c r="L41" s="1" t="s">
        <v>84</v>
      </c>
      <c r="M41" s="1">
        <f>'Dispatch and Sales per day'!AB30</f>
        <v>60</v>
      </c>
      <c r="N41" s="1"/>
      <c r="O41" s="10"/>
    </row>
    <row r="42" spans="1:15" x14ac:dyDescent="0.35">
      <c r="A42" s="9"/>
      <c r="B42" s="1" t="s">
        <v>285</v>
      </c>
      <c r="C42" s="1">
        <f>'Dispatch and Sales per day'!D31+'Dispatch and Sales per day'!D32</f>
        <v>27</v>
      </c>
      <c r="D42" s="1"/>
      <c r="E42" s="79"/>
      <c r="F42" s="9"/>
      <c r="G42" s="1" t="s">
        <v>285</v>
      </c>
      <c r="H42" s="1">
        <f>'Dispatch and Sales per day'!P31</f>
        <v>127</v>
      </c>
      <c r="I42" s="1"/>
      <c r="J42" s="10"/>
      <c r="K42" s="9"/>
      <c r="L42" s="1" t="s">
        <v>285</v>
      </c>
      <c r="M42" s="1">
        <f>'Dispatch and Sales per day'!AB31+'Dispatch and Sales per day'!AB32</f>
        <v>36</v>
      </c>
      <c r="N42" s="1"/>
      <c r="O42" s="10"/>
    </row>
    <row r="43" spans="1:15" x14ac:dyDescent="0.35">
      <c r="A43" s="9"/>
      <c r="B43" s="1" t="s">
        <v>309</v>
      </c>
      <c r="C43" s="1">
        <v>0</v>
      </c>
      <c r="D43" s="1"/>
      <c r="E43" s="79"/>
      <c r="F43" s="9"/>
      <c r="G43" s="1" t="s">
        <v>309</v>
      </c>
      <c r="H43" s="1">
        <v>0</v>
      </c>
      <c r="I43" s="1"/>
      <c r="J43" s="10"/>
      <c r="K43" s="9"/>
      <c r="L43" s="1" t="s">
        <v>309</v>
      </c>
      <c r="M43" s="1">
        <v>0</v>
      </c>
      <c r="N43" s="1"/>
      <c r="O43" s="10"/>
    </row>
    <row r="44" spans="1:15" x14ac:dyDescent="0.35">
      <c r="A44" s="9"/>
      <c r="B44" s="1" t="s">
        <v>311</v>
      </c>
      <c r="C44" s="1">
        <f>'Dispatch and Sales per day'!D34</f>
        <v>247</v>
      </c>
      <c r="D44" s="1"/>
      <c r="E44" s="79"/>
      <c r="F44" s="9"/>
      <c r="G44" s="1" t="s">
        <v>311</v>
      </c>
      <c r="H44" s="1">
        <f>'Dispatch and Sales per day'!P34</f>
        <v>121</v>
      </c>
      <c r="I44" s="1"/>
      <c r="J44" s="10"/>
      <c r="K44" s="9"/>
      <c r="L44" s="1" t="s">
        <v>311</v>
      </c>
      <c r="M44" s="1">
        <f>'Dispatch and Sales per day'!AB34</f>
        <v>185</v>
      </c>
      <c r="N44" s="1"/>
      <c r="O44" s="10"/>
    </row>
    <row r="45" spans="1:15" x14ac:dyDescent="0.35">
      <c r="A45" s="9"/>
      <c r="B45" s="1" t="s">
        <v>306</v>
      </c>
      <c r="C45" s="1">
        <f>'Dispatch and Sales per day'!D36</f>
        <v>0</v>
      </c>
      <c r="D45" s="1"/>
      <c r="E45" s="79"/>
      <c r="F45" s="9"/>
      <c r="G45" s="1" t="s">
        <v>306</v>
      </c>
      <c r="H45" s="1">
        <f>'Dispatch and Sales per day'!P36</f>
        <v>0</v>
      </c>
      <c r="I45" s="1"/>
      <c r="J45" s="10"/>
      <c r="K45" s="9"/>
      <c r="L45" s="1" t="s">
        <v>306</v>
      </c>
      <c r="M45" s="1">
        <f>'Dispatch and Sales per day'!AB36</f>
        <v>0</v>
      </c>
      <c r="N45" s="1"/>
      <c r="O45" s="10"/>
    </row>
    <row r="46" spans="1:15" x14ac:dyDescent="0.35">
      <c r="A46" s="9"/>
      <c r="B46" s="1" t="s">
        <v>154</v>
      </c>
      <c r="C46" s="1"/>
      <c r="D46" s="1">
        <f>SUM(C38:C45)</f>
        <v>979</v>
      </c>
      <c r="E46" s="79"/>
      <c r="F46" s="9"/>
      <c r="G46" s="1" t="s">
        <v>154</v>
      </c>
      <c r="H46" s="1"/>
      <c r="I46" s="1">
        <f>SUM(H38:H45)</f>
        <v>932</v>
      </c>
      <c r="J46" s="10"/>
      <c r="K46" s="9"/>
      <c r="L46" s="1" t="s">
        <v>154</v>
      </c>
      <c r="M46" s="1"/>
      <c r="N46" s="1">
        <f>SUM(M38:M45)</f>
        <v>861</v>
      </c>
      <c r="O46" s="10"/>
    </row>
    <row r="47" spans="1:15" ht="15" thickBot="1" x14ac:dyDescent="0.4">
      <c r="A47" s="9"/>
      <c r="B47" s="1" t="s">
        <v>155</v>
      </c>
      <c r="C47" s="1"/>
      <c r="D47" s="78">
        <f>D37-D46</f>
        <v>792</v>
      </c>
      <c r="E47" s="79"/>
      <c r="F47" s="9"/>
      <c r="G47" s="1" t="s">
        <v>155</v>
      </c>
      <c r="H47" s="1"/>
      <c r="I47" s="78">
        <f>I37-I46</f>
        <v>547</v>
      </c>
      <c r="J47" s="10"/>
      <c r="K47" s="9"/>
      <c r="L47" s="1" t="s">
        <v>155</v>
      </c>
      <c r="M47" s="1"/>
      <c r="N47" s="78">
        <f>N37-N46</f>
        <v>688</v>
      </c>
      <c r="O47" s="10"/>
    </row>
    <row r="48" spans="1:15" ht="15" thickTop="1" x14ac:dyDescent="0.35">
      <c r="A48" s="9" t="s">
        <v>48</v>
      </c>
      <c r="B48" s="1" t="s">
        <v>14</v>
      </c>
      <c r="C48" s="1"/>
      <c r="D48" s="6">
        <f>'Dispatch and Sales per day'!G37</f>
        <v>414</v>
      </c>
      <c r="E48" s="79"/>
      <c r="F48" s="9" t="s">
        <v>48</v>
      </c>
      <c r="G48" s="1" t="s">
        <v>14</v>
      </c>
      <c r="H48" s="1"/>
      <c r="I48" s="6">
        <f>'Dispatch and Sales per day'!S37</f>
        <v>101</v>
      </c>
      <c r="J48" s="10"/>
      <c r="K48" s="9" t="s">
        <v>48</v>
      </c>
      <c r="L48" s="1" t="s">
        <v>14</v>
      </c>
      <c r="M48" s="1"/>
      <c r="N48" s="6">
        <f>'Dispatch and Sales per day'!AE37</f>
        <v>216</v>
      </c>
      <c r="O48" s="10"/>
    </row>
    <row r="49" spans="1:15" ht="15" thickBot="1" x14ac:dyDescent="0.4">
      <c r="A49" s="9"/>
      <c r="B49" s="1" t="s">
        <v>47</v>
      </c>
      <c r="C49" s="1"/>
      <c r="D49" s="76">
        <f>D47+D48</f>
        <v>1206</v>
      </c>
      <c r="E49" s="36"/>
      <c r="F49" s="9"/>
      <c r="G49" s="1" t="s">
        <v>47</v>
      </c>
      <c r="H49" s="1"/>
      <c r="I49" s="76">
        <f>I47+I48</f>
        <v>648</v>
      </c>
      <c r="J49" s="10"/>
      <c r="K49" s="9"/>
      <c r="L49" s="1" t="s">
        <v>47</v>
      </c>
      <c r="M49" s="1"/>
      <c r="N49" s="76">
        <f>N47+N48</f>
        <v>904</v>
      </c>
      <c r="O49" s="10"/>
    </row>
    <row r="50" spans="1:15" ht="15" thickTop="1" x14ac:dyDescent="0.35">
      <c r="A50" s="35"/>
      <c r="B50" s="5" t="s">
        <v>437</v>
      </c>
      <c r="C50" s="5"/>
      <c r="D50" s="298">
        <f>1218-D49</f>
        <v>12</v>
      </c>
      <c r="F50" s="35"/>
      <c r="G50" s="5" t="s">
        <v>438</v>
      </c>
      <c r="H50" s="5"/>
      <c r="I50" s="298">
        <f>I49-611</f>
        <v>37</v>
      </c>
      <c r="J50" s="37"/>
      <c r="K50" s="35"/>
      <c r="L50" s="5" t="s">
        <v>438</v>
      </c>
      <c r="M50" s="5"/>
      <c r="N50" s="298">
        <f>934-904</f>
        <v>30</v>
      </c>
      <c r="O50" s="37"/>
    </row>
    <row r="51" spans="1:15" ht="15" thickBot="1" x14ac:dyDescent="0.4">
      <c r="A51" s="11"/>
      <c r="B51" s="12"/>
      <c r="C51" s="12"/>
      <c r="D51" s="203">
        <f>D49+D50</f>
        <v>1218</v>
      </c>
      <c r="E51" s="17"/>
      <c r="F51" s="11"/>
      <c r="G51" s="12"/>
      <c r="H51" s="12"/>
      <c r="I51" s="203">
        <f>I49-I50</f>
        <v>611</v>
      </c>
      <c r="J51" s="13"/>
      <c r="K51" s="11"/>
      <c r="L51" s="12" t="s">
        <v>47</v>
      </c>
      <c r="M51" s="12"/>
      <c r="N51" s="203">
        <f>N49+N50</f>
        <v>934</v>
      </c>
      <c r="O51" s="13"/>
    </row>
    <row r="52" spans="1:15" x14ac:dyDescent="0.35">
      <c r="A52" s="80" t="s">
        <v>461</v>
      </c>
      <c r="B52" s="41" t="s">
        <v>39</v>
      </c>
      <c r="C52" s="41"/>
      <c r="D52" s="41">
        <f>D51</f>
        <v>1218</v>
      </c>
      <c r="E52" s="92"/>
      <c r="F52" s="80" t="s">
        <v>461</v>
      </c>
      <c r="G52" s="41" t="s">
        <v>39</v>
      </c>
      <c r="H52" s="41"/>
      <c r="I52" s="41">
        <f>I51</f>
        <v>611</v>
      </c>
      <c r="J52" s="81"/>
      <c r="K52" s="80" t="s">
        <v>461</v>
      </c>
      <c r="L52" s="41" t="s">
        <v>39</v>
      </c>
      <c r="M52" s="41"/>
      <c r="N52" s="41">
        <f>N51</f>
        <v>934</v>
      </c>
      <c r="O52" s="81"/>
    </row>
    <row r="53" spans="1:15" x14ac:dyDescent="0.35">
      <c r="A53" s="9"/>
      <c r="B53" s="1" t="s">
        <v>369</v>
      </c>
      <c r="C53" s="1"/>
      <c r="D53" s="1">
        <f>Production!G73</f>
        <v>528</v>
      </c>
      <c r="E53" s="79"/>
      <c r="F53" s="9"/>
      <c r="G53" s="1" t="s">
        <v>257</v>
      </c>
      <c r="H53" s="1"/>
      <c r="I53" s="57">
        <f>Production!O73</f>
        <v>817</v>
      </c>
      <c r="J53" s="10"/>
      <c r="K53" s="9"/>
      <c r="L53" s="1" t="s">
        <v>192</v>
      </c>
      <c r="M53" s="1"/>
      <c r="N53" s="57">
        <f>Production!Y73</f>
        <v>612</v>
      </c>
      <c r="O53" s="10"/>
    </row>
    <row r="54" spans="1:15" ht="15" thickBot="1" x14ac:dyDescent="0.4">
      <c r="A54" s="9"/>
      <c r="B54" s="1" t="s">
        <v>153</v>
      </c>
      <c r="C54" s="1"/>
      <c r="D54" s="78">
        <f>D52+D53</f>
        <v>1746</v>
      </c>
      <c r="E54" s="79"/>
      <c r="F54" s="9"/>
      <c r="G54" s="1" t="s">
        <v>153</v>
      </c>
      <c r="H54" s="1"/>
      <c r="I54" s="78">
        <f>I52+I53</f>
        <v>1428</v>
      </c>
      <c r="J54" s="10"/>
      <c r="K54" s="9"/>
      <c r="L54" s="1" t="s">
        <v>153</v>
      </c>
      <c r="M54" s="1"/>
      <c r="N54" s="78">
        <f>N52+N53</f>
        <v>1546</v>
      </c>
      <c r="O54" s="10"/>
    </row>
    <row r="55" spans="1:15" ht="15" thickTop="1" x14ac:dyDescent="0.35">
      <c r="A55" s="9" t="s">
        <v>46</v>
      </c>
      <c r="B55" s="1" t="s">
        <v>83</v>
      </c>
      <c r="C55" s="1">
        <f>'Dispatch and Sales per day'!D38+'Dispatch and Sales per day'!D39</f>
        <v>225</v>
      </c>
      <c r="D55" s="6"/>
      <c r="E55" s="79"/>
      <c r="F55" s="9" t="s">
        <v>46</v>
      </c>
      <c r="G55" s="1" t="s">
        <v>83</v>
      </c>
      <c r="H55" s="1">
        <f>'Dispatch and Sales per day'!P38</f>
        <v>204</v>
      </c>
      <c r="I55" s="6"/>
      <c r="J55" s="10"/>
      <c r="K55" s="9" t="s">
        <v>46</v>
      </c>
      <c r="L55" s="1" t="s">
        <v>83</v>
      </c>
      <c r="M55" s="1">
        <f>'Dispatch and Sales per day'!AB38</f>
        <v>180</v>
      </c>
      <c r="N55" s="6"/>
      <c r="O55" s="10"/>
    </row>
    <row r="56" spans="1:15" x14ac:dyDescent="0.35">
      <c r="A56" s="9"/>
      <c r="B56" s="1" t="s">
        <v>505</v>
      </c>
      <c r="C56" s="1">
        <f>'Dispatch and Sales per day'!D40+'Dispatch and Sales per day'!D41</f>
        <v>300</v>
      </c>
      <c r="D56" s="1"/>
      <c r="E56" s="79"/>
      <c r="F56" s="9"/>
      <c r="G56" s="1" t="s">
        <v>505</v>
      </c>
      <c r="H56" s="1">
        <f>'Dispatch and Sales per day'!P40</f>
        <v>240</v>
      </c>
      <c r="I56" s="1"/>
      <c r="J56" s="10"/>
      <c r="K56" s="9"/>
      <c r="L56" s="1" t="s">
        <v>505</v>
      </c>
      <c r="M56" s="1">
        <f>'Dispatch and Sales per day'!AB40+'Dispatch and Sales per day'!AB41</f>
        <v>240</v>
      </c>
      <c r="N56" s="1"/>
      <c r="O56" s="10"/>
    </row>
    <row r="57" spans="1:15" x14ac:dyDescent="0.35">
      <c r="A57" s="9"/>
      <c r="B57" s="1" t="s">
        <v>506</v>
      </c>
      <c r="C57" s="1">
        <f>'Dispatch and Sales per day'!D42</f>
        <v>150</v>
      </c>
      <c r="D57" s="1"/>
      <c r="E57" s="79"/>
      <c r="F57" s="9"/>
      <c r="G57" s="1" t="s">
        <v>506</v>
      </c>
      <c r="H57" s="1">
        <f>'Dispatch and Sales per day'!P42</f>
        <v>138</v>
      </c>
      <c r="I57" s="1"/>
      <c r="J57" s="10"/>
      <c r="K57" s="9"/>
      <c r="L57" s="1" t="s">
        <v>506</v>
      </c>
      <c r="M57" s="1">
        <f>'Dispatch and Sales per day'!AB42</f>
        <v>108</v>
      </c>
      <c r="N57" s="1"/>
      <c r="O57" s="10"/>
    </row>
    <row r="58" spans="1:15" x14ac:dyDescent="0.35">
      <c r="A58" s="9"/>
      <c r="B58" s="1" t="s">
        <v>84</v>
      </c>
      <c r="C58" s="1">
        <f>'Dispatch and Sales per day'!D43</f>
        <v>30</v>
      </c>
      <c r="D58" s="1"/>
      <c r="E58" s="79"/>
      <c r="F58" s="9"/>
      <c r="G58" s="1" t="s">
        <v>84</v>
      </c>
      <c r="H58" s="1">
        <f>'Dispatch and Sales per day'!P43</f>
        <v>60</v>
      </c>
      <c r="I58" s="1"/>
      <c r="J58" s="10"/>
      <c r="K58" s="9"/>
      <c r="L58" s="1" t="s">
        <v>84</v>
      </c>
      <c r="M58" s="1">
        <f>'Dispatch and Sales per day'!AB43</f>
        <v>60</v>
      </c>
      <c r="N58" s="1"/>
      <c r="O58" s="10"/>
    </row>
    <row r="59" spans="1:15" x14ac:dyDescent="0.35">
      <c r="A59" s="9"/>
      <c r="B59" s="1" t="s">
        <v>285</v>
      </c>
      <c r="C59" s="1">
        <f>'Dispatch and Sales per day'!D44+'Dispatch and Sales per day'!D45</f>
        <v>15</v>
      </c>
      <c r="D59" s="1"/>
      <c r="E59" s="79"/>
      <c r="F59" s="9"/>
      <c r="G59" s="1" t="s">
        <v>285</v>
      </c>
      <c r="H59" s="1">
        <f>'Dispatch and Sales per day'!P44+'Dispatch and Sales per day'!P45</f>
        <v>190</v>
      </c>
      <c r="I59" s="1"/>
      <c r="J59" s="10"/>
      <c r="K59" s="9"/>
      <c r="L59" s="1" t="s">
        <v>285</v>
      </c>
      <c r="M59" s="1">
        <f>'Dispatch and Sales per day'!AB44</f>
        <v>24</v>
      </c>
      <c r="N59" s="1"/>
      <c r="O59" s="10"/>
    </row>
    <row r="60" spans="1:15" x14ac:dyDescent="0.35">
      <c r="A60" s="9"/>
      <c r="B60" s="1" t="s">
        <v>374</v>
      </c>
      <c r="C60" s="1">
        <f>'Dispatch and Sales per day'!D47</f>
        <v>0</v>
      </c>
      <c r="D60" s="1"/>
      <c r="E60" s="79"/>
      <c r="F60" s="9"/>
      <c r="G60" s="1" t="s">
        <v>374</v>
      </c>
      <c r="H60" s="1">
        <f>'Dispatch and Sales per day'!P47</f>
        <v>0</v>
      </c>
      <c r="I60" s="1"/>
      <c r="J60" s="10"/>
      <c r="K60" s="9"/>
      <c r="L60" s="1" t="s">
        <v>374</v>
      </c>
      <c r="M60" s="1">
        <f>'Dispatch and Sales per day'!AB47</f>
        <v>0</v>
      </c>
      <c r="N60" s="1"/>
      <c r="O60" s="10"/>
    </row>
    <row r="61" spans="1:15" x14ac:dyDescent="0.35">
      <c r="A61" s="9"/>
      <c r="B61" s="1" t="s">
        <v>311</v>
      </c>
      <c r="C61" s="1">
        <v>0</v>
      </c>
      <c r="D61" s="1"/>
      <c r="E61" s="79"/>
      <c r="F61" s="9"/>
      <c r="G61" s="1" t="s">
        <v>311</v>
      </c>
      <c r="H61" s="1">
        <v>0</v>
      </c>
      <c r="I61" s="1"/>
      <c r="J61" s="10"/>
      <c r="K61" s="9"/>
      <c r="L61" s="1" t="s">
        <v>311</v>
      </c>
      <c r="M61" s="1">
        <v>0</v>
      </c>
      <c r="N61" s="1"/>
      <c r="O61" s="10"/>
    </row>
    <row r="62" spans="1:15" x14ac:dyDescent="0.35">
      <c r="A62" s="9"/>
      <c r="B62" s="1" t="s">
        <v>306</v>
      </c>
      <c r="C62" s="1">
        <f>'Dispatch and Sales per day'!D49</f>
        <v>0</v>
      </c>
      <c r="D62" s="1"/>
      <c r="E62" s="79"/>
      <c r="F62" s="9"/>
      <c r="G62" s="1" t="s">
        <v>306</v>
      </c>
      <c r="H62" s="1">
        <f>'Dispatch and Sales per day'!P49</f>
        <v>0</v>
      </c>
      <c r="I62" s="1"/>
      <c r="J62" s="10"/>
      <c r="K62" s="9"/>
      <c r="L62" s="1" t="s">
        <v>306</v>
      </c>
      <c r="M62" s="1">
        <f>'Dispatch and Sales per day'!AB49</f>
        <v>0</v>
      </c>
      <c r="N62" s="1"/>
      <c r="O62" s="10"/>
    </row>
    <row r="63" spans="1:15" x14ac:dyDescent="0.35">
      <c r="A63" s="9"/>
      <c r="B63" s="1" t="s">
        <v>154</v>
      </c>
      <c r="C63" s="1"/>
      <c r="D63" s="1">
        <f>SUM(C55:C62)</f>
        <v>720</v>
      </c>
      <c r="E63" s="79"/>
      <c r="F63" s="9"/>
      <c r="G63" s="1" t="s">
        <v>154</v>
      </c>
      <c r="H63" s="1"/>
      <c r="I63" s="1">
        <f>SUM(H55:H62)</f>
        <v>832</v>
      </c>
      <c r="J63" s="10"/>
      <c r="K63" s="9"/>
      <c r="L63" s="1" t="s">
        <v>154</v>
      </c>
      <c r="M63" s="1"/>
      <c r="N63" s="1">
        <f>SUM(M55:M62)</f>
        <v>612</v>
      </c>
      <c r="O63" s="10"/>
    </row>
    <row r="64" spans="1:15" ht="15" thickBot="1" x14ac:dyDescent="0.4">
      <c r="A64" s="9"/>
      <c r="B64" s="1" t="s">
        <v>155</v>
      </c>
      <c r="C64" s="1"/>
      <c r="D64" s="78">
        <f>D54-D63</f>
        <v>1026</v>
      </c>
      <c r="E64" s="79"/>
      <c r="F64" s="9"/>
      <c r="G64" s="1" t="s">
        <v>155</v>
      </c>
      <c r="H64" s="1"/>
      <c r="I64" s="78">
        <f>I54-I63</f>
        <v>596</v>
      </c>
      <c r="J64" s="10"/>
      <c r="K64" s="9"/>
      <c r="L64" s="1" t="s">
        <v>155</v>
      </c>
      <c r="M64" s="1"/>
      <c r="N64" s="78">
        <f>N54-N63</f>
        <v>934</v>
      </c>
      <c r="O64" s="10"/>
    </row>
    <row r="65" spans="1:15" ht="15" thickTop="1" x14ac:dyDescent="0.35">
      <c r="A65" s="9" t="s">
        <v>48</v>
      </c>
      <c r="B65" s="1" t="s">
        <v>14</v>
      </c>
      <c r="C65" s="1"/>
      <c r="D65" s="6">
        <f>'Dispatch and Sales per day'!G50</f>
        <v>372</v>
      </c>
      <c r="E65" s="79"/>
      <c r="F65" s="9" t="s">
        <v>48</v>
      </c>
      <c r="G65" s="1" t="s">
        <v>14</v>
      </c>
      <c r="H65" s="1"/>
      <c r="I65" s="6">
        <f>'Dispatch and Sales per day'!S50</f>
        <v>49</v>
      </c>
      <c r="J65" s="10"/>
      <c r="K65" s="9" t="s">
        <v>48</v>
      </c>
      <c r="L65" s="1" t="s">
        <v>14</v>
      </c>
      <c r="M65" s="1"/>
      <c r="N65" s="6">
        <f>'Dispatch and Sales per day'!AE50</f>
        <v>90</v>
      </c>
      <c r="O65" s="10"/>
    </row>
    <row r="66" spans="1:15" ht="15" thickBot="1" x14ac:dyDescent="0.4">
      <c r="A66" s="9"/>
      <c r="B66" s="1" t="s">
        <v>47</v>
      </c>
      <c r="C66" s="1"/>
      <c r="D66" s="76">
        <f>D64+D65</f>
        <v>1398</v>
      </c>
      <c r="E66" s="36"/>
      <c r="F66" s="9"/>
      <c r="G66" s="1" t="s">
        <v>47</v>
      </c>
      <c r="H66" s="1"/>
      <c r="I66" s="76">
        <f>I64+I65</f>
        <v>645</v>
      </c>
      <c r="J66" s="10"/>
      <c r="K66" s="9"/>
      <c r="L66" s="1" t="s">
        <v>47</v>
      </c>
      <c r="M66" s="1"/>
      <c r="N66" s="76">
        <f>N64+N65</f>
        <v>1024</v>
      </c>
      <c r="O66" s="10"/>
    </row>
    <row r="67" spans="1:15" ht="15" thickTop="1" x14ac:dyDescent="0.35">
      <c r="A67" s="35"/>
      <c r="B67" s="5"/>
      <c r="C67" s="5"/>
      <c r="D67" s="2"/>
      <c r="F67" s="35"/>
      <c r="G67" s="5" t="s">
        <v>539</v>
      </c>
      <c r="H67" s="5"/>
      <c r="I67" s="298">
        <v>1</v>
      </c>
      <c r="J67" s="37"/>
      <c r="K67" s="35"/>
      <c r="L67" s="5"/>
      <c r="M67" s="5"/>
      <c r="N67" s="2"/>
      <c r="O67" s="37"/>
    </row>
    <row r="68" spans="1:15" ht="15" thickBot="1" x14ac:dyDescent="0.4">
      <c r="A68" s="11"/>
      <c r="B68" s="12"/>
      <c r="C68" s="12"/>
      <c r="D68" s="12"/>
      <c r="E68" s="17"/>
      <c r="F68" s="11"/>
      <c r="G68" s="12"/>
      <c r="H68" s="12"/>
      <c r="I68" s="203">
        <f>I66+I67</f>
        <v>646</v>
      </c>
      <c r="J68" s="13"/>
      <c r="K68" s="11"/>
      <c r="L68" s="12"/>
      <c r="M68" s="12"/>
      <c r="N68" s="12"/>
      <c r="O68" s="13"/>
    </row>
    <row r="69" spans="1:15" x14ac:dyDescent="0.35">
      <c r="A69" s="80" t="s">
        <v>462</v>
      </c>
      <c r="B69" s="41" t="s">
        <v>39</v>
      </c>
      <c r="C69" s="41"/>
      <c r="D69" s="41">
        <f>D66</f>
        <v>1398</v>
      </c>
      <c r="E69" s="92"/>
      <c r="F69" s="80" t="s">
        <v>462</v>
      </c>
      <c r="G69" s="41" t="s">
        <v>39</v>
      </c>
      <c r="H69" s="41"/>
      <c r="I69" s="41">
        <f>I68</f>
        <v>646</v>
      </c>
      <c r="J69" s="81"/>
      <c r="K69" s="80" t="s">
        <v>462</v>
      </c>
      <c r="L69" s="41" t="s">
        <v>39</v>
      </c>
      <c r="M69" s="41"/>
      <c r="N69" s="41">
        <f>N66</f>
        <v>1024</v>
      </c>
      <c r="O69" s="81"/>
    </row>
    <row r="70" spans="1:15" x14ac:dyDescent="0.35">
      <c r="A70" s="9"/>
      <c r="B70" s="1" t="s">
        <v>369</v>
      </c>
      <c r="C70" s="1"/>
      <c r="D70" s="1">
        <f>Production!G94</f>
        <v>528</v>
      </c>
      <c r="E70" s="79"/>
      <c r="F70" s="9"/>
      <c r="G70" s="1" t="s">
        <v>278</v>
      </c>
      <c r="H70" s="1"/>
      <c r="I70" s="57">
        <f>Production!O94</f>
        <v>802</v>
      </c>
      <c r="J70" s="10"/>
      <c r="K70" s="9"/>
      <c r="L70" s="1" t="s">
        <v>192</v>
      </c>
      <c r="M70" s="1"/>
      <c r="N70" s="57">
        <f>Production!Y94</f>
        <v>612</v>
      </c>
      <c r="O70" s="10"/>
    </row>
    <row r="71" spans="1:15" ht="15" thickBot="1" x14ac:dyDescent="0.4">
      <c r="A71" s="9"/>
      <c r="B71" s="1" t="s">
        <v>153</v>
      </c>
      <c r="C71" s="1"/>
      <c r="D71" s="78">
        <f>D69+D70</f>
        <v>1926</v>
      </c>
      <c r="E71" s="79"/>
      <c r="F71" s="9"/>
      <c r="G71" s="1" t="s">
        <v>153</v>
      </c>
      <c r="H71" s="1"/>
      <c r="I71" s="78">
        <f>I69+I70</f>
        <v>1448</v>
      </c>
      <c r="J71" s="10"/>
      <c r="K71" s="9"/>
      <c r="L71" s="1" t="s">
        <v>153</v>
      </c>
      <c r="M71" s="1"/>
      <c r="N71" s="78">
        <f>N69+N70</f>
        <v>1636</v>
      </c>
      <c r="O71" s="10"/>
    </row>
    <row r="72" spans="1:15" ht="15" thickTop="1" x14ac:dyDescent="0.35">
      <c r="A72" s="9" t="s">
        <v>46</v>
      </c>
      <c r="B72" s="1" t="s">
        <v>538</v>
      </c>
      <c r="C72" s="1">
        <f>'Dispatch and Sales per day'!D51+'Dispatch and Sales per day'!D52</f>
        <v>225</v>
      </c>
      <c r="D72" s="6"/>
      <c r="E72" s="79"/>
      <c r="F72" s="9" t="s">
        <v>46</v>
      </c>
      <c r="G72" s="1" t="s">
        <v>538</v>
      </c>
      <c r="H72" s="1">
        <f>'Dispatch and Sales per day'!P51</f>
        <v>216</v>
      </c>
      <c r="I72" s="6"/>
      <c r="J72" s="10"/>
      <c r="K72" s="9" t="s">
        <v>46</v>
      </c>
      <c r="L72" s="1" t="s">
        <v>538</v>
      </c>
      <c r="M72" s="1">
        <f>'Dispatch and Sales per day'!AB51</f>
        <v>180</v>
      </c>
      <c r="N72" s="6"/>
      <c r="O72" s="10"/>
    </row>
    <row r="73" spans="1:15" x14ac:dyDescent="0.35">
      <c r="A73" s="9"/>
      <c r="B73" s="1" t="s">
        <v>540</v>
      </c>
      <c r="C73" s="1">
        <f>'Dispatch and Sales per day'!D53+'Dispatch and Sales per day'!D54</f>
        <v>300</v>
      </c>
      <c r="D73" s="1"/>
      <c r="E73" s="79"/>
      <c r="F73" s="9"/>
      <c r="G73" s="1" t="s">
        <v>540</v>
      </c>
      <c r="H73" s="1">
        <f>'Dispatch and Sales per day'!P53</f>
        <v>240</v>
      </c>
      <c r="I73" s="1"/>
      <c r="J73" s="10"/>
      <c r="K73" s="9"/>
      <c r="L73" s="1" t="s">
        <v>540</v>
      </c>
      <c r="M73" s="1">
        <f>'Dispatch and Sales per day'!AB53</f>
        <v>240</v>
      </c>
      <c r="N73" s="1"/>
      <c r="O73" s="10"/>
    </row>
    <row r="74" spans="1:15" x14ac:dyDescent="0.35">
      <c r="A74" s="9"/>
      <c r="B74" s="1" t="s">
        <v>506</v>
      </c>
      <c r="C74" s="1">
        <f>'Dispatch and Sales per day'!D55</f>
        <v>165</v>
      </c>
      <c r="D74" s="1"/>
      <c r="E74" s="79"/>
      <c r="F74" s="9"/>
      <c r="G74" s="1" t="s">
        <v>506</v>
      </c>
      <c r="H74" s="1">
        <f>'Dispatch and Sales per day'!P55</f>
        <v>192</v>
      </c>
      <c r="I74" s="1"/>
      <c r="J74" s="10"/>
      <c r="K74" s="9"/>
      <c r="L74" s="1" t="s">
        <v>506</v>
      </c>
      <c r="M74" s="1">
        <f>'Dispatch and Sales per day'!AB55</f>
        <v>168</v>
      </c>
      <c r="N74" s="1"/>
      <c r="O74" s="10"/>
    </row>
    <row r="75" spans="1:15" x14ac:dyDescent="0.35">
      <c r="A75" s="9"/>
      <c r="B75" s="1" t="s">
        <v>84</v>
      </c>
      <c r="C75" s="1">
        <f>'Dispatch and Sales per day'!D56</f>
        <v>30</v>
      </c>
      <c r="D75" s="1"/>
      <c r="E75" s="79"/>
      <c r="F75" s="9"/>
      <c r="G75" s="1" t="s">
        <v>84</v>
      </c>
      <c r="H75" s="1">
        <f>'Dispatch and Sales per day'!P56</f>
        <v>60</v>
      </c>
      <c r="I75" s="1"/>
      <c r="J75" s="10"/>
      <c r="K75" s="9"/>
      <c r="L75" s="1" t="s">
        <v>84</v>
      </c>
      <c r="M75" s="1">
        <f>'Dispatch and Sales per day'!AB56</f>
        <v>60</v>
      </c>
      <c r="N75" s="1"/>
      <c r="O75" s="10"/>
    </row>
    <row r="76" spans="1:15" x14ac:dyDescent="0.35">
      <c r="A76" s="9"/>
      <c r="B76" s="1" t="s">
        <v>285</v>
      </c>
      <c r="C76" s="1">
        <f>'Dispatch and Sales per day'!D58</f>
        <v>30</v>
      </c>
      <c r="D76" s="1"/>
      <c r="E76" s="79"/>
      <c r="F76" s="9"/>
      <c r="G76" s="1" t="s">
        <v>285</v>
      </c>
      <c r="H76" s="1">
        <f>'Dispatch and Sales per day'!P58</f>
        <v>51</v>
      </c>
      <c r="I76" s="1"/>
      <c r="J76" s="10"/>
      <c r="K76" s="9"/>
      <c r="L76" s="1" t="s">
        <v>285</v>
      </c>
      <c r="M76" s="1">
        <f>'Dispatch and Sales per day'!AB58</f>
        <v>38</v>
      </c>
      <c r="N76" s="1"/>
      <c r="O76" s="10"/>
    </row>
    <row r="77" spans="1:15" x14ac:dyDescent="0.35">
      <c r="A77" s="9"/>
      <c r="B77" s="1" t="s">
        <v>311</v>
      </c>
      <c r="C77" s="1">
        <v>0</v>
      </c>
      <c r="D77" s="1"/>
      <c r="E77" s="79"/>
      <c r="F77" s="9"/>
      <c r="G77" s="1" t="s">
        <v>311</v>
      </c>
      <c r="H77" s="1">
        <v>0</v>
      </c>
      <c r="I77" s="1"/>
      <c r="J77" s="10"/>
      <c r="K77" s="9"/>
      <c r="L77" s="1" t="s">
        <v>311</v>
      </c>
      <c r="M77" s="1">
        <v>0</v>
      </c>
      <c r="N77" s="1"/>
      <c r="O77" s="10"/>
    </row>
    <row r="78" spans="1:15" x14ac:dyDescent="0.35">
      <c r="A78" s="9"/>
      <c r="B78" s="1" t="s">
        <v>306</v>
      </c>
      <c r="C78" s="1">
        <f>'Dispatch and Sales per day'!D60</f>
        <v>0</v>
      </c>
      <c r="D78" s="1"/>
      <c r="E78" s="79"/>
      <c r="F78" s="9"/>
      <c r="G78" s="1" t="s">
        <v>306</v>
      </c>
      <c r="H78" s="1">
        <f>'Dispatch and Sales per day'!P60</f>
        <v>0</v>
      </c>
      <c r="I78" s="1"/>
      <c r="J78" s="10"/>
      <c r="K78" s="9"/>
      <c r="L78" s="1" t="s">
        <v>306</v>
      </c>
      <c r="M78" s="1">
        <f>'Dispatch and Sales per day'!AB60</f>
        <v>0</v>
      </c>
      <c r="N78" s="1"/>
      <c r="O78" s="10"/>
    </row>
    <row r="79" spans="1:15" x14ac:dyDescent="0.35">
      <c r="A79" s="9"/>
      <c r="B79" s="1" t="s">
        <v>154</v>
      </c>
      <c r="C79" s="1"/>
      <c r="D79" s="1">
        <f>SUM(C72:C78)</f>
        <v>750</v>
      </c>
      <c r="E79" s="79"/>
      <c r="F79" s="9"/>
      <c r="G79" s="1" t="s">
        <v>154</v>
      </c>
      <c r="H79" s="1"/>
      <c r="I79" s="1">
        <f>SUM(H72:H78)</f>
        <v>759</v>
      </c>
      <c r="J79" s="10"/>
      <c r="K79" s="9"/>
      <c r="L79" s="1" t="s">
        <v>154</v>
      </c>
      <c r="M79" s="1"/>
      <c r="N79" s="1">
        <f>SUM(M72:M78)</f>
        <v>686</v>
      </c>
      <c r="O79" s="10"/>
    </row>
    <row r="80" spans="1:15" ht="15" thickBot="1" x14ac:dyDescent="0.4">
      <c r="A80" s="9"/>
      <c r="B80" s="1" t="s">
        <v>155</v>
      </c>
      <c r="C80" s="1"/>
      <c r="D80" s="78">
        <f>D71-D79</f>
        <v>1176</v>
      </c>
      <c r="E80" s="79"/>
      <c r="F80" s="9"/>
      <c r="G80" s="1" t="s">
        <v>155</v>
      </c>
      <c r="H80" s="1"/>
      <c r="I80" s="78">
        <f>I71-I79</f>
        <v>689</v>
      </c>
      <c r="J80" s="10"/>
      <c r="K80" s="9"/>
      <c r="L80" s="1" t="s">
        <v>155</v>
      </c>
      <c r="M80" s="1"/>
      <c r="N80" s="78">
        <f>N71-N79</f>
        <v>950</v>
      </c>
      <c r="O80" s="10"/>
    </row>
    <row r="81" spans="1:15" ht="15" thickTop="1" x14ac:dyDescent="0.35">
      <c r="A81" s="9" t="s">
        <v>48</v>
      </c>
      <c r="B81" s="1" t="s">
        <v>14</v>
      </c>
      <c r="C81" s="1"/>
      <c r="D81" s="6">
        <f>'Dispatch and Sales per day'!G61</f>
        <v>301</v>
      </c>
      <c r="E81" s="79"/>
      <c r="F81" s="9" t="s">
        <v>48</v>
      </c>
      <c r="G81" s="1" t="s">
        <v>14</v>
      </c>
      <c r="H81" s="1"/>
      <c r="I81" s="6">
        <f>'Dispatch and Sales per day'!S61</f>
        <v>92</v>
      </c>
      <c r="J81" s="10"/>
      <c r="K81" s="9" t="s">
        <v>48</v>
      </c>
      <c r="L81" s="1" t="s">
        <v>14</v>
      </c>
      <c r="M81" s="1"/>
      <c r="N81" s="6">
        <f>'Dispatch and Sales per day'!AE61</f>
        <v>40</v>
      </c>
      <c r="O81" s="10"/>
    </row>
    <row r="82" spans="1:15" ht="15" thickBot="1" x14ac:dyDescent="0.4">
      <c r="A82" s="9"/>
      <c r="B82" s="1" t="s">
        <v>47</v>
      </c>
      <c r="C82" s="1"/>
      <c r="D82" s="76">
        <f>D80+D81</f>
        <v>1477</v>
      </c>
      <c r="E82" s="36"/>
      <c r="F82" s="9"/>
      <c r="G82" s="1" t="s">
        <v>47</v>
      </c>
      <c r="H82" s="1"/>
      <c r="I82" s="76">
        <f>I80+I81</f>
        <v>781</v>
      </c>
      <c r="J82" s="10"/>
      <c r="K82" s="9"/>
      <c r="L82" s="1" t="s">
        <v>47</v>
      </c>
      <c r="M82" s="1"/>
      <c r="N82" s="76">
        <f>N80+N81</f>
        <v>990</v>
      </c>
      <c r="O82" s="10"/>
    </row>
    <row r="83" spans="1:15" ht="15" thickTop="1" x14ac:dyDescent="0.35">
      <c r="A83" s="35"/>
      <c r="B83" s="5"/>
      <c r="C83" s="5"/>
      <c r="D83" s="2"/>
      <c r="F83" s="35"/>
      <c r="G83" s="5" t="s">
        <v>539</v>
      </c>
      <c r="H83" s="5"/>
      <c r="I83" s="299">
        <v>2</v>
      </c>
      <c r="J83" s="37"/>
      <c r="K83" s="35"/>
      <c r="L83" s="5" t="s">
        <v>539</v>
      </c>
      <c r="M83" s="5"/>
      <c r="N83" s="298">
        <v>1</v>
      </c>
      <c r="O83" s="37"/>
    </row>
    <row r="84" spans="1:15" ht="15" thickBot="1" x14ac:dyDescent="0.4">
      <c r="A84" s="11"/>
      <c r="B84" s="12"/>
      <c r="C84" s="12"/>
      <c r="D84" s="12"/>
      <c r="E84" s="17"/>
      <c r="F84" s="11"/>
      <c r="G84" s="12"/>
      <c r="H84" s="12"/>
      <c r="I84" s="203">
        <f>I82+I83</f>
        <v>783</v>
      </c>
      <c r="J84" s="13"/>
      <c r="K84" s="11"/>
      <c r="L84" s="12"/>
      <c r="M84" s="12"/>
      <c r="N84" s="203">
        <f>N82+N83</f>
        <v>991</v>
      </c>
      <c r="O84" s="13"/>
    </row>
    <row r="85" spans="1:15" x14ac:dyDescent="0.35">
      <c r="A85" s="80" t="s">
        <v>464</v>
      </c>
      <c r="B85" s="41" t="s">
        <v>39</v>
      </c>
      <c r="C85" s="41"/>
      <c r="D85" s="41">
        <f>D82</f>
        <v>1477</v>
      </c>
      <c r="E85" s="92"/>
      <c r="F85" s="80" t="s">
        <v>464</v>
      </c>
      <c r="G85" s="41" t="s">
        <v>39</v>
      </c>
      <c r="H85" s="41"/>
      <c r="I85" s="41">
        <f>I84</f>
        <v>783</v>
      </c>
      <c r="J85" s="81"/>
      <c r="K85" s="80" t="s">
        <v>464</v>
      </c>
      <c r="L85" s="41" t="s">
        <v>39</v>
      </c>
      <c r="M85" s="41"/>
      <c r="N85" s="6">
        <f>N84</f>
        <v>991</v>
      </c>
      <c r="O85" s="81"/>
    </row>
    <row r="86" spans="1:15" x14ac:dyDescent="0.35">
      <c r="A86" s="9"/>
      <c r="B86" s="1" t="s">
        <v>369</v>
      </c>
      <c r="C86" s="1"/>
      <c r="D86" s="1">
        <f>Production!G114</f>
        <v>515</v>
      </c>
      <c r="E86" s="79"/>
      <c r="F86" s="9"/>
      <c r="G86" s="1" t="s">
        <v>254</v>
      </c>
      <c r="H86" s="1"/>
      <c r="I86" s="57">
        <f>Production!O114</f>
        <v>816</v>
      </c>
      <c r="J86" s="10"/>
      <c r="K86" s="9"/>
      <c r="L86" s="1" t="s">
        <v>192</v>
      </c>
      <c r="M86" s="1"/>
      <c r="N86" s="57">
        <f>Production!Y114</f>
        <v>612</v>
      </c>
      <c r="O86" s="10"/>
    </row>
    <row r="87" spans="1:15" ht="15" thickBot="1" x14ac:dyDescent="0.4">
      <c r="A87" s="9"/>
      <c r="B87" s="1" t="s">
        <v>153</v>
      </c>
      <c r="C87" s="1"/>
      <c r="D87" s="78">
        <f>D85+D86</f>
        <v>1992</v>
      </c>
      <c r="E87" s="79"/>
      <c r="F87" s="9"/>
      <c r="G87" s="1" t="s">
        <v>153</v>
      </c>
      <c r="H87" s="1"/>
      <c r="I87" s="78">
        <f>I85+I86</f>
        <v>1599</v>
      </c>
      <c r="J87" s="10"/>
      <c r="K87" s="9"/>
      <c r="L87" s="1" t="s">
        <v>153</v>
      </c>
      <c r="M87" s="1"/>
      <c r="N87" s="78">
        <f>N85+N86</f>
        <v>1603</v>
      </c>
      <c r="O87" s="10"/>
    </row>
    <row r="88" spans="1:15" ht="15" thickTop="1" x14ac:dyDescent="0.35">
      <c r="A88" s="9" t="s">
        <v>46</v>
      </c>
      <c r="B88" s="1" t="s">
        <v>538</v>
      </c>
      <c r="C88" s="1">
        <f>'Dispatch and Sales per day'!D62+'Dispatch and Sales per day'!D63</f>
        <v>225</v>
      </c>
      <c r="D88" s="6"/>
      <c r="E88" s="79"/>
      <c r="F88" s="9" t="s">
        <v>46</v>
      </c>
      <c r="G88" s="1" t="s">
        <v>538</v>
      </c>
      <c r="H88" s="1">
        <f>'Dispatch and Sales per day'!P62</f>
        <v>204</v>
      </c>
      <c r="I88" s="6"/>
      <c r="J88" s="10"/>
      <c r="K88" s="9" t="s">
        <v>46</v>
      </c>
      <c r="L88" s="1" t="s">
        <v>538</v>
      </c>
      <c r="M88" s="1">
        <f>'Dispatch and Sales per day'!AB62</f>
        <v>180</v>
      </c>
      <c r="N88" s="6"/>
      <c r="O88" s="10"/>
    </row>
    <row r="89" spans="1:15" x14ac:dyDescent="0.35">
      <c r="A89" s="9"/>
      <c r="B89" s="1" t="s">
        <v>505</v>
      </c>
      <c r="C89" s="1">
        <f>'Dispatch and Sales per day'!D64</f>
        <v>300</v>
      </c>
      <c r="D89" s="1"/>
      <c r="E89" s="79"/>
      <c r="F89" s="9"/>
      <c r="G89" s="1" t="s">
        <v>505</v>
      </c>
      <c r="H89" s="1">
        <f>'Dispatch and Sales per day'!P64</f>
        <v>276</v>
      </c>
      <c r="I89" s="1"/>
      <c r="J89" s="10"/>
      <c r="K89" s="9"/>
      <c r="L89" s="1" t="s">
        <v>505</v>
      </c>
      <c r="M89" s="1">
        <f>'Dispatch and Sales per day'!AB64+'Dispatch and Sales per day'!AB65</f>
        <v>516</v>
      </c>
      <c r="N89" s="1"/>
      <c r="O89" s="10"/>
    </row>
    <row r="90" spans="1:15" x14ac:dyDescent="0.35">
      <c r="A90" s="9"/>
      <c r="B90" s="1" t="s">
        <v>506</v>
      </c>
      <c r="C90" s="1">
        <f>'Dispatch and Sales per day'!D66</f>
        <v>180</v>
      </c>
      <c r="D90" s="1"/>
      <c r="E90" s="79"/>
      <c r="F90" s="9"/>
      <c r="G90" s="1" t="s">
        <v>506</v>
      </c>
      <c r="H90" s="1">
        <f>'Dispatch and Sales per day'!P66</f>
        <v>252</v>
      </c>
      <c r="I90" s="1"/>
      <c r="J90" s="10"/>
      <c r="K90" s="9"/>
      <c r="L90" s="1" t="s">
        <v>506</v>
      </c>
      <c r="M90" s="1">
        <f>'Dispatch and Sales per day'!AB66</f>
        <v>156</v>
      </c>
      <c r="N90" s="1"/>
      <c r="O90" s="10"/>
    </row>
    <row r="91" spans="1:15" x14ac:dyDescent="0.35">
      <c r="A91" s="9"/>
      <c r="B91" s="1" t="s">
        <v>84</v>
      </c>
      <c r="C91" s="1">
        <f>'Dispatch and Sales per day'!D67</f>
        <v>30</v>
      </c>
      <c r="D91" s="1"/>
      <c r="E91" s="79"/>
      <c r="F91" s="9"/>
      <c r="G91" s="1" t="s">
        <v>84</v>
      </c>
      <c r="H91" s="1">
        <f>'Dispatch and Sales per day'!P67</f>
        <v>60</v>
      </c>
      <c r="I91" s="1"/>
      <c r="J91" s="10"/>
      <c r="K91" s="9"/>
      <c r="L91" s="1" t="s">
        <v>84</v>
      </c>
      <c r="M91" s="1">
        <f>'Dispatch and Sales per day'!AB67</f>
        <v>60</v>
      </c>
      <c r="N91" s="1"/>
      <c r="O91" s="10"/>
    </row>
    <row r="92" spans="1:15" x14ac:dyDescent="0.35">
      <c r="A92" s="9"/>
      <c r="B92" s="1" t="s">
        <v>285</v>
      </c>
      <c r="C92" s="1">
        <f>'Dispatch and Sales per day'!D68</f>
        <v>8</v>
      </c>
      <c r="D92" s="1"/>
      <c r="E92" s="79"/>
      <c r="F92" s="9"/>
      <c r="G92" s="1" t="s">
        <v>285</v>
      </c>
      <c r="H92" s="1">
        <f>'Dispatch and Sales per day'!P68+'Dispatch and Sales per day'!P69</f>
        <v>48</v>
      </c>
      <c r="I92" s="1"/>
      <c r="J92" s="10"/>
      <c r="K92" s="9"/>
      <c r="L92" s="1" t="s">
        <v>285</v>
      </c>
      <c r="M92" s="1">
        <f>'Dispatch and Sales per day'!AB68</f>
        <v>40</v>
      </c>
      <c r="N92" s="1"/>
      <c r="O92" s="10"/>
    </row>
    <row r="93" spans="1:15" x14ac:dyDescent="0.35">
      <c r="A93" s="9"/>
      <c r="B93" s="1" t="s">
        <v>310</v>
      </c>
      <c r="C93" s="1">
        <v>0</v>
      </c>
      <c r="D93" s="1"/>
      <c r="E93" s="79"/>
      <c r="F93" s="9"/>
      <c r="G93" s="1" t="s">
        <v>310</v>
      </c>
      <c r="H93" s="1">
        <v>0</v>
      </c>
      <c r="I93" s="1"/>
      <c r="J93" s="10"/>
      <c r="K93" s="9"/>
      <c r="L93" s="1" t="s">
        <v>310</v>
      </c>
      <c r="M93" s="1">
        <v>0</v>
      </c>
      <c r="N93" s="1"/>
      <c r="O93" s="10"/>
    </row>
    <row r="94" spans="1:15" x14ac:dyDescent="0.35">
      <c r="A94" s="9"/>
      <c r="B94" s="1" t="s">
        <v>309</v>
      </c>
      <c r="C94" s="1">
        <v>0</v>
      </c>
      <c r="D94" s="1"/>
      <c r="E94" s="79"/>
      <c r="F94" s="9"/>
      <c r="G94" s="1" t="s">
        <v>309</v>
      </c>
      <c r="H94" s="1">
        <v>0</v>
      </c>
      <c r="I94" s="1"/>
      <c r="J94" s="10"/>
      <c r="K94" s="9"/>
      <c r="L94" s="1" t="s">
        <v>309</v>
      </c>
      <c r="M94" s="1">
        <v>0</v>
      </c>
      <c r="N94" s="1"/>
      <c r="O94" s="10"/>
    </row>
    <row r="95" spans="1:15" x14ac:dyDescent="0.35">
      <c r="A95" s="9"/>
      <c r="B95" s="1" t="s">
        <v>311</v>
      </c>
      <c r="C95" s="1">
        <f>'Dispatch and Sales per day'!D71</f>
        <v>155</v>
      </c>
      <c r="D95" s="1"/>
      <c r="E95" s="79"/>
      <c r="F95" s="9"/>
      <c r="G95" s="1" t="s">
        <v>311</v>
      </c>
      <c r="H95" s="1">
        <f>'Dispatch and Sales per day'!P71</f>
        <v>124</v>
      </c>
      <c r="I95" s="1"/>
      <c r="J95" s="10"/>
      <c r="K95" s="9"/>
      <c r="L95" s="1" t="s">
        <v>311</v>
      </c>
      <c r="M95" s="1">
        <f>'Dispatch and Sales per day'!AB71</f>
        <v>179</v>
      </c>
      <c r="N95" s="1"/>
      <c r="O95" s="10"/>
    </row>
    <row r="96" spans="1:15" x14ac:dyDescent="0.35">
      <c r="A96" s="9"/>
      <c r="B96" s="1" t="s">
        <v>306</v>
      </c>
      <c r="C96" s="1">
        <f>'Dispatch and Sales per day'!D73</f>
        <v>0</v>
      </c>
      <c r="D96" s="1"/>
      <c r="E96" s="79"/>
      <c r="F96" s="9"/>
      <c r="G96" s="1" t="s">
        <v>306</v>
      </c>
      <c r="H96" s="1">
        <f>'Dispatch and Sales per day'!P73</f>
        <v>0</v>
      </c>
      <c r="I96" s="1"/>
      <c r="J96" s="10"/>
      <c r="K96" s="9"/>
      <c r="L96" s="1" t="s">
        <v>306</v>
      </c>
      <c r="M96" s="1">
        <f>'Dispatch and Sales per day'!AB73</f>
        <v>0</v>
      </c>
      <c r="N96" s="1"/>
      <c r="O96" s="10"/>
    </row>
    <row r="97" spans="1:15" x14ac:dyDescent="0.35">
      <c r="A97" s="9"/>
      <c r="B97" s="1" t="s">
        <v>154</v>
      </c>
      <c r="C97" s="1"/>
      <c r="D97" s="1">
        <f>SUM(C88:C96)</f>
        <v>898</v>
      </c>
      <c r="E97" s="79"/>
      <c r="F97" s="9"/>
      <c r="G97" s="1" t="s">
        <v>154</v>
      </c>
      <c r="H97" s="1"/>
      <c r="I97" s="1">
        <f>SUM(H88:H96)</f>
        <v>964</v>
      </c>
      <c r="J97" s="10"/>
      <c r="K97" s="9"/>
      <c r="L97" s="1" t="s">
        <v>154</v>
      </c>
      <c r="M97" s="1"/>
      <c r="N97" s="1">
        <f>SUM(M88:M96)</f>
        <v>1131</v>
      </c>
      <c r="O97" s="10"/>
    </row>
    <row r="98" spans="1:15" ht="15" thickBot="1" x14ac:dyDescent="0.4">
      <c r="A98" s="9"/>
      <c r="B98" s="1" t="s">
        <v>155</v>
      </c>
      <c r="C98" s="1"/>
      <c r="D98" s="78">
        <f>D87-D97</f>
        <v>1094</v>
      </c>
      <c r="E98" s="79"/>
      <c r="F98" s="9"/>
      <c r="G98" s="1" t="s">
        <v>155</v>
      </c>
      <c r="H98" s="1"/>
      <c r="I98" s="78">
        <f>I87-I97</f>
        <v>635</v>
      </c>
      <c r="J98" s="10"/>
      <c r="K98" s="9"/>
      <c r="L98" s="1" t="s">
        <v>155</v>
      </c>
      <c r="M98" s="1"/>
      <c r="N98" s="78">
        <f>N87-N97</f>
        <v>472</v>
      </c>
      <c r="O98" s="10"/>
    </row>
    <row r="99" spans="1:15" ht="15" thickTop="1" x14ac:dyDescent="0.35">
      <c r="A99" s="9" t="s">
        <v>48</v>
      </c>
      <c r="B99" s="1" t="s">
        <v>14</v>
      </c>
      <c r="C99" s="1"/>
      <c r="D99" s="6">
        <f>'Dispatch and Sales per day'!G74</f>
        <v>275</v>
      </c>
      <c r="E99" s="79"/>
      <c r="F99" s="9" t="s">
        <v>48</v>
      </c>
      <c r="G99" s="1" t="s">
        <v>14</v>
      </c>
      <c r="H99" s="1"/>
      <c r="I99" s="6">
        <f>'Dispatch and Sales per day'!S74</f>
        <v>45</v>
      </c>
      <c r="J99" s="10"/>
      <c r="K99" s="9" t="s">
        <v>48</v>
      </c>
      <c r="L99" s="1" t="s">
        <v>14</v>
      </c>
      <c r="M99" s="1"/>
      <c r="N99" s="6">
        <f>'Dispatch and Sales per day'!AE74</f>
        <v>35</v>
      </c>
      <c r="O99" s="10"/>
    </row>
    <row r="100" spans="1:15" ht="15" thickBot="1" x14ac:dyDescent="0.4">
      <c r="A100" s="9"/>
      <c r="B100" s="1" t="s">
        <v>47</v>
      </c>
      <c r="C100" s="1"/>
      <c r="D100" s="76">
        <f>D98+D99</f>
        <v>1369</v>
      </c>
      <c r="E100" s="36"/>
      <c r="F100" s="9"/>
      <c r="G100" s="1" t="s">
        <v>47</v>
      </c>
      <c r="H100" s="1"/>
      <c r="I100" s="76">
        <f>I98+I99</f>
        <v>680</v>
      </c>
      <c r="J100" s="10"/>
      <c r="K100" s="9"/>
      <c r="L100" s="1" t="s">
        <v>47</v>
      </c>
      <c r="M100" s="1"/>
      <c r="N100" s="76">
        <f>N98+N99</f>
        <v>507</v>
      </c>
      <c r="O100" s="10"/>
    </row>
    <row r="101" spans="1:15" ht="15" thickTop="1" x14ac:dyDescent="0.35">
      <c r="A101" s="35"/>
      <c r="B101" s="5"/>
      <c r="C101" s="5"/>
      <c r="D101" s="2"/>
      <c r="F101" s="35"/>
      <c r="G101" s="5"/>
      <c r="H101" s="5"/>
      <c r="I101" s="2"/>
      <c r="J101" s="37"/>
      <c r="K101" s="35"/>
      <c r="L101" s="5"/>
      <c r="M101" s="5"/>
      <c r="N101" s="2"/>
      <c r="O101" s="37"/>
    </row>
    <row r="102" spans="1:15" ht="15" thickBot="1" x14ac:dyDescent="0.4">
      <c r="A102" s="11"/>
      <c r="B102" s="12"/>
      <c r="C102" s="12"/>
      <c r="D102" s="12"/>
      <c r="E102" s="17"/>
      <c r="F102" s="11"/>
      <c r="G102" s="12"/>
      <c r="H102" s="12"/>
      <c r="I102" s="12">
        <f>I100-I101</f>
        <v>680</v>
      </c>
      <c r="J102" s="13"/>
      <c r="K102" s="11"/>
      <c r="L102" s="12"/>
      <c r="M102" s="12"/>
      <c r="N102" s="12"/>
      <c r="O102" s="13"/>
    </row>
    <row r="103" spans="1:15" x14ac:dyDescent="0.35">
      <c r="A103" s="80" t="s">
        <v>465</v>
      </c>
      <c r="B103" s="41" t="s">
        <v>39</v>
      </c>
      <c r="C103" s="41"/>
      <c r="D103" s="41">
        <f>D100</f>
        <v>1369</v>
      </c>
      <c r="E103" s="92"/>
      <c r="F103" s="80" t="s">
        <v>465</v>
      </c>
      <c r="G103" s="41" t="s">
        <v>39</v>
      </c>
      <c r="H103" s="41"/>
      <c r="I103" s="41">
        <f>I102</f>
        <v>680</v>
      </c>
      <c r="J103" s="81"/>
      <c r="K103" s="80" t="s">
        <v>465</v>
      </c>
      <c r="L103" s="41" t="s">
        <v>39</v>
      </c>
      <c r="M103" s="41"/>
      <c r="N103" s="41">
        <f>N100</f>
        <v>507</v>
      </c>
      <c r="O103" s="81"/>
    </row>
    <row r="104" spans="1:15" x14ac:dyDescent="0.35">
      <c r="A104" s="9"/>
      <c r="B104" s="1" t="s">
        <v>258</v>
      </c>
      <c r="C104" s="1"/>
      <c r="D104" s="1">
        <f>Production!G132</f>
        <v>0</v>
      </c>
      <c r="E104" s="79"/>
      <c r="F104" s="9"/>
      <c r="G104" s="1" t="s">
        <v>254</v>
      </c>
      <c r="H104" s="1"/>
      <c r="I104" s="57">
        <f>Production!O132</f>
        <v>0</v>
      </c>
      <c r="J104" s="10"/>
      <c r="K104" s="9"/>
      <c r="L104" s="1" t="s">
        <v>254</v>
      </c>
      <c r="M104" s="1"/>
      <c r="N104" s="57">
        <f>Production!Y132</f>
        <v>0</v>
      </c>
      <c r="O104" s="10"/>
    </row>
    <row r="105" spans="1:15" ht="15" thickBot="1" x14ac:dyDescent="0.4">
      <c r="A105" s="9"/>
      <c r="B105" s="1" t="s">
        <v>153</v>
      </c>
      <c r="C105" s="1"/>
      <c r="D105" s="78">
        <f>D103+D104</f>
        <v>1369</v>
      </c>
      <c r="E105" s="79"/>
      <c r="F105" s="9"/>
      <c r="G105" s="1" t="s">
        <v>153</v>
      </c>
      <c r="H105" s="1"/>
      <c r="I105" s="78">
        <f>I103+I104</f>
        <v>680</v>
      </c>
      <c r="J105" s="10"/>
      <c r="K105" s="9"/>
      <c r="L105" s="1" t="s">
        <v>153</v>
      </c>
      <c r="M105" s="1"/>
      <c r="N105" s="78">
        <f>N103+N104</f>
        <v>507</v>
      </c>
      <c r="O105" s="10"/>
    </row>
    <row r="106" spans="1:15" ht="15" thickTop="1" x14ac:dyDescent="0.35">
      <c r="A106" s="9" t="s">
        <v>46</v>
      </c>
      <c r="B106" s="1" t="s">
        <v>506</v>
      </c>
      <c r="C106" s="1">
        <f>'Dispatch and Sales per day'!D75+'Dispatch and Sales per day'!D76</f>
        <v>225</v>
      </c>
      <c r="D106" s="6"/>
      <c r="E106" s="79"/>
      <c r="F106" s="9" t="s">
        <v>46</v>
      </c>
      <c r="G106" s="1" t="s">
        <v>506</v>
      </c>
      <c r="H106" s="1">
        <f>'Dispatch and Sales per day'!P75</f>
        <v>120</v>
      </c>
      <c r="I106" s="6"/>
      <c r="J106" s="10"/>
      <c r="K106" s="9" t="s">
        <v>46</v>
      </c>
      <c r="L106" s="1" t="s">
        <v>506</v>
      </c>
      <c r="M106" s="1">
        <f>'Dispatch and Sales per day'!AB75</f>
        <v>120</v>
      </c>
      <c r="N106" s="6"/>
      <c r="O106" s="10"/>
    </row>
    <row r="107" spans="1:15" x14ac:dyDescent="0.35">
      <c r="A107" s="9"/>
      <c r="B107" s="1" t="s">
        <v>505</v>
      </c>
      <c r="C107" s="1">
        <f>'Dispatch and Sales per day'!D77</f>
        <v>0</v>
      </c>
      <c r="D107" s="1"/>
      <c r="E107" s="79"/>
      <c r="F107" s="9"/>
      <c r="G107" s="1" t="s">
        <v>505</v>
      </c>
      <c r="H107" s="1">
        <f>'Dispatch and Sales per day'!P77</f>
        <v>0</v>
      </c>
      <c r="I107" s="1"/>
      <c r="J107" s="10"/>
      <c r="K107" s="9"/>
      <c r="L107" s="1" t="s">
        <v>505</v>
      </c>
      <c r="M107" s="1">
        <f>'Dispatch and Sales per day'!AB77</f>
        <v>0</v>
      </c>
      <c r="N107" s="1"/>
      <c r="O107" s="10"/>
    </row>
    <row r="108" spans="1:15" x14ac:dyDescent="0.35">
      <c r="A108" s="9"/>
      <c r="B108" s="1" t="s">
        <v>506</v>
      </c>
      <c r="C108" s="1">
        <f>'Dispatch and Sales per day'!D78</f>
        <v>0</v>
      </c>
      <c r="D108" s="1"/>
      <c r="E108" s="79"/>
      <c r="F108" s="9"/>
      <c r="G108" s="1" t="s">
        <v>506</v>
      </c>
      <c r="H108" s="1">
        <f>'Dispatch and Sales per day'!P78</f>
        <v>0</v>
      </c>
      <c r="I108" s="1"/>
      <c r="J108" s="10"/>
      <c r="K108" s="9"/>
      <c r="L108" s="1" t="s">
        <v>506</v>
      </c>
      <c r="M108" s="1">
        <f>'Dispatch and Sales per day'!AB78</f>
        <v>0</v>
      </c>
      <c r="N108" s="1"/>
      <c r="O108" s="10"/>
    </row>
    <row r="109" spans="1:15" x14ac:dyDescent="0.35">
      <c r="A109" s="9"/>
      <c r="B109" s="1" t="s">
        <v>84</v>
      </c>
      <c r="C109" s="1">
        <f>'Dispatch and Sales per day'!D79</f>
        <v>0</v>
      </c>
      <c r="D109" s="1"/>
      <c r="E109" s="79"/>
      <c r="F109" s="9"/>
      <c r="G109" s="1" t="s">
        <v>84</v>
      </c>
      <c r="H109" s="1">
        <f>'Dispatch and Sales per day'!P79</f>
        <v>0</v>
      </c>
      <c r="I109" s="1"/>
      <c r="J109" s="10"/>
      <c r="K109" s="9"/>
      <c r="L109" s="1" t="s">
        <v>84</v>
      </c>
      <c r="M109" s="1">
        <f>'Dispatch and Sales per day'!AB79</f>
        <v>0</v>
      </c>
      <c r="N109" s="1"/>
      <c r="O109" s="10"/>
    </row>
    <row r="110" spans="1:15" x14ac:dyDescent="0.35">
      <c r="A110" s="9"/>
      <c r="B110" s="1" t="s">
        <v>285</v>
      </c>
      <c r="C110" s="1">
        <f>'Dispatch and Sales per day'!D81</f>
        <v>0</v>
      </c>
      <c r="D110" s="1"/>
      <c r="E110" s="79"/>
      <c r="F110" s="9"/>
      <c r="G110" s="1" t="s">
        <v>285</v>
      </c>
      <c r="H110" s="1">
        <f>'Dispatch and Sales per day'!D81</f>
        <v>0</v>
      </c>
      <c r="I110" s="1"/>
      <c r="J110" s="10"/>
      <c r="K110" s="9"/>
      <c r="L110" s="1" t="s">
        <v>285</v>
      </c>
      <c r="M110" s="1">
        <f>'Dispatch and Sales per day'!AB81+'Dispatch and Sales per day'!AB82</f>
        <v>0</v>
      </c>
      <c r="N110" s="1"/>
      <c r="O110" s="10"/>
    </row>
    <row r="111" spans="1:15" x14ac:dyDescent="0.35">
      <c r="A111" s="9"/>
      <c r="B111" s="1" t="s">
        <v>321</v>
      </c>
      <c r="C111" s="1">
        <v>0</v>
      </c>
      <c r="D111" s="1"/>
      <c r="E111" s="79"/>
      <c r="F111" s="9"/>
      <c r="G111" s="1" t="s">
        <v>321</v>
      </c>
      <c r="H111" s="1">
        <v>0</v>
      </c>
      <c r="I111" s="1"/>
      <c r="J111" s="10"/>
      <c r="K111" s="9"/>
      <c r="L111" s="1" t="s">
        <v>321</v>
      </c>
      <c r="M111" s="1">
        <v>0</v>
      </c>
      <c r="N111" s="1"/>
      <c r="O111" s="10"/>
    </row>
    <row r="112" spans="1:15" x14ac:dyDescent="0.35">
      <c r="A112" s="9"/>
      <c r="B112" s="1" t="s">
        <v>311</v>
      </c>
      <c r="C112" s="1">
        <v>0</v>
      </c>
      <c r="D112" s="1"/>
      <c r="E112" s="79"/>
      <c r="F112" s="9"/>
      <c r="G112" s="1" t="s">
        <v>311</v>
      </c>
      <c r="H112" s="1">
        <v>0</v>
      </c>
      <c r="I112" s="1"/>
      <c r="J112" s="10"/>
      <c r="K112" s="9"/>
      <c r="L112" s="1" t="s">
        <v>311</v>
      </c>
      <c r="M112" s="1">
        <v>0</v>
      </c>
      <c r="N112" s="1"/>
      <c r="O112" s="10"/>
    </row>
    <row r="113" spans="1:15" x14ac:dyDescent="0.35">
      <c r="A113" s="9"/>
      <c r="B113" s="1" t="s">
        <v>306</v>
      </c>
      <c r="C113" s="1">
        <v>0</v>
      </c>
      <c r="D113" s="1"/>
      <c r="E113" s="79"/>
      <c r="F113" s="9"/>
      <c r="G113" s="1" t="s">
        <v>306</v>
      </c>
      <c r="H113" s="1">
        <f>'Dispatch and Sales per day'!P84</f>
        <v>0</v>
      </c>
      <c r="I113" s="1"/>
      <c r="J113" s="10"/>
      <c r="K113" s="9"/>
      <c r="L113" s="1" t="s">
        <v>306</v>
      </c>
      <c r="M113" s="1">
        <f>'Dispatch and Sales per day'!AB84</f>
        <v>0</v>
      </c>
      <c r="N113" s="1"/>
      <c r="O113" s="10"/>
    </row>
    <row r="114" spans="1:15" x14ac:dyDescent="0.35">
      <c r="A114" s="9"/>
      <c r="B114" s="1" t="s">
        <v>154</v>
      </c>
      <c r="C114" s="1"/>
      <c r="D114" s="1">
        <f>SUM(C106:C113)</f>
        <v>225</v>
      </c>
      <c r="E114" s="79"/>
      <c r="F114" s="9"/>
      <c r="G114" s="1" t="s">
        <v>154</v>
      </c>
      <c r="H114" s="1"/>
      <c r="I114" s="1">
        <f>SUM(H106:H113)</f>
        <v>120</v>
      </c>
      <c r="J114" s="10"/>
      <c r="K114" s="9"/>
      <c r="L114" s="1" t="s">
        <v>154</v>
      </c>
      <c r="M114" s="1"/>
      <c r="N114" s="1">
        <f>SUM(M106:M113)</f>
        <v>120</v>
      </c>
      <c r="O114" s="10"/>
    </row>
    <row r="115" spans="1:15" ht="15" thickBot="1" x14ac:dyDescent="0.4">
      <c r="A115" s="9"/>
      <c r="B115" s="1" t="s">
        <v>155</v>
      </c>
      <c r="C115" s="1"/>
      <c r="D115" s="78">
        <f>D105-D114</f>
        <v>1144</v>
      </c>
      <c r="E115" s="79"/>
      <c r="F115" s="9"/>
      <c r="G115" s="1" t="s">
        <v>155</v>
      </c>
      <c r="H115" s="1"/>
      <c r="I115" s="78">
        <f>I105-I114</f>
        <v>560</v>
      </c>
      <c r="J115" s="10"/>
      <c r="K115" s="9"/>
      <c r="L115" s="1" t="s">
        <v>155</v>
      </c>
      <c r="M115" s="1"/>
      <c r="N115" s="78">
        <f>N105-N114</f>
        <v>387</v>
      </c>
      <c r="O115" s="10"/>
    </row>
    <row r="116" spans="1:15" ht="15" thickTop="1" x14ac:dyDescent="0.35">
      <c r="A116" s="9" t="s">
        <v>48</v>
      </c>
      <c r="B116" s="1" t="s">
        <v>14</v>
      </c>
      <c r="C116" s="1"/>
      <c r="D116" s="6">
        <f>'Dispatch and Sales per day'!G85</f>
        <v>15</v>
      </c>
      <c r="E116" s="79"/>
      <c r="F116" s="9" t="s">
        <v>48</v>
      </c>
      <c r="G116" s="1" t="s">
        <v>14</v>
      </c>
      <c r="H116" s="1"/>
      <c r="I116" s="6">
        <f>'Dispatch and Sales per day'!S85</f>
        <v>0</v>
      </c>
      <c r="J116" s="10"/>
      <c r="K116" s="9" t="s">
        <v>48</v>
      </c>
      <c r="L116" s="1" t="s">
        <v>14</v>
      </c>
      <c r="M116" s="1"/>
      <c r="N116" s="6">
        <f>'Dispatch and Sales per day'!AE85</f>
        <v>0</v>
      </c>
      <c r="O116" s="10"/>
    </row>
    <row r="117" spans="1:15" ht="15" thickBot="1" x14ac:dyDescent="0.4">
      <c r="A117" s="9"/>
      <c r="B117" s="1" t="s">
        <v>47</v>
      </c>
      <c r="C117" s="1"/>
      <c r="D117" s="76">
        <f>D115+D116</f>
        <v>1159</v>
      </c>
      <c r="E117" s="36"/>
      <c r="F117" s="9"/>
      <c r="G117" s="1" t="s">
        <v>47</v>
      </c>
      <c r="H117" s="1"/>
      <c r="I117" s="76">
        <f>I115+I116</f>
        <v>560</v>
      </c>
      <c r="J117" s="10"/>
      <c r="K117" s="9"/>
      <c r="L117" s="1" t="s">
        <v>47</v>
      </c>
      <c r="M117" s="1"/>
      <c r="N117" s="76">
        <f>N115+N116</f>
        <v>387</v>
      </c>
      <c r="O117" s="10"/>
    </row>
    <row r="118" spans="1:15" ht="15" thickTop="1" x14ac:dyDescent="0.35">
      <c r="A118" s="35"/>
      <c r="B118" s="5"/>
      <c r="C118" s="5"/>
      <c r="D118" s="2"/>
      <c r="F118" s="35"/>
      <c r="G118" s="5"/>
      <c r="H118" s="5"/>
      <c r="I118" s="2"/>
      <c r="J118" s="37"/>
      <c r="K118" s="35"/>
      <c r="L118" s="5"/>
      <c r="M118" s="5"/>
      <c r="N118" s="2"/>
      <c r="O118" s="37"/>
    </row>
    <row r="119" spans="1:15" ht="15" thickBot="1" x14ac:dyDescent="0.4">
      <c r="A119" s="11"/>
      <c r="B119" s="12"/>
      <c r="C119" s="12"/>
      <c r="D119" s="12"/>
      <c r="E119" s="17"/>
      <c r="F119" s="11"/>
      <c r="G119" s="12"/>
      <c r="H119" s="12"/>
      <c r="I119" s="12"/>
      <c r="J119" s="13"/>
      <c r="K119" s="11"/>
      <c r="L119" s="12"/>
      <c r="M119" s="12"/>
      <c r="N119" s="12">
        <f>N117-N118</f>
        <v>387</v>
      </c>
      <c r="O119" s="13"/>
    </row>
    <row r="120" spans="1:15" x14ac:dyDescent="0.35">
      <c r="A120" s="80" t="s">
        <v>466</v>
      </c>
      <c r="B120" s="41" t="s">
        <v>39</v>
      </c>
      <c r="C120" s="41"/>
      <c r="D120" s="41">
        <f>D117</f>
        <v>1159</v>
      </c>
      <c r="E120" s="92"/>
      <c r="F120" s="80" t="s">
        <v>466</v>
      </c>
      <c r="G120" s="41" t="s">
        <v>39</v>
      </c>
      <c r="H120" s="41"/>
      <c r="I120" s="41">
        <f>I117</f>
        <v>560</v>
      </c>
      <c r="J120" s="81"/>
      <c r="K120" s="80" t="s">
        <v>466</v>
      </c>
      <c r="L120" s="41" t="s">
        <v>39</v>
      </c>
      <c r="M120" s="41"/>
      <c r="N120" s="41">
        <f>N119</f>
        <v>387</v>
      </c>
      <c r="O120" s="81"/>
    </row>
    <row r="121" spans="1:15" x14ac:dyDescent="0.35">
      <c r="A121" s="9"/>
      <c r="B121" s="1" t="s">
        <v>255</v>
      </c>
      <c r="C121" s="1"/>
      <c r="D121" s="1">
        <f>Production!G151</f>
        <v>660</v>
      </c>
      <c r="E121" s="79"/>
      <c r="F121" s="9"/>
      <c r="G121" s="1" t="s">
        <v>278</v>
      </c>
      <c r="H121" s="1"/>
      <c r="I121" s="57">
        <f>Production!O151</f>
        <v>823</v>
      </c>
      <c r="J121" s="10"/>
      <c r="K121" s="9"/>
      <c r="L121" s="1" t="s">
        <v>278</v>
      </c>
      <c r="M121" s="1"/>
      <c r="N121" s="57">
        <f>Production!Y151</f>
        <v>816</v>
      </c>
      <c r="O121" s="10"/>
    </row>
    <row r="122" spans="1:15" ht="15" thickBot="1" x14ac:dyDescent="0.4">
      <c r="A122" s="9"/>
      <c r="B122" s="1" t="s">
        <v>153</v>
      </c>
      <c r="C122" s="1"/>
      <c r="D122" s="78">
        <f>D120+D121</f>
        <v>1819</v>
      </c>
      <c r="E122" s="79"/>
      <c r="F122" s="9"/>
      <c r="G122" s="1" t="s">
        <v>153</v>
      </c>
      <c r="H122" s="1"/>
      <c r="I122" s="78">
        <f>I120+I121</f>
        <v>1383</v>
      </c>
      <c r="J122" s="10"/>
      <c r="K122" s="9"/>
      <c r="L122" s="1" t="s">
        <v>153</v>
      </c>
      <c r="M122" s="1"/>
      <c r="N122" s="78">
        <f>N120+N121</f>
        <v>1203</v>
      </c>
      <c r="O122" s="10"/>
    </row>
    <row r="123" spans="1:15" ht="15" thickTop="1" x14ac:dyDescent="0.35">
      <c r="A123" s="9" t="s">
        <v>46</v>
      </c>
      <c r="B123" s="1" t="s">
        <v>538</v>
      </c>
      <c r="C123" s="1">
        <f>'Dispatch and Sales per day'!D86+'Dispatch and Sales per day'!D87</f>
        <v>225</v>
      </c>
      <c r="D123" s="6"/>
      <c r="E123" s="79"/>
      <c r="F123" s="9" t="s">
        <v>46</v>
      </c>
      <c r="G123" s="1" t="s">
        <v>538</v>
      </c>
      <c r="H123" s="1">
        <f>'Dispatch and Sales per day'!P86</f>
        <v>204</v>
      </c>
      <c r="I123" s="6"/>
      <c r="J123" s="10"/>
      <c r="K123" s="9" t="s">
        <v>46</v>
      </c>
      <c r="L123" s="1" t="s">
        <v>538</v>
      </c>
      <c r="M123" s="1">
        <f>'Dispatch and Sales per day'!AB86</f>
        <v>180</v>
      </c>
      <c r="N123" s="6"/>
      <c r="O123" s="10"/>
    </row>
    <row r="124" spans="1:15" x14ac:dyDescent="0.35">
      <c r="A124" s="9"/>
      <c r="B124" s="1" t="s">
        <v>505</v>
      </c>
      <c r="C124" s="1">
        <f>'Dispatch and Sales per day'!D88+'Dispatch and Sales per day'!D89</f>
        <v>300</v>
      </c>
      <c r="D124" s="1"/>
      <c r="E124" s="79"/>
      <c r="F124" s="9"/>
      <c r="G124" s="1" t="s">
        <v>505</v>
      </c>
      <c r="H124" s="1">
        <f>'Dispatch and Sales per day'!P88</f>
        <v>144</v>
      </c>
      <c r="I124" s="1"/>
      <c r="J124" s="10"/>
      <c r="K124" s="9"/>
      <c r="L124" s="1" t="s">
        <v>505</v>
      </c>
      <c r="M124" s="1">
        <f>'Dispatch and Sales per day'!AB88</f>
        <v>120</v>
      </c>
      <c r="N124" s="1"/>
      <c r="O124" s="10"/>
    </row>
    <row r="125" spans="1:15" x14ac:dyDescent="0.35">
      <c r="A125" s="9"/>
      <c r="B125" s="1" t="s">
        <v>506</v>
      </c>
      <c r="C125" s="1">
        <f>'Dispatch and Sales per day'!D90</f>
        <v>240</v>
      </c>
      <c r="D125" s="1"/>
      <c r="E125" s="79"/>
      <c r="F125" s="9"/>
      <c r="G125" s="1" t="s">
        <v>506</v>
      </c>
      <c r="H125" s="1">
        <f>'Dispatch and Sales per day'!P90</f>
        <v>240</v>
      </c>
      <c r="I125" s="1"/>
      <c r="J125" s="10"/>
      <c r="K125" s="9"/>
      <c r="L125" s="1" t="s">
        <v>506</v>
      </c>
      <c r="M125" s="1">
        <f>'Dispatch and Sales per day'!AB90</f>
        <v>144</v>
      </c>
      <c r="N125" s="1"/>
      <c r="O125" s="10"/>
    </row>
    <row r="126" spans="1:15" x14ac:dyDescent="0.35">
      <c r="A126" s="9"/>
      <c r="B126" s="1" t="s">
        <v>84</v>
      </c>
      <c r="C126" s="1">
        <f>'Dispatch and Sales per day'!D91+'Dispatch and Sales per day'!D92</f>
        <v>30</v>
      </c>
      <c r="D126" s="1"/>
      <c r="E126" s="79"/>
      <c r="F126" s="9"/>
      <c r="G126" s="1" t="s">
        <v>84</v>
      </c>
      <c r="H126" s="1">
        <f>'Dispatch and Sales per day'!P91+'Dispatch and Sales per day'!P92</f>
        <v>60</v>
      </c>
      <c r="I126" s="1"/>
      <c r="J126" s="10"/>
      <c r="K126" s="9"/>
      <c r="L126" s="1" t="s">
        <v>84</v>
      </c>
      <c r="M126" s="1">
        <f>'Dispatch and Sales per day'!AB91</f>
        <v>60</v>
      </c>
      <c r="N126" s="1"/>
      <c r="O126" s="10"/>
    </row>
    <row r="127" spans="1:15" x14ac:dyDescent="0.35">
      <c r="A127" s="9"/>
      <c r="B127" s="1" t="s">
        <v>285</v>
      </c>
      <c r="C127" s="1">
        <f>'Dispatch and Sales per day'!D93</f>
        <v>15</v>
      </c>
      <c r="D127" s="1"/>
      <c r="E127" s="79"/>
      <c r="F127" s="9"/>
      <c r="G127" s="1" t="s">
        <v>285</v>
      </c>
      <c r="H127" s="1">
        <f>'Dispatch and Sales per day'!P92+'Dispatch and Sales per day'!P93</f>
        <v>140</v>
      </c>
      <c r="I127" s="1"/>
      <c r="J127" s="10"/>
      <c r="K127" s="9"/>
      <c r="L127" s="1" t="s">
        <v>285</v>
      </c>
      <c r="M127" s="1">
        <f>'Dispatch and Sales per day'!AB93+'Dispatch and Sales per day'!AB94</f>
        <v>45</v>
      </c>
      <c r="N127" s="1"/>
      <c r="O127" s="10"/>
    </row>
    <row r="128" spans="1:15" x14ac:dyDescent="0.35">
      <c r="A128" s="9"/>
      <c r="B128" s="1" t="s">
        <v>309</v>
      </c>
      <c r="C128" s="1">
        <v>0</v>
      </c>
      <c r="D128" s="1"/>
      <c r="E128" s="79"/>
      <c r="F128" s="9"/>
      <c r="G128" s="1" t="s">
        <v>309</v>
      </c>
      <c r="H128" s="1">
        <v>0</v>
      </c>
      <c r="I128" s="1"/>
      <c r="J128" s="10"/>
      <c r="K128" s="9"/>
      <c r="L128" s="1" t="s">
        <v>309</v>
      </c>
      <c r="M128" s="1">
        <v>0</v>
      </c>
      <c r="N128" s="1"/>
      <c r="O128" s="10"/>
    </row>
    <row r="129" spans="1:19" x14ac:dyDescent="0.35">
      <c r="A129" s="9"/>
      <c r="B129" s="1" t="s">
        <v>311</v>
      </c>
      <c r="C129" s="1">
        <v>0</v>
      </c>
      <c r="D129" s="1"/>
      <c r="E129" s="79"/>
      <c r="F129" s="9"/>
      <c r="G129" s="1" t="s">
        <v>311</v>
      </c>
      <c r="H129" s="1">
        <v>0</v>
      </c>
      <c r="I129" s="1"/>
      <c r="J129" s="10"/>
      <c r="K129" s="9"/>
      <c r="L129" s="1" t="s">
        <v>311</v>
      </c>
      <c r="M129" s="1">
        <v>0</v>
      </c>
      <c r="N129" s="1"/>
      <c r="O129" s="10"/>
    </row>
    <row r="130" spans="1:19" x14ac:dyDescent="0.35">
      <c r="A130" s="9"/>
      <c r="B130" s="1" t="s">
        <v>306</v>
      </c>
      <c r="C130" s="1">
        <f>'Dispatch and Sales per day'!D96</f>
        <v>0</v>
      </c>
      <c r="D130" s="1"/>
      <c r="E130" s="79"/>
      <c r="F130" s="9"/>
      <c r="G130" s="1" t="s">
        <v>306</v>
      </c>
      <c r="H130" s="1">
        <f>'Dispatch and Sales per day'!P96</f>
        <v>0</v>
      </c>
      <c r="I130" s="1"/>
      <c r="J130" s="10"/>
      <c r="K130" s="9"/>
      <c r="L130" s="1" t="s">
        <v>306</v>
      </c>
      <c r="M130" s="1">
        <f>'Dispatch and Sales per day'!AB96</f>
        <v>0</v>
      </c>
      <c r="N130" s="1"/>
      <c r="O130" s="10"/>
    </row>
    <row r="131" spans="1:19" x14ac:dyDescent="0.35">
      <c r="A131" s="9"/>
      <c r="B131" s="1" t="s">
        <v>154</v>
      </c>
      <c r="C131" s="1"/>
      <c r="D131" s="1">
        <f>SUM(C123:C130)</f>
        <v>810</v>
      </c>
      <c r="E131" s="79"/>
      <c r="F131" s="9"/>
      <c r="G131" s="1" t="s">
        <v>154</v>
      </c>
      <c r="H131" s="1"/>
      <c r="I131" s="1">
        <f>SUM(H123:H130)</f>
        <v>788</v>
      </c>
      <c r="J131" s="10"/>
      <c r="K131" s="9"/>
      <c r="L131" s="1" t="s">
        <v>154</v>
      </c>
      <c r="M131" s="1"/>
      <c r="N131" s="1">
        <f>SUM(M123:M130)</f>
        <v>549</v>
      </c>
      <c r="O131" s="10"/>
    </row>
    <row r="132" spans="1:19" ht="15" thickBot="1" x14ac:dyDescent="0.4">
      <c r="A132" s="9"/>
      <c r="B132" s="1" t="s">
        <v>155</v>
      </c>
      <c r="C132" s="1"/>
      <c r="D132" s="78">
        <f>D122-D131</f>
        <v>1009</v>
      </c>
      <c r="E132" s="79"/>
      <c r="F132" s="9"/>
      <c r="G132" s="1" t="s">
        <v>155</v>
      </c>
      <c r="H132" s="1"/>
      <c r="I132" s="78">
        <f>I122-I131</f>
        <v>595</v>
      </c>
      <c r="J132" s="10"/>
      <c r="K132" s="9"/>
      <c r="L132" s="1" t="s">
        <v>155</v>
      </c>
      <c r="M132" s="1"/>
      <c r="N132" s="78">
        <f>N122-N131</f>
        <v>654</v>
      </c>
      <c r="O132" s="10"/>
    </row>
    <row r="133" spans="1:19" ht="15" thickTop="1" x14ac:dyDescent="0.35">
      <c r="A133" s="9" t="s">
        <v>48</v>
      </c>
      <c r="B133" s="1" t="s">
        <v>14</v>
      </c>
      <c r="C133" s="1"/>
      <c r="D133" s="6">
        <f>'Dispatch and Sales per day'!G97</f>
        <v>243</v>
      </c>
      <c r="E133" s="79"/>
      <c r="F133" s="9" t="s">
        <v>48</v>
      </c>
      <c r="G133" s="1" t="s">
        <v>14</v>
      </c>
      <c r="H133" s="1"/>
      <c r="I133" s="6">
        <f>'Dispatch and Sales per day'!S97</f>
        <v>28</v>
      </c>
      <c r="J133" s="10"/>
      <c r="K133" s="9" t="s">
        <v>48</v>
      </c>
      <c r="L133" s="1" t="s">
        <v>14</v>
      </c>
      <c r="M133" s="1"/>
      <c r="N133" s="6">
        <f>'Dispatch and Sales per day'!AE97</f>
        <v>15</v>
      </c>
      <c r="O133" s="10"/>
    </row>
    <row r="134" spans="1:19" x14ac:dyDescent="0.35">
      <c r="A134" s="9"/>
      <c r="B134" s="1" t="s">
        <v>47</v>
      </c>
      <c r="C134" s="1"/>
      <c r="D134" s="300">
        <f>D132+D133</f>
        <v>1252</v>
      </c>
      <c r="E134" s="36"/>
      <c r="F134" s="9"/>
      <c r="G134" s="1" t="s">
        <v>47</v>
      </c>
      <c r="H134" s="1"/>
      <c r="I134" s="300">
        <f>I132+I133</f>
        <v>623</v>
      </c>
      <c r="J134" s="10"/>
      <c r="K134" s="9"/>
      <c r="L134" s="1" t="s">
        <v>47</v>
      </c>
      <c r="M134" s="1"/>
      <c r="N134" s="300">
        <f>N132+N133</f>
        <v>669</v>
      </c>
      <c r="O134" s="10"/>
    </row>
    <row r="135" spans="1:19" x14ac:dyDescent="0.35">
      <c r="A135" s="35"/>
      <c r="B135" s="5" t="s">
        <v>541</v>
      </c>
      <c r="C135" s="5"/>
      <c r="D135" s="301">
        <v>15</v>
      </c>
      <c r="F135" s="35"/>
      <c r="G135" s="5" t="s">
        <v>543</v>
      </c>
      <c r="H135" s="5"/>
      <c r="I135" s="301">
        <f>558-490</f>
        <v>68</v>
      </c>
      <c r="J135" s="37"/>
      <c r="K135" s="35"/>
      <c r="L135" s="5" t="s">
        <v>542</v>
      </c>
      <c r="M135" s="5"/>
      <c r="N135" s="301">
        <v>5</v>
      </c>
      <c r="O135" s="37"/>
    </row>
    <row r="136" spans="1:19" x14ac:dyDescent="0.35">
      <c r="A136" s="35"/>
      <c r="B136" s="5" t="s">
        <v>543</v>
      </c>
      <c r="C136" s="5"/>
      <c r="D136" s="301">
        <f>1159-1159</f>
        <v>0</v>
      </c>
      <c r="F136" s="35"/>
      <c r="G136" s="5" t="s">
        <v>438</v>
      </c>
      <c r="H136" s="5"/>
      <c r="I136" s="301">
        <f>553-482</f>
        <v>71</v>
      </c>
      <c r="J136" s="37"/>
      <c r="K136" s="35"/>
      <c r="L136" s="5" t="s">
        <v>543</v>
      </c>
      <c r="M136" s="5"/>
      <c r="N136" s="301">
        <f>N120-387</f>
        <v>0</v>
      </c>
      <c r="O136" s="37"/>
      <c r="Q136" t="s">
        <v>439</v>
      </c>
      <c r="S136">
        <f>N136+N472-N492</f>
        <v>0</v>
      </c>
    </row>
    <row r="137" spans="1:19" x14ac:dyDescent="0.35">
      <c r="A137" s="35"/>
      <c r="B137" s="5" t="s">
        <v>438</v>
      </c>
      <c r="C137" s="5"/>
      <c r="D137" s="301">
        <f>1252-1237</f>
        <v>15</v>
      </c>
      <c r="F137" s="35"/>
      <c r="G137" s="5"/>
      <c r="H137" s="5"/>
      <c r="I137" s="1"/>
      <c r="J137" s="37"/>
      <c r="K137" s="35"/>
      <c r="L137" s="5" t="s">
        <v>438</v>
      </c>
      <c r="M137" s="5"/>
      <c r="N137" s="301">
        <f>664-645</f>
        <v>19</v>
      </c>
      <c r="O137" s="37"/>
    </row>
    <row r="138" spans="1:19" ht="15" thickBot="1" x14ac:dyDescent="0.4">
      <c r="A138" s="11"/>
      <c r="B138" s="12"/>
      <c r="C138" s="12"/>
      <c r="D138" s="203">
        <f>D134-D135-D136+D137</f>
        <v>1252</v>
      </c>
      <c r="E138" s="17"/>
      <c r="F138" s="11"/>
      <c r="G138" s="12"/>
      <c r="H138" s="12"/>
      <c r="I138" s="203">
        <f>I134-I136-I135</f>
        <v>484</v>
      </c>
      <c r="J138" s="13"/>
      <c r="K138" s="11"/>
      <c r="L138" s="12"/>
      <c r="M138" s="12"/>
      <c r="N138" s="203">
        <f>N134-N135-N136-N137</f>
        <v>645</v>
      </c>
      <c r="O138" s="13"/>
    </row>
    <row r="139" spans="1:19" x14ac:dyDescent="0.35">
      <c r="A139" s="80" t="s">
        <v>467</v>
      </c>
      <c r="B139" s="41" t="s">
        <v>39</v>
      </c>
      <c r="C139" s="41"/>
      <c r="D139" s="41">
        <f>D138</f>
        <v>1252</v>
      </c>
      <c r="E139" s="92"/>
      <c r="F139" s="80" t="s">
        <v>467</v>
      </c>
      <c r="G139" s="41" t="s">
        <v>39</v>
      </c>
      <c r="H139" s="41"/>
      <c r="I139" s="41">
        <f>I138</f>
        <v>484</v>
      </c>
      <c r="J139" s="81"/>
      <c r="K139" s="80" t="s">
        <v>467</v>
      </c>
      <c r="L139" s="41" t="s">
        <v>39</v>
      </c>
      <c r="M139" s="41"/>
      <c r="N139" s="41">
        <f>N138</f>
        <v>645</v>
      </c>
      <c r="O139" s="81"/>
    </row>
    <row r="140" spans="1:19" x14ac:dyDescent="0.35">
      <c r="A140" s="9"/>
      <c r="B140" s="1" t="s">
        <v>369</v>
      </c>
      <c r="C140" s="1"/>
      <c r="D140" s="1">
        <f>Production!G171</f>
        <v>528</v>
      </c>
      <c r="E140" s="79"/>
      <c r="F140" s="9"/>
      <c r="G140" s="1" t="s">
        <v>537</v>
      </c>
      <c r="H140" s="1"/>
      <c r="I140" s="57">
        <f>Production!O171</f>
        <v>893</v>
      </c>
      <c r="J140" s="10"/>
      <c r="K140" s="9"/>
      <c r="L140" s="1" t="s">
        <v>257</v>
      </c>
      <c r="M140" s="1"/>
      <c r="N140" s="57">
        <f>Production!Y171</f>
        <v>714</v>
      </c>
      <c r="O140" s="10"/>
    </row>
    <row r="141" spans="1:19" ht="15" thickBot="1" x14ac:dyDescent="0.4">
      <c r="A141" s="9"/>
      <c r="B141" s="1" t="s">
        <v>153</v>
      </c>
      <c r="C141" s="1"/>
      <c r="D141" s="78">
        <f>D139+D140</f>
        <v>1780</v>
      </c>
      <c r="E141" s="79"/>
      <c r="F141" s="9"/>
      <c r="G141" s="1" t="s">
        <v>153</v>
      </c>
      <c r="H141" s="1"/>
      <c r="I141" s="78">
        <f>I139+I140</f>
        <v>1377</v>
      </c>
      <c r="J141" s="10"/>
      <c r="K141" s="9"/>
      <c r="L141" s="1" t="s">
        <v>153</v>
      </c>
      <c r="M141" s="1"/>
      <c r="N141" s="78">
        <f>N139+N140</f>
        <v>1359</v>
      </c>
      <c r="O141" s="10"/>
    </row>
    <row r="142" spans="1:19" ht="15" thickTop="1" x14ac:dyDescent="0.35">
      <c r="A142" s="9" t="s">
        <v>46</v>
      </c>
      <c r="B142" s="1" t="s">
        <v>538</v>
      </c>
      <c r="C142" s="1">
        <f>'Dispatch and Sales per day'!D98+'Dispatch and Sales per day'!D99</f>
        <v>225</v>
      </c>
      <c r="D142" s="6"/>
      <c r="E142" s="79"/>
      <c r="F142" s="9" t="s">
        <v>46</v>
      </c>
      <c r="G142" s="1" t="s">
        <v>538</v>
      </c>
      <c r="H142" s="1">
        <f>'Dispatch and Sales per day'!P98</f>
        <v>216</v>
      </c>
      <c r="I142" s="6"/>
      <c r="J142" s="10"/>
      <c r="K142" s="9" t="s">
        <v>46</v>
      </c>
      <c r="L142" s="1" t="s">
        <v>538</v>
      </c>
      <c r="M142" s="1">
        <f>'Dispatch and Sales per day'!AB98</f>
        <v>180</v>
      </c>
      <c r="N142" s="6"/>
      <c r="O142" s="10"/>
    </row>
    <row r="143" spans="1:19" x14ac:dyDescent="0.35">
      <c r="A143" s="9"/>
      <c r="B143" s="1" t="s">
        <v>505</v>
      </c>
      <c r="C143" s="1">
        <f>'Dispatch and Sales per day'!D100+'Dispatch and Sales per day'!D101</f>
        <v>300</v>
      </c>
      <c r="D143" s="1"/>
      <c r="E143" s="79"/>
      <c r="F143" s="9"/>
      <c r="G143" s="1" t="s">
        <v>505</v>
      </c>
      <c r="H143" s="1">
        <f>'Dispatch and Sales per day'!P100</f>
        <v>151</v>
      </c>
      <c r="I143" s="1"/>
      <c r="J143" s="10"/>
      <c r="K143" s="9"/>
      <c r="L143" s="1" t="s">
        <v>505</v>
      </c>
      <c r="M143" s="1">
        <f>'Dispatch and Sales per day'!AB100</f>
        <v>240</v>
      </c>
      <c r="N143" s="1"/>
      <c r="O143" s="10"/>
    </row>
    <row r="144" spans="1:19" x14ac:dyDescent="0.35">
      <c r="A144" s="9"/>
      <c r="B144" s="1" t="s">
        <v>506</v>
      </c>
      <c r="C144" s="1">
        <f>'Dispatch and Sales per day'!D102</f>
        <v>105</v>
      </c>
      <c r="D144" s="1"/>
      <c r="E144" s="79"/>
      <c r="F144" s="9"/>
      <c r="G144" s="1" t="s">
        <v>506</v>
      </c>
      <c r="H144" s="1">
        <f>'Dispatch and Sales per day'!P102</f>
        <v>120</v>
      </c>
      <c r="I144" s="1"/>
      <c r="J144" s="10"/>
      <c r="K144" s="9"/>
      <c r="L144" s="1" t="s">
        <v>506</v>
      </c>
      <c r="M144" s="1">
        <f>'Dispatch and Sales per day'!AB102</f>
        <v>108</v>
      </c>
      <c r="N144" s="1"/>
      <c r="O144" s="10"/>
    </row>
    <row r="145" spans="1:15" x14ac:dyDescent="0.35">
      <c r="A145" s="9"/>
      <c r="B145" s="1" t="s">
        <v>84</v>
      </c>
      <c r="C145" s="1">
        <f>'Dispatch and Sales per day'!D103</f>
        <v>30</v>
      </c>
      <c r="D145" s="1"/>
      <c r="E145" s="79"/>
      <c r="F145" s="9"/>
      <c r="G145" s="1" t="s">
        <v>84</v>
      </c>
      <c r="H145" s="1">
        <f>'Dispatch and Sales per day'!P103</f>
        <v>60</v>
      </c>
      <c r="I145" s="1"/>
      <c r="J145" s="10"/>
      <c r="K145" s="9"/>
      <c r="L145" s="1" t="s">
        <v>84</v>
      </c>
      <c r="M145" s="1">
        <f>'Dispatch and Sales per day'!AB103</f>
        <v>60</v>
      </c>
      <c r="N145" s="1"/>
      <c r="O145" s="10"/>
    </row>
    <row r="146" spans="1:15" x14ac:dyDescent="0.35">
      <c r="A146" s="9"/>
      <c r="B146" s="1" t="s">
        <v>285</v>
      </c>
      <c r="C146" s="1">
        <f>'Dispatch and Sales per day'!D105</f>
        <v>19</v>
      </c>
      <c r="D146" s="1"/>
      <c r="E146" s="79"/>
      <c r="F146" s="9"/>
      <c r="G146" s="1" t="s">
        <v>285</v>
      </c>
      <c r="H146" s="1">
        <f>'Dispatch and Sales per day'!P105+'Dispatch and Sales per day'!P106</f>
        <v>205</v>
      </c>
      <c r="I146" s="1"/>
      <c r="J146" s="10"/>
      <c r="K146" s="9"/>
      <c r="L146" s="1" t="s">
        <v>285</v>
      </c>
      <c r="M146" s="1">
        <f>'Dispatch and Sales per day'!AB105+'Dispatch and Sales per day'!AB106</f>
        <v>60</v>
      </c>
      <c r="N146" s="1"/>
      <c r="O146" s="10"/>
    </row>
    <row r="147" spans="1:15" x14ac:dyDescent="0.35">
      <c r="A147" s="9"/>
      <c r="B147" s="1" t="s">
        <v>321</v>
      </c>
      <c r="C147" s="1">
        <v>0</v>
      </c>
      <c r="D147" s="1"/>
      <c r="E147" s="79"/>
      <c r="F147" s="9"/>
      <c r="G147" s="1" t="s">
        <v>321</v>
      </c>
      <c r="H147" s="1">
        <v>0</v>
      </c>
      <c r="I147" s="1"/>
      <c r="J147" s="10"/>
      <c r="K147" s="9"/>
      <c r="L147" s="1" t="s">
        <v>321</v>
      </c>
      <c r="M147" s="1">
        <v>0</v>
      </c>
      <c r="N147" s="1"/>
      <c r="O147" s="10"/>
    </row>
    <row r="148" spans="1:15" x14ac:dyDescent="0.35">
      <c r="A148" s="9"/>
      <c r="B148" s="1" t="s">
        <v>311</v>
      </c>
      <c r="C148" s="1">
        <f>'Dispatch and Sales per day'!D108</f>
        <v>103</v>
      </c>
      <c r="D148" s="1"/>
      <c r="E148" s="79"/>
      <c r="F148" s="9"/>
      <c r="G148" s="1" t="s">
        <v>311</v>
      </c>
      <c r="H148" s="1">
        <f>'Dispatch and Sales per day'!P108</f>
        <v>126</v>
      </c>
      <c r="I148" s="1"/>
      <c r="J148" s="10"/>
      <c r="K148" s="9"/>
      <c r="L148" s="1" t="s">
        <v>311</v>
      </c>
      <c r="M148" s="1">
        <f>'Dispatch and Sales per day'!AB108</f>
        <v>180</v>
      </c>
      <c r="N148" s="1"/>
      <c r="O148" s="10"/>
    </row>
    <row r="149" spans="1:15" x14ac:dyDescent="0.35">
      <c r="A149" s="9"/>
      <c r="B149" s="1" t="s">
        <v>306</v>
      </c>
      <c r="C149" s="1">
        <f>'Dispatch and Sales per day'!D110</f>
        <v>0</v>
      </c>
      <c r="D149" s="1"/>
      <c r="E149" s="79"/>
      <c r="F149" s="9"/>
      <c r="G149" s="1" t="s">
        <v>306</v>
      </c>
      <c r="H149" s="1">
        <f>'Dispatch and Sales per day'!P110</f>
        <v>0</v>
      </c>
      <c r="I149" s="1"/>
      <c r="J149" s="10"/>
      <c r="K149" s="9"/>
      <c r="L149" s="1" t="s">
        <v>306</v>
      </c>
      <c r="M149" s="1">
        <f>'Dispatch and Sales per day'!AB110</f>
        <v>0</v>
      </c>
      <c r="N149" s="1"/>
      <c r="O149" s="10"/>
    </row>
    <row r="150" spans="1:15" x14ac:dyDescent="0.35">
      <c r="A150" s="9"/>
      <c r="B150" s="1" t="s">
        <v>154</v>
      </c>
      <c r="C150" s="1"/>
      <c r="D150" s="1">
        <f>SUM(C142:C149)</f>
        <v>782</v>
      </c>
      <c r="E150" s="79"/>
      <c r="F150" s="9"/>
      <c r="G150" s="1" t="s">
        <v>154</v>
      </c>
      <c r="H150" s="1"/>
      <c r="I150" s="1">
        <f>SUM(H142:H149)</f>
        <v>878</v>
      </c>
      <c r="J150" s="10"/>
      <c r="K150" s="9"/>
      <c r="L150" s="1" t="s">
        <v>154</v>
      </c>
      <c r="M150" s="1"/>
      <c r="N150" s="1">
        <f>SUM(M142:M149)</f>
        <v>828</v>
      </c>
      <c r="O150" s="10"/>
    </row>
    <row r="151" spans="1:15" ht="15" thickBot="1" x14ac:dyDescent="0.4">
      <c r="A151" s="9"/>
      <c r="B151" s="1" t="s">
        <v>155</v>
      </c>
      <c r="C151" s="1"/>
      <c r="D151" s="78">
        <f>D141-D150</f>
        <v>998</v>
      </c>
      <c r="E151" s="79"/>
      <c r="F151" s="9"/>
      <c r="G151" s="1" t="s">
        <v>155</v>
      </c>
      <c r="H151" s="1"/>
      <c r="I151" s="78">
        <f>I141-I150</f>
        <v>499</v>
      </c>
      <c r="J151" s="10"/>
      <c r="K151" s="9"/>
      <c r="L151" s="1" t="s">
        <v>155</v>
      </c>
      <c r="M151" s="1"/>
      <c r="N151" s="78">
        <f>N141-N150</f>
        <v>531</v>
      </c>
      <c r="O151" s="10"/>
    </row>
    <row r="152" spans="1:15" ht="15" thickTop="1" x14ac:dyDescent="0.35">
      <c r="A152" s="9" t="s">
        <v>48</v>
      </c>
      <c r="B152" s="1" t="s">
        <v>14</v>
      </c>
      <c r="C152" s="1"/>
      <c r="D152" s="6">
        <f>'Dispatch and Sales per day'!G111</f>
        <v>419</v>
      </c>
      <c r="E152" s="79"/>
      <c r="F152" s="9" t="s">
        <v>48</v>
      </c>
      <c r="G152" s="1" t="s">
        <v>14</v>
      </c>
      <c r="H152" s="1"/>
      <c r="I152" s="6">
        <f>'Dispatch and Sales per day'!S111</f>
        <v>26</v>
      </c>
      <c r="J152" s="10"/>
      <c r="K152" s="9" t="s">
        <v>48</v>
      </c>
      <c r="L152" s="1" t="s">
        <v>14</v>
      </c>
      <c r="M152" s="1"/>
      <c r="N152" s="6">
        <f>'Dispatch and Sales per day'!AE111</f>
        <v>160</v>
      </c>
      <c r="O152" s="10"/>
    </row>
    <row r="153" spans="1:15" x14ac:dyDescent="0.35">
      <c r="A153" s="9"/>
      <c r="B153" s="1" t="s">
        <v>47</v>
      </c>
      <c r="C153" s="1"/>
      <c r="D153" s="300">
        <f>D151+D152</f>
        <v>1417</v>
      </c>
      <c r="E153" s="36"/>
      <c r="F153" s="9"/>
      <c r="G153" s="1" t="s">
        <v>47</v>
      </c>
      <c r="H153" s="1"/>
      <c r="I153" s="300">
        <f>I151+I152</f>
        <v>525</v>
      </c>
      <c r="J153" s="10"/>
      <c r="K153" s="9"/>
      <c r="L153" s="1" t="s">
        <v>47</v>
      </c>
      <c r="M153" s="1"/>
      <c r="N153" s="300">
        <f>N151+N152</f>
        <v>691</v>
      </c>
      <c r="O153" s="10"/>
    </row>
    <row r="154" spans="1:15" x14ac:dyDescent="0.35">
      <c r="A154" s="35"/>
      <c r="B154" s="5"/>
      <c r="C154" s="5"/>
      <c r="D154" s="1"/>
      <c r="F154" s="35" t="s">
        <v>381</v>
      </c>
      <c r="G154" s="5" t="s">
        <v>544</v>
      </c>
      <c r="H154" s="5"/>
      <c r="I154" s="301">
        <f>126-72</f>
        <v>54</v>
      </c>
      <c r="J154" s="37"/>
      <c r="K154" s="35"/>
      <c r="L154" s="5" t="s">
        <v>546</v>
      </c>
      <c r="M154" s="5"/>
      <c r="N154" s="301">
        <v>24</v>
      </c>
      <c r="O154" s="37"/>
    </row>
    <row r="155" spans="1:15" x14ac:dyDescent="0.35">
      <c r="A155" s="35"/>
      <c r="B155" s="5"/>
      <c r="C155" s="5"/>
      <c r="D155" s="1"/>
      <c r="F155" s="35"/>
      <c r="G155" s="5" t="s">
        <v>545</v>
      </c>
      <c r="H155" s="5"/>
      <c r="I155" s="301">
        <f>205-133</f>
        <v>72</v>
      </c>
      <c r="J155" s="37"/>
      <c r="K155" s="35"/>
      <c r="L155" s="5"/>
      <c r="M155" s="5"/>
      <c r="N155" s="1"/>
      <c r="O155" s="37"/>
    </row>
    <row r="156" spans="1:15" ht="15" thickBot="1" x14ac:dyDescent="0.4">
      <c r="A156" s="11"/>
      <c r="B156" s="12"/>
      <c r="C156" s="12"/>
      <c r="D156" s="12">
        <f>D153-D154</f>
        <v>1417</v>
      </c>
      <c r="E156" s="17"/>
      <c r="F156" s="11"/>
      <c r="G156" s="12"/>
      <c r="H156" s="12"/>
      <c r="I156" s="203">
        <f>I153+I154+I155</f>
        <v>651</v>
      </c>
      <c r="J156" s="13"/>
      <c r="K156" s="11"/>
      <c r="L156" s="12" t="s">
        <v>47</v>
      </c>
      <c r="M156" s="12"/>
      <c r="N156" s="203">
        <f>N153+N154</f>
        <v>715</v>
      </c>
      <c r="O156" s="13"/>
    </row>
    <row r="157" spans="1:15" x14ac:dyDescent="0.35">
      <c r="A157" s="80" t="s">
        <v>474</v>
      </c>
      <c r="B157" s="41" t="s">
        <v>39</v>
      </c>
      <c r="C157" s="41"/>
      <c r="D157" s="41">
        <f>D156</f>
        <v>1417</v>
      </c>
      <c r="E157" s="92"/>
      <c r="F157" s="80" t="s">
        <v>474</v>
      </c>
      <c r="G157" s="41" t="s">
        <v>39</v>
      </c>
      <c r="H157" s="41"/>
      <c r="I157" s="6">
        <f>I156</f>
        <v>651</v>
      </c>
      <c r="J157" s="81"/>
      <c r="K157" s="80" t="s">
        <v>474</v>
      </c>
      <c r="L157" s="41" t="s">
        <v>39</v>
      </c>
      <c r="M157" s="41"/>
      <c r="N157" s="41">
        <f>N156</f>
        <v>715</v>
      </c>
      <c r="O157" s="81"/>
    </row>
    <row r="158" spans="1:15" x14ac:dyDescent="0.35">
      <c r="A158" s="9"/>
      <c r="B158" s="1" t="s">
        <v>369</v>
      </c>
      <c r="C158" s="1"/>
      <c r="D158" s="1">
        <f>Production!G190</f>
        <v>528</v>
      </c>
      <c r="E158" s="79"/>
      <c r="F158" s="9"/>
      <c r="G158" s="1" t="s">
        <v>278</v>
      </c>
      <c r="H158" s="1"/>
      <c r="I158" s="57">
        <f>Production!O190</f>
        <v>803</v>
      </c>
      <c r="J158" s="10"/>
      <c r="K158" s="9"/>
      <c r="L158" s="1" t="s">
        <v>257</v>
      </c>
      <c r="M158" s="1"/>
      <c r="N158" s="57">
        <f>Production!Y190</f>
        <v>714</v>
      </c>
      <c r="O158" s="10"/>
    </row>
    <row r="159" spans="1:15" ht="15" thickBot="1" x14ac:dyDescent="0.4">
      <c r="A159" s="9"/>
      <c r="B159" s="1" t="s">
        <v>153</v>
      </c>
      <c r="C159" s="1"/>
      <c r="D159" s="78">
        <f>D157+D158</f>
        <v>1945</v>
      </c>
      <c r="E159" s="79"/>
      <c r="F159" s="9"/>
      <c r="G159" s="1" t="s">
        <v>153</v>
      </c>
      <c r="H159" s="1"/>
      <c r="I159" s="78">
        <f>I157+I158</f>
        <v>1454</v>
      </c>
      <c r="J159" s="10"/>
      <c r="K159" s="9"/>
      <c r="L159" s="1" t="s">
        <v>153</v>
      </c>
      <c r="M159" s="1"/>
      <c r="N159" s="78">
        <f>N157+N158</f>
        <v>1429</v>
      </c>
      <c r="O159" s="10"/>
    </row>
    <row r="160" spans="1:15" ht="15" thickTop="1" x14ac:dyDescent="0.35">
      <c r="A160" s="9" t="s">
        <v>46</v>
      </c>
      <c r="B160" s="1" t="s">
        <v>538</v>
      </c>
      <c r="C160" s="1">
        <f>'Dispatch and Sales per day'!D112+'Dispatch and Sales per day'!D113</f>
        <v>225</v>
      </c>
      <c r="D160" s="6"/>
      <c r="E160" s="79"/>
      <c r="F160" s="9" t="s">
        <v>46</v>
      </c>
      <c r="G160" s="1" t="s">
        <v>538</v>
      </c>
      <c r="H160" s="1">
        <f>'Dispatch and Sales per day'!P112</f>
        <v>180</v>
      </c>
      <c r="I160" s="6"/>
      <c r="J160" s="10"/>
      <c r="K160" s="9" t="s">
        <v>46</v>
      </c>
      <c r="L160" s="1" t="s">
        <v>538</v>
      </c>
      <c r="M160" s="1">
        <f>'Dispatch and Sales per day'!AB112</f>
        <v>180</v>
      </c>
      <c r="N160" s="6"/>
      <c r="O160" s="10"/>
    </row>
    <row r="161" spans="1:15" x14ac:dyDescent="0.35">
      <c r="A161" s="9"/>
      <c r="B161" s="1" t="s">
        <v>540</v>
      </c>
      <c r="C161" s="1">
        <f>'Dispatch and Sales per day'!D114+'Dispatch and Sales per day'!D115</f>
        <v>300</v>
      </c>
      <c r="D161" s="1"/>
      <c r="E161" s="79"/>
      <c r="F161" s="9"/>
      <c r="G161" s="1" t="s">
        <v>540</v>
      </c>
      <c r="H161" s="1">
        <f>'Dispatch and Sales per day'!P114</f>
        <v>240</v>
      </c>
      <c r="I161" s="1"/>
      <c r="J161" s="10"/>
      <c r="K161" s="9"/>
      <c r="L161" s="1" t="s">
        <v>540</v>
      </c>
      <c r="M161" s="1">
        <f>'Dispatch and Sales per day'!AB114</f>
        <v>240</v>
      </c>
      <c r="N161" s="1"/>
      <c r="O161" s="10"/>
    </row>
    <row r="162" spans="1:15" x14ac:dyDescent="0.35">
      <c r="A162" s="9"/>
      <c r="B162" s="1" t="s">
        <v>506</v>
      </c>
      <c r="C162" s="1">
        <f>'Dispatch and Sales per day'!D116</f>
        <v>120</v>
      </c>
      <c r="D162" s="1"/>
      <c r="E162" s="79"/>
      <c r="F162" s="9"/>
      <c r="G162" s="1" t="s">
        <v>506</v>
      </c>
      <c r="H162" s="1">
        <f>'Dispatch and Sales per day'!P116</f>
        <v>132</v>
      </c>
      <c r="I162" s="1"/>
      <c r="J162" s="10"/>
      <c r="K162" s="9"/>
      <c r="L162" s="1" t="s">
        <v>506</v>
      </c>
      <c r="M162" s="1">
        <f>'Dispatch and Sales per day'!AB116</f>
        <v>108</v>
      </c>
      <c r="N162" s="1"/>
      <c r="O162" s="10"/>
    </row>
    <row r="163" spans="1:15" x14ac:dyDescent="0.35">
      <c r="A163" s="9"/>
      <c r="B163" s="1" t="s">
        <v>84</v>
      </c>
      <c r="C163" s="1">
        <f>'Dispatch and Sales per day'!D117+'Dispatch and Sales per day'!D118</f>
        <v>52</v>
      </c>
      <c r="D163" s="1"/>
      <c r="E163" s="79"/>
      <c r="F163" s="9"/>
      <c r="G163" s="1" t="s">
        <v>84</v>
      </c>
      <c r="H163" s="1">
        <f>'Dispatch and Sales per day'!P117</f>
        <v>60</v>
      </c>
      <c r="I163" s="1"/>
      <c r="J163" s="10"/>
      <c r="K163" s="9"/>
      <c r="L163" s="1" t="s">
        <v>84</v>
      </c>
      <c r="M163" s="1">
        <f>'Dispatch and Sales per day'!AB117</f>
        <v>48</v>
      </c>
      <c r="N163" s="1"/>
      <c r="O163" s="10"/>
    </row>
    <row r="164" spans="1:15" x14ac:dyDescent="0.35">
      <c r="A164" s="9"/>
      <c r="B164" s="1" t="s">
        <v>285</v>
      </c>
      <c r="C164" s="1">
        <f>'Dispatch and Sales per day'!D119</f>
        <v>47</v>
      </c>
      <c r="D164" s="1"/>
      <c r="E164" s="79"/>
      <c r="F164" s="9"/>
      <c r="G164" s="1" t="s">
        <v>285</v>
      </c>
      <c r="H164" s="1">
        <f>'Dispatch and Sales per day'!P119+'Dispatch and Sales per day'!P120</f>
        <v>116</v>
      </c>
      <c r="I164" s="1"/>
      <c r="J164" s="10"/>
      <c r="K164" s="9"/>
      <c r="L164" s="1" t="s">
        <v>285</v>
      </c>
      <c r="M164" s="1">
        <f>'Dispatch and Sales per day'!AB119+'Dispatch and Sales per day'!AB120</f>
        <v>72</v>
      </c>
      <c r="N164" s="1"/>
      <c r="O164" s="10"/>
    </row>
    <row r="165" spans="1:15" x14ac:dyDescent="0.35">
      <c r="A165" s="9"/>
      <c r="B165" s="1" t="s">
        <v>321</v>
      </c>
      <c r="C165" s="1">
        <v>0</v>
      </c>
      <c r="D165" s="1"/>
      <c r="E165" s="79"/>
      <c r="F165" s="9"/>
      <c r="G165" s="1" t="s">
        <v>321</v>
      </c>
      <c r="H165" s="1">
        <v>0</v>
      </c>
      <c r="I165" s="1"/>
      <c r="J165" s="10"/>
      <c r="K165" s="9"/>
      <c r="L165" s="1" t="s">
        <v>321</v>
      </c>
      <c r="M165" s="1">
        <v>0</v>
      </c>
      <c r="N165" s="1"/>
      <c r="O165" s="10"/>
    </row>
    <row r="166" spans="1:15" x14ac:dyDescent="0.35">
      <c r="A166" s="9"/>
      <c r="B166" s="1" t="s">
        <v>311</v>
      </c>
      <c r="C166" s="1">
        <v>0</v>
      </c>
      <c r="D166" s="1"/>
      <c r="E166" s="79"/>
      <c r="F166" s="9"/>
      <c r="G166" s="1" t="s">
        <v>311</v>
      </c>
      <c r="H166" s="1">
        <v>0</v>
      </c>
      <c r="I166" s="1"/>
      <c r="J166" s="10"/>
      <c r="K166" s="9"/>
      <c r="L166" s="1" t="s">
        <v>311</v>
      </c>
      <c r="M166" s="1">
        <v>0</v>
      </c>
      <c r="N166" s="1"/>
      <c r="O166" s="10"/>
    </row>
    <row r="167" spans="1:15" x14ac:dyDescent="0.35">
      <c r="A167" s="9"/>
      <c r="B167" s="1" t="s">
        <v>306</v>
      </c>
      <c r="C167" s="1">
        <f>'Dispatch and Sales per day'!D122</f>
        <v>0</v>
      </c>
      <c r="D167" s="1"/>
      <c r="E167" s="79"/>
      <c r="F167" s="9"/>
      <c r="G167" s="1" t="s">
        <v>306</v>
      </c>
      <c r="H167" s="1">
        <f>'Dispatch and Sales per day'!P122</f>
        <v>0</v>
      </c>
      <c r="I167" s="1"/>
      <c r="J167" s="10"/>
      <c r="K167" s="9"/>
      <c r="L167" s="1" t="s">
        <v>306</v>
      </c>
      <c r="M167" s="1">
        <f>'Dispatch and Sales per day'!AB122</f>
        <v>0</v>
      </c>
      <c r="N167" s="1"/>
      <c r="O167" s="10"/>
    </row>
    <row r="168" spans="1:15" x14ac:dyDescent="0.35">
      <c r="A168" s="9"/>
      <c r="B168" s="1" t="s">
        <v>154</v>
      </c>
      <c r="C168" s="1"/>
      <c r="D168" s="1">
        <f>SUM(C160:C167)</f>
        <v>744</v>
      </c>
      <c r="E168" s="79"/>
      <c r="F168" s="9"/>
      <c r="G168" s="1" t="s">
        <v>154</v>
      </c>
      <c r="H168" s="1"/>
      <c r="I168" s="1">
        <f>SUM(H160:H167)</f>
        <v>728</v>
      </c>
      <c r="J168" s="10"/>
      <c r="K168" s="9"/>
      <c r="L168" s="1" t="s">
        <v>154</v>
      </c>
      <c r="M168" s="1"/>
      <c r="N168" s="1">
        <f>SUM(M160:M167)</f>
        <v>648</v>
      </c>
      <c r="O168" s="10"/>
    </row>
    <row r="169" spans="1:15" ht="15" thickBot="1" x14ac:dyDescent="0.4">
      <c r="A169" s="9"/>
      <c r="B169" s="1" t="s">
        <v>155</v>
      </c>
      <c r="C169" s="1"/>
      <c r="D169" s="78">
        <f>D159-D168</f>
        <v>1201</v>
      </c>
      <c r="E169" s="79"/>
      <c r="F169" s="9"/>
      <c r="G169" s="1" t="s">
        <v>155</v>
      </c>
      <c r="H169" s="1"/>
      <c r="I169" s="78">
        <f>I159-I168</f>
        <v>726</v>
      </c>
      <c r="J169" s="10"/>
      <c r="K169" s="9"/>
      <c r="L169" s="1" t="s">
        <v>155</v>
      </c>
      <c r="M169" s="1"/>
      <c r="N169" s="78">
        <f>N159-N168</f>
        <v>781</v>
      </c>
      <c r="O169" s="10"/>
    </row>
    <row r="170" spans="1:15" ht="15" thickTop="1" x14ac:dyDescent="0.35">
      <c r="A170" s="9" t="s">
        <v>48</v>
      </c>
      <c r="B170" s="1" t="s">
        <v>14</v>
      </c>
      <c r="C170" s="1"/>
      <c r="D170" s="6">
        <f>'Dispatch and Sales per day'!G123</f>
        <v>444</v>
      </c>
      <c r="E170" s="79"/>
      <c r="F170" s="9" t="s">
        <v>48</v>
      </c>
      <c r="G170" s="1" t="s">
        <v>14</v>
      </c>
      <c r="H170" s="1"/>
      <c r="I170" s="6">
        <f>'Dispatch and Sales per day'!S123</f>
        <v>75</v>
      </c>
      <c r="J170" s="10"/>
      <c r="K170" s="9" t="s">
        <v>48</v>
      </c>
      <c r="L170" s="1" t="s">
        <v>14</v>
      </c>
      <c r="M170" s="1"/>
      <c r="N170" s="6">
        <f>'Dispatch and Sales per day'!AE123</f>
        <v>185</v>
      </c>
      <c r="O170" s="10"/>
    </row>
    <row r="171" spans="1:15" ht="15" thickBot="1" x14ac:dyDescent="0.4">
      <c r="A171" s="9"/>
      <c r="B171" s="1" t="s">
        <v>47</v>
      </c>
      <c r="C171" s="1"/>
      <c r="D171" s="76">
        <f>D169+D170</f>
        <v>1645</v>
      </c>
      <c r="E171" s="36"/>
      <c r="F171" s="9"/>
      <c r="G171" s="1" t="s">
        <v>47</v>
      </c>
      <c r="H171" s="1"/>
      <c r="I171" s="76">
        <f>I169+I170</f>
        <v>801</v>
      </c>
      <c r="J171" s="10"/>
      <c r="K171" s="9"/>
      <c r="L171" s="1" t="s">
        <v>47</v>
      </c>
      <c r="M171" s="1"/>
      <c r="N171" s="76">
        <f>N169+N170</f>
        <v>966</v>
      </c>
      <c r="O171" s="10"/>
    </row>
    <row r="172" spans="1:15" ht="15" thickTop="1" x14ac:dyDescent="0.35">
      <c r="A172" s="35"/>
      <c r="B172" s="5" t="s">
        <v>547</v>
      </c>
      <c r="C172" s="5"/>
      <c r="D172" s="298">
        <v>8</v>
      </c>
      <c r="F172" s="35"/>
      <c r="G172" s="5" t="s">
        <v>550</v>
      </c>
      <c r="H172" s="5"/>
      <c r="I172" s="298">
        <v>2</v>
      </c>
      <c r="J172" s="37"/>
      <c r="K172" s="35"/>
      <c r="L172" s="5"/>
      <c r="M172" s="5"/>
      <c r="N172" s="204"/>
      <c r="O172" s="37"/>
    </row>
    <row r="173" spans="1:15" x14ac:dyDescent="0.35">
      <c r="A173" s="35"/>
      <c r="B173" s="5" t="s">
        <v>548</v>
      </c>
      <c r="C173" s="5"/>
      <c r="D173" s="298">
        <v>10</v>
      </c>
      <c r="F173" s="35"/>
      <c r="G173" s="5"/>
      <c r="H173" s="5"/>
      <c r="I173" s="1"/>
      <c r="J173" s="37"/>
      <c r="K173" s="35"/>
      <c r="L173" s="5"/>
      <c r="M173" s="5"/>
      <c r="N173" s="1"/>
      <c r="O173" s="37"/>
    </row>
    <row r="174" spans="1:15" x14ac:dyDescent="0.35">
      <c r="A174" s="35"/>
      <c r="B174" s="5" t="s">
        <v>549</v>
      </c>
      <c r="C174" s="5"/>
      <c r="D174" s="298">
        <v>2</v>
      </c>
      <c r="F174" s="35"/>
      <c r="G174" s="5"/>
      <c r="H174" s="5"/>
      <c r="I174" s="1"/>
      <c r="J174" s="37"/>
      <c r="K174" s="35"/>
      <c r="L174" s="5"/>
      <c r="M174" s="5"/>
      <c r="N174" s="1"/>
      <c r="O174" s="37"/>
    </row>
    <row r="175" spans="1:15" ht="15" thickBot="1" x14ac:dyDescent="0.4">
      <c r="A175" s="11"/>
      <c r="B175" s="12"/>
      <c r="C175" s="12"/>
      <c r="D175" s="203">
        <f>D171-D172+D173+D174</f>
        <v>1649</v>
      </c>
      <c r="E175" s="17"/>
      <c r="F175" s="11"/>
      <c r="G175" s="12"/>
      <c r="H175" s="12"/>
      <c r="I175" s="12">
        <f>I171+I172</f>
        <v>803</v>
      </c>
      <c r="J175" s="13"/>
      <c r="K175" s="11"/>
      <c r="L175" s="12"/>
      <c r="M175" s="12"/>
      <c r="N175" s="12"/>
      <c r="O175" s="13"/>
    </row>
    <row r="176" spans="1:15" x14ac:dyDescent="0.35">
      <c r="A176" s="80" t="s">
        <v>475</v>
      </c>
      <c r="B176" s="41" t="s">
        <v>39</v>
      </c>
      <c r="C176" s="41"/>
      <c r="D176" s="41">
        <f>D175</f>
        <v>1649</v>
      </c>
      <c r="E176" s="92"/>
      <c r="F176" s="80" t="s">
        <v>475</v>
      </c>
      <c r="G176" s="41" t="s">
        <v>39</v>
      </c>
      <c r="H176" s="41"/>
      <c r="I176" s="41">
        <f>I175</f>
        <v>803</v>
      </c>
      <c r="J176" s="81"/>
      <c r="K176" s="80" t="s">
        <v>475</v>
      </c>
      <c r="L176" s="41" t="s">
        <v>39</v>
      </c>
      <c r="M176" s="41"/>
      <c r="N176" s="41">
        <f>N171</f>
        <v>966</v>
      </c>
      <c r="O176" s="81"/>
    </row>
    <row r="177" spans="1:15" x14ac:dyDescent="0.35">
      <c r="A177" s="9"/>
      <c r="B177" s="1" t="s">
        <v>393</v>
      </c>
      <c r="C177" s="1"/>
      <c r="D177" s="1">
        <f>Production!G207</f>
        <v>264</v>
      </c>
      <c r="E177" s="79"/>
      <c r="F177" s="9"/>
      <c r="G177" s="1" t="s">
        <v>537</v>
      </c>
      <c r="H177" s="1"/>
      <c r="I177" s="57">
        <f>Production!O207</f>
        <v>915</v>
      </c>
      <c r="J177" s="10"/>
      <c r="K177" s="9"/>
      <c r="L177" s="1" t="s">
        <v>192</v>
      </c>
      <c r="M177" s="1"/>
      <c r="N177" s="57">
        <f>Production!Y207</f>
        <v>612</v>
      </c>
      <c r="O177" s="10"/>
    </row>
    <row r="178" spans="1:15" ht="15" thickBot="1" x14ac:dyDescent="0.4">
      <c r="A178" s="9"/>
      <c r="B178" s="1" t="s">
        <v>153</v>
      </c>
      <c r="C178" s="1"/>
      <c r="D178" s="78">
        <f>D176+D177</f>
        <v>1913</v>
      </c>
      <c r="E178" s="79"/>
      <c r="F178" s="9"/>
      <c r="G178" s="1" t="s">
        <v>153</v>
      </c>
      <c r="H178" s="1"/>
      <c r="I178" s="78">
        <f>I176+I177</f>
        <v>1718</v>
      </c>
      <c r="J178" s="10"/>
      <c r="K178" s="9"/>
      <c r="L178" s="1" t="s">
        <v>153</v>
      </c>
      <c r="M178" s="1"/>
      <c r="N178" s="78">
        <f>N176+N177</f>
        <v>1578</v>
      </c>
      <c r="O178" s="10"/>
    </row>
    <row r="179" spans="1:15" ht="15" thickTop="1" x14ac:dyDescent="0.35">
      <c r="A179" s="9" t="s">
        <v>46</v>
      </c>
      <c r="B179" s="1" t="s">
        <v>538</v>
      </c>
      <c r="C179" s="1">
        <f>'Dispatch and Sales per day'!D124+'Dispatch and Sales per day'!D125</f>
        <v>225</v>
      </c>
      <c r="D179" s="6"/>
      <c r="E179" s="79"/>
      <c r="F179" s="9" t="s">
        <v>46</v>
      </c>
      <c r="G179" s="1" t="s">
        <v>538</v>
      </c>
      <c r="H179" s="1">
        <f>'Dispatch and Sales per day'!P124</f>
        <v>180</v>
      </c>
      <c r="I179" s="6"/>
      <c r="J179" s="10"/>
      <c r="K179" s="9" t="s">
        <v>46</v>
      </c>
      <c r="L179" s="1" t="s">
        <v>538</v>
      </c>
      <c r="M179" s="1">
        <f>'Dispatch and Sales per day'!AB124</f>
        <v>180</v>
      </c>
      <c r="N179" s="6"/>
      <c r="O179" s="10"/>
    </row>
    <row r="180" spans="1:15" x14ac:dyDescent="0.35">
      <c r="A180" s="9"/>
      <c r="B180" s="1" t="s">
        <v>540</v>
      </c>
      <c r="C180" s="1">
        <f>'Dispatch and Sales per day'!D126+'Dispatch and Sales per day'!D127</f>
        <v>300</v>
      </c>
      <c r="D180" s="1"/>
      <c r="E180" s="79"/>
      <c r="F180" s="9"/>
      <c r="G180" s="1" t="s">
        <v>540</v>
      </c>
      <c r="H180" s="1">
        <f>'Dispatch and Sales per day'!P126</f>
        <v>240</v>
      </c>
      <c r="I180" s="1"/>
      <c r="J180" s="10"/>
      <c r="K180" s="9"/>
      <c r="L180" s="1" t="s">
        <v>540</v>
      </c>
      <c r="M180" s="1">
        <f>'Dispatch and Sales per day'!AB126</f>
        <v>240</v>
      </c>
      <c r="N180" s="1"/>
      <c r="O180" s="10"/>
    </row>
    <row r="181" spans="1:15" x14ac:dyDescent="0.35">
      <c r="A181" s="9"/>
      <c r="B181" s="1" t="s">
        <v>506</v>
      </c>
      <c r="C181" s="1">
        <f>'Dispatch and Sales per day'!D128</f>
        <v>105</v>
      </c>
      <c r="D181" s="1"/>
      <c r="E181" s="79"/>
      <c r="F181" s="9"/>
      <c r="G181" s="1" t="s">
        <v>506</v>
      </c>
      <c r="H181" s="1">
        <f>'Dispatch and Sales per day'!P128</f>
        <v>132</v>
      </c>
      <c r="I181" s="1"/>
      <c r="J181" s="10"/>
      <c r="K181" s="9"/>
      <c r="L181" s="1" t="s">
        <v>506</v>
      </c>
      <c r="M181" s="1">
        <f>'Dispatch and Sales per day'!AB128</f>
        <v>96</v>
      </c>
      <c r="N181" s="1"/>
      <c r="O181" s="10"/>
    </row>
    <row r="182" spans="1:15" x14ac:dyDescent="0.35">
      <c r="A182" s="9"/>
      <c r="B182" s="1" t="s">
        <v>84</v>
      </c>
      <c r="C182" s="1">
        <f>'Dispatch and Sales per day'!D129+'Dispatch and Sales per day'!D130</f>
        <v>30</v>
      </c>
      <c r="D182" s="1"/>
      <c r="E182" s="79"/>
      <c r="F182" s="9"/>
      <c r="G182" s="1" t="s">
        <v>84</v>
      </c>
      <c r="H182" s="1">
        <f>'Dispatch and Sales per day'!P129</f>
        <v>60</v>
      </c>
      <c r="I182" s="1"/>
      <c r="J182" s="10"/>
      <c r="K182" s="9"/>
      <c r="L182" s="1" t="s">
        <v>84</v>
      </c>
      <c r="M182" s="1">
        <f>'Dispatch and Sales per day'!AB129</f>
        <v>60</v>
      </c>
      <c r="N182" s="1"/>
      <c r="O182" s="10"/>
    </row>
    <row r="183" spans="1:15" x14ac:dyDescent="0.35">
      <c r="A183" s="9"/>
      <c r="B183" s="1" t="s">
        <v>285</v>
      </c>
      <c r="C183" s="1">
        <f>'Dispatch and Sales per day'!D131</f>
        <v>15</v>
      </c>
      <c r="D183" s="1"/>
      <c r="E183" s="79"/>
      <c r="F183" s="9"/>
      <c r="G183" s="1" t="s">
        <v>285</v>
      </c>
      <c r="H183" s="1">
        <f>'Dispatch and Sales per day'!P131</f>
        <v>131</v>
      </c>
      <c r="I183" s="1"/>
      <c r="J183" s="10"/>
      <c r="K183" s="9"/>
      <c r="L183" s="1" t="s">
        <v>285</v>
      </c>
      <c r="M183" s="1">
        <f>'Dispatch and Sales per day'!AB131</f>
        <v>36</v>
      </c>
      <c r="N183" s="1"/>
      <c r="O183" s="10"/>
    </row>
    <row r="184" spans="1:15" x14ac:dyDescent="0.35">
      <c r="A184" s="9"/>
      <c r="B184" s="1" t="s">
        <v>311</v>
      </c>
      <c r="C184" s="1">
        <f>'Dispatch and Sales per day'!D133</f>
        <v>164</v>
      </c>
      <c r="D184" s="1"/>
      <c r="E184" s="79"/>
      <c r="F184" s="9"/>
      <c r="G184" s="1" t="s">
        <v>311</v>
      </c>
      <c r="H184" s="1">
        <f>'Dispatch and Sales per day'!P133</f>
        <v>122</v>
      </c>
      <c r="I184" s="1"/>
      <c r="J184" s="10"/>
      <c r="K184" s="9"/>
      <c r="L184" s="1" t="s">
        <v>311</v>
      </c>
      <c r="M184" s="1">
        <f>'Dispatch and Sales per day'!AB133</f>
        <v>189</v>
      </c>
      <c r="N184" s="1"/>
      <c r="O184" s="10"/>
    </row>
    <row r="185" spans="1:15" x14ac:dyDescent="0.35">
      <c r="A185" s="9"/>
      <c r="B185" s="1" t="s">
        <v>306</v>
      </c>
      <c r="C185" s="1">
        <f>'Dispatch and Sales per day'!D135</f>
        <v>0</v>
      </c>
      <c r="D185" s="1"/>
      <c r="E185" s="79"/>
      <c r="F185" s="9"/>
      <c r="G185" s="1" t="s">
        <v>306</v>
      </c>
      <c r="H185" s="1">
        <f>'Dispatch and Sales per day'!P135</f>
        <v>0</v>
      </c>
      <c r="I185" s="1"/>
      <c r="J185" s="10"/>
      <c r="K185" s="9"/>
      <c r="L185" s="1" t="s">
        <v>306</v>
      </c>
      <c r="M185" s="1">
        <f>'Dispatch and Sales per day'!AB135</f>
        <v>0</v>
      </c>
      <c r="N185" s="1"/>
      <c r="O185" s="10"/>
    </row>
    <row r="186" spans="1:15" x14ac:dyDescent="0.35">
      <c r="A186" s="9"/>
      <c r="B186" s="1" t="s">
        <v>154</v>
      </c>
      <c r="C186" s="1"/>
      <c r="D186" s="1">
        <f>SUM(C179:C185)</f>
        <v>839</v>
      </c>
      <c r="E186" s="79"/>
      <c r="F186" s="9"/>
      <c r="G186" s="1" t="s">
        <v>154</v>
      </c>
      <c r="H186" s="1"/>
      <c r="I186" s="1">
        <f>SUM(H179:H185)</f>
        <v>865</v>
      </c>
      <c r="J186" s="10"/>
      <c r="K186" s="9"/>
      <c r="L186" s="1" t="s">
        <v>154</v>
      </c>
      <c r="M186" s="1"/>
      <c r="N186" s="1">
        <f>SUM(M179:M185)</f>
        <v>801</v>
      </c>
      <c r="O186" s="10"/>
    </row>
    <row r="187" spans="1:15" ht="15" thickBot="1" x14ac:dyDescent="0.4">
      <c r="A187" s="9"/>
      <c r="B187" s="1" t="s">
        <v>155</v>
      </c>
      <c r="C187" s="1"/>
      <c r="D187" s="78">
        <f>D178-D186</f>
        <v>1074</v>
      </c>
      <c r="E187" s="79"/>
      <c r="F187" s="9"/>
      <c r="G187" s="1" t="s">
        <v>155</v>
      </c>
      <c r="H187" s="1"/>
      <c r="I187" s="78">
        <f>I178-I186</f>
        <v>853</v>
      </c>
      <c r="J187" s="10"/>
      <c r="K187" s="9"/>
      <c r="L187" s="1" t="s">
        <v>155</v>
      </c>
      <c r="M187" s="1"/>
      <c r="N187" s="78">
        <f>N178-N186</f>
        <v>777</v>
      </c>
      <c r="O187" s="10"/>
    </row>
    <row r="188" spans="1:15" ht="15" thickTop="1" x14ac:dyDescent="0.35">
      <c r="A188" s="9" t="s">
        <v>48</v>
      </c>
      <c r="B188" s="1" t="s">
        <v>14</v>
      </c>
      <c r="C188" s="1"/>
      <c r="D188" s="6">
        <f>'Dispatch and Sales per day'!G136</f>
        <v>425</v>
      </c>
      <c r="E188" s="79"/>
      <c r="F188" s="9" t="s">
        <v>48</v>
      </c>
      <c r="G188" s="1" t="s">
        <v>14</v>
      </c>
      <c r="H188" s="1"/>
      <c r="I188" s="6">
        <f>'Dispatch and Sales per day'!S136</f>
        <v>177</v>
      </c>
      <c r="J188" s="10"/>
      <c r="K188" s="9" t="s">
        <v>48</v>
      </c>
      <c r="L188" s="1" t="s">
        <v>14</v>
      </c>
      <c r="M188" s="1"/>
      <c r="N188" s="6">
        <f>'Dispatch and Sales per day'!AE136</f>
        <v>236</v>
      </c>
      <c r="O188" s="10"/>
    </row>
    <row r="189" spans="1:15" ht="15" thickBot="1" x14ac:dyDescent="0.4">
      <c r="A189" s="9"/>
      <c r="B189" s="1" t="s">
        <v>47</v>
      </c>
      <c r="C189" s="1"/>
      <c r="D189" s="76">
        <f>D187+D188</f>
        <v>1499</v>
      </c>
      <c r="E189" s="36"/>
      <c r="F189" s="9"/>
      <c r="G189" s="1" t="s">
        <v>47</v>
      </c>
      <c r="H189" s="1"/>
      <c r="I189" s="76">
        <f>I187+I188</f>
        <v>1030</v>
      </c>
      <c r="J189" s="10"/>
      <c r="K189" s="9"/>
      <c r="L189" s="1" t="s">
        <v>47</v>
      </c>
      <c r="M189" s="1"/>
      <c r="N189" s="76">
        <f>N187+N188</f>
        <v>1013</v>
      </c>
      <c r="O189" s="10"/>
    </row>
    <row r="190" spans="1:15" ht="15" thickTop="1" x14ac:dyDescent="0.35">
      <c r="A190" s="35"/>
      <c r="B190" s="5" t="s">
        <v>551</v>
      </c>
      <c r="C190" s="5"/>
      <c r="D190" s="298">
        <v>164</v>
      </c>
      <c r="F190" s="35"/>
      <c r="G190" s="5" t="s">
        <v>551</v>
      </c>
      <c r="H190" s="5"/>
      <c r="I190" s="298">
        <v>122</v>
      </c>
      <c r="J190" s="37"/>
      <c r="K190" s="35"/>
      <c r="L190" s="5" t="s">
        <v>551</v>
      </c>
      <c r="M190" s="5"/>
      <c r="N190" s="298">
        <v>189</v>
      </c>
      <c r="O190" s="37"/>
    </row>
    <row r="191" spans="1:15" x14ac:dyDescent="0.35">
      <c r="A191" s="35"/>
      <c r="B191" s="5" t="s">
        <v>552</v>
      </c>
      <c r="C191" s="5"/>
      <c r="D191" s="298">
        <v>14</v>
      </c>
      <c r="F191" s="35"/>
      <c r="G191" s="5" t="s">
        <v>552</v>
      </c>
      <c r="H191" s="5"/>
      <c r="I191" s="298">
        <v>38</v>
      </c>
      <c r="J191" s="37"/>
      <c r="K191" s="35"/>
      <c r="L191" s="5" t="s">
        <v>552</v>
      </c>
      <c r="M191" s="5"/>
      <c r="N191" s="298">
        <v>9</v>
      </c>
      <c r="O191" s="37"/>
    </row>
    <row r="192" spans="1:15" ht="15" thickBot="1" x14ac:dyDescent="0.4">
      <c r="A192" s="11"/>
      <c r="B192" s="12"/>
      <c r="C192" s="12"/>
      <c r="D192" s="76">
        <f>D189+D190-D191</f>
        <v>1649</v>
      </c>
      <c r="E192" s="17"/>
      <c r="F192" s="11"/>
      <c r="G192" s="12"/>
      <c r="H192" s="12"/>
      <c r="I192" s="76">
        <f>I189+I190-I191</f>
        <v>1114</v>
      </c>
      <c r="J192" s="13"/>
      <c r="K192" s="11"/>
      <c r="L192" s="12"/>
      <c r="M192" s="12"/>
      <c r="N192" s="12">
        <f>N189+N190-N191</f>
        <v>1193</v>
      </c>
      <c r="O192" s="13"/>
    </row>
    <row r="193" spans="1:15" x14ac:dyDescent="0.35">
      <c r="A193" s="80" t="s">
        <v>479</v>
      </c>
      <c r="B193" s="41" t="s">
        <v>39</v>
      </c>
      <c r="C193" s="41"/>
      <c r="D193" s="6">
        <f>D192</f>
        <v>1649</v>
      </c>
      <c r="E193" s="92"/>
      <c r="F193" s="80" t="s">
        <v>479</v>
      </c>
      <c r="G193" s="41" t="s">
        <v>39</v>
      </c>
      <c r="H193" s="41"/>
      <c r="I193" s="6">
        <f>I192</f>
        <v>1114</v>
      </c>
      <c r="J193" s="81"/>
      <c r="K193" s="80" t="s">
        <v>479</v>
      </c>
      <c r="L193" s="41" t="s">
        <v>39</v>
      </c>
      <c r="M193" s="41"/>
      <c r="N193" s="41">
        <f>N192</f>
        <v>1193</v>
      </c>
      <c r="O193" s="81"/>
    </row>
    <row r="194" spans="1:15" x14ac:dyDescent="0.35">
      <c r="A194" s="9"/>
      <c r="B194" s="1" t="s">
        <v>255</v>
      </c>
      <c r="C194" s="1"/>
      <c r="D194" s="1">
        <f>Production!G224</f>
        <v>660</v>
      </c>
      <c r="E194" s="79"/>
      <c r="F194" s="9"/>
      <c r="G194" s="1" t="s">
        <v>278</v>
      </c>
      <c r="H194" s="1"/>
      <c r="I194" s="57">
        <f>Production!O224</f>
        <v>810</v>
      </c>
      <c r="J194" s="10"/>
      <c r="K194" s="9"/>
      <c r="L194" s="1" t="s">
        <v>192</v>
      </c>
      <c r="M194" s="1"/>
      <c r="N194" s="57">
        <f>Production!Y224</f>
        <v>612</v>
      </c>
      <c r="O194" s="10"/>
    </row>
    <row r="195" spans="1:15" ht="15" thickBot="1" x14ac:dyDescent="0.4">
      <c r="A195" s="9"/>
      <c r="B195" s="1" t="s">
        <v>153</v>
      </c>
      <c r="C195" s="1"/>
      <c r="D195" s="78">
        <f>D193+D194</f>
        <v>2309</v>
      </c>
      <c r="E195" s="79"/>
      <c r="F195" s="9"/>
      <c r="G195" s="1" t="s">
        <v>153</v>
      </c>
      <c r="H195" s="1"/>
      <c r="I195" s="78">
        <f>I193+I194</f>
        <v>1924</v>
      </c>
      <c r="J195" s="10"/>
      <c r="K195" s="9"/>
      <c r="L195" s="1" t="s">
        <v>153</v>
      </c>
      <c r="M195" s="1"/>
      <c r="N195" s="78">
        <f>N193+N194</f>
        <v>1805</v>
      </c>
      <c r="O195" s="10"/>
    </row>
    <row r="196" spans="1:15" ht="15" thickTop="1" x14ac:dyDescent="0.35">
      <c r="A196" s="9" t="s">
        <v>46</v>
      </c>
      <c r="B196" s="1" t="s">
        <v>538</v>
      </c>
      <c r="C196" s="1">
        <f>'Dispatch and Sales per day'!D137+'Dispatch and Sales per day'!D138</f>
        <v>225</v>
      </c>
      <c r="D196" s="6"/>
      <c r="E196" s="79"/>
      <c r="F196" s="9" t="s">
        <v>46</v>
      </c>
      <c r="G196" s="1" t="s">
        <v>538</v>
      </c>
      <c r="H196" s="1">
        <f>'Dispatch and Sales per day'!P137</f>
        <v>180</v>
      </c>
      <c r="I196" s="6"/>
      <c r="J196" s="10"/>
      <c r="K196" s="9" t="s">
        <v>46</v>
      </c>
      <c r="L196" s="1" t="s">
        <v>538</v>
      </c>
      <c r="M196" s="1">
        <f>'Dispatch and Sales per day'!AB137</f>
        <v>180</v>
      </c>
      <c r="N196" s="6"/>
      <c r="O196" s="10"/>
    </row>
    <row r="197" spans="1:15" x14ac:dyDescent="0.35">
      <c r="A197" s="9"/>
      <c r="B197" s="1" t="s">
        <v>540</v>
      </c>
      <c r="C197" s="1">
        <f>'Dispatch and Sales per day'!D139</f>
        <v>300</v>
      </c>
      <c r="D197" s="1"/>
      <c r="E197" s="79"/>
      <c r="F197" s="9"/>
      <c r="G197" s="1" t="s">
        <v>540</v>
      </c>
      <c r="H197" s="1">
        <f>'Dispatch and Sales per day'!P139</f>
        <v>240</v>
      </c>
      <c r="I197" s="1"/>
      <c r="J197" s="10"/>
      <c r="K197" s="9"/>
      <c r="L197" s="1" t="s">
        <v>540</v>
      </c>
      <c r="M197" s="1">
        <f>'Dispatch and Sales per day'!AB139</f>
        <v>240</v>
      </c>
      <c r="N197" s="1"/>
      <c r="O197" s="10"/>
    </row>
    <row r="198" spans="1:15" x14ac:dyDescent="0.35">
      <c r="A198" s="9"/>
      <c r="B198" s="1" t="s">
        <v>506</v>
      </c>
      <c r="C198" s="1">
        <f>'Dispatch and Sales per day'!D140</f>
        <v>180</v>
      </c>
      <c r="D198" s="1"/>
      <c r="E198" s="79"/>
      <c r="F198" s="9"/>
      <c r="G198" s="1" t="s">
        <v>506</v>
      </c>
      <c r="H198" s="1">
        <f>'Dispatch and Sales per day'!P140</f>
        <v>168</v>
      </c>
      <c r="I198" s="1"/>
      <c r="J198" s="10"/>
      <c r="K198" s="9"/>
      <c r="L198" s="1" t="s">
        <v>506</v>
      </c>
      <c r="M198" s="1">
        <f>'Dispatch and Sales per day'!AB140</f>
        <v>144</v>
      </c>
      <c r="N198" s="1"/>
      <c r="O198" s="10"/>
    </row>
    <row r="199" spans="1:15" x14ac:dyDescent="0.35">
      <c r="A199" s="9"/>
      <c r="B199" s="1" t="s">
        <v>84</v>
      </c>
      <c r="C199" s="1">
        <f>'Dispatch and Sales per day'!D141</f>
        <v>30</v>
      </c>
      <c r="D199" s="1"/>
      <c r="E199" s="79"/>
      <c r="F199" s="9"/>
      <c r="G199" s="1" t="s">
        <v>84</v>
      </c>
      <c r="H199" s="1">
        <f>'Dispatch and Sales per day'!P141</f>
        <v>60</v>
      </c>
      <c r="I199" s="1"/>
      <c r="J199" s="10"/>
      <c r="K199" s="9"/>
      <c r="L199" s="1" t="s">
        <v>84</v>
      </c>
      <c r="M199" s="1">
        <f>'Dispatch and Sales per day'!AB141</f>
        <v>60</v>
      </c>
      <c r="N199" s="1"/>
      <c r="O199" s="10"/>
    </row>
    <row r="200" spans="1:15" x14ac:dyDescent="0.35">
      <c r="A200" s="9"/>
      <c r="B200" s="1" t="s">
        <v>285</v>
      </c>
      <c r="C200" s="1">
        <f>'Dispatch and Sales per day'!D142+'Dispatch and Sales per day'!D143</f>
        <v>22</v>
      </c>
      <c r="D200" s="1"/>
      <c r="E200" s="79"/>
      <c r="F200" s="9"/>
      <c r="G200" s="1" t="s">
        <v>285</v>
      </c>
      <c r="H200" s="1">
        <f>'Dispatch and Sales per day'!P142</f>
        <v>37</v>
      </c>
      <c r="I200" s="1"/>
      <c r="J200" s="10"/>
      <c r="K200" s="9"/>
      <c r="L200" s="1" t="s">
        <v>285</v>
      </c>
      <c r="M200" s="1">
        <f>'Dispatch and Sales per day'!AB142</f>
        <v>36</v>
      </c>
      <c r="N200" s="1"/>
      <c r="O200" s="10"/>
    </row>
    <row r="201" spans="1:15" x14ac:dyDescent="0.35">
      <c r="A201" s="9"/>
      <c r="B201" s="1" t="s">
        <v>311</v>
      </c>
      <c r="C201" s="1">
        <f>'Dispatch and Sales per day'!D145</f>
        <v>0</v>
      </c>
      <c r="D201" s="1"/>
      <c r="E201" s="79"/>
      <c r="F201" s="9"/>
      <c r="G201" s="1" t="s">
        <v>311</v>
      </c>
      <c r="H201" s="1">
        <f>'Dispatch and Sales per day'!P145</f>
        <v>0</v>
      </c>
      <c r="I201" s="1"/>
      <c r="J201" s="10"/>
      <c r="K201" s="9"/>
      <c r="L201" s="1" t="s">
        <v>311</v>
      </c>
      <c r="M201" s="1">
        <f>'Dispatch and Sales per day'!AB145</f>
        <v>0</v>
      </c>
      <c r="N201" s="1"/>
      <c r="O201" s="10"/>
    </row>
    <row r="202" spans="1:15" x14ac:dyDescent="0.35">
      <c r="A202" s="9"/>
      <c r="B202" s="1" t="s">
        <v>306</v>
      </c>
      <c r="C202" s="1">
        <f>'Dispatch and Sales per day'!D147</f>
        <v>0</v>
      </c>
      <c r="D202" s="1"/>
      <c r="E202" s="79"/>
      <c r="F202" s="9"/>
      <c r="G202" s="1" t="s">
        <v>306</v>
      </c>
      <c r="H202" s="1">
        <f>'Dispatch and Sales per day'!P147</f>
        <v>0</v>
      </c>
      <c r="I202" s="1"/>
      <c r="J202" s="10"/>
      <c r="K202" s="9"/>
      <c r="L202" s="1" t="s">
        <v>306</v>
      </c>
      <c r="M202" s="1">
        <f>'Dispatch and Sales per day'!AB147</f>
        <v>0</v>
      </c>
      <c r="N202" s="1"/>
      <c r="O202" s="10"/>
    </row>
    <row r="203" spans="1:15" x14ac:dyDescent="0.35">
      <c r="A203" s="9"/>
      <c r="B203" s="1" t="s">
        <v>154</v>
      </c>
      <c r="C203" s="1"/>
      <c r="D203" s="1">
        <f>SUM(C196:C202)</f>
        <v>757</v>
      </c>
      <c r="E203" s="79"/>
      <c r="F203" s="9"/>
      <c r="G203" s="1" t="s">
        <v>154</v>
      </c>
      <c r="H203" s="1"/>
      <c r="I203" s="1">
        <f>SUM(H196:H202)</f>
        <v>685</v>
      </c>
      <c r="J203" s="10"/>
      <c r="K203" s="9"/>
      <c r="L203" s="1" t="s">
        <v>154</v>
      </c>
      <c r="M203" s="1"/>
      <c r="N203" s="1">
        <f>SUM(M196:M202)</f>
        <v>660</v>
      </c>
      <c r="O203" s="10"/>
    </row>
    <row r="204" spans="1:15" ht="15" thickBot="1" x14ac:dyDescent="0.4">
      <c r="A204" s="9"/>
      <c r="B204" s="1" t="s">
        <v>155</v>
      </c>
      <c r="C204" s="1"/>
      <c r="D204" s="78">
        <f>D195-D203</f>
        <v>1552</v>
      </c>
      <c r="E204" s="79"/>
      <c r="F204" s="9"/>
      <c r="G204" s="1" t="s">
        <v>155</v>
      </c>
      <c r="H204" s="1"/>
      <c r="I204" s="78">
        <f>I195-I203</f>
        <v>1239</v>
      </c>
      <c r="J204" s="10"/>
      <c r="K204" s="9"/>
      <c r="L204" s="1" t="s">
        <v>155</v>
      </c>
      <c r="M204" s="1"/>
      <c r="N204" s="78">
        <f>N195-N203</f>
        <v>1145</v>
      </c>
      <c r="O204" s="10"/>
    </row>
    <row r="205" spans="1:15" ht="15" thickTop="1" x14ac:dyDescent="0.35">
      <c r="A205" s="9" t="s">
        <v>48</v>
      </c>
      <c r="B205" s="1" t="s">
        <v>14</v>
      </c>
      <c r="C205" s="1"/>
      <c r="D205" s="6">
        <f>'Dispatch and Sales per day'!G148</f>
        <v>359</v>
      </c>
      <c r="E205" s="79"/>
      <c r="F205" s="9" t="s">
        <v>48</v>
      </c>
      <c r="G205" s="1" t="s">
        <v>14</v>
      </c>
      <c r="H205" s="1"/>
      <c r="I205" s="6">
        <f>'Dispatch and Sales per day'!S148</f>
        <v>196</v>
      </c>
      <c r="J205" s="10"/>
      <c r="K205" s="9" t="s">
        <v>48</v>
      </c>
      <c r="L205" s="1" t="s">
        <v>14</v>
      </c>
      <c r="M205" s="1"/>
      <c r="N205" s="6">
        <f>'Dispatch and Sales per day'!AE148</f>
        <v>187</v>
      </c>
      <c r="O205" s="10"/>
    </row>
    <row r="206" spans="1:15" ht="15" thickBot="1" x14ac:dyDescent="0.4">
      <c r="A206" s="9"/>
      <c r="B206" s="1" t="s">
        <v>47</v>
      </c>
      <c r="C206" s="1"/>
      <c r="D206" s="76">
        <f>D204+D205</f>
        <v>1911</v>
      </c>
      <c r="E206" s="36"/>
      <c r="F206" s="9"/>
      <c r="G206" s="1" t="s">
        <v>47</v>
      </c>
      <c r="H206" s="1"/>
      <c r="I206" s="76">
        <f>I204+I205</f>
        <v>1435</v>
      </c>
      <c r="J206" s="10"/>
      <c r="K206" s="9"/>
      <c r="L206" s="1" t="s">
        <v>47</v>
      </c>
      <c r="M206" s="1"/>
      <c r="N206" s="76">
        <f>N204+N205</f>
        <v>1332</v>
      </c>
      <c r="O206" s="10"/>
    </row>
    <row r="207" spans="1:15" ht="15" thickTop="1" x14ac:dyDescent="0.35">
      <c r="A207" s="35"/>
      <c r="B207" s="5" t="s">
        <v>554</v>
      </c>
      <c r="C207" s="5"/>
      <c r="D207" s="298">
        <v>4</v>
      </c>
      <c r="F207" s="35"/>
      <c r="G207" s="5" t="s">
        <v>553</v>
      </c>
      <c r="H207" s="5"/>
      <c r="I207" s="298">
        <v>1</v>
      </c>
      <c r="J207" s="37"/>
      <c r="K207" s="35"/>
      <c r="L207" s="5"/>
      <c r="M207" s="5"/>
      <c r="N207" s="2"/>
      <c r="O207" s="37"/>
    </row>
    <row r="208" spans="1:15" ht="15" thickBot="1" x14ac:dyDescent="0.4">
      <c r="A208" s="11"/>
      <c r="B208" s="12"/>
      <c r="C208" s="12"/>
      <c r="D208" s="203">
        <f>D206-D207</f>
        <v>1907</v>
      </c>
      <c r="E208" s="17"/>
      <c r="F208" s="11"/>
      <c r="G208" s="12"/>
      <c r="H208" s="12"/>
      <c r="I208" s="203">
        <f>I206+I207</f>
        <v>1436</v>
      </c>
      <c r="J208" s="13"/>
      <c r="K208" s="11"/>
      <c r="L208" s="12"/>
      <c r="M208" s="12"/>
      <c r="N208" s="12"/>
      <c r="O208" s="13"/>
    </row>
    <row r="209" spans="1:15" x14ac:dyDescent="0.35">
      <c r="A209" s="80" t="s">
        <v>480</v>
      </c>
      <c r="B209" s="41" t="s">
        <v>39</v>
      </c>
      <c r="C209" s="41"/>
      <c r="D209" s="41">
        <f>D208</f>
        <v>1907</v>
      </c>
      <c r="E209" s="92"/>
      <c r="F209" s="80" t="s">
        <v>480</v>
      </c>
      <c r="G209" s="41" t="s">
        <v>39</v>
      </c>
      <c r="H209" s="41"/>
      <c r="I209" s="41">
        <f>I208</f>
        <v>1436</v>
      </c>
      <c r="J209" s="81"/>
      <c r="K209" s="80" t="s">
        <v>480</v>
      </c>
      <c r="L209" s="41" t="s">
        <v>39</v>
      </c>
      <c r="M209" s="41"/>
      <c r="N209" s="41">
        <f>N206</f>
        <v>1332</v>
      </c>
      <c r="O209" s="81"/>
    </row>
    <row r="210" spans="1:15" x14ac:dyDescent="0.35">
      <c r="A210" s="9"/>
      <c r="B210" s="1" t="s">
        <v>369</v>
      </c>
      <c r="C210" s="1"/>
      <c r="D210" s="1">
        <f>Production!G241</f>
        <v>528</v>
      </c>
      <c r="E210" s="79"/>
      <c r="F210" s="9"/>
      <c r="G210" s="1" t="s">
        <v>257</v>
      </c>
      <c r="H210" s="1"/>
      <c r="I210" s="57">
        <f>Production!O241</f>
        <v>705</v>
      </c>
      <c r="J210" s="10"/>
      <c r="K210" s="9"/>
      <c r="L210" s="1" t="s">
        <v>192</v>
      </c>
      <c r="M210" s="1"/>
      <c r="N210" s="57">
        <f>Production!Y241</f>
        <v>612</v>
      </c>
      <c r="O210" s="10"/>
    </row>
    <row r="211" spans="1:15" ht="15" thickBot="1" x14ac:dyDescent="0.4">
      <c r="A211" s="9"/>
      <c r="B211" s="1" t="s">
        <v>153</v>
      </c>
      <c r="C211" s="1"/>
      <c r="D211" s="78">
        <f>D209+D210</f>
        <v>2435</v>
      </c>
      <c r="E211" s="79"/>
      <c r="F211" s="9"/>
      <c r="G211" s="1" t="s">
        <v>153</v>
      </c>
      <c r="H211" s="1"/>
      <c r="I211" s="78">
        <f>I209+I210</f>
        <v>2141</v>
      </c>
      <c r="J211" s="10"/>
      <c r="K211" s="9"/>
      <c r="L211" s="1" t="s">
        <v>153</v>
      </c>
      <c r="M211" s="1"/>
      <c r="N211" s="78">
        <f>N209+N210</f>
        <v>1944</v>
      </c>
      <c r="O211" s="10"/>
    </row>
    <row r="212" spans="1:15" ht="15" thickTop="1" x14ac:dyDescent="0.35">
      <c r="A212" s="9" t="s">
        <v>46</v>
      </c>
      <c r="B212" s="1" t="s">
        <v>538</v>
      </c>
      <c r="C212" s="1">
        <f>'Dispatch and Sales per day'!D149+'Dispatch and Sales per day'!D150</f>
        <v>225</v>
      </c>
      <c r="D212" s="6"/>
      <c r="E212" s="79"/>
      <c r="F212" s="9" t="s">
        <v>46</v>
      </c>
      <c r="G212" s="1" t="s">
        <v>538</v>
      </c>
      <c r="H212" s="1">
        <f>'Dispatch and Sales per day'!P149</f>
        <v>204</v>
      </c>
      <c r="I212" s="6"/>
      <c r="J212" s="10"/>
      <c r="K212" s="9" t="s">
        <v>46</v>
      </c>
      <c r="L212" s="1" t="s">
        <v>538</v>
      </c>
      <c r="M212" s="1">
        <f>'Dispatch and Sales per day'!AB149</f>
        <v>180</v>
      </c>
      <c r="N212" s="6"/>
      <c r="O212" s="10"/>
    </row>
    <row r="213" spans="1:15" x14ac:dyDescent="0.35">
      <c r="A213" s="9"/>
      <c r="B213" s="1" t="s">
        <v>540</v>
      </c>
      <c r="C213" s="1">
        <f>'Dispatch and Sales per day'!D151</f>
        <v>300</v>
      </c>
      <c r="D213" s="1"/>
      <c r="E213" s="79"/>
      <c r="F213" s="9"/>
      <c r="G213" s="1" t="s">
        <v>540</v>
      </c>
      <c r="H213" s="1">
        <f>'Dispatch and Sales per day'!P151</f>
        <v>240</v>
      </c>
      <c r="I213" s="1"/>
      <c r="J213" s="10"/>
      <c r="K213" s="9"/>
      <c r="L213" s="1" t="s">
        <v>540</v>
      </c>
      <c r="M213" s="1">
        <f>'Dispatch and Sales per day'!AB151</f>
        <v>240</v>
      </c>
      <c r="N213" s="1"/>
      <c r="O213" s="10"/>
    </row>
    <row r="214" spans="1:15" x14ac:dyDescent="0.35">
      <c r="A214" s="9"/>
      <c r="B214" s="1" t="s">
        <v>506</v>
      </c>
      <c r="C214" s="1">
        <f>'Dispatch and Sales per day'!D152</f>
        <v>150</v>
      </c>
      <c r="D214" s="1"/>
      <c r="E214" s="79"/>
      <c r="F214" s="9"/>
      <c r="G214" s="1" t="s">
        <v>506</v>
      </c>
      <c r="H214" s="1">
        <f>'Dispatch and Sales per day'!P152</f>
        <v>180</v>
      </c>
      <c r="I214" s="1"/>
      <c r="J214" s="10"/>
      <c r="K214" s="9"/>
      <c r="L214" s="1" t="s">
        <v>506</v>
      </c>
      <c r="M214" s="1">
        <f>'Dispatch and Sales per day'!AB152</f>
        <v>168</v>
      </c>
      <c r="N214" s="1"/>
      <c r="O214" s="10"/>
    </row>
    <row r="215" spans="1:15" x14ac:dyDescent="0.35">
      <c r="A215" s="9"/>
      <c r="B215" s="1" t="s">
        <v>84</v>
      </c>
      <c r="C215" s="1">
        <f>'Dispatch and Sales per day'!D153+'Dispatch and Sales per day'!D154</f>
        <v>30</v>
      </c>
      <c r="D215" s="1"/>
      <c r="E215" s="79"/>
      <c r="F215" s="9"/>
      <c r="G215" s="1" t="s">
        <v>84</v>
      </c>
      <c r="H215" s="1">
        <f>'Dispatch and Sales per day'!P153</f>
        <v>60</v>
      </c>
      <c r="I215" s="1"/>
      <c r="J215" s="10"/>
      <c r="K215" s="9"/>
      <c r="L215" s="1" t="s">
        <v>84</v>
      </c>
      <c r="M215" s="1">
        <f>'Dispatch and Sales per day'!AB153</f>
        <v>60</v>
      </c>
      <c r="N215" s="1"/>
      <c r="O215" s="10"/>
    </row>
    <row r="216" spans="1:15" x14ac:dyDescent="0.35">
      <c r="A216" s="9"/>
      <c r="B216" s="1" t="s">
        <v>285</v>
      </c>
      <c r="C216" s="1">
        <f>'Dispatch and Sales per day'!D155+'Dispatch and Sales per day'!D156</f>
        <v>16</v>
      </c>
      <c r="D216" s="1"/>
      <c r="E216" s="79"/>
      <c r="F216" s="9"/>
      <c r="G216" s="1" t="s">
        <v>285</v>
      </c>
      <c r="H216" s="1">
        <f>'Dispatch and Sales per day'!P155+'Dispatch and Sales per day'!P156</f>
        <v>132</v>
      </c>
      <c r="I216" s="1"/>
      <c r="J216" s="10"/>
      <c r="K216" s="9"/>
      <c r="L216" s="1" t="s">
        <v>285</v>
      </c>
      <c r="M216" s="1">
        <f>'Dispatch and Sales per day'!AB155+'Dispatch and Sales per day'!AB156</f>
        <v>96</v>
      </c>
      <c r="N216" s="1"/>
      <c r="O216" s="10"/>
    </row>
    <row r="217" spans="1:15" x14ac:dyDescent="0.35">
      <c r="A217" s="9"/>
      <c r="B217" s="1" t="s">
        <v>311</v>
      </c>
      <c r="C217" s="1">
        <f>'Dispatch and Sales per day'!D158</f>
        <v>165</v>
      </c>
      <c r="D217" s="1"/>
      <c r="E217" s="79"/>
      <c r="F217" s="9"/>
      <c r="G217" s="1" t="s">
        <v>311</v>
      </c>
      <c r="H217" s="1">
        <f>'Dispatch and Sales per day'!P158</f>
        <v>124</v>
      </c>
      <c r="I217" s="1"/>
      <c r="J217" s="10"/>
      <c r="K217" s="9"/>
      <c r="L217" s="1" t="s">
        <v>311</v>
      </c>
      <c r="M217" s="1">
        <f>'Dispatch and Sales per day'!AB158</f>
        <v>144</v>
      </c>
      <c r="N217" s="1"/>
      <c r="O217" s="10"/>
    </row>
    <row r="218" spans="1:15" x14ac:dyDescent="0.35">
      <c r="A218" s="9"/>
      <c r="B218" s="1" t="s">
        <v>286</v>
      </c>
      <c r="C218" s="1">
        <f>'Dispatch and Sales per day'!D160</f>
        <v>0</v>
      </c>
      <c r="D218" s="1"/>
      <c r="E218" s="79"/>
      <c r="F218" s="9"/>
      <c r="G218" s="1" t="s">
        <v>286</v>
      </c>
      <c r="H218" s="1">
        <f>'Dispatch and Sales per day'!P160</f>
        <v>0</v>
      </c>
      <c r="I218" s="1"/>
      <c r="J218" s="10"/>
      <c r="K218" s="9"/>
      <c r="L218" s="1" t="s">
        <v>286</v>
      </c>
      <c r="M218" s="1">
        <f>'Dispatch and Sales per day'!AB160</f>
        <v>0</v>
      </c>
      <c r="N218" s="1"/>
      <c r="O218" s="10"/>
    </row>
    <row r="219" spans="1:15" x14ac:dyDescent="0.35">
      <c r="A219" s="9"/>
      <c r="B219" s="1" t="s">
        <v>154</v>
      </c>
      <c r="C219" s="1"/>
      <c r="D219" s="1">
        <f>SUM(C212:C218)</f>
        <v>886</v>
      </c>
      <c r="E219" s="79"/>
      <c r="F219" s="9"/>
      <c r="G219" s="1" t="s">
        <v>154</v>
      </c>
      <c r="H219" s="1"/>
      <c r="I219" s="1">
        <f>SUM(H212:H218)</f>
        <v>940</v>
      </c>
      <c r="J219" s="10"/>
      <c r="K219" s="9"/>
      <c r="L219" s="1" t="s">
        <v>154</v>
      </c>
      <c r="M219" s="1"/>
      <c r="N219" s="1">
        <f>SUM(M212:M218)</f>
        <v>888</v>
      </c>
      <c r="O219" s="10"/>
    </row>
    <row r="220" spans="1:15" ht="15" thickBot="1" x14ac:dyDescent="0.4">
      <c r="A220" s="9"/>
      <c r="B220" s="1" t="s">
        <v>155</v>
      </c>
      <c r="C220" s="1"/>
      <c r="D220" s="78">
        <f>D211-D219</f>
        <v>1549</v>
      </c>
      <c r="E220" s="79"/>
      <c r="F220" s="9"/>
      <c r="G220" s="1" t="s">
        <v>155</v>
      </c>
      <c r="H220" s="1"/>
      <c r="I220" s="78">
        <f>I211-I219</f>
        <v>1201</v>
      </c>
      <c r="J220" s="10"/>
      <c r="K220" s="9"/>
      <c r="L220" s="1" t="s">
        <v>155</v>
      </c>
      <c r="M220" s="1"/>
      <c r="N220" s="78">
        <f>N211-N219</f>
        <v>1056</v>
      </c>
      <c r="O220" s="10"/>
    </row>
    <row r="221" spans="1:15" ht="15" thickTop="1" x14ac:dyDescent="0.35">
      <c r="A221" s="9" t="s">
        <v>48</v>
      </c>
      <c r="B221" s="1" t="s">
        <v>14</v>
      </c>
      <c r="C221" s="1"/>
      <c r="D221" s="6">
        <f>'Dispatch and Sales per day'!G161</f>
        <v>294</v>
      </c>
      <c r="E221" s="79"/>
      <c r="F221" s="9" t="s">
        <v>48</v>
      </c>
      <c r="G221" s="1" t="s">
        <v>14</v>
      </c>
      <c r="H221" s="1"/>
      <c r="I221" s="6">
        <f>'Dispatch and Sales per day'!S161</f>
        <v>20</v>
      </c>
      <c r="J221" s="10"/>
      <c r="K221" s="9" t="s">
        <v>48</v>
      </c>
      <c r="L221" s="1" t="s">
        <v>14</v>
      </c>
      <c r="M221" s="1"/>
      <c r="N221" s="6">
        <f>'Dispatch and Sales per day'!AE161</f>
        <v>172</v>
      </c>
      <c r="O221" s="10"/>
    </row>
    <row r="222" spans="1:15" ht="15" thickBot="1" x14ac:dyDescent="0.4">
      <c r="A222" s="9"/>
      <c r="B222" s="1" t="s">
        <v>47</v>
      </c>
      <c r="C222" s="1"/>
      <c r="D222" s="76">
        <f>D220+D221</f>
        <v>1843</v>
      </c>
      <c r="E222" s="36"/>
      <c r="F222" s="9"/>
      <c r="G222" s="1" t="s">
        <v>47</v>
      </c>
      <c r="H222" s="1"/>
      <c r="I222" s="76">
        <f>I220+I221</f>
        <v>1221</v>
      </c>
      <c r="J222" s="10"/>
      <c r="K222" s="9"/>
      <c r="L222" s="1" t="s">
        <v>47</v>
      </c>
      <c r="M222" s="1"/>
      <c r="N222" s="76">
        <f>N220+N221</f>
        <v>1228</v>
      </c>
      <c r="O222" s="10"/>
    </row>
    <row r="223" spans="1:15" ht="15" thickTop="1" x14ac:dyDescent="0.35">
      <c r="A223" s="35"/>
      <c r="B223" s="5" t="s">
        <v>555</v>
      </c>
      <c r="C223" s="5"/>
      <c r="D223" s="2">
        <v>5</v>
      </c>
      <c r="F223" s="35"/>
      <c r="G223" s="5" t="s">
        <v>553</v>
      </c>
      <c r="H223" s="5"/>
      <c r="I223" s="2">
        <v>2</v>
      </c>
      <c r="J223" s="37"/>
      <c r="K223" s="35"/>
      <c r="L223" s="5"/>
      <c r="M223" s="5"/>
      <c r="N223" s="2"/>
      <c r="O223" s="37"/>
    </row>
    <row r="224" spans="1:15" ht="15" thickBot="1" x14ac:dyDescent="0.4">
      <c r="A224" s="11"/>
      <c r="B224" s="12"/>
      <c r="C224" s="12"/>
      <c r="D224" s="203">
        <f>D222-D223</f>
        <v>1838</v>
      </c>
      <c r="E224" s="17"/>
      <c r="F224" s="11"/>
      <c r="G224" s="12"/>
      <c r="H224" s="12"/>
      <c r="I224" s="302">
        <f>I222+I223</f>
        <v>1223</v>
      </c>
      <c r="J224" s="13"/>
      <c r="K224" s="11"/>
      <c r="L224" s="12"/>
      <c r="M224" s="12"/>
      <c r="N224" s="12">
        <f>N222-N223</f>
        <v>1228</v>
      </c>
      <c r="O224" s="13"/>
    </row>
    <row r="225" spans="1:15" x14ac:dyDescent="0.35">
      <c r="A225" s="80" t="s">
        <v>481</v>
      </c>
      <c r="B225" s="41" t="s">
        <v>39</v>
      </c>
      <c r="C225" s="41"/>
      <c r="D225" s="41">
        <f>D224</f>
        <v>1838</v>
      </c>
      <c r="E225" s="92"/>
      <c r="F225" s="80" t="s">
        <v>481</v>
      </c>
      <c r="G225" s="41" t="s">
        <v>39</v>
      </c>
      <c r="H225" s="41"/>
      <c r="I225" s="41">
        <f>I224</f>
        <v>1223</v>
      </c>
      <c r="J225" s="81"/>
      <c r="K225" s="80" t="s">
        <v>481</v>
      </c>
      <c r="L225" s="41" t="s">
        <v>39</v>
      </c>
      <c r="M225" s="41"/>
      <c r="N225" s="41">
        <f>N224</f>
        <v>1228</v>
      </c>
      <c r="O225" s="81"/>
    </row>
    <row r="226" spans="1:15" x14ac:dyDescent="0.35">
      <c r="A226" s="9"/>
      <c r="B226" s="1" t="s">
        <v>258</v>
      </c>
      <c r="C226" s="1"/>
      <c r="D226" s="1">
        <f>Production!G259</f>
        <v>0</v>
      </c>
      <c r="E226" s="79"/>
      <c r="F226" s="9"/>
      <c r="G226" s="1" t="s">
        <v>254</v>
      </c>
      <c r="H226" s="1"/>
      <c r="I226" s="57">
        <f>Production!O259</f>
        <v>0</v>
      </c>
      <c r="J226" s="10"/>
      <c r="K226" s="9"/>
      <c r="L226" s="1" t="s">
        <v>254</v>
      </c>
      <c r="M226" s="1"/>
      <c r="N226" s="57">
        <f>Production!Y259</f>
        <v>0</v>
      </c>
      <c r="O226" s="10"/>
    </row>
    <row r="227" spans="1:15" ht="15" thickBot="1" x14ac:dyDescent="0.4">
      <c r="A227" s="9"/>
      <c r="B227" s="1" t="s">
        <v>153</v>
      </c>
      <c r="C227" s="1"/>
      <c r="D227" s="78">
        <f>D225+D226</f>
        <v>1838</v>
      </c>
      <c r="E227" s="79"/>
      <c r="F227" s="9"/>
      <c r="G227" s="1" t="s">
        <v>153</v>
      </c>
      <c r="H227" s="1"/>
      <c r="I227" s="78">
        <f>I225+I226</f>
        <v>1223</v>
      </c>
      <c r="J227" s="10"/>
      <c r="K227" s="9"/>
      <c r="L227" s="1" t="s">
        <v>153</v>
      </c>
      <c r="M227" s="1"/>
      <c r="N227" s="78">
        <f>N225+N226</f>
        <v>1228</v>
      </c>
      <c r="O227" s="10"/>
    </row>
    <row r="228" spans="1:15" ht="15" thickTop="1" x14ac:dyDescent="0.35">
      <c r="A228" s="9" t="s">
        <v>46</v>
      </c>
      <c r="B228" s="1" t="s">
        <v>538</v>
      </c>
      <c r="C228" s="1">
        <f>'Dispatch and Sales per day'!D162+'Dispatch and Sales per day'!D163</f>
        <v>0</v>
      </c>
      <c r="D228" s="6"/>
      <c r="E228" s="79"/>
      <c r="F228" s="9" t="s">
        <v>46</v>
      </c>
      <c r="G228" s="1" t="s">
        <v>538</v>
      </c>
      <c r="H228" s="1">
        <f>'Dispatch and Sales per day'!P162</f>
        <v>0</v>
      </c>
      <c r="I228" s="6"/>
      <c r="J228" s="10"/>
      <c r="K228" s="9" t="s">
        <v>46</v>
      </c>
      <c r="L228" s="1" t="s">
        <v>538</v>
      </c>
      <c r="M228" s="1">
        <f>'Dispatch and Sales per day'!AB162</f>
        <v>0</v>
      </c>
      <c r="N228" s="6"/>
      <c r="O228" s="10"/>
    </row>
    <row r="229" spans="1:15" x14ac:dyDescent="0.35">
      <c r="A229" s="9"/>
      <c r="B229" s="1" t="s">
        <v>540</v>
      </c>
      <c r="C229" s="1">
        <f>'Dispatch and Sales per day'!D164</f>
        <v>0</v>
      </c>
      <c r="D229" s="1"/>
      <c r="E229" s="79"/>
      <c r="F229" s="9"/>
      <c r="G229" s="1" t="s">
        <v>540</v>
      </c>
      <c r="H229" s="1">
        <f>'Dispatch and Sales per day'!P164</f>
        <v>0</v>
      </c>
      <c r="I229" s="1"/>
      <c r="J229" s="10"/>
      <c r="K229" s="9"/>
      <c r="L229" s="1" t="s">
        <v>540</v>
      </c>
      <c r="M229" s="1">
        <f>'Dispatch and Sales per day'!AB164</f>
        <v>0</v>
      </c>
      <c r="N229" s="1"/>
      <c r="O229" s="10"/>
    </row>
    <row r="230" spans="1:15" x14ac:dyDescent="0.35">
      <c r="A230" s="9"/>
      <c r="B230" s="1" t="s">
        <v>506</v>
      </c>
      <c r="C230" s="1">
        <f>'Dispatch and Sales per day'!D165</f>
        <v>0</v>
      </c>
      <c r="D230" s="1"/>
      <c r="E230" s="79"/>
      <c r="F230" s="9"/>
      <c r="G230" s="1" t="s">
        <v>506</v>
      </c>
      <c r="H230" s="1">
        <f>'Dispatch and Sales per day'!P165</f>
        <v>0</v>
      </c>
      <c r="I230" s="1"/>
      <c r="J230" s="10"/>
      <c r="K230" s="9"/>
      <c r="L230" s="1" t="s">
        <v>506</v>
      </c>
      <c r="M230" s="1">
        <f>'Dispatch and Sales per day'!AB165</f>
        <v>0</v>
      </c>
      <c r="N230" s="1"/>
      <c r="O230" s="10"/>
    </row>
    <row r="231" spans="1:15" x14ac:dyDescent="0.35">
      <c r="A231" s="9"/>
      <c r="B231" s="1" t="s">
        <v>84</v>
      </c>
      <c r="C231" s="1">
        <f>'Dispatch and Sales per day'!D166+'Dispatch and Sales per day'!D167</f>
        <v>0</v>
      </c>
      <c r="D231" s="1"/>
      <c r="E231" s="79"/>
      <c r="F231" s="9"/>
      <c r="G231" s="1" t="s">
        <v>84</v>
      </c>
      <c r="H231" s="1">
        <f>'Dispatch and Sales per day'!P166</f>
        <v>0</v>
      </c>
      <c r="I231" s="1"/>
      <c r="J231" s="10"/>
      <c r="K231" s="9"/>
      <c r="L231" s="1" t="s">
        <v>84</v>
      </c>
      <c r="M231" s="1">
        <f>'Dispatch and Sales per day'!AB166</f>
        <v>0</v>
      </c>
      <c r="N231" s="1"/>
      <c r="O231" s="10"/>
    </row>
    <row r="232" spans="1:15" x14ac:dyDescent="0.35">
      <c r="A232" s="9"/>
      <c r="B232" s="1" t="s">
        <v>285</v>
      </c>
      <c r="C232" s="1">
        <f>'Dispatch and Sales per day'!D168</f>
        <v>0</v>
      </c>
      <c r="D232" s="1"/>
      <c r="E232" s="79"/>
      <c r="F232" s="9"/>
      <c r="G232" s="1" t="s">
        <v>285</v>
      </c>
      <c r="H232" s="1">
        <f>'Dispatch and Sales per day'!P168</f>
        <v>0</v>
      </c>
      <c r="I232" s="1"/>
      <c r="J232" s="10"/>
      <c r="K232" s="9"/>
      <c r="L232" s="1" t="s">
        <v>285</v>
      </c>
      <c r="M232" s="1">
        <f>'Dispatch and Sales per day'!AB168</f>
        <v>0</v>
      </c>
      <c r="N232" s="1"/>
      <c r="O232" s="10"/>
    </row>
    <row r="233" spans="1:15" x14ac:dyDescent="0.35">
      <c r="A233" s="9"/>
      <c r="B233" s="1" t="s">
        <v>311</v>
      </c>
      <c r="C233" s="1">
        <f>'Dispatch and Sales per day'!D170</f>
        <v>0</v>
      </c>
      <c r="D233" s="1"/>
      <c r="E233" s="79"/>
      <c r="F233" s="9"/>
      <c r="G233" s="1" t="s">
        <v>311</v>
      </c>
      <c r="H233" s="1">
        <f>'Dispatch and Sales per day'!P170</f>
        <v>0</v>
      </c>
      <c r="I233" s="1"/>
      <c r="J233" s="10"/>
      <c r="K233" s="9"/>
      <c r="L233" s="1" t="s">
        <v>311</v>
      </c>
      <c r="M233" s="1">
        <f>'Dispatch and Sales per day'!AB170</f>
        <v>0</v>
      </c>
      <c r="N233" s="1"/>
      <c r="O233" s="10"/>
    </row>
    <row r="234" spans="1:15" x14ac:dyDescent="0.35">
      <c r="A234" s="9"/>
      <c r="B234" s="1" t="s">
        <v>306</v>
      </c>
      <c r="C234" s="1">
        <f>'Dispatch and Sales per day'!D172</f>
        <v>0</v>
      </c>
      <c r="D234" s="1"/>
      <c r="E234" s="79"/>
      <c r="F234" s="9"/>
      <c r="G234" s="1" t="s">
        <v>306</v>
      </c>
      <c r="H234" s="1">
        <f>'Dispatch and Sales per day'!P172</f>
        <v>0</v>
      </c>
      <c r="I234" s="1"/>
      <c r="J234" s="10"/>
      <c r="K234" s="9"/>
      <c r="L234" s="1" t="s">
        <v>306</v>
      </c>
      <c r="M234" s="1">
        <f>'Dispatch and Sales per day'!AB172</f>
        <v>0</v>
      </c>
      <c r="N234" s="1"/>
      <c r="O234" s="10"/>
    </row>
    <row r="235" spans="1:15" x14ac:dyDescent="0.35">
      <c r="A235" s="9"/>
      <c r="B235" s="1" t="s">
        <v>154</v>
      </c>
      <c r="C235" s="1"/>
      <c r="D235" s="1">
        <f>SUM(C228:C234)</f>
        <v>0</v>
      </c>
      <c r="E235" s="79"/>
      <c r="F235" s="9"/>
      <c r="G235" s="1" t="s">
        <v>154</v>
      </c>
      <c r="H235" s="1"/>
      <c r="I235" s="1">
        <f>SUM(H228:H234)</f>
        <v>0</v>
      </c>
      <c r="J235" s="10"/>
      <c r="K235" s="9"/>
      <c r="L235" s="1" t="s">
        <v>154</v>
      </c>
      <c r="M235" s="1"/>
      <c r="N235" s="1">
        <f>SUM(M228:M234)</f>
        <v>0</v>
      </c>
      <c r="O235" s="10"/>
    </row>
    <row r="236" spans="1:15" ht="15" thickBot="1" x14ac:dyDescent="0.4">
      <c r="A236" s="9"/>
      <c r="B236" s="1" t="s">
        <v>155</v>
      </c>
      <c r="C236" s="1"/>
      <c r="D236" s="78">
        <f>D227-D235</f>
        <v>1838</v>
      </c>
      <c r="E236" s="79"/>
      <c r="F236" s="9"/>
      <c r="G236" s="1" t="s">
        <v>155</v>
      </c>
      <c r="H236" s="1"/>
      <c r="I236" s="78">
        <f>I227-I235</f>
        <v>1223</v>
      </c>
      <c r="J236" s="10"/>
      <c r="K236" s="9"/>
      <c r="L236" s="1" t="s">
        <v>155</v>
      </c>
      <c r="M236" s="1"/>
      <c r="N236" s="78">
        <f>N227-N235</f>
        <v>1228</v>
      </c>
      <c r="O236" s="10"/>
    </row>
    <row r="237" spans="1:15" ht="15" thickTop="1" x14ac:dyDescent="0.35">
      <c r="A237" s="9" t="s">
        <v>48</v>
      </c>
      <c r="B237" s="1" t="s">
        <v>14</v>
      </c>
      <c r="C237" s="1"/>
      <c r="D237" s="6">
        <f>'Dispatch and Sales per day'!G173</f>
        <v>0</v>
      </c>
      <c r="E237" s="79"/>
      <c r="F237" s="9" t="s">
        <v>48</v>
      </c>
      <c r="G237" s="1" t="s">
        <v>14</v>
      </c>
      <c r="H237" s="1"/>
      <c r="I237" s="6">
        <f>'Dispatch and Sales per day'!S173</f>
        <v>0</v>
      </c>
      <c r="J237" s="10"/>
      <c r="K237" s="9" t="s">
        <v>48</v>
      </c>
      <c r="L237" s="1" t="s">
        <v>14</v>
      </c>
      <c r="M237" s="1"/>
      <c r="N237" s="6">
        <f>'Dispatch and Sales per day'!AE173</f>
        <v>0</v>
      </c>
      <c r="O237" s="10"/>
    </row>
    <row r="238" spans="1:15" ht="15" thickBot="1" x14ac:dyDescent="0.4">
      <c r="A238" s="9"/>
      <c r="B238" s="1" t="s">
        <v>47</v>
      </c>
      <c r="C238" s="1"/>
      <c r="D238" s="76">
        <f>D236+D237</f>
        <v>1838</v>
      </c>
      <c r="E238" s="36"/>
      <c r="F238" s="9"/>
      <c r="G238" s="1" t="s">
        <v>47</v>
      </c>
      <c r="H238" s="1"/>
      <c r="I238" s="76">
        <f>I236+I237</f>
        <v>1223</v>
      </c>
      <c r="J238" s="10"/>
      <c r="K238" s="9"/>
      <c r="L238" s="1" t="s">
        <v>47</v>
      </c>
      <c r="M238" s="1"/>
      <c r="N238" s="76">
        <f>N236+N237</f>
        <v>1228</v>
      </c>
      <c r="O238" s="10"/>
    </row>
    <row r="239" spans="1:15" ht="15" thickTop="1" x14ac:dyDescent="0.35">
      <c r="A239" s="35"/>
      <c r="B239" s="5"/>
      <c r="C239" s="5"/>
      <c r="D239" s="2"/>
      <c r="F239" s="35"/>
      <c r="G239" s="5"/>
      <c r="H239" s="5"/>
      <c r="I239" s="2"/>
      <c r="J239" s="37"/>
      <c r="K239" s="35"/>
      <c r="L239" s="5"/>
      <c r="M239" s="5"/>
      <c r="N239" s="2"/>
      <c r="O239" s="37"/>
    </row>
    <row r="240" spans="1:15" ht="15" thickBot="1" x14ac:dyDescent="0.4">
      <c r="A240" s="11"/>
      <c r="B240" s="12"/>
      <c r="C240" s="12"/>
      <c r="D240" s="12">
        <f>D238-D239</f>
        <v>1838</v>
      </c>
      <c r="E240" s="17"/>
      <c r="F240" s="11"/>
      <c r="G240" s="12"/>
      <c r="H240" s="12"/>
      <c r="I240" s="12"/>
      <c r="J240" s="13"/>
      <c r="K240" s="11"/>
      <c r="L240" s="12"/>
      <c r="M240" s="12"/>
      <c r="N240" s="12"/>
      <c r="O240" s="13"/>
    </row>
    <row r="241" spans="1:15" x14ac:dyDescent="0.35">
      <c r="A241" s="80" t="s">
        <v>482</v>
      </c>
      <c r="B241" s="41" t="s">
        <v>39</v>
      </c>
      <c r="C241" s="41"/>
      <c r="D241" s="41">
        <f>D240</f>
        <v>1838</v>
      </c>
      <c r="E241" s="92"/>
      <c r="F241" s="80" t="s">
        <v>482</v>
      </c>
      <c r="G241" s="41" t="s">
        <v>39</v>
      </c>
      <c r="H241" s="41"/>
      <c r="I241" s="41">
        <f>I238</f>
        <v>1223</v>
      </c>
      <c r="J241" s="81"/>
      <c r="K241" s="80" t="s">
        <v>482</v>
      </c>
      <c r="L241" s="41" t="s">
        <v>39</v>
      </c>
      <c r="M241" s="41"/>
      <c r="N241" s="41">
        <f>N238</f>
        <v>1228</v>
      </c>
      <c r="O241" s="81"/>
    </row>
    <row r="242" spans="1:15" x14ac:dyDescent="0.35">
      <c r="A242" s="9"/>
      <c r="B242" s="1" t="s">
        <v>255</v>
      </c>
      <c r="C242" s="1"/>
      <c r="D242" s="1">
        <f>Production!G277</f>
        <v>660</v>
      </c>
      <c r="E242" s="79"/>
      <c r="F242" s="9"/>
      <c r="G242" s="1" t="s">
        <v>257</v>
      </c>
      <c r="H242" s="1"/>
      <c r="I242" s="57">
        <f>Production!O277</f>
        <v>723</v>
      </c>
      <c r="J242" s="10"/>
      <c r="K242" s="9"/>
      <c r="L242" s="1" t="s">
        <v>257</v>
      </c>
      <c r="M242" s="1"/>
      <c r="N242" s="57">
        <f>Production!Y277</f>
        <v>714</v>
      </c>
      <c r="O242" s="10"/>
    </row>
    <row r="243" spans="1:15" ht="15" thickBot="1" x14ac:dyDescent="0.4">
      <c r="A243" s="9"/>
      <c r="B243" s="1" t="s">
        <v>153</v>
      </c>
      <c r="C243" s="1"/>
      <c r="D243" s="78">
        <f>D241+D242</f>
        <v>2498</v>
      </c>
      <c r="E243" s="79"/>
      <c r="F243" s="9"/>
      <c r="G243" s="1" t="s">
        <v>153</v>
      </c>
      <c r="H243" s="1"/>
      <c r="I243" s="78">
        <f>I241+I242</f>
        <v>1946</v>
      </c>
      <c r="J243" s="10"/>
      <c r="K243" s="9"/>
      <c r="L243" s="1" t="s">
        <v>153</v>
      </c>
      <c r="M243" s="1"/>
      <c r="N243" s="78">
        <f>N241+N242</f>
        <v>1942</v>
      </c>
      <c r="O243" s="10"/>
    </row>
    <row r="244" spans="1:15" ht="15" thickTop="1" x14ac:dyDescent="0.35">
      <c r="A244" s="9" t="s">
        <v>46</v>
      </c>
      <c r="B244" s="1" t="s">
        <v>538</v>
      </c>
      <c r="C244" s="1">
        <f>'Dispatch and Sales per day'!D174+'Dispatch and Sales per day'!D175</f>
        <v>225</v>
      </c>
      <c r="D244" s="6"/>
      <c r="E244" s="79"/>
      <c r="F244" s="9" t="s">
        <v>46</v>
      </c>
      <c r="G244" s="1" t="s">
        <v>538</v>
      </c>
      <c r="H244" s="1">
        <f>'Dispatch and Sales per day'!P174</f>
        <v>216</v>
      </c>
      <c r="I244" s="6"/>
      <c r="J244" s="10"/>
      <c r="K244" s="9" t="s">
        <v>46</v>
      </c>
      <c r="L244" s="1" t="s">
        <v>538</v>
      </c>
      <c r="M244" s="1">
        <f>'Dispatch and Sales per day'!AB174</f>
        <v>180</v>
      </c>
      <c r="N244" s="6"/>
      <c r="O244" s="10"/>
    </row>
    <row r="245" spans="1:15" x14ac:dyDescent="0.35">
      <c r="A245" s="9"/>
      <c r="B245" s="1" t="s">
        <v>540</v>
      </c>
      <c r="C245" s="1">
        <f>'Dispatch and Sales per day'!D176+'Dispatch and Sales per day'!D177</f>
        <v>300</v>
      </c>
      <c r="D245" s="1"/>
      <c r="E245" s="79"/>
      <c r="F245" s="9"/>
      <c r="G245" s="1" t="s">
        <v>540</v>
      </c>
      <c r="H245" s="1">
        <f>'Dispatch and Sales per day'!P176</f>
        <v>240</v>
      </c>
      <c r="I245" s="1"/>
      <c r="J245" s="10"/>
      <c r="K245" s="9"/>
      <c r="L245" s="1" t="s">
        <v>540</v>
      </c>
      <c r="M245" s="1">
        <f>'Dispatch and Sales per day'!AB176</f>
        <v>240</v>
      </c>
      <c r="N245" s="1"/>
      <c r="O245" s="10"/>
    </row>
    <row r="246" spans="1:15" x14ac:dyDescent="0.35">
      <c r="A246" s="9"/>
      <c r="B246" s="1" t="s">
        <v>506</v>
      </c>
      <c r="C246" s="1">
        <f>'Dispatch and Sales per day'!D178</f>
        <v>240</v>
      </c>
      <c r="D246" s="1"/>
      <c r="E246" s="79"/>
      <c r="F246" s="9"/>
      <c r="G246" s="1" t="s">
        <v>506</v>
      </c>
      <c r="H246" s="1">
        <f>'Dispatch and Sales per day'!P178</f>
        <v>276</v>
      </c>
      <c r="I246" s="1"/>
      <c r="J246" s="10"/>
      <c r="K246" s="9"/>
      <c r="L246" s="1" t="s">
        <v>506</v>
      </c>
      <c r="M246" s="1">
        <f>'Dispatch and Sales per day'!AB178</f>
        <v>240</v>
      </c>
      <c r="N246" s="1"/>
      <c r="O246" s="10"/>
    </row>
    <row r="247" spans="1:15" x14ac:dyDescent="0.35">
      <c r="A247" s="9"/>
      <c r="B247" s="1" t="s">
        <v>84</v>
      </c>
      <c r="C247" s="1">
        <f>'Dispatch and Sales per day'!D179</f>
        <v>30</v>
      </c>
      <c r="D247" s="1"/>
      <c r="E247" s="79"/>
      <c r="F247" s="9"/>
      <c r="G247" s="1" t="s">
        <v>84</v>
      </c>
      <c r="H247" s="1">
        <f>'Dispatch and Sales per day'!P179</f>
        <v>60</v>
      </c>
      <c r="I247" s="1"/>
      <c r="J247" s="10"/>
      <c r="K247" s="9"/>
      <c r="L247" s="1" t="s">
        <v>84</v>
      </c>
      <c r="M247" s="1">
        <f>'Dispatch and Sales per day'!AB179</f>
        <v>60</v>
      </c>
      <c r="N247" s="1"/>
      <c r="O247" s="10"/>
    </row>
    <row r="248" spans="1:15" x14ac:dyDescent="0.35">
      <c r="A248" s="9"/>
      <c r="B248" s="1" t="s">
        <v>285</v>
      </c>
      <c r="C248" s="1">
        <f>'Dispatch and Sales per day'!D180</f>
        <v>30</v>
      </c>
      <c r="D248" s="1"/>
      <c r="E248" s="79"/>
      <c r="F248" s="9"/>
      <c r="G248" s="1" t="s">
        <v>285</v>
      </c>
      <c r="H248" s="1">
        <f>'Dispatch and Sales per day'!P180+'Dispatch and Sales per day'!P181</f>
        <v>309</v>
      </c>
      <c r="I248" s="1"/>
      <c r="J248" s="10"/>
      <c r="K248" s="9"/>
      <c r="L248" s="1" t="s">
        <v>285</v>
      </c>
      <c r="M248" s="1">
        <f>'Dispatch and Sales per day'!AB180+'Dispatch and Sales per day'!AB181</f>
        <v>132</v>
      </c>
      <c r="N248" s="1"/>
      <c r="O248" s="10"/>
    </row>
    <row r="249" spans="1:15" x14ac:dyDescent="0.35">
      <c r="A249" s="9"/>
      <c r="B249" s="1" t="s">
        <v>321</v>
      </c>
      <c r="C249" s="1">
        <v>0</v>
      </c>
      <c r="D249" s="1"/>
      <c r="E249" s="79"/>
      <c r="F249" s="9"/>
      <c r="G249" s="1" t="s">
        <v>321</v>
      </c>
      <c r="H249" s="1">
        <v>0</v>
      </c>
      <c r="I249" s="1"/>
      <c r="J249" s="10"/>
      <c r="K249" s="9"/>
      <c r="L249" s="1" t="s">
        <v>321</v>
      </c>
      <c r="M249" s="1">
        <v>0</v>
      </c>
      <c r="N249" s="1"/>
      <c r="O249" s="10"/>
    </row>
    <row r="250" spans="1:15" x14ac:dyDescent="0.35">
      <c r="A250" s="9"/>
      <c r="B250" s="1" t="s">
        <v>311</v>
      </c>
      <c r="C250" s="1">
        <f>'Dispatch and Sales per day'!D183</f>
        <v>163</v>
      </c>
      <c r="D250" s="1"/>
      <c r="E250" s="79"/>
      <c r="F250" s="9"/>
      <c r="G250" s="1" t="s">
        <v>311</v>
      </c>
      <c r="H250" s="1">
        <f>'Dispatch and Sales per day'!P183</f>
        <v>148</v>
      </c>
      <c r="I250" s="1"/>
      <c r="J250" s="10"/>
      <c r="K250" s="9"/>
      <c r="L250" s="1" t="s">
        <v>311</v>
      </c>
      <c r="M250" s="1">
        <f>'Dispatch and Sales per day'!AB183</f>
        <v>185</v>
      </c>
      <c r="N250" s="1"/>
      <c r="O250" s="10"/>
    </row>
    <row r="251" spans="1:15" x14ac:dyDescent="0.35">
      <c r="A251" s="9"/>
      <c r="B251" s="1" t="s">
        <v>286</v>
      </c>
      <c r="C251" s="1">
        <f>'Dispatch and Sales per day'!D185</f>
        <v>0</v>
      </c>
      <c r="D251" s="1"/>
      <c r="E251" s="79"/>
      <c r="F251" s="9"/>
      <c r="G251" s="1" t="s">
        <v>286</v>
      </c>
      <c r="H251" s="1">
        <f>'Dispatch and Sales per day'!P185</f>
        <v>0</v>
      </c>
      <c r="I251" s="1"/>
      <c r="J251" s="10"/>
      <c r="K251" s="9"/>
      <c r="L251" s="1" t="s">
        <v>286</v>
      </c>
      <c r="M251" s="1">
        <f>'Dispatch and Sales per day'!AB185</f>
        <v>0</v>
      </c>
      <c r="N251" s="1"/>
      <c r="O251" s="10"/>
    </row>
    <row r="252" spans="1:15" x14ac:dyDescent="0.35">
      <c r="A252" s="9"/>
      <c r="B252" s="1" t="s">
        <v>154</v>
      </c>
      <c r="C252" s="1"/>
      <c r="D252" s="1">
        <f>SUM(C244:C251)</f>
        <v>988</v>
      </c>
      <c r="E252" s="79"/>
      <c r="F252" s="9"/>
      <c r="G252" s="1" t="s">
        <v>154</v>
      </c>
      <c r="H252" s="1"/>
      <c r="I252" s="1">
        <f>SUM(H244:H251)</f>
        <v>1249</v>
      </c>
      <c r="J252" s="10"/>
      <c r="K252" s="9"/>
      <c r="L252" s="1" t="s">
        <v>154</v>
      </c>
      <c r="M252" s="1"/>
      <c r="N252" s="1">
        <f>SUM(M244:M251)</f>
        <v>1037</v>
      </c>
      <c r="O252" s="10"/>
    </row>
    <row r="253" spans="1:15" ht="15" thickBot="1" x14ac:dyDescent="0.4">
      <c r="A253" s="9"/>
      <c r="B253" s="1" t="s">
        <v>155</v>
      </c>
      <c r="C253" s="1"/>
      <c r="D253" s="78">
        <f>D243-D252</f>
        <v>1510</v>
      </c>
      <c r="E253" s="79"/>
      <c r="F253" s="9"/>
      <c r="G253" s="1" t="s">
        <v>155</v>
      </c>
      <c r="H253" s="1"/>
      <c r="I253" s="78">
        <f>I243-I252</f>
        <v>697</v>
      </c>
      <c r="J253" s="10"/>
      <c r="K253" s="9"/>
      <c r="L253" s="1" t="s">
        <v>155</v>
      </c>
      <c r="M253" s="1"/>
      <c r="N253" s="78">
        <f>N243-N252</f>
        <v>905</v>
      </c>
      <c r="O253" s="10"/>
    </row>
    <row r="254" spans="1:15" ht="15" thickTop="1" x14ac:dyDescent="0.35">
      <c r="A254" s="9" t="s">
        <v>48</v>
      </c>
      <c r="B254" s="1" t="s">
        <v>14</v>
      </c>
      <c r="C254" s="1"/>
      <c r="D254" s="6">
        <f>'Dispatch and Sales per day'!G186</f>
        <v>288</v>
      </c>
      <c r="E254" s="79"/>
      <c r="F254" s="9" t="s">
        <v>48</v>
      </c>
      <c r="G254" s="1" t="s">
        <v>14</v>
      </c>
      <c r="H254" s="1"/>
      <c r="I254" s="6">
        <f>'Dispatch and Sales per day'!S186</f>
        <v>90</v>
      </c>
      <c r="J254" s="10"/>
      <c r="K254" s="9" t="s">
        <v>48</v>
      </c>
      <c r="L254" s="1" t="s">
        <v>14</v>
      </c>
      <c r="M254" s="1"/>
      <c r="N254" s="6">
        <f>'Dispatch and Sales per day'!AE186</f>
        <v>129</v>
      </c>
      <c r="O254" s="10"/>
    </row>
    <row r="255" spans="1:15" ht="15" thickBot="1" x14ac:dyDescent="0.4">
      <c r="A255" s="9"/>
      <c r="B255" s="1" t="s">
        <v>47</v>
      </c>
      <c r="C255" s="1"/>
      <c r="D255" s="76">
        <f>D253+D254</f>
        <v>1798</v>
      </c>
      <c r="E255" s="36"/>
      <c r="F255" s="9"/>
      <c r="G255" s="1" t="s">
        <v>47</v>
      </c>
      <c r="H255" s="1"/>
      <c r="I255" s="76">
        <f>I253+I254</f>
        <v>787</v>
      </c>
      <c r="J255" s="10"/>
      <c r="K255" s="9"/>
      <c r="L255" s="1" t="s">
        <v>47</v>
      </c>
      <c r="M255" s="1"/>
      <c r="N255" s="76">
        <f>N253+N254</f>
        <v>1034</v>
      </c>
      <c r="O255" s="10"/>
    </row>
    <row r="256" spans="1:15" ht="15" thickTop="1" x14ac:dyDescent="0.35">
      <c r="A256" s="35"/>
      <c r="B256" s="5" t="s">
        <v>556</v>
      </c>
      <c r="C256" s="5"/>
      <c r="D256" s="298">
        <v>18</v>
      </c>
      <c r="F256" s="35"/>
      <c r="G256" s="5" t="s">
        <v>556</v>
      </c>
      <c r="H256" s="5"/>
      <c r="I256" s="298">
        <v>14</v>
      </c>
      <c r="J256" s="37"/>
      <c r="K256" s="35"/>
      <c r="L256" s="5" t="s">
        <v>556</v>
      </c>
      <c r="M256" s="5"/>
      <c r="N256" s="298">
        <v>2</v>
      </c>
      <c r="O256" s="37"/>
    </row>
    <row r="257" spans="1:15" ht="15" thickBot="1" x14ac:dyDescent="0.4">
      <c r="A257" s="11"/>
      <c r="B257" s="12"/>
      <c r="C257" s="12"/>
      <c r="D257" s="203">
        <f>D255-D256</f>
        <v>1780</v>
      </c>
      <c r="E257" s="17"/>
      <c r="F257" s="11"/>
      <c r="G257" s="12"/>
      <c r="H257" s="12"/>
      <c r="I257" s="203">
        <f>I255-I256</f>
        <v>773</v>
      </c>
      <c r="J257" s="13"/>
      <c r="K257" s="11"/>
      <c r="L257" s="12"/>
      <c r="M257" s="12"/>
      <c r="N257" s="203">
        <f>N255-N256</f>
        <v>1032</v>
      </c>
      <c r="O257" s="13"/>
    </row>
    <row r="258" spans="1:15" x14ac:dyDescent="0.35">
      <c r="A258" s="80" t="s">
        <v>484</v>
      </c>
      <c r="B258" s="41" t="s">
        <v>39</v>
      </c>
      <c r="C258" s="41"/>
      <c r="D258" s="41">
        <f>D257</f>
        <v>1780</v>
      </c>
      <c r="E258" s="92"/>
      <c r="F258" s="80" t="s">
        <v>484</v>
      </c>
      <c r="G258" s="41" t="s">
        <v>39</v>
      </c>
      <c r="H258" s="41"/>
      <c r="I258" s="41">
        <f>I257</f>
        <v>773</v>
      </c>
      <c r="J258" s="81"/>
      <c r="K258" s="80" t="s">
        <v>484</v>
      </c>
      <c r="L258" s="41" t="s">
        <v>39</v>
      </c>
      <c r="M258" s="41"/>
      <c r="N258" s="41">
        <f>N257</f>
        <v>1032</v>
      </c>
      <c r="O258" s="81"/>
    </row>
    <row r="259" spans="1:15" x14ac:dyDescent="0.35">
      <c r="A259" s="9"/>
      <c r="B259" s="1" t="s">
        <v>255</v>
      </c>
      <c r="C259" s="1"/>
      <c r="D259" s="1">
        <f>Production!G295</f>
        <v>660</v>
      </c>
      <c r="E259" s="79"/>
      <c r="F259" s="9"/>
      <c r="G259" s="1" t="s">
        <v>257</v>
      </c>
      <c r="H259" s="1"/>
      <c r="I259" s="57">
        <f>Production!O295</f>
        <v>821</v>
      </c>
      <c r="J259" s="10"/>
      <c r="K259" s="9"/>
      <c r="L259" s="1" t="s">
        <v>254</v>
      </c>
      <c r="M259" s="1"/>
      <c r="N259" s="57">
        <f>Production!Y295</f>
        <v>714</v>
      </c>
      <c r="O259" s="10"/>
    </row>
    <row r="260" spans="1:15" ht="15" thickBot="1" x14ac:dyDescent="0.4">
      <c r="A260" s="9"/>
      <c r="B260" s="1" t="s">
        <v>153</v>
      </c>
      <c r="C260" s="1"/>
      <c r="D260" s="78">
        <f>D258+D259</f>
        <v>2440</v>
      </c>
      <c r="E260" s="79"/>
      <c r="F260" s="9"/>
      <c r="G260" s="1" t="s">
        <v>153</v>
      </c>
      <c r="H260" s="1"/>
      <c r="I260" s="78">
        <f>I258+I259</f>
        <v>1594</v>
      </c>
      <c r="J260" s="10"/>
      <c r="K260" s="9"/>
      <c r="L260" s="1" t="s">
        <v>153</v>
      </c>
      <c r="M260" s="1"/>
      <c r="N260" s="78">
        <f>N258+N259</f>
        <v>1746</v>
      </c>
      <c r="O260" s="10"/>
    </row>
    <row r="261" spans="1:15" ht="15" thickTop="1" x14ac:dyDescent="0.35">
      <c r="A261" s="9" t="s">
        <v>46</v>
      </c>
      <c r="B261" s="1" t="s">
        <v>538</v>
      </c>
      <c r="C261" s="1">
        <f>'Dispatch and Sales per day'!D187+'Dispatch and Sales per day'!D188</f>
        <v>150</v>
      </c>
      <c r="D261" s="6"/>
      <c r="E261" s="79"/>
      <c r="F261" s="9" t="s">
        <v>46</v>
      </c>
      <c r="G261" s="1" t="s">
        <v>538</v>
      </c>
      <c r="H261" s="1">
        <f>'Dispatch and Sales per day'!P187</f>
        <v>113</v>
      </c>
      <c r="I261" s="6"/>
      <c r="J261" s="10"/>
      <c r="K261" s="9" t="s">
        <v>46</v>
      </c>
      <c r="L261" s="1" t="s">
        <v>538</v>
      </c>
      <c r="M261" s="1">
        <f>'Dispatch and Sales per day'!AB187</f>
        <v>120</v>
      </c>
      <c r="N261" s="6"/>
      <c r="O261" s="10"/>
    </row>
    <row r="262" spans="1:15" x14ac:dyDescent="0.35">
      <c r="A262" s="9"/>
      <c r="B262" s="1" t="s">
        <v>540</v>
      </c>
      <c r="C262" s="1">
        <f>'Dispatch and Sales per day'!D189+'Dispatch and Sales per day'!D190</f>
        <v>300</v>
      </c>
      <c r="D262" s="1"/>
      <c r="E262" s="79"/>
      <c r="F262" s="9"/>
      <c r="G262" s="1" t="s">
        <v>540</v>
      </c>
      <c r="H262" s="1">
        <f>'Dispatch and Sales per day'!P189</f>
        <v>240</v>
      </c>
      <c r="I262" s="1"/>
      <c r="J262" s="10"/>
      <c r="K262" s="9"/>
      <c r="L262" s="1" t="s">
        <v>540</v>
      </c>
      <c r="M262" s="1">
        <f>'Dispatch and Sales per day'!AB189</f>
        <v>240</v>
      </c>
      <c r="N262" s="1"/>
      <c r="O262" s="10"/>
    </row>
    <row r="263" spans="1:15" x14ac:dyDescent="0.35">
      <c r="A263" s="9"/>
      <c r="B263" s="1" t="s">
        <v>506</v>
      </c>
      <c r="C263" s="1">
        <f>'Dispatch and Sales per day'!D191</f>
        <v>105</v>
      </c>
      <c r="D263" s="1"/>
      <c r="E263" s="79"/>
      <c r="F263" s="9"/>
      <c r="G263" s="1" t="s">
        <v>506</v>
      </c>
      <c r="H263" s="1">
        <f>'Dispatch and Sales per day'!P191</f>
        <v>84</v>
      </c>
      <c r="I263" s="1"/>
      <c r="J263" s="10"/>
      <c r="K263" s="9"/>
      <c r="L263" s="1" t="s">
        <v>506</v>
      </c>
      <c r="M263" s="1">
        <f>'Dispatch and Sales per day'!AB191</f>
        <v>60</v>
      </c>
      <c r="N263" s="1"/>
      <c r="O263" s="10"/>
    </row>
    <row r="264" spans="1:15" x14ac:dyDescent="0.35">
      <c r="A264" s="9"/>
      <c r="B264" s="1" t="s">
        <v>84</v>
      </c>
      <c r="C264" s="1">
        <f>'Dispatch and Sales per day'!D192+'Dispatch and Sales per day'!D193</f>
        <v>37</v>
      </c>
      <c r="D264" s="1"/>
      <c r="E264" s="79"/>
      <c r="F264" s="9"/>
      <c r="G264" s="1" t="s">
        <v>84</v>
      </c>
      <c r="H264" s="1">
        <f>'Dispatch and Sales per day'!P192</f>
        <v>60</v>
      </c>
      <c r="I264" s="1"/>
      <c r="J264" s="10"/>
      <c r="K264" s="9"/>
      <c r="L264" s="1" t="s">
        <v>84</v>
      </c>
      <c r="M264" s="1">
        <f>'Dispatch and Sales per day'!AB192</f>
        <v>60</v>
      </c>
      <c r="N264" s="1"/>
      <c r="O264" s="10"/>
    </row>
    <row r="265" spans="1:15" x14ac:dyDescent="0.35">
      <c r="A265" s="9"/>
      <c r="B265" s="1" t="s">
        <v>285</v>
      </c>
      <c r="C265" s="1">
        <f>'Dispatch and Sales per day'!D194</f>
        <v>15</v>
      </c>
      <c r="D265" s="1"/>
      <c r="E265" s="79"/>
      <c r="F265" s="9"/>
      <c r="G265" s="1" t="s">
        <v>285</v>
      </c>
      <c r="H265" s="1">
        <f>'Dispatch and Sales per day'!P194</f>
        <v>24</v>
      </c>
      <c r="I265" s="1"/>
      <c r="J265" s="10"/>
      <c r="K265" s="9"/>
      <c r="L265" s="1" t="s">
        <v>285</v>
      </c>
      <c r="M265" s="1">
        <f>'Dispatch and Sales per day'!AB194</f>
        <v>24</v>
      </c>
      <c r="N265" s="1"/>
      <c r="O265" s="10"/>
    </row>
    <row r="266" spans="1:15" x14ac:dyDescent="0.35">
      <c r="A266" s="9"/>
      <c r="B266" s="1" t="s">
        <v>311</v>
      </c>
      <c r="C266" s="1">
        <f>'Dispatch and Sales per day'!D196</f>
        <v>0</v>
      </c>
      <c r="D266" s="1"/>
      <c r="E266" s="79"/>
      <c r="F266" s="9"/>
      <c r="G266" s="1" t="s">
        <v>311</v>
      </c>
      <c r="H266" s="1">
        <f>'Dispatch and Sales per day'!P196</f>
        <v>0</v>
      </c>
      <c r="I266" s="1"/>
      <c r="J266" s="10"/>
      <c r="K266" s="9"/>
      <c r="L266" s="1" t="s">
        <v>311</v>
      </c>
      <c r="M266" s="1">
        <f>'Dispatch and Sales per day'!AB196</f>
        <v>0</v>
      </c>
      <c r="N266" s="1"/>
      <c r="O266" s="10"/>
    </row>
    <row r="267" spans="1:15" x14ac:dyDescent="0.35">
      <c r="A267" s="9"/>
      <c r="B267" s="1" t="s">
        <v>286</v>
      </c>
      <c r="C267" s="1">
        <f>'Dispatch and Sales per day'!D198</f>
        <v>0</v>
      </c>
      <c r="D267" s="1"/>
      <c r="E267" s="79"/>
      <c r="F267" s="9"/>
      <c r="G267" s="1" t="s">
        <v>286</v>
      </c>
      <c r="H267" s="1">
        <f>'Dispatch and Sales per day'!P198</f>
        <v>0</v>
      </c>
      <c r="I267" s="1"/>
      <c r="J267" s="10"/>
      <c r="K267" s="9"/>
      <c r="L267" s="1" t="s">
        <v>286</v>
      </c>
      <c r="M267" s="1">
        <f>'Dispatch and Sales per day'!AB198</f>
        <v>0</v>
      </c>
      <c r="N267" s="1"/>
      <c r="O267" s="10"/>
    </row>
    <row r="268" spans="1:15" x14ac:dyDescent="0.35">
      <c r="A268" s="9"/>
      <c r="B268" s="1" t="s">
        <v>154</v>
      </c>
      <c r="C268" s="1"/>
      <c r="D268" s="1">
        <f>SUM(C261:C267)</f>
        <v>607</v>
      </c>
      <c r="E268" s="79"/>
      <c r="F268" s="9"/>
      <c r="G268" s="1" t="s">
        <v>154</v>
      </c>
      <c r="H268" s="1"/>
      <c r="I268" s="1">
        <f>SUM(H261:H267)</f>
        <v>521</v>
      </c>
      <c r="J268" s="10"/>
      <c r="K268" s="9"/>
      <c r="L268" s="1" t="s">
        <v>154</v>
      </c>
      <c r="M268" s="1"/>
      <c r="N268" s="1">
        <f>SUM(M261:M267)</f>
        <v>504</v>
      </c>
      <c r="O268" s="10"/>
    </row>
    <row r="269" spans="1:15" ht="15" thickBot="1" x14ac:dyDescent="0.4">
      <c r="A269" s="9"/>
      <c r="B269" s="1" t="s">
        <v>155</v>
      </c>
      <c r="C269" s="1"/>
      <c r="D269" s="78">
        <f>D260-D268</f>
        <v>1833</v>
      </c>
      <c r="E269" s="79"/>
      <c r="F269" s="9"/>
      <c r="G269" s="1" t="s">
        <v>155</v>
      </c>
      <c r="H269" s="1"/>
      <c r="I269" s="78">
        <f>I260-I268</f>
        <v>1073</v>
      </c>
      <c r="J269" s="10"/>
      <c r="K269" s="9"/>
      <c r="L269" s="1" t="s">
        <v>155</v>
      </c>
      <c r="M269" s="1"/>
      <c r="N269" s="78">
        <f>N260-N268</f>
        <v>1242</v>
      </c>
      <c r="O269" s="10"/>
    </row>
    <row r="270" spans="1:15" ht="15" thickTop="1" x14ac:dyDescent="0.35">
      <c r="A270" s="9" t="s">
        <v>48</v>
      </c>
      <c r="B270" s="1" t="s">
        <v>14</v>
      </c>
      <c r="C270" s="1"/>
      <c r="D270" s="6">
        <f>'Dispatch and Sales per day'!G199</f>
        <v>308</v>
      </c>
      <c r="E270" s="79"/>
      <c r="F270" s="9" t="s">
        <v>48</v>
      </c>
      <c r="G270" s="1" t="s">
        <v>14</v>
      </c>
      <c r="H270" s="1"/>
      <c r="I270" s="6">
        <f>'Dispatch and Sales per day'!S199</f>
        <v>95</v>
      </c>
      <c r="J270" s="10"/>
      <c r="K270" s="9" t="s">
        <v>48</v>
      </c>
      <c r="L270" s="1" t="s">
        <v>14</v>
      </c>
      <c r="M270" s="1"/>
      <c r="N270" s="6">
        <f>'Dispatch and Sales per day'!AE199</f>
        <v>158</v>
      </c>
      <c r="O270" s="10"/>
    </row>
    <row r="271" spans="1:15" ht="15" thickBot="1" x14ac:dyDescent="0.4">
      <c r="A271" s="9"/>
      <c r="B271" s="1" t="s">
        <v>47</v>
      </c>
      <c r="C271" s="1"/>
      <c r="D271" s="76">
        <f>D269+D270</f>
        <v>2141</v>
      </c>
      <c r="E271" s="36"/>
      <c r="F271" s="9"/>
      <c r="G271" s="1" t="s">
        <v>47</v>
      </c>
      <c r="H271" s="1"/>
      <c r="I271" s="76">
        <f>I269+I270</f>
        <v>1168</v>
      </c>
      <c r="J271" s="10"/>
      <c r="K271" s="9"/>
      <c r="L271" s="1" t="s">
        <v>47</v>
      </c>
      <c r="M271" s="1"/>
      <c r="N271" s="76">
        <f>N269+N270</f>
        <v>1400</v>
      </c>
      <c r="O271" s="10"/>
    </row>
    <row r="272" spans="1:15" ht="15" thickTop="1" x14ac:dyDescent="0.35">
      <c r="A272" s="35"/>
      <c r="B272" s="5" t="s">
        <v>547</v>
      </c>
      <c r="C272" s="5"/>
      <c r="D272" s="298">
        <f>D258-866</f>
        <v>914</v>
      </c>
      <c r="F272" s="35"/>
      <c r="G272" s="5" t="s">
        <v>557</v>
      </c>
      <c r="H272" s="5"/>
      <c r="I272" s="298">
        <v>12</v>
      </c>
      <c r="J272" s="37"/>
      <c r="K272" s="35"/>
      <c r="L272" s="5"/>
      <c r="M272" s="5"/>
      <c r="N272" s="204"/>
      <c r="O272" s="37"/>
    </row>
    <row r="273" spans="1:15" x14ac:dyDescent="0.35">
      <c r="A273" s="35"/>
      <c r="B273" s="5"/>
      <c r="C273" s="5"/>
      <c r="D273" s="2"/>
      <c r="F273" s="35"/>
      <c r="G273" s="5" t="s">
        <v>558</v>
      </c>
      <c r="H273" s="5"/>
      <c r="I273" s="298">
        <f>I258-587</f>
        <v>186</v>
      </c>
      <c r="J273" s="37"/>
      <c r="K273" s="35"/>
      <c r="L273" s="5"/>
      <c r="M273" s="5"/>
      <c r="N273" s="2"/>
      <c r="O273" s="37"/>
    </row>
    <row r="274" spans="1:15" ht="15" thickBot="1" x14ac:dyDescent="0.4">
      <c r="A274" s="11"/>
      <c r="B274" s="12"/>
      <c r="C274" s="12"/>
      <c r="D274" s="203">
        <f>D271-D272</f>
        <v>1227</v>
      </c>
      <c r="E274" s="17"/>
      <c r="F274" s="11"/>
      <c r="G274" s="12"/>
      <c r="H274" s="12"/>
      <c r="I274" s="203">
        <f>I271+I272-I273</f>
        <v>994</v>
      </c>
      <c r="J274" s="13"/>
      <c r="K274" s="11"/>
      <c r="L274" s="12"/>
      <c r="M274" s="12"/>
      <c r="N274" s="12"/>
      <c r="O274" s="13"/>
    </row>
    <row r="275" spans="1:15" x14ac:dyDescent="0.35">
      <c r="A275" s="80" t="s">
        <v>490</v>
      </c>
      <c r="B275" s="41" t="s">
        <v>39</v>
      </c>
      <c r="C275" s="41"/>
      <c r="D275" s="41">
        <f>D274</f>
        <v>1227</v>
      </c>
      <c r="E275" s="92"/>
      <c r="F275" s="80" t="s">
        <v>490</v>
      </c>
      <c r="G275" s="41" t="s">
        <v>39</v>
      </c>
      <c r="H275" s="41"/>
      <c r="I275" s="41">
        <f>I274</f>
        <v>994</v>
      </c>
      <c r="J275" s="81"/>
      <c r="K275" s="80" t="s">
        <v>490</v>
      </c>
      <c r="L275" s="41" t="s">
        <v>39</v>
      </c>
      <c r="M275" s="41"/>
      <c r="N275" s="41">
        <f>N271</f>
        <v>1400</v>
      </c>
      <c r="O275" s="81"/>
    </row>
    <row r="276" spans="1:15" x14ac:dyDescent="0.35">
      <c r="A276" s="9"/>
      <c r="B276" s="1" t="s">
        <v>369</v>
      </c>
      <c r="C276" s="1"/>
      <c r="D276" s="1">
        <f>Production!G313</f>
        <v>528</v>
      </c>
      <c r="E276" s="79"/>
      <c r="F276" s="9"/>
      <c r="G276" s="1" t="s">
        <v>537</v>
      </c>
      <c r="H276" s="1"/>
      <c r="I276" s="57">
        <f>Production!O313</f>
        <v>898</v>
      </c>
      <c r="J276" s="10"/>
      <c r="K276" s="9"/>
      <c r="L276" s="1" t="s">
        <v>254</v>
      </c>
      <c r="M276" s="1"/>
      <c r="N276" s="57">
        <f>Production!Y313</f>
        <v>612</v>
      </c>
      <c r="O276" s="10"/>
    </row>
    <row r="277" spans="1:15" ht="15" thickBot="1" x14ac:dyDescent="0.4">
      <c r="A277" s="9"/>
      <c r="B277" s="1" t="s">
        <v>153</v>
      </c>
      <c r="C277" s="1"/>
      <c r="D277" s="78">
        <f>D275+D276</f>
        <v>1755</v>
      </c>
      <c r="E277" s="79"/>
      <c r="F277" s="9"/>
      <c r="G277" s="1" t="s">
        <v>153</v>
      </c>
      <c r="H277" s="1"/>
      <c r="I277" s="78">
        <f>I275+I276</f>
        <v>1892</v>
      </c>
      <c r="J277" s="10"/>
      <c r="K277" s="9"/>
      <c r="L277" s="1" t="s">
        <v>153</v>
      </c>
      <c r="M277" s="1"/>
      <c r="N277" s="78">
        <f>N275+N276</f>
        <v>2012</v>
      </c>
      <c r="O277" s="10"/>
    </row>
    <row r="278" spans="1:15" ht="15" thickTop="1" x14ac:dyDescent="0.35">
      <c r="A278" s="9" t="s">
        <v>46</v>
      </c>
      <c r="B278" s="1" t="s">
        <v>538</v>
      </c>
      <c r="C278" s="1">
        <f>'Dispatch and Sales per day'!D200+'Dispatch and Sales per day'!D201</f>
        <v>225</v>
      </c>
      <c r="D278" s="6"/>
      <c r="E278" s="79"/>
      <c r="F278" s="9" t="s">
        <v>46</v>
      </c>
      <c r="G278" s="1" t="s">
        <v>538</v>
      </c>
      <c r="H278" s="1">
        <f>'Dispatch and Sales per day'!P200+'Dispatch and Sales per day'!D201</f>
        <v>261</v>
      </c>
      <c r="I278" s="6"/>
      <c r="J278" s="10"/>
      <c r="K278" s="9" t="s">
        <v>46</v>
      </c>
      <c r="L278" s="1" t="s">
        <v>538</v>
      </c>
      <c r="M278" s="1">
        <f>'Dispatch and Sales per day'!AB200</f>
        <v>180</v>
      </c>
      <c r="N278" s="6"/>
      <c r="O278" s="10"/>
    </row>
    <row r="279" spans="1:15" x14ac:dyDescent="0.35">
      <c r="A279" s="9"/>
      <c r="B279" s="1" t="s">
        <v>540</v>
      </c>
      <c r="C279" s="1">
        <f>'Dispatch and Sales per day'!D202</f>
        <v>225</v>
      </c>
      <c r="D279" s="1"/>
      <c r="E279" s="79"/>
      <c r="F279" s="9"/>
      <c r="G279" s="1" t="s">
        <v>540</v>
      </c>
      <c r="H279" s="1">
        <f>'Dispatch and Sales per day'!P202</f>
        <v>240</v>
      </c>
      <c r="I279" s="1"/>
      <c r="J279" s="10"/>
      <c r="K279" s="9"/>
      <c r="L279" s="1" t="s">
        <v>540</v>
      </c>
      <c r="M279" s="1">
        <f>'Dispatch and Sales per day'!AB202</f>
        <v>240</v>
      </c>
      <c r="N279" s="1"/>
      <c r="O279" s="10"/>
    </row>
    <row r="280" spans="1:15" x14ac:dyDescent="0.35">
      <c r="A280" s="9"/>
      <c r="B280" s="1" t="s">
        <v>506</v>
      </c>
      <c r="C280" s="1">
        <f>'Dispatch and Sales per day'!D203</f>
        <v>135</v>
      </c>
      <c r="D280" s="1"/>
      <c r="E280" s="79"/>
      <c r="F280" s="9"/>
      <c r="G280" s="1" t="s">
        <v>506</v>
      </c>
      <c r="H280" s="1">
        <f>'Dispatch and Sales per day'!P203</f>
        <v>144</v>
      </c>
      <c r="I280" s="1"/>
      <c r="J280" s="10"/>
      <c r="K280" s="9"/>
      <c r="L280" s="1" t="s">
        <v>506</v>
      </c>
      <c r="M280" s="1">
        <f>'Dispatch and Sales per day'!AB203</f>
        <v>96</v>
      </c>
      <c r="N280" s="1"/>
      <c r="O280" s="10"/>
    </row>
    <row r="281" spans="1:15" x14ac:dyDescent="0.35">
      <c r="A281" s="9"/>
      <c r="B281" s="1" t="s">
        <v>84</v>
      </c>
      <c r="C281" s="1">
        <f>'Dispatch and Sales per day'!D204+'Dispatch and Sales per day'!D205</f>
        <v>30</v>
      </c>
      <c r="D281" s="1"/>
      <c r="E281" s="79"/>
      <c r="F281" s="9"/>
      <c r="G281" s="1" t="s">
        <v>84</v>
      </c>
      <c r="H281" s="1">
        <f>'Dispatch and Sales per day'!P204</f>
        <v>60</v>
      </c>
      <c r="I281" s="1"/>
      <c r="J281" s="10"/>
      <c r="K281" s="9"/>
      <c r="L281" s="1" t="s">
        <v>84</v>
      </c>
      <c r="M281" s="1">
        <f>'Dispatch and Sales per day'!AB204</f>
        <v>60</v>
      </c>
      <c r="N281" s="1"/>
      <c r="O281" s="10"/>
    </row>
    <row r="282" spans="1:15" x14ac:dyDescent="0.35">
      <c r="A282" s="9"/>
      <c r="B282" s="1" t="s">
        <v>285</v>
      </c>
      <c r="C282" s="1">
        <f>'Dispatch and Sales per day'!D206</f>
        <v>15</v>
      </c>
      <c r="D282" s="1"/>
      <c r="E282" s="79"/>
      <c r="F282" s="9"/>
      <c r="G282" s="1" t="s">
        <v>285</v>
      </c>
      <c r="H282" s="1">
        <f>'Dispatch and Sales per day'!P206</f>
        <v>53</v>
      </c>
      <c r="I282" s="1"/>
      <c r="J282" s="10"/>
      <c r="K282" s="9"/>
      <c r="L282" s="1" t="s">
        <v>285</v>
      </c>
      <c r="M282" s="1">
        <f>'Dispatch and Sales per day'!AB206+'Dispatch and Sales per day'!AB207</f>
        <v>25</v>
      </c>
      <c r="N282" s="1"/>
      <c r="O282" s="10"/>
    </row>
    <row r="283" spans="1:15" x14ac:dyDescent="0.35">
      <c r="A283" s="9"/>
      <c r="B283" s="1" t="s">
        <v>311</v>
      </c>
      <c r="C283" s="1">
        <v>0</v>
      </c>
      <c r="D283" s="1"/>
      <c r="E283" s="79"/>
      <c r="F283" s="9"/>
      <c r="G283" s="1" t="s">
        <v>311</v>
      </c>
      <c r="H283" s="1">
        <v>0</v>
      </c>
      <c r="I283" s="1"/>
      <c r="J283" s="10"/>
      <c r="K283" s="9"/>
      <c r="L283" s="1" t="s">
        <v>311</v>
      </c>
      <c r="M283" s="1">
        <v>0</v>
      </c>
      <c r="N283" s="1"/>
      <c r="O283" s="10"/>
    </row>
    <row r="284" spans="1:15" x14ac:dyDescent="0.35">
      <c r="A284" s="9"/>
      <c r="B284" s="1" t="s">
        <v>321</v>
      </c>
      <c r="C284" s="1">
        <v>0</v>
      </c>
      <c r="D284" s="1"/>
      <c r="E284" s="79"/>
      <c r="F284" s="9"/>
      <c r="G284" s="1" t="s">
        <v>321</v>
      </c>
      <c r="H284" s="1">
        <v>0</v>
      </c>
      <c r="I284" s="1"/>
      <c r="J284" s="10"/>
      <c r="K284" s="9"/>
      <c r="L284" s="1" t="s">
        <v>321</v>
      </c>
      <c r="M284" s="1">
        <v>0</v>
      </c>
      <c r="N284" s="1"/>
      <c r="O284" s="10"/>
    </row>
    <row r="285" spans="1:15" x14ac:dyDescent="0.35">
      <c r="A285" s="9"/>
      <c r="B285" s="1" t="s">
        <v>286</v>
      </c>
      <c r="C285" s="1">
        <f>'Dispatch and Sales per day'!D209</f>
        <v>0</v>
      </c>
      <c r="D285" s="1"/>
      <c r="E285" s="79"/>
      <c r="F285" s="9"/>
      <c r="G285" s="1" t="s">
        <v>286</v>
      </c>
      <c r="H285" s="1">
        <f>'Dispatch and Sales per day'!P209</f>
        <v>0</v>
      </c>
      <c r="I285" s="1"/>
      <c r="J285" s="10"/>
      <c r="K285" s="9"/>
      <c r="L285" s="1" t="s">
        <v>286</v>
      </c>
      <c r="M285" s="1">
        <f>'Dispatch and Sales per day'!AB209</f>
        <v>0</v>
      </c>
      <c r="N285" s="1"/>
      <c r="O285" s="10"/>
    </row>
    <row r="286" spans="1:15" x14ac:dyDescent="0.35">
      <c r="A286" s="9"/>
      <c r="B286" s="1" t="s">
        <v>154</v>
      </c>
      <c r="C286" s="1"/>
      <c r="D286" s="1">
        <f>SUM(C278:C285)</f>
        <v>630</v>
      </c>
      <c r="E286" s="79"/>
      <c r="F286" s="9"/>
      <c r="G286" s="1" t="s">
        <v>154</v>
      </c>
      <c r="H286" s="1"/>
      <c r="I286" s="1">
        <f>SUM(H278:H285)</f>
        <v>758</v>
      </c>
      <c r="J286" s="10"/>
      <c r="K286" s="9"/>
      <c r="L286" s="1" t="s">
        <v>154</v>
      </c>
      <c r="M286" s="1"/>
      <c r="N286" s="1">
        <f>SUM(M278:M285)</f>
        <v>601</v>
      </c>
      <c r="O286" s="10"/>
    </row>
    <row r="287" spans="1:15" ht="15" thickBot="1" x14ac:dyDescent="0.4">
      <c r="A287" s="9"/>
      <c r="B287" s="1" t="s">
        <v>155</v>
      </c>
      <c r="C287" s="1"/>
      <c r="D287" s="78">
        <f>D277-D286</f>
        <v>1125</v>
      </c>
      <c r="E287" s="79"/>
      <c r="F287" s="9"/>
      <c r="G287" s="1" t="s">
        <v>155</v>
      </c>
      <c r="H287" s="1"/>
      <c r="I287" s="78">
        <f>I277-I286</f>
        <v>1134</v>
      </c>
      <c r="J287" s="10"/>
      <c r="K287" s="9"/>
      <c r="L287" s="1" t="s">
        <v>155</v>
      </c>
      <c r="M287" s="1"/>
      <c r="N287" s="78">
        <f>N277-N286</f>
        <v>1411</v>
      </c>
      <c r="O287" s="10"/>
    </row>
    <row r="288" spans="1:15" ht="15" thickTop="1" x14ac:dyDescent="0.35">
      <c r="A288" s="9" t="s">
        <v>48</v>
      </c>
      <c r="B288" s="1" t="s">
        <v>14</v>
      </c>
      <c r="C288" s="1"/>
      <c r="D288" s="6">
        <f>'Dispatch and Sales per day'!G210</f>
        <v>339</v>
      </c>
      <c r="E288" s="79"/>
      <c r="F288" s="9" t="s">
        <v>48</v>
      </c>
      <c r="G288" s="1" t="s">
        <v>14</v>
      </c>
      <c r="H288" s="1"/>
      <c r="I288" s="32">
        <f>'Dispatch and Sales per day'!S210</f>
        <v>124</v>
      </c>
      <c r="J288" s="10"/>
      <c r="K288" s="9" t="s">
        <v>48</v>
      </c>
      <c r="L288" s="1" t="s">
        <v>14</v>
      </c>
      <c r="M288" s="1"/>
      <c r="N288" s="6">
        <f>'Dispatch and Sales per day'!AE210</f>
        <v>151</v>
      </c>
      <c r="O288" s="10"/>
    </row>
    <row r="289" spans="1:15" ht="15" thickBot="1" x14ac:dyDescent="0.4">
      <c r="A289" s="9"/>
      <c r="B289" s="1" t="s">
        <v>47</v>
      </c>
      <c r="C289" s="1"/>
      <c r="D289" s="76">
        <f>D287+D288</f>
        <v>1464</v>
      </c>
      <c r="E289" s="36"/>
      <c r="F289" s="9"/>
      <c r="G289" s="1" t="s">
        <v>47</v>
      </c>
      <c r="H289" s="1"/>
      <c r="I289" s="76">
        <f>I287+I288</f>
        <v>1258</v>
      </c>
      <c r="J289" s="10"/>
      <c r="K289" s="9"/>
      <c r="L289" s="1" t="s">
        <v>47</v>
      </c>
      <c r="M289" s="1"/>
      <c r="N289" s="76">
        <f>N287+N288</f>
        <v>1562</v>
      </c>
      <c r="O289" s="10"/>
    </row>
    <row r="290" spans="1:15" ht="15" thickTop="1" x14ac:dyDescent="0.35">
      <c r="A290" s="35"/>
      <c r="B290" s="5" t="s">
        <v>559</v>
      </c>
      <c r="C290" s="5"/>
      <c r="D290" s="298">
        <f>D289-1452</f>
        <v>12</v>
      </c>
      <c r="F290" s="35"/>
      <c r="G290" s="5" t="s">
        <v>553</v>
      </c>
      <c r="H290" s="5"/>
      <c r="I290" s="2">
        <v>4</v>
      </c>
      <c r="J290" s="37"/>
      <c r="K290" s="35"/>
      <c r="L290" s="5"/>
      <c r="M290" s="5"/>
      <c r="N290" s="2"/>
      <c r="O290" s="37"/>
    </row>
    <row r="291" spans="1:15" ht="15" thickBot="1" x14ac:dyDescent="0.4">
      <c r="A291" s="11"/>
      <c r="B291" s="12"/>
      <c r="C291" s="12"/>
      <c r="D291" s="203">
        <f>D289-D290</f>
        <v>1452</v>
      </c>
      <c r="E291" s="17"/>
      <c r="F291" s="11"/>
      <c r="G291" s="12"/>
      <c r="H291" s="12"/>
      <c r="I291" s="76">
        <f>I289+I290</f>
        <v>1262</v>
      </c>
      <c r="J291" s="13"/>
      <c r="K291" s="11"/>
      <c r="L291" s="12"/>
      <c r="M291" s="12"/>
      <c r="N291" s="12"/>
      <c r="O291" s="13"/>
    </row>
    <row r="292" spans="1:15" x14ac:dyDescent="0.35">
      <c r="A292" s="80" t="s">
        <v>492</v>
      </c>
      <c r="B292" s="41" t="s">
        <v>39</v>
      </c>
      <c r="C292" s="41"/>
      <c r="D292" s="41">
        <f>D291</f>
        <v>1452</v>
      </c>
      <c r="E292" s="92"/>
      <c r="F292" s="80" t="s">
        <v>492</v>
      </c>
      <c r="G292" s="41" t="s">
        <v>39</v>
      </c>
      <c r="H292" s="41"/>
      <c r="I292" s="6">
        <f>I291</f>
        <v>1262</v>
      </c>
      <c r="J292" s="81"/>
      <c r="K292" s="80" t="s">
        <v>492</v>
      </c>
      <c r="L292" s="41" t="s">
        <v>39</v>
      </c>
      <c r="M292" s="41"/>
      <c r="N292" s="41">
        <f>N289</f>
        <v>1562</v>
      </c>
      <c r="O292" s="81"/>
    </row>
    <row r="293" spans="1:15" x14ac:dyDescent="0.35">
      <c r="A293" s="9"/>
      <c r="B293" s="1" t="s">
        <v>361</v>
      </c>
      <c r="C293" s="1"/>
      <c r="D293" s="1">
        <f>Production!G330</f>
        <v>396</v>
      </c>
      <c r="E293" s="79"/>
      <c r="F293" s="9"/>
      <c r="G293" s="1" t="s">
        <v>278</v>
      </c>
      <c r="H293" s="1"/>
      <c r="I293" s="57">
        <f>Production!O330</f>
        <v>800</v>
      </c>
      <c r="J293" s="10"/>
      <c r="K293" s="9"/>
      <c r="L293" s="1" t="s">
        <v>282</v>
      </c>
      <c r="M293" s="1"/>
      <c r="N293" s="57">
        <f>Production!Y330</f>
        <v>510</v>
      </c>
      <c r="O293" s="10"/>
    </row>
    <row r="294" spans="1:15" ht="15" thickBot="1" x14ac:dyDescent="0.4">
      <c r="A294" s="9"/>
      <c r="B294" s="1" t="s">
        <v>153</v>
      </c>
      <c r="C294" s="1"/>
      <c r="D294" s="78">
        <f>D292+D293</f>
        <v>1848</v>
      </c>
      <c r="E294" s="79"/>
      <c r="F294" s="9"/>
      <c r="G294" s="1" t="s">
        <v>153</v>
      </c>
      <c r="H294" s="1"/>
      <c r="I294" s="78">
        <f>I292+I293</f>
        <v>2062</v>
      </c>
      <c r="J294" s="10"/>
      <c r="K294" s="9"/>
      <c r="L294" s="1" t="s">
        <v>153</v>
      </c>
      <c r="M294" s="1"/>
      <c r="N294" s="78">
        <f>N292+N293</f>
        <v>2072</v>
      </c>
      <c r="O294" s="10"/>
    </row>
    <row r="295" spans="1:15" ht="15" thickTop="1" x14ac:dyDescent="0.35">
      <c r="A295" s="9" t="s">
        <v>46</v>
      </c>
      <c r="B295" s="1" t="s">
        <v>538</v>
      </c>
      <c r="C295" s="1">
        <f>'Dispatch and Sales per day'!D211+'Dispatch and Sales per day'!D212</f>
        <v>225</v>
      </c>
      <c r="D295" s="6"/>
      <c r="E295" s="79"/>
      <c r="F295" s="9" t="s">
        <v>46</v>
      </c>
      <c r="G295" s="1" t="s">
        <v>538</v>
      </c>
      <c r="H295" s="1">
        <f>'Dispatch and Sales per day'!P211</f>
        <v>192</v>
      </c>
      <c r="I295" s="6"/>
      <c r="J295" s="10"/>
      <c r="K295" s="9" t="s">
        <v>46</v>
      </c>
      <c r="L295" s="1" t="s">
        <v>538</v>
      </c>
      <c r="M295" s="1">
        <f>'Dispatch and Sales per day'!AB211</f>
        <v>192</v>
      </c>
      <c r="N295" s="6"/>
      <c r="O295" s="10"/>
    </row>
    <row r="296" spans="1:15" x14ac:dyDescent="0.35">
      <c r="A296" s="9"/>
      <c r="B296" s="1" t="s">
        <v>540</v>
      </c>
      <c r="C296" s="1">
        <f>'Dispatch and Sales per day'!D213</f>
        <v>300</v>
      </c>
      <c r="D296" s="1"/>
      <c r="E296" s="79"/>
      <c r="F296" s="9"/>
      <c r="G296" s="1" t="s">
        <v>540</v>
      </c>
      <c r="H296" s="1">
        <f>'Dispatch and Sales per day'!P213</f>
        <v>360</v>
      </c>
      <c r="I296" s="1"/>
      <c r="J296" s="10"/>
      <c r="K296" s="9"/>
      <c r="L296" s="1" t="s">
        <v>540</v>
      </c>
      <c r="M296" s="1">
        <f>'Dispatch and Sales per day'!AB213</f>
        <v>360</v>
      </c>
      <c r="N296" s="1"/>
      <c r="O296" s="10"/>
    </row>
    <row r="297" spans="1:15" x14ac:dyDescent="0.35">
      <c r="A297" s="9"/>
      <c r="B297" s="1" t="s">
        <v>506</v>
      </c>
      <c r="C297" s="1">
        <f>'Dispatch and Sales per day'!D214</f>
        <v>150</v>
      </c>
      <c r="D297" s="1"/>
      <c r="E297" s="79"/>
      <c r="F297" s="9"/>
      <c r="G297" s="1" t="s">
        <v>506</v>
      </c>
      <c r="H297" s="1">
        <f>'Dispatch and Sales per day'!P214</f>
        <v>192</v>
      </c>
      <c r="I297" s="1"/>
      <c r="J297" s="10"/>
      <c r="K297" s="9"/>
      <c r="L297" s="1" t="s">
        <v>506</v>
      </c>
      <c r="M297" s="1">
        <f>'Dispatch and Sales per day'!AB214</f>
        <v>168</v>
      </c>
      <c r="N297" s="1"/>
      <c r="O297" s="10"/>
    </row>
    <row r="298" spans="1:15" x14ac:dyDescent="0.35">
      <c r="A298" s="9"/>
      <c r="B298" s="1" t="s">
        <v>84</v>
      </c>
      <c r="C298" s="1">
        <f>'Dispatch and Sales per day'!D215</f>
        <v>30</v>
      </c>
      <c r="D298" s="1"/>
      <c r="E298" s="79"/>
      <c r="F298" s="9"/>
      <c r="G298" s="1" t="s">
        <v>84</v>
      </c>
      <c r="H298" s="1">
        <f>'Dispatch and Sales per day'!P215</f>
        <v>60</v>
      </c>
      <c r="I298" s="1"/>
      <c r="J298" s="10"/>
      <c r="K298" s="9"/>
      <c r="L298" s="1" t="s">
        <v>84</v>
      </c>
      <c r="M298" s="1">
        <f>'Dispatch and Sales per day'!AB215</f>
        <v>60</v>
      </c>
      <c r="N298" s="1"/>
      <c r="O298" s="10"/>
    </row>
    <row r="299" spans="1:15" x14ac:dyDescent="0.35">
      <c r="A299" s="9"/>
      <c r="B299" s="1" t="s">
        <v>285</v>
      </c>
      <c r="C299" s="1">
        <f>'Dispatch and Sales per day'!D216+'Dispatch and Sales per day'!D217+'Dispatch and Sales per day'!D217+'Dispatch and Sales per day'!D218</f>
        <v>88</v>
      </c>
      <c r="D299" s="1"/>
      <c r="E299" s="79"/>
      <c r="F299" s="9"/>
      <c r="G299" s="1" t="s">
        <v>285</v>
      </c>
      <c r="H299" s="1">
        <f>'Dispatch and Sales per day'!P216+'Dispatch and Sales per day'!P217</f>
        <v>102</v>
      </c>
      <c r="I299" s="1"/>
      <c r="J299" s="10"/>
      <c r="K299" s="9"/>
      <c r="L299" s="1" t="s">
        <v>285</v>
      </c>
      <c r="M299" s="1">
        <f>'Dispatch and Sales per day'!AB216+'Dispatch and Sales per day'!AB217</f>
        <v>84</v>
      </c>
      <c r="N299" s="1"/>
      <c r="O299" s="10"/>
    </row>
    <row r="300" spans="1:15" x14ac:dyDescent="0.35">
      <c r="A300" s="9"/>
      <c r="B300" s="1" t="s">
        <v>311</v>
      </c>
      <c r="C300" s="1">
        <f>'Dispatch and Sales per day'!D220</f>
        <v>233</v>
      </c>
      <c r="D300" s="1"/>
      <c r="E300" s="79"/>
      <c r="F300" s="9"/>
      <c r="G300" s="1" t="s">
        <v>311</v>
      </c>
      <c r="H300" s="1">
        <f>'Dispatch and Sales per day'!P220</f>
        <v>129</v>
      </c>
      <c r="I300" s="1"/>
      <c r="J300" s="10"/>
      <c r="K300" s="9"/>
      <c r="L300" s="1" t="s">
        <v>311</v>
      </c>
      <c r="M300" s="1">
        <f>'Dispatch and Sales per day'!AB220</f>
        <v>181</v>
      </c>
      <c r="N300" s="1"/>
      <c r="O300" s="10"/>
    </row>
    <row r="301" spans="1:15" x14ac:dyDescent="0.35">
      <c r="A301" s="9"/>
      <c r="B301" s="1" t="s">
        <v>311</v>
      </c>
      <c r="C301" s="1">
        <v>0</v>
      </c>
      <c r="D301" s="1"/>
      <c r="E301" s="79"/>
      <c r="F301" s="9"/>
      <c r="G301" s="1" t="s">
        <v>311</v>
      </c>
      <c r="H301" s="1">
        <v>0</v>
      </c>
      <c r="I301" s="1"/>
      <c r="J301" s="10"/>
      <c r="K301" s="9"/>
      <c r="L301" s="1" t="s">
        <v>311</v>
      </c>
      <c r="M301" s="1">
        <v>0</v>
      </c>
      <c r="N301" s="1"/>
      <c r="O301" s="10"/>
    </row>
    <row r="302" spans="1:15" x14ac:dyDescent="0.35">
      <c r="A302" s="9"/>
      <c r="B302" s="1" t="s">
        <v>286</v>
      </c>
      <c r="C302" s="1">
        <f>'Dispatch and Sales per day'!D222</f>
        <v>0</v>
      </c>
      <c r="D302" s="1"/>
      <c r="E302" s="79"/>
      <c r="F302" s="9"/>
      <c r="G302" s="1" t="s">
        <v>286</v>
      </c>
      <c r="H302" s="1">
        <f>'Dispatch and Sales per day'!P222</f>
        <v>0</v>
      </c>
      <c r="I302" s="1"/>
      <c r="J302" s="10"/>
      <c r="K302" s="9"/>
      <c r="L302" s="1" t="s">
        <v>286</v>
      </c>
      <c r="M302" s="1">
        <f>'Dispatch and Sales per day'!AB222</f>
        <v>0</v>
      </c>
      <c r="N302" s="1"/>
      <c r="O302" s="10"/>
    </row>
    <row r="303" spans="1:15" x14ac:dyDescent="0.35">
      <c r="A303" s="9"/>
      <c r="B303" s="1" t="s">
        <v>154</v>
      </c>
      <c r="C303" s="1"/>
      <c r="D303" s="1">
        <f>SUM(C295:C302)</f>
        <v>1026</v>
      </c>
      <c r="E303" s="79"/>
      <c r="F303" s="9"/>
      <c r="G303" s="1" t="s">
        <v>154</v>
      </c>
      <c r="H303" s="1"/>
      <c r="I303" s="1">
        <f>SUM(H295:H302)</f>
        <v>1035</v>
      </c>
      <c r="J303" s="10"/>
      <c r="K303" s="9"/>
      <c r="L303" s="1" t="s">
        <v>154</v>
      </c>
      <c r="M303" s="1"/>
      <c r="N303" s="1">
        <f>SUM(M295:M302)</f>
        <v>1045</v>
      </c>
      <c r="O303" s="10"/>
    </row>
    <row r="304" spans="1:15" ht="15" thickBot="1" x14ac:dyDescent="0.4">
      <c r="A304" s="9"/>
      <c r="B304" s="1" t="s">
        <v>155</v>
      </c>
      <c r="C304" s="1"/>
      <c r="D304" s="78">
        <f>D294-D303</f>
        <v>822</v>
      </c>
      <c r="E304" s="79"/>
      <c r="F304" s="9"/>
      <c r="G304" s="1" t="s">
        <v>155</v>
      </c>
      <c r="H304" s="1"/>
      <c r="I304" s="78">
        <f>I294-I303</f>
        <v>1027</v>
      </c>
      <c r="J304" s="10"/>
      <c r="K304" s="9"/>
      <c r="L304" s="1" t="s">
        <v>155</v>
      </c>
      <c r="M304" s="1"/>
      <c r="N304" s="78">
        <f>N294-N303</f>
        <v>1027</v>
      </c>
      <c r="O304" s="10"/>
    </row>
    <row r="305" spans="1:15" ht="15" thickTop="1" x14ac:dyDescent="0.35">
      <c r="A305" s="9" t="s">
        <v>48</v>
      </c>
      <c r="B305" s="1" t="s">
        <v>14</v>
      </c>
      <c r="C305" s="1"/>
      <c r="D305" s="6">
        <f>'Dispatch and Sales per day'!G223</f>
        <v>379</v>
      </c>
      <c r="E305" s="79"/>
      <c r="F305" s="9" t="s">
        <v>48</v>
      </c>
      <c r="G305" s="1" t="s">
        <v>14</v>
      </c>
      <c r="H305" s="1"/>
      <c r="I305" s="6">
        <f>'Dispatch and Sales per day'!S223</f>
        <v>234</v>
      </c>
      <c r="J305" s="10"/>
      <c r="K305" s="9" t="s">
        <v>48</v>
      </c>
      <c r="L305" s="1" t="s">
        <v>14</v>
      </c>
      <c r="M305" s="1"/>
      <c r="N305" s="6">
        <f>'Dispatch and Sales per day'!AE223</f>
        <v>375</v>
      </c>
      <c r="O305" s="10"/>
    </row>
    <row r="306" spans="1:15" ht="15" thickBot="1" x14ac:dyDescent="0.4">
      <c r="A306" s="9"/>
      <c r="B306" s="1" t="s">
        <v>47</v>
      </c>
      <c r="C306" s="1"/>
      <c r="D306" s="76">
        <f>D304+D305</f>
        <v>1201</v>
      </c>
      <c r="E306" s="36"/>
      <c r="F306" s="9"/>
      <c r="G306" s="1" t="s">
        <v>47</v>
      </c>
      <c r="H306" s="1"/>
      <c r="I306" s="76">
        <f>I304+I305</f>
        <v>1261</v>
      </c>
      <c r="J306" s="10"/>
      <c r="K306" s="9"/>
      <c r="L306" s="1" t="s">
        <v>47</v>
      </c>
      <c r="M306" s="1"/>
      <c r="N306" s="76">
        <f>N304+N305</f>
        <v>1402</v>
      </c>
      <c r="O306" s="10"/>
    </row>
    <row r="307" spans="1:15" ht="15" thickTop="1" x14ac:dyDescent="0.35">
      <c r="A307" s="35"/>
      <c r="B307" s="5"/>
      <c r="C307" s="5"/>
      <c r="D307" s="204"/>
      <c r="F307" s="35"/>
      <c r="G307" s="5" t="s">
        <v>436</v>
      </c>
      <c r="H307" s="5"/>
      <c r="I307" s="298">
        <v>1</v>
      </c>
      <c r="J307" s="37"/>
      <c r="K307" s="35"/>
      <c r="L307" s="5"/>
      <c r="M307" s="5"/>
      <c r="N307" s="204"/>
      <c r="O307" s="37"/>
    </row>
    <row r="308" spans="1:15" x14ac:dyDescent="0.35">
      <c r="A308" s="35"/>
      <c r="B308" s="5"/>
      <c r="C308" s="5"/>
      <c r="D308" s="2"/>
      <c r="F308" s="35"/>
      <c r="G308" s="5" t="s">
        <v>553</v>
      </c>
      <c r="H308" s="5"/>
      <c r="I308" s="298">
        <v>2</v>
      </c>
      <c r="J308" s="37"/>
      <c r="K308" s="35"/>
      <c r="L308" s="5"/>
      <c r="M308" s="5"/>
      <c r="N308" s="2"/>
      <c r="O308" s="37"/>
    </row>
    <row r="309" spans="1:15" ht="15" thickBot="1" x14ac:dyDescent="0.4">
      <c r="A309" s="11"/>
      <c r="B309" s="12"/>
      <c r="C309" s="12"/>
      <c r="D309" s="203">
        <f>D306-D308</f>
        <v>1201</v>
      </c>
      <c r="E309" s="17"/>
      <c r="F309" s="11"/>
      <c r="G309" s="12"/>
      <c r="H309" s="12"/>
      <c r="I309" s="76">
        <f>I306-I307+I308</f>
        <v>1262</v>
      </c>
      <c r="J309" s="13"/>
      <c r="K309" s="11"/>
      <c r="L309" s="12"/>
      <c r="M309" s="12"/>
      <c r="N309" s="12"/>
      <c r="O309" s="13"/>
    </row>
    <row r="310" spans="1:15" x14ac:dyDescent="0.35">
      <c r="A310" s="80" t="s">
        <v>495</v>
      </c>
      <c r="B310" s="41" t="s">
        <v>39</v>
      </c>
      <c r="C310" s="41"/>
      <c r="D310" s="41">
        <f>D309</f>
        <v>1201</v>
      </c>
      <c r="E310" s="92"/>
      <c r="F310" s="80" t="s">
        <v>495</v>
      </c>
      <c r="G310" s="41" t="s">
        <v>39</v>
      </c>
      <c r="H310" s="41"/>
      <c r="I310" s="6">
        <f>I309</f>
        <v>1262</v>
      </c>
      <c r="J310" s="81"/>
      <c r="K310" s="80" t="s">
        <v>495</v>
      </c>
      <c r="L310" s="41" t="s">
        <v>39</v>
      </c>
      <c r="M310" s="41"/>
      <c r="N310" s="41">
        <f>N306</f>
        <v>1402</v>
      </c>
      <c r="O310" s="81"/>
    </row>
    <row r="311" spans="1:15" x14ac:dyDescent="0.35">
      <c r="A311" s="9"/>
      <c r="B311" s="1" t="s">
        <v>361</v>
      </c>
      <c r="C311" s="1"/>
      <c r="D311" s="1">
        <f>Production!G348</f>
        <v>396</v>
      </c>
      <c r="E311" s="79"/>
      <c r="F311" s="9"/>
      <c r="G311" s="1" t="s">
        <v>278</v>
      </c>
      <c r="H311" s="1"/>
      <c r="I311" s="57">
        <f>Production!O348</f>
        <v>818</v>
      </c>
      <c r="J311" s="10"/>
      <c r="K311" s="9"/>
      <c r="L311" s="1" t="s">
        <v>360</v>
      </c>
      <c r="M311" s="1"/>
      <c r="N311" s="57">
        <f>Production!Y348</f>
        <v>204</v>
      </c>
      <c r="O311" s="10"/>
    </row>
    <row r="312" spans="1:15" ht="15" thickBot="1" x14ac:dyDescent="0.4">
      <c r="A312" s="9"/>
      <c r="B312" s="1" t="s">
        <v>153</v>
      </c>
      <c r="C312" s="1"/>
      <c r="D312" s="78">
        <f>D310+D311</f>
        <v>1597</v>
      </c>
      <c r="E312" s="79"/>
      <c r="F312" s="9"/>
      <c r="G312" s="1" t="s">
        <v>153</v>
      </c>
      <c r="H312" s="1"/>
      <c r="I312" s="78">
        <f>I310+I311</f>
        <v>2080</v>
      </c>
      <c r="J312" s="10"/>
      <c r="K312" s="9"/>
      <c r="L312" s="1" t="s">
        <v>153</v>
      </c>
      <c r="M312" s="1"/>
      <c r="N312" s="78">
        <f>N310+N311</f>
        <v>1606</v>
      </c>
      <c r="O312" s="10"/>
    </row>
    <row r="313" spans="1:15" ht="15" thickTop="1" x14ac:dyDescent="0.35">
      <c r="A313" s="9" t="s">
        <v>46</v>
      </c>
      <c r="B313" s="1" t="s">
        <v>538</v>
      </c>
      <c r="C313" s="1">
        <f>'Dispatch and Sales per day'!D224+'Dispatch and Sales per day'!D225</f>
        <v>225</v>
      </c>
      <c r="D313" s="6"/>
      <c r="E313" s="79"/>
      <c r="F313" s="9" t="s">
        <v>46</v>
      </c>
      <c r="G313" s="1" t="s">
        <v>538</v>
      </c>
      <c r="H313" s="1">
        <f>'Dispatch and Sales per day'!P224</f>
        <v>192</v>
      </c>
      <c r="I313" s="6"/>
      <c r="J313" s="10"/>
      <c r="K313" s="9" t="s">
        <v>46</v>
      </c>
      <c r="L313" s="1" t="s">
        <v>538</v>
      </c>
      <c r="M313" s="1">
        <f>'Dispatch and Sales per day'!AB224</f>
        <v>192</v>
      </c>
      <c r="N313" s="6"/>
      <c r="O313" s="10"/>
    </row>
    <row r="314" spans="1:15" x14ac:dyDescent="0.35">
      <c r="A314" s="9"/>
      <c r="B314" s="1" t="s">
        <v>540</v>
      </c>
      <c r="C314" s="1">
        <f>'Dispatch and Sales per day'!D226</f>
        <v>300</v>
      </c>
      <c r="D314" s="1"/>
      <c r="E314" s="79"/>
      <c r="F314" s="9"/>
      <c r="G314" s="1" t="s">
        <v>540</v>
      </c>
      <c r="H314" s="1">
        <f>'Dispatch and Sales per day'!P226</f>
        <v>240</v>
      </c>
      <c r="I314" s="1"/>
      <c r="J314" s="10"/>
      <c r="K314" s="9"/>
      <c r="L314" s="1" t="s">
        <v>540</v>
      </c>
      <c r="M314" s="1">
        <f>'Dispatch and Sales per day'!AB226</f>
        <v>240</v>
      </c>
      <c r="N314" s="1"/>
      <c r="O314" s="10"/>
    </row>
    <row r="315" spans="1:15" x14ac:dyDescent="0.35">
      <c r="A315" s="9"/>
      <c r="B315" s="1" t="s">
        <v>506</v>
      </c>
      <c r="C315" s="1">
        <f>'Dispatch and Sales per day'!D227</f>
        <v>120</v>
      </c>
      <c r="D315" s="1"/>
      <c r="E315" s="79"/>
      <c r="F315" s="9"/>
      <c r="G315" s="1" t="s">
        <v>506</v>
      </c>
      <c r="H315" s="1">
        <f>'Dispatch and Sales per day'!P227</f>
        <v>156</v>
      </c>
      <c r="I315" s="1"/>
      <c r="J315" s="10"/>
      <c r="K315" s="9"/>
      <c r="L315" s="1" t="s">
        <v>506</v>
      </c>
      <c r="M315" s="1">
        <f>'Dispatch and Sales per day'!AB227</f>
        <v>144</v>
      </c>
      <c r="N315" s="1"/>
      <c r="O315" s="10"/>
    </row>
    <row r="316" spans="1:15" x14ac:dyDescent="0.35">
      <c r="A316" s="9"/>
      <c r="B316" s="1" t="s">
        <v>84</v>
      </c>
      <c r="C316" s="1">
        <f>'Dispatch and Sales per day'!D228+'Dispatch and Sales per day'!D229</f>
        <v>30</v>
      </c>
      <c r="D316" s="1"/>
      <c r="E316" s="79"/>
      <c r="F316" s="9"/>
      <c r="G316" s="1" t="s">
        <v>84</v>
      </c>
      <c r="H316" s="1">
        <f>'Dispatch and Sales per day'!P228</f>
        <v>60</v>
      </c>
      <c r="I316" s="1"/>
      <c r="J316" s="10"/>
      <c r="K316" s="9"/>
      <c r="L316" s="1" t="s">
        <v>84</v>
      </c>
      <c r="M316" s="1">
        <f>'Dispatch and Sales per day'!AB228</f>
        <v>60</v>
      </c>
      <c r="N316" s="1"/>
      <c r="O316" s="10"/>
    </row>
    <row r="317" spans="1:15" x14ac:dyDescent="0.35">
      <c r="A317" s="9"/>
      <c r="B317" s="1" t="s">
        <v>285</v>
      </c>
      <c r="C317" s="1">
        <f>'Dispatch and Sales per day'!D230+'Dispatch and Sales per day'!D231</f>
        <v>24</v>
      </c>
      <c r="D317" s="1"/>
      <c r="E317" s="79"/>
      <c r="F317" s="9"/>
      <c r="G317" s="1" t="s">
        <v>285</v>
      </c>
      <c r="H317" s="1">
        <f>'Dispatch and Sales per day'!P230+'Dispatch and Sales per day'!P231</f>
        <v>355</v>
      </c>
      <c r="I317" s="1"/>
      <c r="J317" s="10"/>
      <c r="K317" s="9"/>
      <c r="L317" s="1" t="s">
        <v>285</v>
      </c>
      <c r="M317" s="1">
        <f>'Dispatch and Sales per day'!AB230+'Dispatch and Sales per day'!AB231</f>
        <v>84</v>
      </c>
      <c r="N317" s="1"/>
      <c r="O317" s="10"/>
    </row>
    <row r="318" spans="1:15" x14ac:dyDescent="0.35">
      <c r="A318" s="9"/>
      <c r="B318" s="1" t="s">
        <v>311</v>
      </c>
      <c r="C318" s="1">
        <f>'Dispatch and Sales per day'!D233</f>
        <v>0</v>
      </c>
      <c r="D318" s="1"/>
      <c r="E318" s="79"/>
      <c r="F318" s="9"/>
      <c r="G318" s="1" t="s">
        <v>311</v>
      </c>
      <c r="H318" s="1">
        <f>'Dispatch and Sales per day'!P233</f>
        <v>0</v>
      </c>
      <c r="I318" s="1"/>
      <c r="J318" s="10"/>
      <c r="K318" s="9"/>
      <c r="L318" s="1" t="s">
        <v>311</v>
      </c>
      <c r="M318" s="1">
        <f>'Dispatch and Sales per day'!AB233</f>
        <v>0</v>
      </c>
      <c r="N318" s="1"/>
      <c r="O318" s="10"/>
    </row>
    <row r="319" spans="1:15" x14ac:dyDescent="0.35">
      <c r="A319" s="9"/>
      <c r="B319" s="1" t="s">
        <v>306</v>
      </c>
      <c r="C319" s="1">
        <f>'Dispatch and Sales per day'!D235</f>
        <v>0</v>
      </c>
      <c r="D319" s="1"/>
      <c r="E319" s="79"/>
      <c r="F319" s="9"/>
      <c r="G319" s="1" t="s">
        <v>306</v>
      </c>
      <c r="H319" s="1">
        <f>'Dispatch and Sales per day'!P235</f>
        <v>0</v>
      </c>
      <c r="I319" s="1"/>
      <c r="J319" s="10"/>
      <c r="K319" s="9"/>
      <c r="L319" s="1" t="s">
        <v>306</v>
      </c>
      <c r="M319" s="1">
        <f>'Dispatch and Sales per day'!AB235</f>
        <v>0</v>
      </c>
      <c r="N319" s="1"/>
      <c r="O319" s="10"/>
    </row>
    <row r="320" spans="1:15" x14ac:dyDescent="0.35">
      <c r="A320" s="9"/>
      <c r="B320" s="1" t="s">
        <v>154</v>
      </c>
      <c r="C320" s="1"/>
      <c r="D320" s="1">
        <f>SUM(C313:C319)</f>
        <v>699</v>
      </c>
      <c r="E320" s="79"/>
      <c r="F320" s="9"/>
      <c r="G320" s="1" t="s">
        <v>154</v>
      </c>
      <c r="H320" s="1"/>
      <c r="I320" s="1">
        <f>SUM(H313:H319)</f>
        <v>1003</v>
      </c>
      <c r="J320" s="10"/>
      <c r="K320" s="9"/>
      <c r="L320" s="1" t="s">
        <v>154</v>
      </c>
      <c r="M320" s="1"/>
      <c r="N320" s="1">
        <f>SUM(M313:M319)</f>
        <v>720</v>
      </c>
      <c r="O320" s="10"/>
    </row>
    <row r="321" spans="1:15" ht="15" thickBot="1" x14ac:dyDescent="0.4">
      <c r="A321" s="9"/>
      <c r="B321" s="1" t="s">
        <v>155</v>
      </c>
      <c r="C321" s="1"/>
      <c r="D321" s="78">
        <f>D312-D320</f>
        <v>898</v>
      </c>
      <c r="E321" s="79"/>
      <c r="F321" s="9"/>
      <c r="G321" s="1" t="s">
        <v>155</v>
      </c>
      <c r="H321" s="1"/>
      <c r="I321" s="78">
        <f>I312-I320</f>
        <v>1077</v>
      </c>
      <c r="J321" s="10"/>
      <c r="K321" s="9"/>
      <c r="L321" s="1" t="s">
        <v>155</v>
      </c>
      <c r="M321" s="1"/>
      <c r="N321" s="78">
        <f>N312-N320</f>
        <v>886</v>
      </c>
      <c r="O321" s="10"/>
    </row>
    <row r="322" spans="1:15" ht="15" thickTop="1" x14ac:dyDescent="0.35">
      <c r="A322" s="9" t="s">
        <v>48</v>
      </c>
      <c r="B322" s="1" t="s">
        <v>14</v>
      </c>
      <c r="C322" s="1"/>
      <c r="D322" s="6">
        <f>'Dispatch and Sales per day'!G236</f>
        <v>305</v>
      </c>
      <c r="E322" s="79"/>
      <c r="F322" s="9" t="s">
        <v>48</v>
      </c>
      <c r="G322" s="1" t="s">
        <v>14</v>
      </c>
      <c r="H322" s="1"/>
      <c r="I322" s="6">
        <f>'Dispatch and Sales per day'!S236</f>
        <v>137</v>
      </c>
      <c r="J322" s="10"/>
      <c r="K322" s="9" t="s">
        <v>48</v>
      </c>
      <c r="L322" s="1" t="s">
        <v>14</v>
      </c>
      <c r="M322" s="1"/>
      <c r="N322" s="6">
        <f>'Dispatch and Sales per day'!AE236</f>
        <v>165</v>
      </c>
      <c r="O322" s="10"/>
    </row>
    <row r="323" spans="1:15" ht="15" thickBot="1" x14ac:dyDescent="0.4">
      <c r="A323" s="9"/>
      <c r="B323" s="1" t="s">
        <v>47</v>
      </c>
      <c r="C323" s="1"/>
      <c r="D323" s="76">
        <f>D321+D322</f>
        <v>1203</v>
      </c>
      <c r="E323" s="36"/>
      <c r="F323" s="9"/>
      <c r="G323" s="1" t="s">
        <v>47</v>
      </c>
      <c r="H323" s="1"/>
      <c r="I323" s="76">
        <f>I321+I322</f>
        <v>1214</v>
      </c>
      <c r="J323" s="10"/>
      <c r="K323" s="9"/>
      <c r="L323" s="1" t="s">
        <v>47</v>
      </c>
      <c r="M323" s="1"/>
      <c r="N323" s="76">
        <f>N321+N322</f>
        <v>1051</v>
      </c>
      <c r="O323" s="10"/>
    </row>
    <row r="324" spans="1:15" ht="15.5" thickTop="1" thickBot="1" x14ac:dyDescent="0.4">
      <c r="A324" s="35"/>
      <c r="B324" s="12" t="s">
        <v>553</v>
      </c>
      <c r="C324" s="5"/>
      <c r="D324" s="2">
        <v>2</v>
      </c>
      <c r="F324" s="35"/>
      <c r="G324" s="5"/>
      <c r="H324" s="5"/>
      <c r="I324" s="2"/>
      <c r="J324" s="37"/>
      <c r="K324" s="35"/>
      <c r="L324" s="5" t="s">
        <v>560</v>
      </c>
      <c r="M324" s="5"/>
      <c r="N324" s="298">
        <v>100</v>
      </c>
      <c r="O324" s="37"/>
    </row>
    <row r="325" spans="1:15" ht="15" thickBot="1" x14ac:dyDescent="0.4">
      <c r="A325" s="11"/>
      <c r="C325" s="12"/>
      <c r="D325" s="203">
        <f>D323-D324</f>
        <v>1201</v>
      </c>
      <c r="E325" s="17"/>
      <c r="F325" s="11"/>
      <c r="G325" s="12"/>
      <c r="H325" s="12"/>
      <c r="I325" s="76">
        <f>I323-I324</f>
        <v>1214</v>
      </c>
      <c r="J325" s="13"/>
      <c r="K325" s="11"/>
      <c r="L325" s="12"/>
      <c r="M325" s="12"/>
      <c r="N325" s="203">
        <f>N323+N324</f>
        <v>1151</v>
      </c>
      <c r="O325" s="13"/>
    </row>
    <row r="326" spans="1:15" x14ac:dyDescent="0.35">
      <c r="A326" s="80" t="s">
        <v>498</v>
      </c>
      <c r="B326" s="41" t="s">
        <v>39</v>
      </c>
      <c r="C326" s="41"/>
      <c r="D326" s="41">
        <f>D325</f>
        <v>1201</v>
      </c>
      <c r="E326" s="92"/>
      <c r="F326" s="80" t="s">
        <v>498</v>
      </c>
      <c r="G326" s="41" t="s">
        <v>39</v>
      </c>
      <c r="H326" s="41"/>
      <c r="I326" s="6">
        <f>I325</f>
        <v>1214</v>
      </c>
      <c r="J326" s="81"/>
      <c r="K326" s="80" t="s">
        <v>498</v>
      </c>
      <c r="L326" s="41" t="s">
        <v>39</v>
      </c>
      <c r="M326" s="41"/>
      <c r="N326" s="41">
        <f>N325</f>
        <v>1151</v>
      </c>
      <c r="O326" s="81"/>
    </row>
    <row r="327" spans="1:15" x14ac:dyDescent="0.35">
      <c r="A327" s="9"/>
      <c r="B327" s="1" t="s">
        <v>371</v>
      </c>
      <c r="C327" s="1"/>
      <c r="D327" s="1">
        <f>Production!G365</f>
        <v>524</v>
      </c>
      <c r="E327" s="79"/>
      <c r="F327" s="9"/>
      <c r="G327" s="1" t="s">
        <v>278</v>
      </c>
      <c r="H327" s="1"/>
      <c r="I327" s="57">
        <f>Production!O365</f>
        <v>807</v>
      </c>
      <c r="J327" s="10"/>
      <c r="K327" s="9"/>
      <c r="L327" s="1" t="s">
        <v>370</v>
      </c>
      <c r="M327" s="1"/>
      <c r="N327" s="57">
        <f>Production!Y365</f>
        <v>408</v>
      </c>
      <c r="O327" s="10"/>
    </row>
    <row r="328" spans="1:15" ht="15" thickBot="1" x14ac:dyDescent="0.4">
      <c r="A328" s="9"/>
      <c r="B328" s="1" t="s">
        <v>153</v>
      </c>
      <c r="C328" s="1"/>
      <c r="D328" s="78">
        <f>D326+D327</f>
        <v>1725</v>
      </c>
      <c r="E328" s="79"/>
      <c r="F328" s="9"/>
      <c r="G328" s="1" t="s">
        <v>153</v>
      </c>
      <c r="H328" s="1"/>
      <c r="I328" s="78">
        <f>I326+I327</f>
        <v>2021</v>
      </c>
      <c r="J328" s="10"/>
      <c r="K328" s="9"/>
      <c r="L328" s="1" t="s">
        <v>153</v>
      </c>
      <c r="M328" s="1"/>
      <c r="N328" s="78">
        <f>N326+N327</f>
        <v>1559</v>
      </c>
      <c r="O328" s="10"/>
    </row>
    <row r="329" spans="1:15" ht="15" thickTop="1" x14ac:dyDescent="0.35">
      <c r="A329" s="9" t="s">
        <v>46</v>
      </c>
      <c r="B329" s="1" t="s">
        <v>538</v>
      </c>
      <c r="C329" s="1">
        <f>'Dispatch and Sales per day'!D237+'Dispatch and Sales per day'!D238</f>
        <v>225</v>
      </c>
      <c r="D329" s="6"/>
      <c r="E329" s="79"/>
      <c r="F329" s="9" t="s">
        <v>46</v>
      </c>
      <c r="G329" s="1" t="s">
        <v>538</v>
      </c>
      <c r="H329" s="1">
        <f>'Dispatch and Sales per day'!P237</f>
        <v>252</v>
      </c>
      <c r="I329" s="6"/>
      <c r="J329" s="10"/>
      <c r="K329" s="9" t="s">
        <v>46</v>
      </c>
      <c r="L329" s="1" t="s">
        <v>538</v>
      </c>
      <c r="M329" s="1">
        <f>'Dispatch and Sales per day'!AB237</f>
        <v>204</v>
      </c>
      <c r="N329" s="6"/>
      <c r="O329" s="10"/>
    </row>
    <row r="330" spans="1:15" x14ac:dyDescent="0.35">
      <c r="A330" s="9"/>
      <c r="B330" s="1" t="s">
        <v>540</v>
      </c>
      <c r="C330" s="1">
        <f>'Dispatch and Sales per day'!D239+'Dispatch and Sales per day'!D240</f>
        <v>300</v>
      </c>
      <c r="D330" s="1"/>
      <c r="E330" s="79"/>
      <c r="F330" s="9"/>
      <c r="G330" s="1" t="s">
        <v>540</v>
      </c>
      <c r="H330" s="1">
        <f>'Dispatch and Sales per day'!P239</f>
        <v>255</v>
      </c>
      <c r="I330" s="1"/>
      <c r="J330" s="10"/>
      <c r="K330" s="9"/>
      <c r="L330" s="1" t="s">
        <v>540</v>
      </c>
      <c r="M330" s="1">
        <f>'Dispatch and Sales per day'!AB239</f>
        <v>240</v>
      </c>
      <c r="N330" s="1"/>
      <c r="O330" s="10"/>
    </row>
    <row r="331" spans="1:15" x14ac:dyDescent="0.35">
      <c r="A331" s="9"/>
      <c r="B331" s="1" t="s">
        <v>506</v>
      </c>
      <c r="C331" s="1">
        <f>'Dispatch and Sales per day'!D241</f>
        <v>225</v>
      </c>
      <c r="D331" s="1"/>
      <c r="E331" s="79"/>
      <c r="F331" s="9"/>
      <c r="G331" s="1" t="s">
        <v>506</v>
      </c>
      <c r="H331" s="1">
        <f>'Dispatch and Sales per day'!P241</f>
        <v>288</v>
      </c>
      <c r="I331" s="1"/>
      <c r="J331" s="10"/>
      <c r="K331" s="9"/>
      <c r="L331" s="1" t="s">
        <v>506</v>
      </c>
      <c r="M331" s="1">
        <f>'Dispatch and Sales per day'!AB241</f>
        <v>204</v>
      </c>
      <c r="N331" s="1"/>
      <c r="O331" s="10"/>
    </row>
    <row r="332" spans="1:15" x14ac:dyDescent="0.35">
      <c r="A332" s="9"/>
      <c r="B332" s="1" t="s">
        <v>84</v>
      </c>
      <c r="C332" s="1">
        <f>'Dispatch and Sales per day'!D242</f>
        <v>30</v>
      </c>
      <c r="D332" s="1"/>
      <c r="E332" s="79"/>
      <c r="F332" s="9"/>
      <c r="G332" s="1" t="s">
        <v>84</v>
      </c>
      <c r="H332" s="1">
        <f>'Dispatch and Sales per day'!P242</f>
        <v>60</v>
      </c>
      <c r="I332" s="1"/>
      <c r="J332" s="10"/>
      <c r="K332" s="9"/>
      <c r="L332" s="1" t="s">
        <v>84</v>
      </c>
      <c r="M332" s="1">
        <f>'Dispatch and Sales per day'!AB242</f>
        <v>60</v>
      </c>
      <c r="N332" s="1"/>
      <c r="O332" s="10"/>
    </row>
    <row r="333" spans="1:15" x14ac:dyDescent="0.35">
      <c r="A333" s="9"/>
      <c r="B333" s="1" t="s">
        <v>285</v>
      </c>
      <c r="C333" s="1">
        <f>'Dispatch and Sales per day'!D243+'Dispatch and Sales per day'!D244</f>
        <v>15</v>
      </c>
      <c r="D333" s="1"/>
      <c r="E333" s="79"/>
      <c r="F333" s="9"/>
      <c r="G333" s="1" t="s">
        <v>285</v>
      </c>
      <c r="H333" s="1">
        <f>'Dispatch and Sales per day'!P243+'Dispatch and Sales per day'!P244</f>
        <v>144</v>
      </c>
      <c r="I333" s="1"/>
      <c r="J333" s="10"/>
      <c r="K333" s="9"/>
      <c r="L333" s="1" t="s">
        <v>285</v>
      </c>
      <c r="M333" s="1">
        <f>'Dispatch and Sales per day'!AB243+'Dispatch and Sales per day'!AB244</f>
        <v>132</v>
      </c>
      <c r="N333" s="1"/>
      <c r="O333" s="10"/>
    </row>
    <row r="334" spans="1:15" x14ac:dyDescent="0.35">
      <c r="A334" s="9"/>
      <c r="B334" s="1" t="s">
        <v>321</v>
      </c>
      <c r="C334" s="1">
        <v>0</v>
      </c>
      <c r="D334" s="1"/>
      <c r="E334" s="79"/>
      <c r="F334" s="9"/>
      <c r="G334" s="1" t="s">
        <v>321</v>
      </c>
      <c r="H334" s="1">
        <v>0</v>
      </c>
      <c r="I334" s="1"/>
      <c r="J334" s="10"/>
      <c r="K334" s="9"/>
      <c r="L334" s="1" t="s">
        <v>321</v>
      </c>
      <c r="M334" s="1">
        <v>0</v>
      </c>
      <c r="N334" s="1"/>
      <c r="O334" s="10"/>
    </row>
    <row r="335" spans="1:15" x14ac:dyDescent="0.35">
      <c r="A335" s="9"/>
      <c r="B335" s="1" t="s">
        <v>311</v>
      </c>
      <c r="C335" s="1">
        <f>'Dispatch and Sales per day'!D246</f>
        <v>0</v>
      </c>
      <c r="D335" s="1"/>
      <c r="E335" s="79"/>
      <c r="F335" s="9"/>
      <c r="G335" s="1" t="s">
        <v>311</v>
      </c>
      <c r="H335" s="1">
        <f>'Dispatch and Sales per day'!P246</f>
        <v>0</v>
      </c>
      <c r="I335" s="1"/>
      <c r="J335" s="10"/>
      <c r="K335" s="9"/>
      <c r="L335" s="1" t="s">
        <v>311</v>
      </c>
      <c r="M335" s="1">
        <f>'Dispatch and Sales per day'!AB246</f>
        <v>0</v>
      </c>
      <c r="N335" s="1"/>
      <c r="O335" s="10"/>
    </row>
    <row r="336" spans="1:15" x14ac:dyDescent="0.35">
      <c r="A336" s="9"/>
      <c r="B336" s="1" t="s">
        <v>306</v>
      </c>
      <c r="C336" s="1">
        <f>'Dispatch and Sales per day'!D248</f>
        <v>0</v>
      </c>
      <c r="D336" s="1"/>
      <c r="E336" s="79"/>
      <c r="F336" s="9"/>
      <c r="G336" s="1" t="s">
        <v>306</v>
      </c>
      <c r="H336" s="1">
        <f>'Dispatch and Sales per day'!P248</f>
        <v>0</v>
      </c>
      <c r="I336" s="1"/>
      <c r="J336" s="10"/>
      <c r="K336" s="9"/>
      <c r="L336" s="1" t="s">
        <v>306</v>
      </c>
      <c r="M336" s="1">
        <f>'Dispatch and Sales per day'!AB248</f>
        <v>0</v>
      </c>
      <c r="N336" s="1"/>
      <c r="O336" s="10"/>
    </row>
    <row r="337" spans="1:15" x14ac:dyDescent="0.35">
      <c r="A337" s="9"/>
      <c r="B337" s="1" t="s">
        <v>154</v>
      </c>
      <c r="C337" s="1"/>
      <c r="D337" s="1">
        <f>SUM(C329:C336)</f>
        <v>795</v>
      </c>
      <c r="E337" s="79"/>
      <c r="F337" s="9"/>
      <c r="G337" s="1" t="s">
        <v>154</v>
      </c>
      <c r="H337" s="1"/>
      <c r="I337" s="1">
        <f>SUM(H329:H336)</f>
        <v>999</v>
      </c>
      <c r="J337" s="10"/>
      <c r="K337" s="9"/>
      <c r="L337" s="1" t="s">
        <v>154</v>
      </c>
      <c r="M337" s="1"/>
      <c r="N337" s="1">
        <f>SUM(M329:M336)</f>
        <v>840</v>
      </c>
      <c r="O337" s="10"/>
    </row>
    <row r="338" spans="1:15" ht="15" thickBot="1" x14ac:dyDescent="0.4">
      <c r="A338" s="9"/>
      <c r="B338" s="1" t="s">
        <v>155</v>
      </c>
      <c r="C338" s="1"/>
      <c r="D338" s="78">
        <f>D328-D337</f>
        <v>930</v>
      </c>
      <c r="E338" s="79"/>
      <c r="F338" s="9"/>
      <c r="G338" s="1" t="s">
        <v>155</v>
      </c>
      <c r="H338" s="1"/>
      <c r="I338" s="78">
        <f>I328-I337</f>
        <v>1022</v>
      </c>
      <c r="J338" s="10"/>
      <c r="K338" s="9"/>
      <c r="L338" s="1" t="s">
        <v>155</v>
      </c>
      <c r="M338" s="1"/>
      <c r="N338" s="78">
        <f>N328-N337</f>
        <v>719</v>
      </c>
      <c r="O338" s="10"/>
    </row>
    <row r="339" spans="1:15" ht="15" thickTop="1" x14ac:dyDescent="0.35">
      <c r="A339" s="9" t="s">
        <v>48</v>
      </c>
      <c r="B339" s="1" t="s">
        <v>14</v>
      </c>
      <c r="C339" s="1"/>
      <c r="D339" s="6">
        <f>'Dispatch and Sales per day'!G249</f>
        <v>242</v>
      </c>
      <c r="E339" s="79"/>
      <c r="F339" s="9" t="s">
        <v>48</v>
      </c>
      <c r="G339" s="1" t="s">
        <v>14</v>
      </c>
      <c r="H339" s="1"/>
      <c r="I339" s="6">
        <f>'Dispatch and Sales per day'!S249</f>
        <v>13</v>
      </c>
      <c r="J339" s="10"/>
      <c r="K339" s="9" t="s">
        <v>48</v>
      </c>
      <c r="L339" s="1" t="s">
        <v>14</v>
      </c>
      <c r="M339" s="1"/>
      <c r="N339" s="6">
        <f>'Dispatch and Sales per day'!AE249</f>
        <v>147</v>
      </c>
      <c r="O339" s="10"/>
    </row>
    <row r="340" spans="1:15" ht="15" thickBot="1" x14ac:dyDescent="0.4">
      <c r="A340" s="9"/>
      <c r="B340" s="1" t="s">
        <v>47</v>
      </c>
      <c r="C340" s="1"/>
      <c r="D340" s="76">
        <f>D338+D339</f>
        <v>1172</v>
      </c>
      <c r="E340" s="36"/>
      <c r="F340" s="9"/>
      <c r="G340" s="1" t="s">
        <v>47</v>
      </c>
      <c r="H340" s="1"/>
      <c r="I340" s="76">
        <f>I338+I339</f>
        <v>1035</v>
      </c>
      <c r="J340" s="10"/>
      <c r="K340" s="9"/>
      <c r="L340" s="1" t="s">
        <v>47</v>
      </c>
      <c r="M340" s="1"/>
      <c r="N340" s="76">
        <f>N338+N339</f>
        <v>866</v>
      </c>
      <c r="O340" s="10"/>
    </row>
    <row r="341" spans="1:15" ht="15" thickTop="1" x14ac:dyDescent="0.35">
      <c r="A341" s="35"/>
      <c r="B341" s="5"/>
      <c r="C341" s="5"/>
      <c r="D341" s="2">
        <v>0</v>
      </c>
      <c r="F341" s="35"/>
      <c r="G341" s="5" t="s">
        <v>553</v>
      </c>
      <c r="H341" s="5"/>
      <c r="I341" s="298">
        <v>2</v>
      </c>
      <c r="J341" s="37"/>
      <c r="K341" s="35"/>
      <c r="L341" s="5" t="s">
        <v>561</v>
      </c>
      <c r="M341" s="5"/>
      <c r="N341" s="304">
        <f>524-N327</f>
        <v>116</v>
      </c>
      <c r="O341" s="37"/>
    </row>
    <row r="342" spans="1:15" ht="15" thickBot="1" x14ac:dyDescent="0.4">
      <c r="A342" s="11"/>
      <c r="B342" s="12"/>
      <c r="C342" s="12"/>
      <c r="D342" s="203">
        <f>D340-D341</f>
        <v>1172</v>
      </c>
      <c r="E342" s="17"/>
      <c r="F342" s="11"/>
      <c r="G342" s="12"/>
      <c r="H342" s="12"/>
      <c r="I342" s="203">
        <f>I340+I341</f>
        <v>1037</v>
      </c>
      <c r="J342" s="13"/>
      <c r="K342" s="11"/>
      <c r="L342" s="12"/>
      <c r="M342" s="12"/>
      <c r="N342" s="303">
        <f>N340+N341</f>
        <v>982</v>
      </c>
      <c r="O342" s="13"/>
    </row>
    <row r="343" spans="1:15" x14ac:dyDescent="0.35">
      <c r="A343" s="80" t="s">
        <v>499</v>
      </c>
      <c r="B343" s="41" t="s">
        <v>39</v>
      </c>
      <c r="C343" s="41"/>
      <c r="D343" s="41">
        <f>D342</f>
        <v>1172</v>
      </c>
      <c r="E343" s="92"/>
      <c r="F343" s="80" t="s">
        <v>499</v>
      </c>
      <c r="G343" s="41" t="s">
        <v>39</v>
      </c>
      <c r="H343" s="41"/>
      <c r="I343" s="41">
        <f>I342</f>
        <v>1037</v>
      </c>
      <c r="J343" s="81"/>
      <c r="K343" s="80" t="s">
        <v>499</v>
      </c>
      <c r="L343" s="41" t="s">
        <v>39</v>
      </c>
      <c r="M343" s="41"/>
      <c r="N343" s="41">
        <f>N342</f>
        <v>982</v>
      </c>
      <c r="O343" s="81"/>
    </row>
    <row r="344" spans="1:15" x14ac:dyDescent="0.35">
      <c r="A344" s="9"/>
      <c r="B344" s="1" t="s">
        <v>258</v>
      </c>
      <c r="C344" s="1"/>
      <c r="D344" s="1">
        <f>Production!G383</f>
        <v>0</v>
      </c>
      <c r="E344" s="79"/>
      <c r="F344" s="9"/>
      <c r="G344" s="1" t="s">
        <v>254</v>
      </c>
      <c r="H344" s="1"/>
      <c r="I344" s="57">
        <f>Production!O383</f>
        <v>0</v>
      </c>
      <c r="J344" s="10"/>
      <c r="K344" s="9"/>
      <c r="L344" s="1" t="s">
        <v>254</v>
      </c>
      <c r="M344" s="1"/>
      <c r="N344" s="57">
        <f>Production!Y383</f>
        <v>0</v>
      </c>
      <c r="O344" s="10"/>
    </row>
    <row r="345" spans="1:15" ht="15" thickBot="1" x14ac:dyDescent="0.4">
      <c r="A345" s="9"/>
      <c r="B345" s="1" t="s">
        <v>153</v>
      </c>
      <c r="C345" s="1"/>
      <c r="D345" s="78">
        <f>D343+D344</f>
        <v>1172</v>
      </c>
      <c r="E345" s="79"/>
      <c r="F345" s="9"/>
      <c r="G345" s="1" t="s">
        <v>153</v>
      </c>
      <c r="H345" s="1"/>
      <c r="I345" s="78">
        <f>I343+I344</f>
        <v>1037</v>
      </c>
      <c r="J345" s="10"/>
      <c r="K345" s="9"/>
      <c r="L345" s="1" t="s">
        <v>153</v>
      </c>
      <c r="M345" s="1"/>
      <c r="N345" s="78">
        <f>N343+N344</f>
        <v>982</v>
      </c>
      <c r="O345" s="10"/>
    </row>
    <row r="346" spans="1:15" ht="15" thickTop="1" x14ac:dyDescent="0.35">
      <c r="A346" s="9" t="s">
        <v>46</v>
      </c>
      <c r="B346" s="1" t="s">
        <v>538</v>
      </c>
      <c r="C346" s="1">
        <f>'Dispatch and Sales per day'!D250+'Dispatch and Sales per day'!D251</f>
        <v>0</v>
      </c>
      <c r="D346" s="6"/>
      <c r="E346" s="79"/>
      <c r="F346" s="9" t="s">
        <v>46</v>
      </c>
      <c r="G346" s="1" t="s">
        <v>538</v>
      </c>
      <c r="H346" s="1">
        <f>'Dispatch and Sales per day'!P250</f>
        <v>0</v>
      </c>
      <c r="I346" s="6"/>
      <c r="J346" s="10"/>
      <c r="K346" s="9" t="s">
        <v>46</v>
      </c>
      <c r="L346" s="1" t="s">
        <v>538</v>
      </c>
      <c r="M346" s="1">
        <f>'Dispatch and Sales per day'!AB250</f>
        <v>0</v>
      </c>
      <c r="N346" s="6"/>
      <c r="O346" s="10"/>
    </row>
    <row r="347" spans="1:15" x14ac:dyDescent="0.35">
      <c r="A347" s="9"/>
      <c r="B347" s="1" t="s">
        <v>540</v>
      </c>
      <c r="C347" s="1">
        <f>'Dispatch and Sales per day'!D252</f>
        <v>0</v>
      </c>
      <c r="D347" s="1"/>
      <c r="E347" s="79"/>
      <c r="F347" s="9"/>
      <c r="G347" s="1" t="s">
        <v>540</v>
      </c>
      <c r="H347" s="1">
        <f>'Dispatch and Sales per day'!P252</f>
        <v>0</v>
      </c>
      <c r="I347" s="1"/>
      <c r="J347" s="10"/>
      <c r="K347" s="9"/>
      <c r="L347" s="1" t="s">
        <v>540</v>
      </c>
      <c r="M347" s="1">
        <f>'Dispatch and Sales per day'!AB252</f>
        <v>0</v>
      </c>
      <c r="N347" s="1"/>
      <c r="O347" s="10"/>
    </row>
    <row r="348" spans="1:15" x14ac:dyDescent="0.35">
      <c r="A348" s="9"/>
      <c r="B348" s="1" t="s">
        <v>506</v>
      </c>
      <c r="C348" s="1">
        <f>'Dispatch and Sales per day'!D253</f>
        <v>0</v>
      </c>
      <c r="D348" s="1"/>
      <c r="E348" s="79"/>
      <c r="F348" s="9"/>
      <c r="G348" s="1" t="s">
        <v>506</v>
      </c>
      <c r="H348" s="1">
        <f>'Dispatch and Sales per day'!P253</f>
        <v>0</v>
      </c>
      <c r="I348" s="1"/>
      <c r="J348" s="10"/>
      <c r="K348" s="9"/>
      <c r="L348" s="1" t="s">
        <v>506</v>
      </c>
      <c r="M348" s="1">
        <f>'Dispatch and Sales per day'!AB253</f>
        <v>0</v>
      </c>
      <c r="N348" s="1"/>
      <c r="O348" s="10"/>
    </row>
    <row r="349" spans="1:15" x14ac:dyDescent="0.35">
      <c r="A349" s="9"/>
      <c r="B349" s="1" t="s">
        <v>84</v>
      </c>
      <c r="C349" s="1">
        <f>'Dispatch and Sales per day'!D254</f>
        <v>0</v>
      </c>
      <c r="D349" s="1"/>
      <c r="E349" s="79"/>
      <c r="F349" s="9"/>
      <c r="G349" s="1" t="s">
        <v>84</v>
      </c>
      <c r="H349" s="1">
        <f>'Dispatch and Sales per day'!P254</f>
        <v>0</v>
      </c>
      <c r="I349" s="1"/>
      <c r="J349" s="10"/>
      <c r="K349" s="9"/>
      <c r="L349" s="1" t="s">
        <v>84</v>
      </c>
      <c r="M349" s="1">
        <f>'Dispatch and Sales per day'!AB254</f>
        <v>0</v>
      </c>
      <c r="N349" s="1"/>
      <c r="O349" s="10"/>
    </row>
    <row r="350" spans="1:15" x14ac:dyDescent="0.35">
      <c r="A350" s="9"/>
      <c r="B350" s="1" t="s">
        <v>285</v>
      </c>
      <c r="C350" s="1">
        <f>'Dispatch and Sales per day'!D256</f>
        <v>0</v>
      </c>
      <c r="D350" s="1"/>
      <c r="E350" s="79"/>
      <c r="F350" s="9"/>
      <c r="G350" s="1" t="s">
        <v>285</v>
      </c>
      <c r="H350" s="1">
        <f>'Dispatch and Sales per day'!P256</f>
        <v>0</v>
      </c>
      <c r="I350" s="1"/>
      <c r="J350" s="10"/>
      <c r="K350" s="9"/>
      <c r="L350" s="1" t="s">
        <v>285</v>
      </c>
      <c r="M350" s="1">
        <f>'Dispatch and Sales per day'!AB256</f>
        <v>0</v>
      </c>
      <c r="N350" s="1"/>
      <c r="O350" s="10"/>
    </row>
    <row r="351" spans="1:15" x14ac:dyDescent="0.35">
      <c r="A351" s="9"/>
      <c r="B351" s="1" t="s">
        <v>311</v>
      </c>
      <c r="C351" s="1">
        <v>0</v>
      </c>
      <c r="D351" s="1"/>
      <c r="E351" s="79"/>
      <c r="F351" s="9"/>
      <c r="G351" s="1" t="s">
        <v>311</v>
      </c>
      <c r="H351" s="1">
        <v>0</v>
      </c>
      <c r="I351" s="1"/>
      <c r="J351" s="10"/>
      <c r="K351" s="9"/>
      <c r="L351" s="1" t="s">
        <v>311</v>
      </c>
      <c r="M351" s="1">
        <v>0</v>
      </c>
      <c r="N351" s="1"/>
      <c r="O351" s="10"/>
    </row>
    <row r="352" spans="1:15" x14ac:dyDescent="0.35">
      <c r="A352" s="9"/>
      <c r="B352" s="1" t="s">
        <v>306</v>
      </c>
      <c r="C352" s="1">
        <f>'Dispatch and Sales per day'!D258</f>
        <v>0</v>
      </c>
      <c r="D352" s="1"/>
      <c r="E352" s="79"/>
      <c r="F352" s="9"/>
      <c r="G352" s="1" t="s">
        <v>306</v>
      </c>
      <c r="H352" s="1">
        <f>'Dispatch and Sales per day'!P258</f>
        <v>0</v>
      </c>
      <c r="I352" s="1"/>
      <c r="J352" s="10"/>
      <c r="K352" s="9"/>
      <c r="L352" s="1" t="s">
        <v>306</v>
      </c>
      <c r="M352" s="1">
        <f>'Dispatch and Sales per day'!AB258</f>
        <v>0</v>
      </c>
      <c r="N352" s="1"/>
      <c r="O352" s="10"/>
    </row>
    <row r="353" spans="1:15" x14ac:dyDescent="0.35">
      <c r="A353" s="9"/>
      <c r="B353" s="1" t="s">
        <v>154</v>
      </c>
      <c r="C353" s="1"/>
      <c r="D353" s="1">
        <f>SUM(C346:C352)</f>
        <v>0</v>
      </c>
      <c r="E353" s="79"/>
      <c r="F353" s="9"/>
      <c r="G353" s="1" t="s">
        <v>154</v>
      </c>
      <c r="H353" s="1"/>
      <c r="I353" s="1">
        <f>SUM(H346:H352)</f>
        <v>0</v>
      </c>
      <c r="J353" s="10"/>
      <c r="K353" s="9"/>
      <c r="L353" s="1" t="s">
        <v>154</v>
      </c>
      <c r="M353" s="1"/>
      <c r="N353" s="1">
        <f>SUM(M346:M352)</f>
        <v>0</v>
      </c>
      <c r="O353" s="10"/>
    </row>
    <row r="354" spans="1:15" ht="15" thickBot="1" x14ac:dyDescent="0.4">
      <c r="A354" s="9"/>
      <c r="B354" s="1" t="s">
        <v>155</v>
      </c>
      <c r="C354" s="1"/>
      <c r="D354" s="78">
        <f>D345-D353</f>
        <v>1172</v>
      </c>
      <c r="E354" s="79"/>
      <c r="F354" s="9"/>
      <c r="G354" s="1" t="s">
        <v>155</v>
      </c>
      <c r="H354" s="1"/>
      <c r="I354" s="78">
        <f>I345-I353</f>
        <v>1037</v>
      </c>
      <c r="J354" s="10"/>
      <c r="K354" s="9"/>
      <c r="L354" s="1" t="s">
        <v>155</v>
      </c>
      <c r="M354" s="1"/>
      <c r="N354" s="78">
        <f>N345-N353</f>
        <v>982</v>
      </c>
      <c r="O354" s="10"/>
    </row>
    <row r="355" spans="1:15" ht="15" thickTop="1" x14ac:dyDescent="0.35">
      <c r="A355" s="9" t="s">
        <v>48</v>
      </c>
      <c r="B355" s="1" t="s">
        <v>14</v>
      </c>
      <c r="C355" s="1"/>
      <c r="D355" s="6">
        <f>'Dispatch and Sales per day'!G259</f>
        <v>0</v>
      </c>
      <c r="E355" s="79"/>
      <c r="F355" s="9" t="s">
        <v>48</v>
      </c>
      <c r="G355" s="1" t="s">
        <v>14</v>
      </c>
      <c r="H355" s="1"/>
      <c r="I355" s="6">
        <f>'Dispatch and Sales per day'!S259</f>
        <v>0</v>
      </c>
      <c r="J355" s="10"/>
      <c r="K355" s="9" t="s">
        <v>48</v>
      </c>
      <c r="L355" s="1" t="s">
        <v>14</v>
      </c>
      <c r="M355" s="1"/>
      <c r="N355" s="6">
        <f>'Dispatch and Sales per day'!AE259</f>
        <v>0</v>
      </c>
      <c r="O355" s="10"/>
    </row>
    <row r="356" spans="1:15" ht="15" thickBot="1" x14ac:dyDescent="0.4">
      <c r="A356" s="9"/>
      <c r="B356" s="1" t="s">
        <v>47</v>
      </c>
      <c r="C356" s="1"/>
      <c r="D356" s="76">
        <f>D354+D355</f>
        <v>1172</v>
      </c>
      <c r="E356" s="36"/>
      <c r="F356" s="9"/>
      <c r="G356" s="1" t="s">
        <v>47</v>
      </c>
      <c r="H356" s="1"/>
      <c r="I356" s="76">
        <f>I354+I355</f>
        <v>1037</v>
      </c>
      <c r="J356" s="10"/>
      <c r="K356" s="9"/>
      <c r="L356" s="1" t="s">
        <v>47</v>
      </c>
      <c r="M356" s="1"/>
      <c r="N356" s="76">
        <f>N354+N355</f>
        <v>982</v>
      </c>
      <c r="O356" s="10"/>
    </row>
    <row r="357" spans="1:15" ht="15" thickTop="1" x14ac:dyDescent="0.35">
      <c r="A357" s="35"/>
      <c r="B357" s="5"/>
      <c r="C357" s="5"/>
      <c r="D357" s="2"/>
      <c r="F357" s="35"/>
      <c r="G357" s="5"/>
      <c r="H357" s="5"/>
      <c r="I357" s="2"/>
      <c r="J357" s="37"/>
      <c r="K357" s="35"/>
      <c r="L357" s="5"/>
      <c r="M357" s="5"/>
      <c r="N357" s="2"/>
      <c r="O357" s="37"/>
    </row>
    <row r="358" spans="1:15" ht="15" thickBot="1" x14ac:dyDescent="0.4">
      <c r="A358" s="11"/>
      <c r="B358" s="12"/>
      <c r="C358" s="12"/>
      <c r="D358" s="203">
        <f>D356-D357</f>
        <v>1172</v>
      </c>
      <c r="E358" s="17"/>
      <c r="F358" s="11"/>
      <c r="G358" s="12"/>
      <c r="H358" s="12"/>
      <c r="I358" s="76">
        <f>I356-I357</f>
        <v>1037</v>
      </c>
      <c r="J358" s="13"/>
      <c r="K358" s="11"/>
      <c r="L358" s="12"/>
      <c r="M358" s="12"/>
      <c r="N358" s="76">
        <f>N356-N357</f>
        <v>982</v>
      </c>
      <c r="O358" s="13"/>
    </row>
    <row r="359" spans="1:15" x14ac:dyDescent="0.35">
      <c r="A359" s="80" t="s">
        <v>500</v>
      </c>
      <c r="B359" s="41" t="s">
        <v>39</v>
      </c>
      <c r="C359" s="41"/>
      <c r="D359" s="41">
        <f>D358</f>
        <v>1172</v>
      </c>
      <c r="E359" s="92"/>
      <c r="F359" s="80" t="s">
        <v>500</v>
      </c>
      <c r="G359" s="41" t="s">
        <v>39</v>
      </c>
      <c r="H359" s="41"/>
      <c r="I359" s="6">
        <f>I358</f>
        <v>1037</v>
      </c>
      <c r="J359" s="81"/>
      <c r="K359" s="80" t="s">
        <v>500</v>
      </c>
      <c r="L359" s="41" t="s">
        <v>39</v>
      </c>
      <c r="M359" s="41"/>
      <c r="N359" s="6">
        <f>N358</f>
        <v>982</v>
      </c>
      <c r="O359" s="81"/>
    </row>
    <row r="360" spans="1:15" x14ac:dyDescent="0.35">
      <c r="A360" s="9"/>
      <c r="B360" s="1" t="s">
        <v>371</v>
      </c>
      <c r="C360" s="1"/>
      <c r="D360" s="1">
        <f>Production!G401</f>
        <v>792</v>
      </c>
      <c r="E360" s="79"/>
      <c r="F360" s="9"/>
      <c r="G360" s="1" t="s">
        <v>192</v>
      </c>
      <c r="H360" s="1"/>
      <c r="I360" s="57">
        <f>Production!O401</f>
        <v>912</v>
      </c>
      <c r="J360" s="10"/>
      <c r="K360" s="9"/>
      <c r="L360" s="1" t="s">
        <v>192</v>
      </c>
      <c r="M360" s="1"/>
      <c r="N360" s="57">
        <f>Production!Y401</f>
        <v>816</v>
      </c>
      <c r="O360" s="10"/>
    </row>
    <row r="361" spans="1:15" ht="15" thickBot="1" x14ac:dyDescent="0.4">
      <c r="A361" s="9"/>
      <c r="B361" s="1" t="s">
        <v>153</v>
      </c>
      <c r="C361" s="1"/>
      <c r="D361" s="78">
        <f>D359+D360</f>
        <v>1964</v>
      </c>
      <c r="E361" s="79"/>
      <c r="F361" s="9"/>
      <c r="G361" s="1" t="s">
        <v>153</v>
      </c>
      <c r="H361" s="1"/>
      <c r="I361" s="78">
        <f>I359+I360</f>
        <v>1949</v>
      </c>
      <c r="J361" s="10"/>
      <c r="K361" s="9"/>
      <c r="L361" s="1" t="s">
        <v>153</v>
      </c>
      <c r="M361" s="1"/>
      <c r="N361" s="78">
        <f>N359+N360</f>
        <v>1798</v>
      </c>
      <c r="O361" s="10"/>
    </row>
    <row r="362" spans="1:15" ht="15" thickTop="1" x14ac:dyDescent="0.35">
      <c r="A362" s="9" t="s">
        <v>46</v>
      </c>
      <c r="B362" s="1" t="s">
        <v>538</v>
      </c>
      <c r="C362" s="1">
        <f>'Dispatch and Sales per day'!D260+'Dispatch and Sales per day'!D261</f>
        <v>225</v>
      </c>
      <c r="D362" s="6"/>
      <c r="E362" s="79"/>
      <c r="F362" s="9" t="s">
        <v>46</v>
      </c>
      <c r="G362" s="1" t="s">
        <v>538</v>
      </c>
      <c r="H362" s="1">
        <f>'Dispatch and Sales per day'!P260</f>
        <v>216</v>
      </c>
      <c r="I362" s="6"/>
      <c r="J362" s="10"/>
      <c r="K362" s="9" t="s">
        <v>46</v>
      </c>
      <c r="L362" s="1" t="s">
        <v>538</v>
      </c>
      <c r="M362" s="1">
        <f>'Dispatch and Sales per day'!AB260</f>
        <v>168</v>
      </c>
      <c r="N362" s="6"/>
      <c r="O362" s="10"/>
    </row>
    <row r="363" spans="1:15" x14ac:dyDescent="0.35">
      <c r="A363" s="9"/>
      <c r="B363" s="1" t="s">
        <v>540</v>
      </c>
      <c r="C363" s="1">
        <f>'Dispatch and Sales per day'!D262</f>
        <v>300</v>
      </c>
      <c r="D363" s="1"/>
      <c r="E363" s="79"/>
      <c r="F363" s="9"/>
      <c r="G363" s="1" t="s">
        <v>540</v>
      </c>
      <c r="H363" s="1">
        <f>'Dispatch and Sales per day'!P262</f>
        <v>184</v>
      </c>
      <c r="I363" s="1"/>
      <c r="J363" s="10"/>
      <c r="K363" s="9"/>
      <c r="L363" s="1" t="s">
        <v>540</v>
      </c>
      <c r="M363" s="1">
        <f>'Dispatch and Sales per day'!AB262</f>
        <v>120</v>
      </c>
      <c r="N363" s="1"/>
      <c r="O363" s="10"/>
    </row>
    <row r="364" spans="1:15" x14ac:dyDescent="0.35">
      <c r="A364" s="9"/>
      <c r="B364" s="1" t="s">
        <v>506</v>
      </c>
      <c r="C364" s="1">
        <f>'Dispatch and Sales per day'!D263</f>
        <v>240</v>
      </c>
      <c r="D364" s="1"/>
      <c r="E364" s="79"/>
      <c r="F364" s="9"/>
      <c r="G364" s="1" t="s">
        <v>506</v>
      </c>
      <c r="H364" s="1">
        <f>'Dispatch and Sales per day'!P263</f>
        <v>252</v>
      </c>
      <c r="I364" s="1"/>
      <c r="J364" s="10"/>
      <c r="K364" s="9"/>
      <c r="L364" s="1" t="s">
        <v>506</v>
      </c>
      <c r="M364" s="1">
        <f>'Dispatch and Sales per day'!AB263</f>
        <v>192</v>
      </c>
      <c r="N364" s="1"/>
      <c r="O364" s="10"/>
    </row>
    <row r="365" spans="1:15" x14ac:dyDescent="0.35">
      <c r="A365" s="9"/>
      <c r="B365" s="1" t="s">
        <v>84</v>
      </c>
      <c r="C365" s="1">
        <f>'Dispatch and Sales per day'!D264</f>
        <v>30</v>
      </c>
      <c r="D365" s="1"/>
      <c r="E365" s="79"/>
      <c r="F365" s="9"/>
      <c r="G365" s="1" t="s">
        <v>84</v>
      </c>
      <c r="H365" s="1">
        <f>'Dispatch and Sales per day'!P264</f>
        <v>60</v>
      </c>
      <c r="I365" s="1"/>
      <c r="J365" s="10"/>
      <c r="K365" s="9"/>
      <c r="L365" s="1" t="s">
        <v>84</v>
      </c>
      <c r="M365" s="1">
        <f>'Dispatch and Sales per day'!AB264</f>
        <v>24</v>
      </c>
      <c r="N365" s="1"/>
      <c r="O365" s="10"/>
    </row>
    <row r="366" spans="1:15" x14ac:dyDescent="0.35">
      <c r="A366" s="9"/>
      <c r="B366" s="1" t="s">
        <v>285</v>
      </c>
      <c r="C366" s="1">
        <f>'Dispatch and Sales per day'!D265</f>
        <v>18</v>
      </c>
      <c r="D366" s="1"/>
      <c r="E366" s="79"/>
      <c r="F366" s="9"/>
      <c r="G366" s="1" t="s">
        <v>285</v>
      </c>
      <c r="H366" s="1">
        <f>'Dispatch and Sales per day'!P265+'Dispatch and Sales per day'!P266</f>
        <v>130</v>
      </c>
      <c r="I366" s="1"/>
      <c r="J366" s="10"/>
      <c r="K366" s="9"/>
      <c r="L366" s="1" t="s">
        <v>285</v>
      </c>
      <c r="M366" s="1">
        <f>'Dispatch and Sales per day'!AB265+'Dispatch and Sales per day'!AB266</f>
        <v>96</v>
      </c>
      <c r="N366" s="1"/>
      <c r="O366" s="10"/>
    </row>
    <row r="367" spans="1:15" x14ac:dyDescent="0.35">
      <c r="A367" s="9"/>
      <c r="B367" s="1" t="s">
        <v>311</v>
      </c>
      <c r="C367" s="1">
        <f>'Dispatch and Sales per day'!D268</f>
        <v>180</v>
      </c>
      <c r="D367" s="1"/>
      <c r="E367" s="79"/>
      <c r="F367" s="9"/>
      <c r="G367" s="1" t="s">
        <v>311</v>
      </c>
      <c r="H367" s="1">
        <f>'Dispatch and Sales per day'!P268</f>
        <v>138</v>
      </c>
      <c r="I367" s="1"/>
      <c r="J367" s="10"/>
      <c r="K367" s="9"/>
      <c r="L367" s="1" t="s">
        <v>311</v>
      </c>
      <c r="M367" s="1">
        <f>'Dispatch and Sales per day'!AB268</f>
        <v>192</v>
      </c>
      <c r="N367" s="1"/>
      <c r="O367" s="10"/>
    </row>
    <row r="368" spans="1:15" x14ac:dyDescent="0.35">
      <c r="A368" s="9"/>
      <c r="B368" s="1" t="s">
        <v>306</v>
      </c>
      <c r="C368" s="1">
        <f>'Dispatch and Sales per day'!D270</f>
        <v>0</v>
      </c>
      <c r="D368" s="1"/>
      <c r="E368" s="79"/>
      <c r="F368" s="9"/>
      <c r="G368" s="1" t="s">
        <v>306</v>
      </c>
      <c r="H368" s="1">
        <f>'Dispatch and Sales per day'!P270</f>
        <v>0</v>
      </c>
      <c r="I368" s="1"/>
      <c r="J368" s="10"/>
      <c r="K368" s="9"/>
      <c r="L368" s="1" t="s">
        <v>306</v>
      </c>
      <c r="M368" s="1">
        <f>'Dispatch and Sales per day'!AB270</f>
        <v>0</v>
      </c>
      <c r="N368" s="1"/>
      <c r="O368" s="10"/>
    </row>
    <row r="369" spans="1:18" x14ac:dyDescent="0.35">
      <c r="A369" s="9"/>
      <c r="B369" s="1" t="s">
        <v>154</v>
      </c>
      <c r="C369" s="1"/>
      <c r="D369" s="1">
        <f>SUM(C362:C368)</f>
        <v>993</v>
      </c>
      <c r="E369" s="79"/>
      <c r="F369" s="9"/>
      <c r="G369" s="1" t="s">
        <v>154</v>
      </c>
      <c r="H369" s="1"/>
      <c r="I369" s="1">
        <f>SUM(H362:H368)</f>
        <v>980</v>
      </c>
      <c r="J369" s="10"/>
      <c r="K369" s="9"/>
      <c r="L369" s="1" t="s">
        <v>154</v>
      </c>
      <c r="M369" s="1"/>
      <c r="N369" s="1">
        <f>SUM(M362:M368)</f>
        <v>792</v>
      </c>
      <c r="O369" s="10"/>
    </row>
    <row r="370" spans="1:18" ht="15" thickBot="1" x14ac:dyDescent="0.4">
      <c r="A370" s="9"/>
      <c r="B370" s="1" t="s">
        <v>155</v>
      </c>
      <c r="C370" s="1"/>
      <c r="D370" s="78">
        <f>D361-D369</f>
        <v>971</v>
      </c>
      <c r="E370" s="79"/>
      <c r="F370" s="9"/>
      <c r="G370" s="1" t="s">
        <v>155</v>
      </c>
      <c r="H370" s="1"/>
      <c r="I370" s="78">
        <f>I361-I369</f>
        <v>969</v>
      </c>
      <c r="J370" s="10"/>
      <c r="K370" s="9"/>
      <c r="L370" s="1" t="s">
        <v>155</v>
      </c>
      <c r="M370" s="1"/>
      <c r="N370" s="78">
        <f>N361-N369</f>
        <v>1006</v>
      </c>
      <c r="O370" s="10"/>
    </row>
    <row r="371" spans="1:18" ht="15" thickTop="1" x14ac:dyDescent="0.35">
      <c r="A371" s="9" t="s">
        <v>48</v>
      </c>
      <c r="B371" s="1" t="s">
        <v>14</v>
      </c>
      <c r="C371" s="1"/>
      <c r="D371" s="6">
        <f>'Dispatch and Sales per day'!G271</f>
        <v>450</v>
      </c>
      <c r="E371" s="79"/>
      <c r="F371" s="9" t="s">
        <v>48</v>
      </c>
      <c r="G371" s="1" t="s">
        <v>14</v>
      </c>
      <c r="H371" s="1"/>
      <c r="I371" s="6">
        <f>'Dispatch and Sales per day'!S271</f>
        <v>24</v>
      </c>
      <c r="J371" s="10"/>
      <c r="K371" s="9" t="s">
        <v>48</v>
      </c>
      <c r="L371" s="1" t="s">
        <v>14</v>
      </c>
      <c r="M371" s="1"/>
      <c r="N371" s="6">
        <f>'Dispatch and Sales per day'!AE271</f>
        <v>12</v>
      </c>
      <c r="O371" s="10"/>
    </row>
    <row r="372" spans="1:18" ht="15" thickBot="1" x14ac:dyDescent="0.4">
      <c r="A372" s="9"/>
      <c r="B372" s="1" t="s">
        <v>47</v>
      </c>
      <c r="C372" s="1"/>
      <c r="D372" s="76">
        <f>D370+D371</f>
        <v>1421</v>
      </c>
      <c r="E372" s="36"/>
      <c r="F372" s="9"/>
      <c r="G372" s="1" t="s">
        <v>47</v>
      </c>
      <c r="H372" s="1"/>
      <c r="I372" s="76">
        <f>I370+I371</f>
        <v>993</v>
      </c>
      <c r="J372" s="10"/>
      <c r="K372" s="9"/>
      <c r="L372" s="1" t="s">
        <v>47</v>
      </c>
      <c r="M372" s="1"/>
      <c r="N372" s="76">
        <f>N370+N371</f>
        <v>1018</v>
      </c>
      <c r="O372" s="10"/>
    </row>
    <row r="373" spans="1:18" ht="15" thickTop="1" x14ac:dyDescent="0.35">
      <c r="A373" s="35"/>
      <c r="B373" s="5"/>
      <c r="C373" s="5"/>
      <c r="D373" s="2"/>
      <c r="F373" s="35"/>
      <c r="G373" s="5"/>
      <c r="H373" s="5"/>
      <c r="I373" s="2"/>
      <c r="J373" s="37"/>
      <c r="K373" s="35"/>
      <c r="L373" s="5" t="s">
        <v>564</v>
      </c>
      <c r="M373" s="5"/>
      <c r="N373" s="298">
        <f>982-684</f>
        <v>298</v>
      </c>
      <c r="O373" s="37"/>
      <c r="R373">
        <f>1530-792+12</f>
        <v>750</v>
      </c>
    </row>
    <row r="374" spans="1:18" x14ac:dyDescent="0.35">
      <c r="A374" s="35"/>
      <c r="B374" s="5"/>
      <c r="C374" s="5"/>
      <c r="D374" s="2"/>
      <c r="F374" s="35"/>
      <c r="G374" s="5"/>
      <c r="H374" s="5"/>
      <c r="I374" s="2"/>
      <c r="J374" s="37"/>
      <c r="K374" s="35"/>
      <c r="L374" s="5" t="s">
        <v>565</v>
      </c>
      <c r="M374" s="5"/>
      <c r="N374" s="298">
        <v>30</v>
      </c>
      <c r="O374" s="37"/>
    </row>
    <row r="375" spans="1:18" ht="15" thickBot="1" x14ac:dyDescent="0.4">
      <c r="A375" s="11"/>
      <c r="B375" s="12"/>
      <c r="C375" s="12"/>
      <c r="D375" s="12"/>
      <c r="E375" s="17"/>
      <c r="F375" s="11"/>
      <c r="G375" s="12"/>
      <c r="H375" s="12"/>
      <c r="I375" s="12">
        <f>I372-I373</f>
        <v>993</v>
      </c>
      <c r="J375" s="13"/>
      <c r="K375" s="11"/>
      <c r="L375" s="12"/>
      <c r="M375" s="12"/>
      <c r="N375" s="203">
        <f>N372-N373+N374</f>
        <v>750</v>
      </c>
      <c r="O375" s="13"/>
    </row>
    <row r="376" spans="1:18" x14ac:dyDescent="0.35">
      <c r="A376" s="80" t="s">
        <v>502</v>
      </c>
      <c r="B376" s="41" t="s">
        <v>39</v>
      </c>
      <c r="C376" s="41"/>
      <c r="D376" s="41">
        <f>D372</f>
        <v>1421</v>
      </c>
      <c r="E376" s="92"/>
      <c r="F376" s="80" t="s">
        <v>502</v>
      </c>
      <c r="G376" s="41" t="s">
        <v>39</v>
      </c>
      <c r="H376" s="41"/>
      <c r="I376" s="41">
        <f>I375</f>
        <v>993</v>
      </c>
      <c r="J376" s="81"/>
      <c r="K376" s="80" t="s">
        <v>502</v>
      </c>
      <c r="L376" s="41" t="s">
        <v>39</v>
      </c>
      <c r="M376" s="41"/>
      <c r="N376" s="41">
        <f>N375</f>
        <v>750</v>
      </c>
      <c r="O376" s="81"/>
    </row>
    <row r="377" spans="1:18" x14ac:dyDescent="0.35">
      <c r="A377" s="9"/>
      <c r="B377" s="1" t="s">
        <v>369</v>
      </c>
      <c r="C377" s="1"/>
      <c r="D377" s="1">
        <f>Production!G418</f>
        <v>528</v>
      </c>
      <c r="E377" s="79"/>
      <c r="F377" s="9"/>
      <c r="G377" s="1" t="s">
        <v>360</v>
      </c>
      <c r="H377" s="1"/>
      <c r="I377" s="57">
        <f>Production!O418</f>
        <v>804</v>
      </c>
      <c r="J377" s="10"/>
      <c r="K377" s="9"/>
      <c r="L377" s="1" t="s">
        <v>278</v>
      </c>
      <c r="M377" s="1"/>
      <c r="N377" s="57">
        <f>Production!Y418</f>
        <v>816</v>
      </c>
      <c r="O377" s="10"/>
    </row>
    <row r="378" spans="1:18" ht="15" thickBot="1" x14ac:dyDescent="0.4">
      <c r="A378" s="9"/>
      <c r="B378" s="1" t="s">
        <v>153</v>
      </c>
      <c r="C378" s="1"/>
      <c r="D378" s="78">
        <f>D376+D377</f>
        <v>1949</v>
      </c>
      <c r="E378" s="79"/>
      <c r="F378" s="9"/>
      <c r="G378" s="1" t="s">
        <v>153</v>
      </c>
      <c r="H378" s="1"/>
      <c r="I378" s="78">
        <f>I376+I377</f>
        <v>1797</v>
      </c>
      <c r="J378" s="10"/>
      <c r="K378" s="9"/>
      <c r="L378" s="1" t="s">
        <v>153</v>
      </c>
      <c r="M378" s="1"/>
      <c r="N378" s="78">
        <f>N376+N377</f>
        <v>1566</v>
      </c>
      <c r="O378" s="10"/>
    </row>
    <row r="379" spans="1:18" ht="15" thickTop="1" x14ac:dyDescent="0.35">
      <c r="A379" s="9" t="s">
        <v>46</v>
      </c>
      <c r="B379" s="1" t="s">
        <v>538</v>
      </c>
      <c r="C379" s="1">
        <f>'Dispatch and Sales per day'!D272+'Dispatch and Sales per day'!D273</f>
        <v>225</v>
      </c>
      <c r="D379" s="6"/>
      <c r="E379" s="79"/>
      <c r="F379" s="9" t="s">
        <v>46</v>
      </c>
      <c r="G379" s="1" t="s">
        <v>538</v>
      </c>
      <c r="H379" s="1">
        <f>'Dispatch and Sales per day'!P272</f>
        <v>192</v>
      </c>
      <c r="I379" s="6"/>
      <c r="J379" s="10"/>
      <c r="K379" s="9" t="s">
        <v>46</v>
      </c>
      <c r="L379" s="1" t="s">
        <v>538</v>
      </c>
      <c r="M379" s="1">
        <f>'Dispatch and Sales per day'!AB272</f>
        <v>180</v>
      </c>
      <c r="N379" s="6"/>
      <c r="O379" s="10"/>
    </row>
    <row r="380" spans="1:18" x14ac:dyDescent="0.35">
      <c r="A380" s="9"/>
      <c r="B380" s="1" t="s">
        <v>540</v>
      </c>
      <c r="C380" s="1">
        <f>'Dispatch and Sales per day'!D274+'Dispatch and Sales per day'!D275</f>
        <v>300</v>
      </c>
      <c r="D380" s="1"/>
      <c r="E380" s="79"/>
      <c r="F380" s="9"/>
      <c r="G380" s="1" t="s">
        <v>540</v>
      </c>
      <c r="H380" s="1">
        <f>'Dispatch and Sales per day'!P274</f>
        <v>240</v>
      </c>
      <c r="I380" s="1"/>
      <c r="J380" s="10"/>
      <c r="K380" s="9"/>
      <c r="L380" s="1" t="s">
        <v>540</v>
      </c>
      <c r="M380" s="1">
        <f>'Dispatch and Sales per day'!AB274</f>
        <v>240</v>
      </c>
      <c r="N380" s="1"/>
      <c r="O380" s="10"/>
    </row>
    <row r="381" spans="1:18" x14ac:dyDescent="0.35">
      <c r="A381" s="9"/>
      <c r="B381" s="1" t="s">
        <v>506</v>
      </c>
      <c r="C381" s="1">
        <f>'Dispatch and Sales per day'!D276</f>
        <v>90</v>
      </c>
      <c r="D381" s="1"/>
      <c r="E381" s="79"/>
      <c r="F381" s="9"/>
      <c r="G381" s="1" t="s">
        <v>506</v>
      </c>
      <c r="H381" s="1">
        <f>'Dispatch and Sales per day'!P276</f>
        <v>84</v>
      </c>
      <c r="I381" s="1"/>
      <c r="J381" s="10"/>
      <c r="K381" s="9"/>
      <c r="L381" s="1" t="s">
        <v>506</v>
      </c>
      <c r="M381" s="1">
        <f>'Dispatch and Sales per day'!AB276</f>
        <v>96</v>
      </c>
      <c r="N381" s="1"/>
      <c r="O381" s="10"/>
    </row>
    <row r="382" spans="1:18" x14ac:dyDescent="0.35">
      <c r="A382" s="9"/>
      <c r="B382" s="1" t="s">
        <v>84</v>
      </c>
      <c r="C382" s="1">
        <f>'Dispatch and Sales per day'!D277+'Dispatch and Sales per day'!D278</f>
        <v>30</v>
      </c>
      <c r="D382" s="1"/>
      <c r="E382" s="79"/>
      <c r="F382" s="9"/>
      <c r="G382" s="1" t="s">
        <v>84</v>
      </c>
      <c r="H382" s="1">
        <f>'Dispatch and Sales per day'!P277</f>
        <v>60</v>
      </c>
      <c r="I382" s="1"/>
      <c r="J382" s="10"/>
      <c r="K382" s="9"/>
      <c r="L382" s="1" t="s">
        <v>84</v>
      </c>
      <c r="M382" s="1">
        <f>'Dispatch and Sales per day'!AB277</f>
        <v>60</v>
      </c>
      <c r="N382" s="1"/>
      <c r="O382" s="10"/>
    </row>
    <row r="383" spans="1:18" x14ac:dyDescent="0.35">
      <c r="A383" s="9"/>
      <c r="B383" s="1" t="s">
        <v>285</v>
      </c>
      <c r="C383" s="1">
        <f>'Dispatch and Sales per day'!D279+'Dispatch and Sales per day'!D280</f>
        <v>15</v>
      </c>
      <c r="D383" s="1"/>
      <c r="E383" s="79"/>
      <c r="F383" s="9"/>
      <c r="G383" s="1" t="s">
        <v>285</v>
      </c>
      <c r="H383" s="1">
        <f>'Dispatch and Sales per day'!P279+'Dispatch and Sales per day'!P280</f>
        <v>286</v>
      </c>
      <c r="I383" s="1"/>
      <c r="J383" s="10"/>
      <c r="K383" s="9"/>
      <c r="L383" s="1" t="s">
        <v>285</v>
      </c>
      <c r="M383" s="1">
        <f>'Dispatch and Sales per day'!AB279+'Dispatch and Sales per day'!AB280</f>
        <v>96</v>
      </c>
      <c r="N383" s="1"/>
      <c r="O383" s="10"/>
    </row>
    <row r="384" spans="1:18" x14ac:dyDescent="0.35">
      <c r="A384" s="9"/>
      <c r="B384" s="1" t="s">
        <v>311</v>
      </c>
      <c r="C384" s="1">
        <f>'Dispatch and Sales per day'!D282</f>
        <v>150</v>
      </c>
      <c r="D384" s="1"/>
      <c r="E384" s="79"/>
      <c r="F384" s="9"/>
      <c r="G384" s="1" t="s">
        <v>311</v>
      </c>
      <c r="H384" s="1">
        <f>'Dispatch and Sales per day'!P282</f>
        <v>180</v>
      </c>
      <c r="I384" s="1"/>
      <c r="J384" s="10"/>
      <c r="K384" s="9"/>
      <c r="L384" s="1" t="s">
        <v>311</v>
      </c>
      <c r="M384" s="1">
        <f>'Dispatch and Sales per day'!AB282</f>
        <v>180</v>
      </c>
      <c r="N384" s="1"/>
      <c r="O384" s="10"/>
    </row>
    <row r="385" spans="1:15" x14ac:dyDescent="0.35">
      <c r="A385" s="9"/>
      <c r="B385" s="1" t="s">
        <v>286</v>
      </c>
      <c r="C385" s="1">
        <f>'Dispatch and Sales per day'!D284</f>
        <v>0</v>
      </c>
      <c r="D385" s="1"/>
      <c r="E385" s="79"/>
      <c r="F385" s="9"/>
      <c r="G385" s="1" t="s">
        <v>286</v>
      </c>
      <c r="H385" s="1">
        <f>'Dispatch and Sales per day'!P284</f>
        <v>0</v>
      </c>
      <c r="I385" s="1"/>
      <c r="J385" s="10"/>
      <c r="K385" s="9"/>
      <c r="L385" s="1" t="s">
        <v>286</v>
      </c>
      <c r="M385" s="1">
        <f>'Dispatch and Sales per day'!AB284</f>
        <v>0</v>
      </c>
      <c r="N385" s="1"/>
      <c r="O385" s="10"/>
    </row>
    <row r="386" spans="1:15" x14ac:dyDescent="0.35">
      <c r="A386" s="9"/>
      <c r="B386" s="1" t="s">
        <v>154</v>
      </c>
      <c r="C386" s="1"/>
      <c r="D386" s="1">
        <f>SUM(C379:C385)</f>
        <v>810</v>
      </c>
      <c r="E386" s="79"/>
      <c r="F386" s="9"/>
      <c r="G386" s="1" t="s">
        <v>154</v>
      </c>
      <c r="H386" s="1"/>
      <c r="I386" s="1">
        <f>SUM(H379:H385)</f>
        <v>1042</v>
      </c>
      <c r="J386" s="10"/>
      <c r="K386" s="9"/>
      <c r="L386" s="1" t="s">
        <v>154</v>
      </c>
      <c r="M386" s="1"/>
      <c r="N386" s="1">
        <f>SUM(M379:M385)</f>
        <v>852</v>
      </c>
      <c r="O386" s="10"/>
    </row>
    <row r="387" spans="1:15" ht="15" thickBot="1" x14ac:dyDescent="0.4">
      <c r="A387" s="9"/>
      <c r="B387" s="1" t="s">
        <v>155</v>
      </c>
      <c r="C387" s="1"/>
      <c r="D387" s="78">
        <f>D378-D386</f>
        <v>1139</v>
      </c>
      <c r="E387" s="79"/>
      <c r="F387" s="9"/>
      <c r="G387" s="1" t="s">
        <v>155</v>
      </c>
      <c r="H387" s="1"/>
      <c r="I387" s="78">
        <f>I378-I386</f>
        <v>755</v>
      </c>
      <c r="J387" s="10"/>
      <c r="K387" s="9"/>
      <c r="L387" s="1" t="s">
        <v>155</v>
      </c>
      <c r="M387" s="1"/>
      <c r="N387" s="78">
        <f>N378-N386</f>
        <v>714</v>
      </c>
      <c r="O387" s="10"/>
    </row>
    <row r="388" spans="1:15" ht="15" thickTop="1" x14ac:dyDescent="0.35">
      <c r="A388" s="9" t="s">
        <v>48</v>
      </c>
      <c r="B388" s="1" t="s">
        <v>14</v>
      </c>
      <c r="C388" s="1"/>
      <c r="D388" s="6">
        <f>'Dispatch and Sales per day'!G285</f>
        <v>426</v>
      </c>
      <c r="E388" s="79"/>
      <c r="F388" s="9" t="s">
        <v>48</v>
      </c>
      <c r="G388" s="1" t="s">
        <v>14</v>
      </c>
      <c r="H388" s="1"/>
      <c r="I388" s="6">
        <f>'Dispatch and Sales per day'!S285</f>
        <v>117</v>
      </c>
      <c r="J388" s="10"/>
      <c r="K388" s="9" t="s">
        <v>48</v>
      </c>
      <c r="L388" s="1" t="s">
        <v>14</v>
      </c>
      <c r="M388" s="1"/>
      <c r="N388" s="6">
        <f>'Dispatch and Sales per day'!AE285</f>
        <v>187</v>
      </c>
      <c r="O388" s="10"/>
    </row>
    <row r="389" spans="1:15" ht="15" thickBot="1" x14ac:dyDescent="0.4">
      <c r="A389" s="9"/>
      <c r="B389" s="1" t="s">
        <v>47</v>
      </c>
      <c r="C389" s="1"/>
      <c r="D389" s="76">
        <f>D387+D388</f>
        <v>1565</v>
      </c>
      <c r="E389" s="36"/>
      <c r="F389" s="9"/>
      <c r="G389" s="1" t="s">
        <v>47</v>
      </c>
      <c r="H389" s="1"/>
      <c r="I389" s="76">
        <f>I387+I388</f>
        <v>872</v>
      </c>
      <c r="J389" s="10"/>
      <c r="K389" s="9"/>
      <c r="L389" s="1" t="s">
        <v>47</v>
      </c>
      <c r="M389" s="1"/>
      <c r="N389" s="76">
        <f>N387+N388</f>
        <v>901</v>
      </c>
      <c r="O389" s="10"/>
    </row>
    <row r="390" spans="1:15" ht="15" thickTop="1" x14ac:dyDescent="0.35">
      <c r="A390" s="35"/>
      <c r="B390" s="5" t="s">
        <v>567</v>
      </c>
      <c r="C390" s="5"/>
      <c r="D390" s="298">
        <f>D376-1246</f>
        <v>175</v>
      </c>
      <c r="F390" s="35"/>
      <c r="G390" s="5" t="s">
        <v>568</v>
      </c>
      <c r="H390" s="5"/>
      <c r="I390" s="298">
        <v>1</v>
      </c>
      <c r="J390" s="37"/>
      <c r="K390" s="35"/>
      <c r="L390" s="5"/>
      <c r="M390" s="5"/>
      <c r="N390" s="204"/>
      <c r="O390" s="37"/>
    </row>
    <row r="391" spans="1:15" x14ac:dyDescent="0.35">
      <c r="A391" s="35"/>
      <c r="B391" s="5" t="s">
        <v>566</v>
      </c>
      <c r="C391" s="5"/>
      <c r="D391" s="298">
        <v>52</v>
      </c>
      <c r="F391" s="35"/>
      <c r="G391" s="5"/>
      <c r="H391" s="5"/>
      <c r="I391" s="2"/>
      <c r="J391" s="37"/>
      <c r="K391" s="35"/>
      <c r="L391" s="5"/>
      <c r="M391" s="5"/>
      <c r="N391" s="2"/>
      <c r="O391" s="37"/>
    </row>
    <row r="392" spans="1:15" ht="15" thickBot="1" x14ac:dyDescent="0.4">
      <c r="A392" s="11"/>
      <c r="B392" s="12"/>
      <c r="C392" s="12"/>
      <c r="D392" s="76">
        <f>D389-D390+D391</f>
        <v>1442</v>
      </c>
      <c r="E392" s="17"/>
      <c r="F392" s="11"/>
      <c r="G392" s="12"/>
      <c r="H392" s="12"/>
      <c r="I392" s="203">
        <f>I389+I390</f>
        <v>873</v>
      </c>
      <c r="J392" s="13"/>
      <c r="K392" s="11"/>
      <c r="L392" s="12"/>
      <c r="M392" s="12"/>
      <c r="N392" s="12"/>
      <c r="O392" s="13"/>
    </row>
    <row r="393" spans="1:15" x14ac:dyDescent="0.35">
      <c r="A393" s="80" t="s">
        <v>507</v>
      </c>
      <c r="B393" s="41" t="s">
        <v>39</v>
      </c>
      <c r="C393" s="41"/>
      <c r="D393" s="6">
        <f>D392</f>
        <v>1442</v>
      </c>
      <c r="E393" s="92"/>
      <c r="F393" s="80" t="s">
        <v>416</v>
      </c>
      <c r="G393" s="41" t="s">
        <v>39</v>
      </c>
      <c r="H393" s="41"/>
      <c r="I393" s="41">
        <f>I392</f>
        <v>873</v>
      </c>
      <c r="J393" s="81"/>
      <c r="K393" s="80" t="s">
        <v>416</v>
      </c>
      <c r="L393" s="41" t="s">
        <v>39</v>
      </c>
      <c r="M393" s="41"/>
      <c r="N393" s="41">
        <f>N389</f>
        <v>901</v>
      </c>
      <c r="O393" s="81"/>
    </row>
    <row r="394" spans="1:15" x14ac:dyDescent="0.35">
      <c r="A394" s="9"/>
      <c r="B394" s="1" t="s">
        <v>393</v>
      </c>
      <c r="C394" s="1"/>
      <c r="D394" s="1">
        <f>Production!G435</f>
        <v>264</v>
      </c>
      <c r="E394" s="79"/>
      <c r="F394" s="9"/>
      <c r="G394" s="1" t="s">
        <v>254</v>
      </c>
      <c r="H394" s="1"/>
      <c r="I394" s="57">
        <f>Production!O435</f>
        <v>807</v>
      </c>
      <c r="J394" s="10"/>
      <c r="K394" s="9"/>
      <c r="L394" s="1" t="s">
        <v>257</v>
      </c>
      <c r="M394" s="1"/>
      <c r="N394" s="57">
        <f>Production!Y435</f>
        <v>714</v>
      </c>
      <c r="O394" s="10"/>
    </row>
    <row r="395" spans="1:15" ht="15" thickBot="1" x14ac:dyDescent="0.4">
      <c r="A395" s="9"/>
      <c r="B395" s="1" t="s">
        <v>153</v>
      </c>
      <c r="C395" s="1"/>
      <c r="D395" s="78">
        <f>D393+D394</f>
        <v>1706</v>
      </c>
      <c r="E395" s="79"/>
      <c r="F395" s="9"/>
      <c r="G395" s="1" t="s">
        <v>153</v>
      </c>
      <c r="H395" s="1"/>
      <c r="I395" s="78">
        <f>I393+I394</f>
        <v>1680</v>
      </c>
      <c r="J395" s="10"/>
      <c r="K395" s="9"/>
      <c r="L395" s="1" t="s">
        <v>153</v>
      </c>
      <c r="M395" s="1"/>
      <c r="N395" s="78">
        <f>N393+N394</f>
        <v>1615</v>
      </c>
      <c r="O395" s="10"/>
    </row>
    <row r="396" spans="1:15" ht="15" thickTop="1" x14ac:dyDescent="0.35">
      <c r="A396" s="9" t="s">
        <v>46</v>
      </c>
      <c r="B396" s="1" t="s">
        <v>538</v>
      </c>
      <c r="C396" s="1">
        <f>'Dispatch and Sales per day'!D286+'Dispatch and Sales per day'!D287</f>
        <v>225</v>
      </c>
      <c r="D396" s="6"/>
      <c r="E396" s="79"/>
      <c r="F396" s="9" t="s">
        <v>46</v>
      </c>
      <c r="G396" s="1" t="s">
        <v>538</v>
      </c>
      <c r="H396" s="1">
        <f>'Dispatch and Sales per day'!P286</f>
        <v>180</v>
      </c>
      <c r="I396" s="6"/>
      <c r="J396" s="10"/>
      <c r="K396" s="9" t="s">
        <v>46</v>
      </c>
      <c r="L396" s="1" t="s">
        <v>538</v>
      </c>
      <c r="M396" s="1">
        <f>'Dispatch and Sales per day'!AB286</f>
        <v>180</v>
      </c>
      <c r="N396" s="6"/>
      <c r="O396" s="10"/>
    </row>
    <row r="397" spans="1:15" x14ac:dyDescent="0.35">
      <c r="A397" s="9"/>
      <c r="B397" s="1" t="s">
        <v>540</v>
      </c>
      <c r="C397" s="1">
        <f>'Dispatch and Sales per day'!D288+'Dispatch and Sales per day'!D289</f>
        <v>300</v>
      </c>
      <c r="D397" s="1"/>
      <c r="E397" s="79"/>
      <c r="F397" s="9"/>
      <c r="G397" s="1" t="s">
        <v>540</v>
      </c>
      <c r="H397" s="1">
        <f>'Dispatch and Sales per day'!P288</f>
        <v>240</v>
      </c>
      <c r="I397" s="1"/>
      <c r="J397" s="10"/>
      <c r="K397" s="9"/>
      <c r="L397" s="1" t="s">
        <v>540</v>
      </c>
      <c r="M397" s="1">
        <f>'Dispatch and Sales per day'!AB288</f>
        <v>240</v>
      </c>
      <c r="N397" s="1"/>
      <c r="O397" s="10"/>
    </row>
    <row r="398" spans="1:15" x14ac:dyDescent="0.35">
      <c r="A398" s="9"/>
      <c r="B398" s="1" t="s">
        <v>506</v>
      </c>
      <c r="C398" s="1">
        <f>'Dispatch and Sales per day'!D290</f>
        <v>120</v>
      </c>
      <c r="D398" s="1"/>
      <c r="E398" s="79"/>
      <c r="F398" s="9"/>
      <c r="G398" s="1" t="s">
        <v>506</v>
      </c>
      <c r="H398" s="1">
        <f>'Dispatch and Sales per day'!P290</f>
        <v>165</v>
      </c>
      <c r="I398" s="1"/>
      <c r="J398" s="10"/>
      <c r="K398" s="9"/>
      <c r="L398" s="1" t="s">
        <v>506</v>
      </c>
      <c r="M398" s="1">
        <f>'Dispatch and Sales per day'!AB290</f>
        <v>156</v>
      </c>
      <c r="N398" s="1"/>
      <c r="O398" s="10"/>
    </row>
    <row r="399" spans="1:15" x14ac:dyDescent="0.35">
      <c r="A399" s="9"/>
      <c r="B399" s="1" t="s">
        <v>84</v>
      </c>
      <c r="C399" s="1">
        <f>'Dispatch and Sales per day'!D291</f>
        <v>30</v>
      </c>
      <c r="D399" s="1"/>
      <c r="E399" s="79"/>
      <c r="F399" s="9"/>
      <c r="G399" s="1" t="s">
        <v>84</v>
      </c>
      <c r="H399" s="1">
        <f>'Dispatch and Sales per day'!P291</f>
        <v>60</v>
      </c>
      <c r="I399" s="1"/>
      <c r="J399" s="10"/>
      <c r="K399" s="9"/>
      <c r="L399" s="1" t="s">
        <v>84</v>
      </c>
      <c r="M399" s="1">
        <f>'Dispatch and Sales per day'!AB291</f>
        <v>60</v>
      </c>
      <c r="N399" s="1"/>
      <c r="O399" s="10"/>
    </row>
    <row r="400" spans="1:15" x14ac:dyDescent="0.35">
      <c r="A400" s="9"/>
      <c r="B400" s="1" t="s">
        <v>285</v>
      </c>
      <c r="C400" s="1">
        <f>'Dispatch and Sales per day'!D292</f>
        <v>15</v>
      </c>
      <c r="D400" s="1"/>
      <c r="E400" s="79"/>
      <c r="F400" s="9"/>
      <c r="G400" s="1" t="s">
        <v>285</v>
      </c>
      <c r="H400" s="1">
        <f>'Dispatch and Sales per day'!P292+'Dispatch and Sales per day'!P293</f>
        <v>157</v>
      </c>
      <c r="I400" s="1"/>
      <c r="J400" s="10"/>
      <c r="K400" s="9"/>
      <c r="L400" s="1" t="s">
        <v>285</v>
      </c>
      <c r="M400" s="1">
        <f>'Dispatch and Sales per day'!AB292+'Dispatch and Sales per day'!AB293</f>
        <v>120</v>
      </c>
      <c r="N400" s="1"/>
      <c r="O400" s="10"/>
    </row>
    <row r="401" spans="1:15" x14ac:dyDescent="0.35">
      <c r="A401" s="9"/>
      <c r="B401" s="1" t="s">
        <v>311</v>
      </c>
      <c r="C401" s="1">
        <f>'Dispatch and Sales per day'!D295</f>
        <v>0</v>
      </c>
      <c r="D401" s="1"/>
      <c r="E401" s="79"/>
      <c r="F401" s="9"/>
      <c r="G401" s="1" t="s">
        <v>311</v>
      </c>
      <c r="H401" s="1">
        <f>'Dispatch and Sales per day'!P295</f>
        <v>0</v>
      </c>
      <c r="I401" s="1"/>
      <c r="J401" s="10"/>
      <c r="K401" s="9"/>
      <c r="L401" s="1" t="s">
        <v>311</v>
      </c>
      <c r="M401" s="1">
        <f>'Dispatch and Sales per day'!AB295</f>
        <v>0</v>
      </c>
      <c r="N401" s="1"/>
      <c r="O401" s="10"/>
    </row>
    <row r="402" spans="1:15" x14ac:dyDescent="0.35">
      <c r="A402" s="9"/>
      <c r="B402" s="1" t="s">
        <v>306</v>
      </c>
      <c r="C402" s="1">
        <f>'Dispatch and Sales per day'!D297</f>
        <v>0</v>
      </c>
      <c r="D402" s="1"/>
      <c r="E402" s="79"/>
      <c r="F402" s="9"/>
      <c r="G402" s="1" t="s">
        <v>306</v>
      </c>
      <c r="H402" s="1">
        <f>'Dispatch and Sales per day'!P297</f>
        <v>0</v>
      </c>
      <c r="I402" s="1"/>
      <c r="J402" s="10"/>
      <c r="K402" s="9"/>
      <c r="L402" s="1" t="s">
        <v>306</v>
      </c>
      <c r="M402" s="1">
        <f>'Dispatch and Sales per day'!AB297</f>
        <v>0</v>
      </c>
      <c r="N402" s="1"/>
      <c r="O402" s="10"/>
    </row>
    <row r="403" spans="1:15" x14ac:dyDescent="0.35">
      <c r="A403" s="9"/>
      <c r="B403" s="1" t="s">
        <v>154</v>
      </c>
      <c r="C403" s="1"/>
      <c r="D403" s="1">
        <f>SUM(C396:C402)</f>
        <v>690</v>
      </c>
      <c r="E403" s="79"/>
      <c r="F403" s="9"/>
      <c r="G403" s="1" t="s">
        <v>154</v>
      </c>
      <c r="H403" s="1"/>
      <c r="I403" s="1">
        <f>SUM(H396:H402)</f>
        <v>802</v>
      </c>
      <c r="J403" s="10"/>
      <c r="K403" s="9"/>
      <c r="L403" s="1" t="s">
        <v>154</v>
      </c>
      <c r="M403" s="1"/>
      <c r="N403" s="1">
        <f>SUM(M396:M402)</f>
        <v>756</v>
      </c>
      <c r="O403" s="10"/>
    </row>
    <row r="404" spans="1:15" ht="15" thickBot="1" x14ac:dyDescent="0.4">
      <c r="A404" s="9"/>
      <c r="B404" s="1" t="s">
        <v>155</v>
      </c>
      <c r="C404" s="1"/>
      <c r="D404" s="78">
        <f>D395-D403</f>
        <v>1016</v>
      </c>
      <c r="E404" s="79"/>
      <c r="F404" s="9"/>
      <c r="G404" s="1" t="s">
        <v>155</v>
      </c>
      <c r="H404" s="1"/>
      <c r="I404" s="78">
        <f>I395-I403</f>
        <v>878</v>
      </c>
      <c r="J404" s="10"/>
      <c r="K404" s="9"/>
      <c r="L404" s="1" t="s">
        <v>155</v>
      </c>
      <c r="M404" s="1"/>
      <c r="N404" s="78">
        <f>N395-N403</f>
        <v>859</v>
      </c>
      <c r="O404" s="10"/>
    </row>
    <row r="405" spans="1:15" ht="15" thickTop="1" x14ac:dyDescent="0.35">
      <c r="A405" s="9" t="s">
        <v>48</v>
      </c>
      <c r="B405" s="1" t="s">
        <v>14</v>
      </c>
      <c r="C405" s="1"/>
      <c r="D405" s="6">
        <f>'Dispatch and Sales per day'!G298</f>
        <v>359</v>
      </c>
      <c r="E405" s="79"/>
      <c r="F405" s="9" t="s">
        <v>48</v>
      </c>
      <c r="G405" s="1" t="s">
        <v>14</v>
      </c>
      <c r="H405" s="1"/>
      <c r="I405" s="6">
        <f>'Dispatch and Sales per day'!S298</f>
        <v>104</v>
      </c>
      <c r="J405" s="10"/>
      <c r="K405" s="9" t="s">
        <v>48</v>
      </c>
      <c r="L405" s="1" t="s">
        <v>14</v>
      </c>
      <c r="M405" s="1"/>
      <c r="N405" s="6">
        <f>'Dispatch and Sales per day'!AE298</f>
        <v>168</v>
      </c>
      <c r="O405" s="10"/>
    </row>
    <row r="406" spans="1:15" ht="15" thickBot="1" x14ac:dyDescent="0.4">
      <c r="A406" s="9"/>
      <c r="B406" s="1" t="s">
        <v>47</v>
      </c>
      <c r="C406" s="1"/>
      <c r="D406" s="76">
        <f>D404+D405</f>
        <v>1375</v>
      </c>
      <c r="E406" s="36"/>
      <c r="F406" s="9"/>
      <c r="G406" s="1" t="s">
        <v>47</v>
      </c>
      <c r="H406" s="1"/>
      <c r="I406" s="76">
        <f>I404+I405</f>
        <v>982</v>
      </c>
      <c r="J406" s="10"/>
      <c r="K406" s="9"/>
      <c r="L406" s="1" t="s">
        <v>47</v>
      </c>
      <c r="M406" s="1"/>
      <c r="N406" s="76">
        <f>N404+N405</f>
        <v>1027</v>
      </c>
      <c r="O406" s="10"/>
    </row>
    <row r="407" spans="1:15" ht="15" thickTop="1" x14ac:dyDescent="0.35">
      <c r="A407" s="35"/>
      <c r="B407" s="5"/>
      <c r="C407" s="5"/>
      <c r="D407" s="2"/>
      <c r="F407" s="35"/>
      <c r="G407" s="5" t="s">
        <v>569</v>
      </c>
      <c r="H407" s="5"/>
      <c r="I407" s="298">
        <f>I406-952</f>
        <v>30</v>
      </c>
      <c r="J407" s="37"/>
      <c r="K407" s="35"/>
      <c r="L407" s="5" t="s">
        <v>570</v>
      </c>
      <c r="M407" s="5"/>
      <c r="N407" s="298">
        <f>1243-N406</f>
        <v>216</v>
      </c>
      <c r="O407" s="37"/>
    </row>
    <row r="408" spans="1:15" ht="15" thickBot="1" x14ac:dyDescent="0.4">
      <c r="A408" s="11"/>
      <c r="B408" s="12"/>
      <c r="C408" s="12"/>
      <c r="D408" s="203">
        <f>D406+D407</f>
        <v>1375</v>
      </c>
      <c r="E408" s="17"/>
      <c r="F408" s="11"/>
      <c r="G408" s="12"/>
      <c r="H408" s="12"/>
      <c r="I408" s="76">
        <f>I406-I407</f>
        <v>952</v>
      </c>
      <c r="J408" s="13"/>
      <c r="K408" s="11"/>
      <c r="L408" s="12"/>
      <c r="M408" s="12"/>
      <c r="N408" s="203">
        <f>N406+N407</f>
        <v>1243</v>
      </c>
      <c r="O408" s="13"/>
    </row>
    <row r="409" spans="1:15" x14ac:dyDescent="0.35">
      <c r="A409" s="80" t="s">
        <v>417</v>
      </c>
      <c r="B409" s="41" t="s">
        <v>39</v>
      </c>
      <c r="C409" s="41"/>
      <c r="D409" s="41">
        <f>D408</f>
        <v>1375</v>
      </c>
      <c r="E409" s="92"/>
      <c r="F409" s="80" t="s">
        <v>417</v>
      </c>
      <c r="G409" s="41" t="s">
        <v>39</v>
      </c>
      <c r="H409" s="41"/>
      <c r="I409" s="6">
        <f>I408</f>
        <v>952</v>
      </c>
      <c r="J409" s="81"/>
      <c r="K409" s="80" t="s">
        <v>417</v>
      </c>
      <c r="L409" s="41" t="s">
        <v>39</v>
      </c>
      <c r="M409" s="41"/>
      <c r="N409" s="41">
        <f>N408</f>
        <v>1243</v>
      </c>
      <c r="O409" s="81"/>
    </row>
    <row r="410" spans="1:15" x14ac:dyDescent="0.35">
      <c r="A410" s="9"/>
      <c r="B410" s="1" t="s">
        <v>393</v>
      </c>
      <c r="C410" s="1"/>
      <c r="D410" s="1">
        <f>Production!G452</f>
        <v>264</v>
      </c>
      <c r="E410" s="79"/>
      <c r="F410" s="9"/>
      <c r="G410" s="1" t="s">
        <v>278</v>
      </c>
      <c r="H410" s="1"/>
      <c r="I410" s="57">
        <f>Production!O452</f>
        <v>804</v>
      </c>
      <c r="J410" s="10"/>
      <c r="K410" s="9"/>
      <c r="L410" s="1" t="s">
        <v>282</v>
      </c>
      <c r="M410" s="1"/>
      <c r="N410" s="57">
        <f>Production!Y452</f>
        <v>510</v>
      </c>
      <c r="O410" s="10"/>
    </row>
    <row r="411" spans="1:15" ht="15" thickBot="1" x14ac:dyDescent="0.4">
      <c r="A411" s="9"/>
      <c r="B411" s="1" t="s">
        <v>153</v>
      </c>
      <c r="C411" s="1"/>
      <c r="D411" s="78">
        <f>D409+D410</f>
        <v>1639</v>
      </c>
      <c r="E411" s="79"/>
      <c r="F411" s="9"/>
      <c r="G411" s="1" t="s">
        <v>153</v>
      </c>
      <c r="H411" s="1"/>
      <c r="I411" s="78">
        <f>I409+I410</f>
        <v>1756</v>
      </c>
      <c r="J411" s="10"/>
      <c r="K411" s="9"/>
      <c r="L411" s="1" t="s">
        <v>153</v>
      </c>
      <c r="M411" s="1"/>
      <c r="N411" s="78">
        <f>N409+N410</f>
        <v>1753</v>
      </c>
      <c r="O411" s="10"/>
    </row>
    <row r="412" spans="1:15" ht="15" thickTop="1" x14ac:dyDescent="0.35">
      <c r="A412" s="9" t="s">
        <v>46</v>
      </c>
      <c r="B412" s="1" t="s">
        <v>538</v>
      </c>
      <c r="C412" s="1">
        <f>'Dispatch and Sales per day'!D299+'Dispatch and Sales per day'!D300</f>
        <v>225</v>
      </c>
      <c r="D412" s="6"/>
      <c r="E412" s="79"/>
      <c r="F412" s="9" t="s">
        <v>46</v>
      </c>
      <c r="G412" s="1" t="s">
        <v>538</v>
      </c>
      <c r="H412" s="1">
        <f>'Dispatch and Sales per day'!P299</f>
        <v>180</v>
      </c>
      <c r="I412" s="6"/>
      <c r="J412" s="10"/>
      <c r="K412" s="9" t="s">
        <v>46</v>
      </c>
      <c r="L412" s="1" t="s">
        <v>538</v>
      </c>
      <c r="M412" s="1">
        <f>'Dispatch and Sales per day'!AB299+'Dispatch and Sales per day'!AB300</f>
        <v>180</v>
      </c>
      <c r="N412" s="6"/>
      <c r="O412" s="10"/>
    </row>
    <row r="413" spans="1:15" x14ac:dyDescent="0.35">
      <c r="A413" s="9"/>
      <c r="B413" s="1" t="s">
        <v>540</v>
      </c>
      <c r="C413" s="1">
        <f>'Dispatch and Sales per day'!D301+'Dispatch and Sales per day'!D302</f>
        <v>225</v>
      </c>
      <c r="D413" s="1"/>
      <c r="E413" s="79"/>
      <c r="F413" s="9"/>
      <c r="G413" s="1" t="s">
        <v>540</v>
      </c>
      <c r="H413" s="1">
        <f>'Dispatch and Sales per day'!P301</f>
        <v>240</v>
      </c>
      <c r="I413" s="1"/>
      <c r="J413" s="10"/>
      <c r="K413" s="9"/>
      <c r="L413" s="1" t="s">
        <v>540</v>
      </c>
      <c r="M413" s="1">
        <f>'Dispatch and Sales per day'!AB301</f>
        <v>240</v>
      </c>
      <c r="N413" s="1"/>
      <c r="O413" s="10"/>
    </row>
    <row r="414" spans="1:15" x14ac:dyDescent="0.35">
      <c r="A414" s="9"/>
      <c r="B414" s="1" t="s">
        <v>506</v>
      </c>
      <c r="C414" s="1">
        <f>'Dispatch and Sales per day'!D303</f>
        <v>150</v>
      </c>
      <c r="D414" s="1"/>
      <c r="E414" s="79"/>
      <c r="F414" s="9"/>
      <c r="G414" s="1" t="s">
        <v>506</v>
      </c>
      <c r="H414" s="1">
        <f>'Dispatch and Sales per day'!P303</f>
        <v>144</v>
      </c>
      <c r="I414" s="1"/>
      <c r="J414" s="10"/>
      <c r="K414" s="9"/>
      <c r="L414" s="1" t="s">
        <v>506</v>
      </c>
      <c r="M414" s="1">
        <f>'Dispatch and Sales per day'!AB303</f>
        <v>132</v>
      </c>
      <c r="N414" s="1"/>
      <c r="O414" s="10"/>
    </row>
    <row r="415" spans="1:15" x14ac:dyDescent="0.35">
      <c r="A415" s="9"/>
      <c r="B415" s="1" t="s">
        <v>84</v>
      </c>
      <c r="C415" s="1">
        <f>'Dispatch and Sales per day'!D304</f>
        <v>30</v>
      </c>
      <c r="D415" s="1"/>
      <c r="E415" s="79"/>
      <c r="F415" s="9"/>
      <c r="G415" s="1" t="s">
        <v>84</v>
      </c>
      <c r="H415" s="1">
        <f>'Dispatch and Sales per day'!P304</f>
        <v>60</v>
      </c>
      <c r="I415" s="1"/>
      <c r="J415" s="10"/>
      <c r="K415" s="9"/>
      <c r="L415" s="1" t="s">
        <v>84</v>
      </c>
      <c r="M415" s="1">
        <f>'Dispatch and Sales per day'!AB304</f>
        <v>60</v>
      </c>
      <c r="N415" s="1"/>
      <c r="O415" s="10"/>
    </row>
    <row r="416" spans="1:15" x14ac:dyDescent="0.35">
      <c r="A416" s="9"/>
      <c r="B416" s="1" t="s">
        <v>285</v>
      </c>
      <c r="C416" s="1">
        <f>'Dispatch and Sales per day'!D305</f>
        <v>45</v>
      </c>
      <c r="D416" s="1"/>
      <c r="E416" s="79"/>
      <c r="F416" s="9"/>
      <c r="G416" s="1" t="s">
        <v>285</v>
      </c>
      <c r="H416" s="1">
        <f>'Dispatch and Sales per day'!P305</f>
        <v>36</v>
      </c>
      <c r="I416" s="1"/>
      <c r="J416" s="10"/>
      <c r="K416" s="9"/>
      <c r="L416" s="1" t="s">
        <v>285</v>
      </c>
      <c r="M416" s="1">
        <f>'Dispatch and Sales per day'!AB305</f>
        <v>36</v>
      </c>
      <c r="N416" s="1"/>
      <c r="O416" s="10"/>
    </row>
    <row r="417" spans="1:16" x14ac:dyDescent="0.35">
      <c r="A417" s="9"/>
      <c r="B417" s="1" t="s">
        <v>311</v>
      </c>
      <c r="C417" s="1">
        <v>0</v>
      </c>
      <c r="D417" s="1"/>
      <c r="E417" s="79"/>
      <c r="F417" s="9"/>
      <c r="G417" s="1" t="s">
        <v>311</v>
      </c>
      <c r="H417" s="1">
        <v>0</v>
      </c>
      <c r="I417" s="1"/>
      <c r="J417" s="10"/>
      <c r="K417" s="9"/>
      <c r="L417" s="1" t="s">
        <v>311</v>
      </c>
      <c r="M417" s="1">
        <v>0</v>
      </c>
      <c r="N417" s="1"/>
      <c r="O417" s="10"/>
    </row>
    <row r="418" spans="1:16" x14ac:dyDescent="0.35">
      <c r="A418" s="9"/>
      <c r="B418" s="1" t="s">
        <v>306</v>
      </c>
      <c r="C418" s="1">
        <f>'Dispatch and Sales per day'!D307</f>
        <v>0</v>
      </c>
      <c r="D418" s="1"/>
      <c r="E418" s="79"/>
      <c r="F418" s="9"/>
      <c r="G418" s="1" t="s">
        <v>306</v>
      </c>
      <c r="H418" s="1">
        <f>'Dispatch and Sales per day'!P307</f>
        <v>0</v>
      </c>
      <c r="I418" s="1"/>
      <c r="J418" s="10"/>
      <c r="K418" s="9"/>
      <c r="L418" s="1" t="s">
        <v>306</v>
      </c>
      <c r="M418" s="1">
        <f>'Dispatch and Sales per day'!AB307</f>
        <v>0</v>
      </c>
      <c r="N418" s="1"/>
      <c r="O418" s="10"/>
    </row>
    <row r="419" spans="1:16" x14ac:dyDescent="0.35">
      <c r="A419" s="9"/>
      <c r="B419" s="1" t="s">
        <v>154</v>
      </c>
      <c r="C419" s="1"/>
      <c r="D419" s="1">
        <f>SUM(C412:C418)</f>
        <v>675</v>
      </c>
      <c r="E419" s="79"/>
      <c r="F419" s="9"/>
      <c r="G419" s="1" t="s">
        <v>154</v>
      </c>
      <c r="H419" s="1"/>
      <c r="I419" s="1">
        <f>SUM(H412:H418)</f>
        <v>660</v>
      </c>
      <c r="J419" s="10"/>
      <c r="K419" s="9"/>
      <c r="L419" s="1" t="s">
        <v>154</v>
      </c>
      <c r="M419" s="1"/>
      <c r="N419" s="1">
        <f>SUM(M412:M418)</f>
        <v>648</v>
      </c>
      <c r="O419" s="10"/>
    </row>
    <row r="420" spans="1:16" ht="15" thickBot="1" x14ac:dyDescent="0.4">
      <c r="A420" s="9"/>
      <c r="B420" s="1" t="s">
        <v>155</v>
      </c>
      <c r="C420" s="1"/>
      <c r="D420" s="78">
        <f>D411-D419</f>
        <v>964</v>
      </c>
      <c r="E420" s="79"/>
      <c r="F420" s="9"/>
      <c r="G420" s="1" t="s">
        <v>155</v>
      </c>
      <c r="H420" s="1"/>
      <c r="I420" s="78">
        <f>I411-I419</f>
        <v>1096</v>
      </c>
      <c r="J420" s="10"/>
      <c r="K420" s="9"/>
      <c r="L420" s="1" t="s">
        <v>155</v>
      </c>
      <c r="M420" s="1"/>
      <c r="N420" s="78">
        <f>N411-N419</f>
        <v>1105</v>
      </c>
      <c r="O420" s="10"/>
    </row>
    <row r="421" spans="1:16" ht="15" thickTop="1" x14ac:dyDescent="0.35">
      <c r="A421" s="9" t="s">
        <v>48</v>
      </c>
      <c r="B421" s="1" t="s">
        <v>14</v>
      </c>
      <c r="C421" s="1"/>
      <c r="D421" s="6">
        <f>'Dispatch and Sales per day'!G308</f>
        <v>340</v>
      </c>
      <c r="E421" s="79"/>
      <c r="F421" s="9" t="s">
        <v>48</v>
      </c>
      <c r="G421" s="1" t="s">
        <v>14</v>
      </c>
      <c r="H421" s="1"/>
      <c r="I421" s="6">
        <f>'Dispatch and Sales per day'!S308</f>
        <v>167</v>
      </c>
      <c r="J421" s="10"/>
      <c r="K421" s="9" t="s">
        <v>48</v>
      </c>
      <c r="L421" s="1" t="s">
        <v>14</v>
      </c>
      <c r="M421" s="1"/>
      <c r="N421" s="6">
        <f>'Dispatch and Sales per day'!AE308</f>
        <v>194</v>
      </c>
      <c r="O421" s="10"/>
    </row>
    <row r="422" spans="1:16" ht="15" thickBot="1" x14ac:dyDescent="0.4">
      <c r="A422" s="9"/>
      <c r="B422" s="1" t="s">
        <v>47</v>
      </c>
      <c r="C422" s="1"/>
      <c r="D422" s="76">
        <f>D420+D421</f>
        <v>1304</v>
      </c>
      <c r="E422" s="36"/>
      <c r="F422" s="9"/>
      <c r="G422" s="1" t="s">
        <v>47</v>
      </c>
      <c r="H422" s="1"/>
      <c r="I422" s="76">
        <f>I420+I421</f>
        <v>1263</v>
      </c>
      <c r="J422" s="10"/>
      <c r="K422" s="9"/>
      <c r="L422" s="1" t="s">
        <v>47</v>
      </c>
      <c r="M422" s="1"/>
      <c r="N422" s="76">
        <f>N420+N421</f>
        <v>1299</v>
      </c>
      <c r="O422" s="10"/>
    </row>
    <row r="423" spans="1:16" ht="15" thickTop="1" x14ac:dyDescent="0.35">
      <c r="A423" s="35"/>
      <c r="B423" s="5"/>
      <c r="C423" s="5"/>
      <c r="D423" s="2"/>
      <c r="F423" s="35"/>
      <c r="G423" s="5"/>
      <c r="H423" s="5"/>
      <c r="I423" s="2"/>
      <c r="J423" s="37"/>
      <c r="K423" s="35"/>
      <c r="L423" s="5"/>
      <c r="M423" s="5"/>
      <c r="N423" s="2"/>
      <c r="O423" s="37"/>
    </row>
    <row r="424" spans="1:16" ht="15" thickBot="1" x14ac:dyDescent="0.4">
      <c r="A424" s="11"/>
      <c r="B424" s="12"/>
      <c r="C424" s="12"/>
      <c r="D424" s="12"/>
      <c r="E424" s="17"/>
      <c r="F424" s="11"/>
      <c r="G424" s="12"/>
      <c r="H424" s="12"/>
      <c r="I424" s="12"/>
      <c r="J424" s="13"/>
      <c r="K424" s="11"/>
      <c r="L424" s="12"/>
      <c r="M424" s="12"/>
      <c r="N424" s="12"/>
      <c r="O424" s="13"/>
    </row>
    <row r="425" spans="1:16" x14ac:dyDescent="0.35">
      <c r="A425" s="80" t="s">
        <v>510</v>
      </c>
      <c r="B425" s="41" t="s">
        <v>39</v>
      </c>
      <c r="C425" s="41"/>
      <c r="D425" s="41">
        <f>D422</f>
        <v>1304</v>
      </c>
      <c r="E425" s="92"/>
      <c r="F425" s="80" t="s">
        <v>510</v>
      </c>
      <c r="G425" s="41" t="s">
        <v>39</v>
      </c>
      <c r="H425" s="41"/>
      <c r="I425" s="41">
        <f>I422</f>
        <v>1263</v>
      </c>
      <c r="J425" s="81"/>
      <c r="K425" s="80" t="s">
        <v>510</v>
      </c>
      <c r="L425" s="41" t="s">
        <v>39</v>
      </c>
      <c r="M425" s="41"/>
      <c r="N425" s="41">
        <f>N422</f>
        <v>1299</v>
      </c>
      <c r="O425" s="81"/>
    </row>
    <row r="426" spans="1:16" x14ac:dyDescent="0.35">
      <c r="A426" s="9"/>
      <c r="B426" s="1" t="s">
        <v>255</v>
      </c>
      <c r="C426" s="1"/>
      <c r="D426" s="1">
        <f>Production!G470</f>
        <v>660</v>
      </c>
      <c r="E426" s="79"/>
      <c r="F426" s="9"/>
      <c r="G426" s="1" t="s">
        <v>278</v>
      </c>
      <c r="H426" s="1"/>
      <c r="I426" s="57">
        <f>Production!O470</f>
        <v>817</v>
      </c>
      <c r="J426" s="10"/>
      <c r="K426" s="9"/>
      <c r="L426" s="1" t="s">
        <v>257</v>
      </c>
      <c r="M426" s="1"/>
      <c r="N426" s="57">
        <f>Production!Y470</f>
        <v>714</v>
      </c>
      <c r="O426" s="10"/>
    </row>
    <row r="427" spans="1:16" ht="15" thickBot="1" x14ac:dyDescent="0.4">
      <c r="A427" s="9"/>
      <c r="B427" s="1" t="s">
        <v>153</v>
      </c>
      <c r="C427" s="1"/>
      <c r="D427" s="78">
        <f>D425+D426</f>
        <v>1964</v>
      </c>
      <c r="E427" s="79"/>
      <c r="F427" s="9"/>
      <c r="G427" s="1" t="s">
        <v>153</v>
      </c>
      <c r="H427" s="1"/>
      <c r="I427" s="78">
        <f>I425+I426</f>
        <v>2080</v>
      </c>
      <c r="J427" s="10"/>
      <c r="K427" s="9"/>
      <c r="L427" s="1" t="s">
        <v>153</v>
      </c>
      <c r="M427" s="1"/>
      <c r="N427" s="78">
        <f>N425+N426</f>
        <v>2013</v>
      </c>
      <c r="O427" s="10"/>
      <c r="P427">
        <f>288+48+300+74+240+84</f>
        <v>1034</v>
      </c>
    </row>
    <row r="428" spans="1:16" ht="15" thickTop="1" x14ac:dyDescent="0.35">
      <c r="A428" s="9" t="s">
        <v>46</v>
      </c>
      <c r="B428" s="1" t="s">
        <v>538</v>
      </c>
      <c r="C428" s="1">
        <f>'Dispatch and Sales per day'!D309+'Dispatch and Sales per day'!D310</f>
        <v>225</v>
      </c>
      <c r="D428" s="6"/>
      <c r="E428" s="79"/>
      <c r="F428" s="9" t="s">
        <v>46</v>
      </c>
      <c r="G428" s="1" t="s">
        <v>538</v>
      </c>
      <c r="H428" s="1">
        <f>'Dispatch and Sales per day'!P309</f>
        <v>180</v>
      </c>
      <c r="I428" s="6"/>
      <c r="J428" s="10"/>
      <c r="K428" s="9" t="s">
        <v>46</v>
      </c>
      <c r="L428" s="1" t="s">
        <v>538</v>
      </c>
      <c r="M428" s="1">
        <f>'Dispatch and Sales per day'!AB309</f>
        <v>180</v>
      </c>
      <c r="N428" s="6"/>
      <c r="O428" s="10"/>
    </row>
    <row r="429" spans="1:16" x14ac:dyDescent="0.35">
      <c r="A429" s="9"/>
      <c r="B429" s="1" t="s">
        <v>540</v>
      </c>
      <c r="C429" s="1">
        <f>'Dispatch and Sales per day'!D311+'Dispatch and Sales per day'!D312</f>
        <v>225</v>
      </c>
      <c r="D429" s="1"/>
      <c r="E429" s="79"/>
      <c r="F429" s="9"/>
      <c r="G429" s="1" t="s">
        <v>540</v>
      </c>
      <c r="H429" s="1">
        <f>'Dispatch and Sales per day'!P311</f>
        <v>240</v>
      </c>
      <c r="I429" s="1"/>
      <c r="J429" s="10"/>
      <c r="K429" s="9"/>
      <c r="L429" s="1" t="s">
        <v>540</v>
      </c>
      <c r="M429" s="1">
        <f>'Dispatch and Sales per day'!AB311</f>
        <v>240</v>
      </c>
      <c r="N429" s="1"/>
      <c r="O429" s="10"/>
    </row>
    <row r="430" spans="1:16" x14ac:dyDescent="0.35">
      <c r="A430" s="9"/>
      <c r="B430" s="1" t="s">
        <v>506</v>
      </c>
      <c r="C430" s="1">
        <f>'Dispatch and Sales per day'!D313</f>
        <v>195</v>
      </c>
      <c r="D430" s="1"/>
      <c r="E430" s="79"/>
      <c r="F430" s="9"/>
      <c r="G430" s="1" t="s">
        <v>506</v>
      </c>
      <c r="H430" s="1">
        <f>'Dispatch and Sales per day'!P313</f>
        <v>192</v>
      </c>
      <c r="I430" s="1"/>
      <c r="J430" s="10"/>
      <c r="K430" s="9"/>
      <c r="L430" s="1" t="s">
        <v>506</v>
      </c>
      <c r="M430" s="1">
        <f>'Dispatch and Sales per day'!AB313</f>
        <v>180</v>
      </c>
      <c r="N430" s="1"/>
      <c r="O430" s="10"/>
    </row>
    <row r="431" spans="1:16" x14ac:dyDescent="0.35">
      <c r="A431" s="9"/>
      <c r="B431" s="1" t="s">
        <v>84</v>
      </c>
      <c r="C431" s="1">
        <f>'Dispatch and Sales per day'!D314</f>
        <v>30</v>
      </c>
      <c r="D431" s="1"/>
      <c r="E431" s="79"/>
      <c r="F431" s="9"/>
      <c r="G431" s="1" t="s">
        <v>84</v>
      </c>
      <c r="H431" s="1">
        <f>'Dispatch and Sales per day'!P314</f>
        <v>60</v>
      </c>
      <c r="I431" s="1"/>
      <c r="J431" s="10"/>
      <c r="K431" s="9"/>
      <c r="L431" s="1" t="s">
        <v>84</v>
      </c>
      <c r="M431" s="1">
        <f>'Dispatch and Sales per day'!AB314</f>
        <v>60</v>
      </c>
      <c r="N431" s="1"/>
      <c r="O431" s="10"/>
    </row>
    <row r="432" spans="1:16" x14ac:dyDescent="0.35">
      <c r="A432" s="9"/>
      <c r="B432" s="1" t="s">
        <v>285</v>
      </c>
      <c r="C432" s="1">
        <f>'Dispatch and Sales per day'!D315</f>
        <v>15</v>
      </c>
      <c r="D432" s="1"/>
      <c r="E432" s="79"/>
      <c r="F432" s="9"/>
      <c r="G432" s="1" t="s">
        <v>285</v>
      </c>
      <c r="H432" s="1">
        <f>'Dispatch and Sales per day'!P315+'Dispatch and Sales per day'!P316</f>
        <v>168</v>
      </c>
      <c r="I432" s="1"/>
      <c r="J432" s="10"/>
      <c r="K432" s="9"/>
      <c r="L432" s="1" t="s">
        <v>285</v>
      </c>
      <c r="M432" s="1">
        <f>'Dispatch and Sales per day'!AB315+'Dispatch and Sales per day'!AB316</f>
        <v>96</v>
      </c>
      <c r="N432" s="1"/>
      <c r="O432" s="10"/>
    </row>
    <row r="433" spans="1:15" x14ac:dyDescent="0.35">
      <c r="A433" s="9"/>
      <c r="B433" s="1" t="s">
        <v>311</v>
      </c>
      <c r="C433" s="1">
        <f>'Dispatch and Sales per day'!D318</f>
        <v>135</v>
      </c>
      <c r="D433" s="1"/>
      <c r="E433" s="79"/>
      <c r="F433" s="9"/>
      <c r="G433" s="1" t="s">
        <v>311</v>
      </c>
      <c r="H433" s="1">
        <f>'Dispatch and Sales per day'!P318</f>
        <v>172</v>
      </c>
      <c r="I433" s="1"/>
      <c r="J433" s="10"/>
      <c r="K433" s="9"/>
      <c r="L433" s="1" t="s">
        <v>311</v>
      </c>
      <c r="M433" s="1">
        <f>'Dispatch and Sales per day'!AB318</f>
        <v>240</v>
      </c>
      <c r="N433" s="1"/>
      <c r="O433" s="10"/>
    </row>
    <row r="434" spans="1:15" x14ac:dyDescent="0.35">
      <c r="A434" s="9"/>
      <c r="B434" s="1" t="s">
        <v>306</v>
      </c>
      <c r="C434" s="1">
        <f>'Dispatch and Sales per day'!D320</f>
        <v>0</v>
      </c>
      <c r="D434" s="1"/>
      <c r="E434" s="79"/>
      <c r="F434" s="9"/>
      <c r="G434" s="1" t="s">
        <v>306</v>
      </c>
      <c r="H434" s="1">
        <f>'Dispatch and Sales per day'!P320</f>
        <v>0</v>
      </c>
      <c r="I434" s="1"/>
      <c r="J434" s="10"/>
      <c r="K434" s="9"/>
      <c r="L434" s="1" t="s">
        <v>306</v>
      </c>
      <c r="M434" s="1">
        <f>'Dispatch and Sales per day'!AB320</f>
        <v>0</v>
      </c>
      <c r="N434" s="1"/>
      <c r="O434" s="10"/>
    </row>
    <row r="435" spans="1:15" x14ac:dyDescent="0.35">
      <c r="A435" s="9"/>
      <c r="B435" s="1" t="s">
        <v>154</v>
      </c>
      <c r="C435" s="1"/>
      <c r="D435" s="1">
        <f>SUM(C428:C434)</f>
        <v>825</v>
      </c>
      <c r="E435" s="79"/>
      <c r="F435" s="9"/>
      <c r="G435" s="1" t="s">
        <v>154</v>
      </c>
      <c r="H435" s="1"/>
      <c r="I435" s="1">
        <f>SUM(H428:H434)</f>
        <v>1012</v>
      </c>
      <c r="J435" s="10"/>
      <c r="K435" s="9"/>
      <c r="L435" s="1" t="s">
        <v>154</v>
      </c>
      <c r="M435" s="1"/>
      <c r="N435" s="1">
        <f>SUM(M428:M434)</f>
        <v>996</v>
      </c>
      <c r="O435" s="10"/>
    </row>
    <row r="436" spans="1:15" ht="15" thickBot="1" x14ac:dyDescent="0.4">
      <c r="A436" s="9"/>
      <c r="B436" s="1" t="s">
        <v>155</v>
      </c>
      <c r="C436" s="1"/>
      <c r="D436" s="78">
        <f>D427-D435</f>
        <v>1139</v>
      </c>
      <c r="E436" s="79"/>
      <c r="F436" s="9"/>
      <c r="G436" s="1" t="s">
        <v>155</v>
      </c>
      <c r="H436" s="1"/>
      <c r="I436" s="78">
        <f>I427-I435</f>
        <v>1068</v>
      </c>
      <c r="J436" s="10"/>
      <c r="K436" s="9"/>
      <c r="L436" s="1" t="s">
        <v>155</v>
      </c>
      <c r="M436" s="1"/>
      <c r="N436" s="78">
        <f>N427-N435</f>
        <v>1017</v>
      </c>
      <c r="O436" s="10"/>
    </row>
    <row r="437" spans="1:15" ht="15" thickTop="1" x14ac:dyDescent="0.35">
      <c r="A437" s="9" t="s">
        <v>48</v>
      </c>
      <c r="B437" s="1" t="s">
        <v>14</v>
      </c>
      <c r="C437" s="1"/>
      <c r="D437" s="6">
        <f>'Dispatch and Sales per day'!G321</f>
        <v>438</v>
      </c>
      <c r="E437" s="79"/>
      <c r="F437" s="9" t="s">
        <v>48</v>
      </c>
      <c r="G437" s="1" t="s">
        <v>14</v>
      </c>
      <c r="H437" s="1"/>
      <c r="I437" s="6">
        <f>'Dispatch and Sales per day'!S321</f>
        <v>180</v>
      </c>
      <c r="J437" s="10"/>
      <c r="K437" s="9" t="s">
        <v>48</v>
      </c>
      <c r="L437" s="1" t="s">
        <v>14</v>
      </c>
      <c r="M437" s="1"/>
      <c r="N437" s="6">
        <f>'Dispatch and Sales per day'!AE321</f>
        <v>184</v>
      </c>
      <c r="O437" s="10"/>
    </row>
    <row r="438" spans="1:15" ht="15" thickBot="1" x14ac:dyDescent="0.4">
      <c r="A438" s="9"/>
      <c r="B438" s="1" t="s">
        <v>47</v>
      </c>
      <c r="C438" s="1"/>
      <c r="D438" s="76">
        <f>D436+D437</f>
        <v>1577</v>
      </c>
      <c r="E438" s="36"/>
      <c r="F438" s="9"/>
      <c r="G438" s="1" t="s">
        <v>47</v>
      </c>
      <c r="H438" s="1"/>
      <c r="I438" s="76">
        <f>I436+I437</f>
        <v>1248</v>
      </c>
      <c r="J438" s="10"/>
      <c r="K438" s="9"/>
      <c r="L438" s="1" t="s">
        <v>47</v>
      </c>
      <c r="M438" s="1"/>
      <c r="N438" s="76">
        <f>N436+N437</f>
        <v>1201</v>
      </c>
      <c r="O438" s="10"/>
    </row>
    <row r="439" spans="1:15" ht="15" thickTop="1" x14ac:dyDescent="0.35">
      <c r="A439" s="35"/>
      <c r="B439" s="5" t="s">
        <v>571</v>
      </c>
      <c r="C439" s="5"/>
      <c r="D439" s="298">
        <v>60</v>
      </c>
      <c r="F439" s="35"/>
      <c r="G439" s="5" t="s">
        <v>436</v>
      </c>
      <c r="H439" s="5"/>
      <c r="I439" s="2">
        <v>2</v>
      </c>
      <c r="J439" s="37"/>
      <c r="K439" s="35"/>
      <c r="L439" s="5"/>
      <c r="M439" s="5"/>
      <c r="N439" s="2"/>
      <c r="O439" s="37"/>
    </row>
    <row r="440" spans="1:15" ht="15" thickBot="1" x14ac:dyDescent="0.4">
      <c r="A440" s="11"/>
      <c r="B440" s="12"/>
      <c r="C440" s="12"/>
      <c r="D440" s="76">
        <f>D438-D439</f>
        <v>1517</v>
      </c>
      <c r="E440" s="17"/>
      <c r="F440" s="11"/>
      <c r="G440" s="12"/>
      <c r="H440" s="12"/>
      <c r="I440" s="203">
        <f>I438-I439</f>
        <v>1246</v>
      </c>
      <c r="J440" s="13"/>
      <c r="K440" s="11"/>
      <c r="L440" s="12"/>
      <c r="M440" s="12"/>
      <c r="N440" s="12"/>
      <c r="O440" s="13"/>
    </row>
    <row r="441" spans="1:15" x14ac:dyDescent="0.35">
      <c r="A441" s="80" t="s">
        <v>513</v>
      </c>
      <c r="B441" s="41" t="s">
        <v>39</v>
      </c>
      <c r="C441" s="41"/>
      <c r="D441" s="6">
        <f>D440</f>
        <v>1517</v>
      </c>
      <c r="E441" s="92"/>
      <c r="F441" s="80" t="s">
        <v>513</v>
      </c>
      <c r="G441" s="41" t="s">
        <v>39</v>
      </c>
      <c r="H441" s="41"/>
      <c r="I441" s="41">
        <f>I440</f>
        <v>1246</v>
      </c>
      <c r="J441" s="81"/>
      <c r="K441" s="80" t="s">
        <v>513</v>
      </c>
      <c r="L441" s="41" t="s">
        <v>39</v>
      </c>
      <c r="M441" s="41"/>
      <c r="N441" s="41">
        <f>N438</f>
        <v>1201</v>
      </c>
      <c r="O441" s="81"/>
    </row>
    <row r="442" spans="1:15" x14ac:dyDescent="0.35">
      <c r="A442" s="9"/>
      <c r="B442" s="1" t="s">
        <v>393</v>
      </c>
      <c r="C442" s="1"/>
      <c r="D442" s="1">
        <f>Production!G488</f>
        <v>264</v>
      </c>
      <c r="E442" s="79"/>
      <c r="F442" s="9"/>
      <c r="G442" s="1" t="s">
        <v>278</v>
      </c>
      <c r="H442" s="1"/>
      <c r="I442" s="57">
        <f>Production!O488</f>
        <v>802</v>
      </c>
      <c r="J442" s="10"/>
      <c r="K442" s="9"/>
      <c r="L442" s="1" t="s">
        <v>257</v>
      </c>
      <c r="M442" s="1"/>
      <c r="N442" s="57">
        <f>Production!Y488</f>
        <v>714</v>
      </c>
      <c r="O442" s="10"/>
    </row>
    <row r="443" spans="1:15" ht="15" thickBot="1" x14ac:dyDescent="0.4">
      <c r="A443" s="9"/>
      <c r="B443" s="1" t="s">
        <v>153</v>
      </c>
      <c r="C443" s="1"/>
      <c r="D443" s="78">
        <f>D441+D442</f>
        <v>1781</v>
      </c>
      <c r="E443" s="79"/>
      <c r="F443" s="9"/>
      <c r="G443" s="1" t="s">
        <v>153</v>
      </c>
      <c r="H443" s="1"/>
      <c r="I443" s="78">
        <f>I441+I442</f>
        <v>2048</v>
      </c>
      <c r="J443" s="10"/>
      <c r="K443" s="9"/>
      <c r="L443" s="1" t="s">
        <v>153</v>
      </c>
      <c r="M443" s="1"/>
      <c r="N443" s="78">
        <f>N441+N442</f>
        <v>1915</v>
      </c>
      <c r="O443" s="10"/>
    </row>
    <row r="444" spans="1:15" ht="15" thickTop="1" x14ac:dyDescent="0.35">
      <c r="A444" s="9" t="s">
        <v>46</v>
      </c>
      <c r="B444" s="1" t="s">
        <v>538</v>
      </c>
      <c r="C444" s="1">
        <f>'Dispatch and Sales per day'!D322+'Dispatch and Sales per day'!D323</f>
        <v>225</v>
      </c>
      <c r="D444" s="6"/>
      <c r="E444" s="79"/>
      <c r="F444" s="9" t="s">
        <v>46</v>
      </c>
      <c r="G444" s="1" t="s">
        <v>538</v>
      </c>
      <c r="H444" s="1">
        <f>'Dispatch and Sales per day'!P322</f>
        <v>216</v>
      </c>
      <c r="I444" s="6"/>
      <c r="J444" s="10"/>
      <c r="K444" s="9" t="s">
        <v>46</v>
      </c>
      <c r="L444" s="1" t="s">
        <v>538</v>
      </c>
      <c r="M444" s="1">
        <f>'Dispatch and Sales per day'!AB322</f>
        <v>168</v>
      </c>
      <c r="N444" s="6"/>
      <c r="O444" s="10"/>
    </row>
    <row r="445" spans="1:15" x14ac:dyDescent="0.35">
      <c r="A445" s="9"/>
      <c r="B445" s="1" t="s">
        <v>540</v>
      </c>
      <c r="C445" s="1">
        <f>'Dispatch and Sales per day'!D324+'Dispatch and Sales per day'!D325</f>
        <v>225</v>
      </c>
      <c r="D445" s="1"/>
      <c r="E445" s="79"/>
      <c r="F445" s="9"/>
      <c r="G445" s="1" t="s">
        <v>540</v>
      </c>
      <c r="H445" s="1">
        <f>'Dispatch and Sales per day'!P324</f>
        <v>250</v>
      </c>
      <c r="I445" s="1"/>
      <c r="J445" s="10"/>
      <c r="K445" s="9"/>
      <c r="L445" s="1" t="s">
        <v>540</v>
      </c>
      <c r="M445" s="1">
        <f>'Dispatch and Sales per day'!AB324+'Dispatch and Sales per day'!AB325</f>
        <v>540</v>
      </c>
      <c r="N445" s="1"/>
      <c r="O445" s="10"/>
    </row>
    <row r="446" spans="1:15" x14ac:dyDescent="0.35">
      <c r="A446" s="9"/>
      <c r="B446" s="1" t="s">
        <v>506</v>
      </c>
      <c r="C446" s="1">
        <f>'Dispatch and Sales per day'!D326</f>
        <v>135</v>
      </c>
      <c r="D446" s="1"/>
      <c r="E446" s="79"/>
      <c r="F446" s="9"/>
      <c r="G446" s="1" t="s">
        <v>506</v>
      </c>
      <c r="H446" s="1">
        <f>'Dispatch and Sales per day'!P326</f>
        <v>240</v>
      </c>
      <c r="I446" s="1"/>
      <c r="J446" s="10"/>
      <c r="K446" s="9"/>
      <c r="L446" s="1" t="s">
        <v>506</v>
      </c>
      <c r="M446" s="1">
        <f>'Dispatch and Sales per day'!AB326</f>
        <v>144</v>
      </c>
      <c r="N446" s="1"/>
      <c r="O446" s="10"/>
    </row>
    <row r="447" spans="1:15" x14ac:dyDescent="0.35">
      <c r="A447" s="9"/>
      <c r="B447" s="1" t="s">
        <v>84</v>
      </c>
      <c r="C447" s="1">
        <f>'Dispatch and Sales per day'!D327</f>
        <v>15</v>
      </c>
      <c r="D447" s="1"/>
      <c r="E447" s="79"/>
      <c r="F447" s="9"/>
      <c r="G447" s="1" t="s">
        <v>84</v>
      </c>
      <c r="H447" s="1">
        <f>'Dispatch and Sales per day'!P327</f>
        <v>60</v>
      </c>
      <c r="I447" s="1"/>
      <c r="J447" s="10"/>
      <c r="K447" s="9"/>
      <c r="L447" s="1" t="s">
        <v>84</v>
      </c>
      <c r="M447" s="1">
        <f>'Dispatch and Sales per day'!AB327</f>
        <v>60</v>
      </c>
      <c r="N447" s="1"/>
      <c r="O447" s="10"/>
    </row>
    <row r="448" spans="1:15" x14ac:dyDescent="0.35">
      <c r="A448" s="9"/>
      <c r="B448" s="1" t="s">
        <v>285</v>
      </c>
      <c r="C448" s="1">
        <f>'Dispatch and Sales per day'!D328</f>
        <v>15</v>
      </c>
      <c r="D448" s="1"/>
      <c r="E448" s="79"/>
      <c r="F448" s="9"/>
      <c r="G448" s="1" t="s">
        <v>285</v>
      </c>
      <c r="H448" s="1">
        <f>'Dispatch and Sales per day'!P328+'Dispatch and Sales per day'!P329</f>
        <v>144</v>
      </c>
      <c r="I448" s="1"/>
      <c r="J448" s="10"/>
      <c r="K448" s="9"/>
      <c r="L448" s="1" t="s">
        <v>285</v>
      </c>
      <c r="M448" s="1">
        <f>'Dispatch and Sales per day'!AB328+'Dispatch and Sales per day'!AB329</f>
        <v>96</v>
      </c>
      <c r="N448" s="1"/>
      <c r="O448" s="10"/>
    </row>
    <row r="449" spans="1:15" x14ac:dyDescent="0.35">
      <c r="A449" s="9"/>
      <c r="B449" s="1" t="s">
        <v>284</v>
      </c>
      <c r="C449" s="1">
        <v>0</v>
      </c>
      <c r="D449" s="1"/>
      <c r="E449" s="79"/>
      <c r="F449" s="9"/>
      <c r="G449" s="1" t="s">
        <v>284</v>
      </c>
      <c r="H449" s="1">
        <v>0</v>
      </c>
      <c r="I449" s="1"/>
      <c r="J449" s="10"/>
      <c r="K449" s="9"/>
      <c r="L449" s="1" t="s">
        <v>284</v>
      </c>
      <c r="M449" s="1">
        <v>0</v>
      </c>
      <c r="N449" s="1"/>
      <c r="O449" s="10"/>
    </row>
    <row r="450" spans="1:15" x14ac:dyDescent="0.35">
      <c r="A450" s="9"/>
      <c r="B450" s="1" t="s">
        <v>311</v>
      </c>
      <c r="C450" s="1">
        <f>'Dispatch and Sales per day'!D331</f>
        <v>0</v>
      </c>
      <c r="D450" s="1"/>
      <c r="E450" s="79"/>
      <c r="F450" s="9"/>
      <c r="G450" s="1" t="s">
        <v>311</v>
      </c>
      <c r="H450" s="1">
        <f>'Dispatch and Sales per day'!P331</f>
        <v>0</v>
      </c>
      <c r="I450" s="1"/>
      <c r="J450" s="10"/>
      <c r="K450" s="9"/>
      <c r="L450" s="1" t="s">
        <v>311</v>
      </c>
      <c r="M450" s="1">
        <f>'Dispatch and Sales per day'!AB331</f>
        <v>0</v>
      </c>
      <c r="N450" s="1"/>
      <c r="O450" s="10"/>
    </row>
    <row r="451" spans="1:15" x14ac:dyDescent="0.35">
      <c r="A451" s="9"/>
      <c r="B451" s="1" t="s">
        <v>154</v>
      </c>
      <c r="C451" s="1"/>
      <c r="D451" s="1">
        <f>SUM(C444:C450)</f>
        <v>615</v>
      </c>
      <c r="E451" s="79"/>
      <c r="F451" s="9"/>
      <c r="G451" s="1" t="s">
        <v>154</v>
      </c>
      <c r="H451" s="1"/>
      <c r="I451" s="1">
        <f>SUM(H444:H450)</f>
        <v>910</v>
      </c>
      <c r="J451" s="10"/>
      <c r="K451" s="9"/>
      <c r="L451" s="1" t="s">
        <v>154</v>
      </c>
      <c r="M451" s="1"/>
      <c r="N451" s="1">
        <f>SUM(M444:M450)</f>
        <v>1008</v>
      </c>
      <c r="O451" s="10"/>
    </row>
    <row r="452" spans="1:15" ht="15" thickBot="1" x14ac:dyDescent="0.4">
      <c r="A452" s="9"/>
      <c r="B452" s="1" t="s">
        <v>155</v>
      </c>
      <c r="C452" s="1"/>
      <c r="D452" s="78">
        <f>D443-D451</f>
        <v>1166</v>
      </c>
      <c r="E452" s="79"/>
      <c r="F452" s="9"/>
      <c r="G452" s="1" t="s">
        <v>155</v>
      </c>
      <c r="H452" s="1"/>
      <c r="I452" s="78">
        <f>I443-I451</f>
        <v>1138</v>
      </c>
      <c r="J452" s="10"/>
      <c r="K452" s="9"/>
      <c r="L452" s="1" t="s">
        <v>155</v>
      </c>
      <c r="M452" s="1"/>
      <c r="N452" s="78">
        <f>N443-N451</f>
        <v>907</v>
      </c>
      <c r="O452" s="10"/>
    </row>
    <row r="453" spans="1:15" ht="15" thickTop="1" x14ac:dyDescent="0.35">
      <c r="A453" s="9" t="s">
        <v>48</v>
      </c>
      <c r="B453" s="1" t="s">
        <v>14</v>
      </c>
      <c r="C453" s="1"/>
      <c r="D453" s="6">
        <f>'Dispatch and Sales per day'!G332</f>
        <v>188</v>
      </c>
      <c r="E453" s="79"/>
      <c r="F453" s="9" t="s">
        <v>48</v>
      </c>
      <c r="G453" s="1" t="s">
        <v>14</v>
      </c>
      <c r="H453" s="1"/>
      <c r="I453" s="6">
        <f>'Dispatch and Sales per day'!S332</f>
        <v>68</v>
      </c>
      <c r="J453" s="10"/>
      <c r="K453" s="9" t="s">
        <v>48</v>
      </c>
      <c r="L453" s="1" t="s">
        <v>14</v>
      </c>
      <c r="M453" s="1"/>
      <c r="N453" s="6">
        <f>'Dispatch and Sales per day'!AE332</f>
        <v>17</v>
      </c>
      <c r="O453" s="10"/>
    </row>
    <row r="454" spans="1:15" ht="15" thickBot="1" x14ac:dyDescent="0.4">
      <c r="A454" s="9"/>
      <c r="B454" s="1" t="s">
        <v>47</v>
      </c>
      <c r="C454" s="1"/>
      <c r="D454" s="76">
        <f>D452+D453</f>
        <v>1354</v>
      </c>
      <c r="E454" s="36"/>
      <c r="F454" s="9"/>
      <c r="G454" s="1" t="s">
        <v>47</v>
      </c>
      <c r="H454" s="1"/>
      <c r="I454" s="76">
        <f>I452+I453</f>
        <v>1206</v>
      </c>
      <c r="J454" s="10"/>
      <c r="K454" s="9"/>
      <c r="L454" s="1" t="s">
        <v>47</v>
      </c>
      <c r="M454" s="1"/>
      <c r="N454" s="76">
        <f>N452+N453</f>
        <v>924</v>
      </c>
      <c r="O454" s="10"/>
    </row>
    <row r="455" spans="1:15" ht="15" thickTop="1" x14ac:dyDescent="0.35">
      <c r="A455" s="35"/>
      <c r="B455" s="5"/>
      <c r="C455" s="5"/>
      <c r="D455" s="2"/>
      <c r="F455" s="35"/>
      <c r="G455" s="5"/>
      <c r="H455" s="5"/>
      <c r="I455" s="2"/>
      <c r="J455" s="37"/>
      <c r="K455" s="35"/>
      <c r="L455" s="5"/>
      <c r="M455" s="5"/>
      <c r="N455" s="2"/>
      <c r="O455" s="37"/>
    </row>
    <row r="456" spans="1:15" ht="15" thickBot="1" x14ac:dyDescent="0.4">
      <c r="A456" s="11"/>
      <c r="B456" s="12"/>
      <c r="C456" s="12"/>
      <c r="D456" s="12"/>
      <c r="E456" s="17"/>
      <c r="F456" s="11"/>
      <c r="G456" s="12"/>
      <c r="H456" s="12"/>
      <c r="I456" s="12"/>
      <c r="J456" s="13"/>
      <c r="K456" s="11"/>
      <c r="L456" s="12"/>
      <c r="M456" s="12"/>
      <c r="N456" s="12"/>
      <c r="O456" s="13"/>
    </row>
    <row r="457" spans="1:15" x14ac:dyDescent="0.35">
      <c r="A457" s="80" t="s">
        <v>514</v>
      </c>
      <c r="B457" s="41" t="s">
        <v>39</v>
      </c>
      <c r="C457" s="41"/>
      <c r="D457" s="41">
        <f>D454</f>
        <v>1354</v>
      </c>
      <c r="E457" s="92"/>
      <c r="F457" s="80" t="s">
        <v>514</v>
      </c>
      <c r="G457" s="41" t="s">
        <v>39</v>
      </c>
      <c r="H457" s="41"/>
      <c r="I457" s="41">
        <f>I454</f>
        <v>1206</v>
      </c>
      <c r="J457" s="81"/>
      <c r="K457" s="80" t="s">
        <v>514</v>
      </c>
      <c r="L457" s="41" t="s">
        <v>39</v>
      </c>
      <c r="M457" s="41"/>
      <c r="N457" s="41">
        <f>N454</f>
        <v>924</v>
      </c>
      <c r="O457" s="81"/>
    </row>
    <row r="458" spans="1:15" x14ac:dyDescent="0.35">
      <c r="A458" s="9"/>
      <c r="B458" s="1" t="s">
        <v>258</v>
      </c>
      <c r="C458" s="1"/>
      <c r="D458" s="1">
        <f>Production!G510</f>
        <v>0</v>
      </c>
      <c r="E458" s="79"/>
      <c r="F458" s="9"/>
      <c r="G458" s="1" t="s">
        <v>254</v>
      </c>
      <c r="H458" s="1"/>
      <c r="I458" s="57">
        <f>Production!O510</f>
        <v>0</v>
      </c>
      <c r="J458" s="10"/>
      <c r="K458" s="9"/>
      <c r="L458" s="1" t="s">
        <v>254</v>
      </c>
      <c r="M458" s="1"/>
      <c r="N458" s="57">
        <f>Production!Y510</f>
        <v>0</v>
      </c>
      <c r="O458" s="10"/>
    </row>
    <row r="459" spans="1:15" ht="15" thickBot="1" x14ac:dyDescent="0.4">
      <c r="A459" s="9"/>
      <c r="B459" s="1" t="s">
        <v>153</v>
      </c>
      <c r="C459" s="1"/>
      <c r="D459" s="78">
        <f>D457+D458</f>
        <v>1354</v>
      </c>
      <c r="E459" s="79"/>
      <c r="F459" s="9"/>
      <c r="G459" s="1" t="s">
        <v>153</v>
      </c>
      <c r="H459" s="1"/>
      <c r="I459" s="78">
        <f>I457+I458</f>
        <v>1206</v>
      </c>
      <c r="J459" s="10"/>
      <c r="K459" s="9"/>
      <c r="L459" s="1" t="s">
        <v>153</v>
      </c>
      <c r="M459" s="1"/>
      <c r="N459" s="78">
        <f>N457+N458</f>
        <v>924</v>
      </c>
      <c r="O459" s="10"/>
    </row>
    <row r="460" spans="1:15" ht="15" thickTop="1" x14ac:dyDescent="0.35">
      <c r="A460" s="9" t="s">
        <v>46</v>
      </c>
      <c r="B460" s="1" t="s">
        <v>538</v>
      </c>
      <c r="C460" s="1">
        <f>'Dispatch and Sales per day'!D333+'Dispatch and Sales per day'!D334</f>
        <v>0</v>
      </c>
      <c r="D460" s="6"/>
      <c r="E460" s="79"/>
      <c r="F460" s="9" t="s">
        <v>46</v>
      </c>
      <c r="G460" s="1" t="s">
        <v>538</v>
      </c>
      <c r="H460" s="1">
        <f>'Dispatch and Sales per day'!P333</f>
        <v>0</v>
      </c>
      <c r="I460" s="6"/>
      <c r="J460" s="10"/>
      <c r="K460" s="9" t="s">
        <v>46</v>
      </c>
      <c r="L460" s="1" t="s">
        <v>538</v>
      </c>
      <c r="M460" s="1">
        <f>'Dispatch and Sales per day'!AB333</f>
        <v>0</v>
      </c>
      <c r="N460" s="6"/>
      <c r="O460" s="10"/>
    </row>
    <row r="461" spans="1:15" x14ac:dyDescent="0.35">
      <c r="A461" s="9"/>
      <c r="B461" s="1" t="s">
        <v>540</v>
      </c>
      <c r="C461" s="1">
        <f>'Dispatch and Sales per day'!D335+'Dispatch and Sales per day'!D336</f>
        <v>0</v>
      </c>
      <c r="D461" s="1"/>
      <c r="E461" s="79"/>
      <c r="F461" s="9"/>
      <c r="G461" s="1" t="s">
        <v>540</v>
      </c>
      <c r="H461" s="1">
        <f>'Dispatch and Sales per day'!P335</f>
        <v>0</v>
      </c>
      <c r="I461" s="1"/>
      <c r="J461" s="10"/>
      <c r="K461" s="9"/>
      <c r="L461" s="1" t="s">
        <v>540</v>
      </c>
      <c r="M461" s="1">
        <f>'Dispatch and Sales per day'!AB335+'Dispatch and Sales per day'!AB336</f>
        <v>0</v>
      </c>
      <c r="N461" s="1"/>
      <c r="O461" s="10"/>
    </row>
    <row r="462" spans="1:15" x14ac:dyDescent="0.35">
      <c r="A462" s="9"/>
      <c r="B462" s="1" t="s">
        <v>506</v>
      </c>
      <c r="C462" s="1">
        <f>'Dispatch and Sales per day'!D337</f>
        <v>0</v>
      </c>
      <c r="D462" s="1"/>
      <c r="E462" s="79"/>
      <c r="F462" s="9"/>
      <c r="G462" s="1" t="s">
        <v>506</v>
      </c>
      <c r="H462" s="1">
        <f>'Dispatch and Sales per day'!P337</f>
        <v>0</v>
      </c>
      <c r="I462" s="1"/>
      <c r="J462" s="10"/>
      <c r="K462" s="9"/>
      <c r="L462" s="1" t="s">
        <v>506</v>
      </c>
      <c r="M462" s="1">
        <f>'Dispatch and Sales per day'!AB337</f>
        <v>0</v>
      </c>
      <c r="N462" s="1"/>
      <c r="O462" s="10"/>
    </row>
    <row r="463" spans="1:15" x14ac:dyDescent="0.35">
      <c r="A463" s="9"/>
      <c r="B463" s="1" t="s">
        <v>84</v>
      </c>
      <c r="C463" s="1">
        <f>'Dispatch and Sales per day'!D338</f>
        <v>0</v>
      </c>
      <c r="D463" s="1"/>
      <c r="E463" s="79"/>
      <c r="F463" s="9"/>
      <c r="G463" s="1" t="s">
        <v>84</v>
      </c>
      <c r="H463" s="1">
        <f>'Dispatch and Sales per day'!P338</f>
        <v>0</v>
      </c>
      <c r="I463" s="1"/>
      <c r="J463" s="10"/>
      <c r="K463" s="9"/>
      <c r="L463" s="1" t="s">
        <v>84</v>
      </c>
      <c r="M463" s="1">
        <f>'Dispatch and Sales per day'!AB338</f>
        <v>0</v>
      </c>
      <c r="N463" s="1"/>
      <c r="O463" s="10"/>
    </row>
    <row r="464" spans="1:15" x14ac:dyDescent="0.35">
      <c r="A464" s="9"/>
      <c r="B464" s="1" t="s">
        <v>285</v>
      </c>
      <c r="C464" s="1">
        <f>'Dispatch and Sales per day'!D339</f>
        <v>0</v>
      </c>
      <c r="D464" s="1"/>
      <c r="E464" s="79"/>
      <c r="F464" s="9"/>
      <c r="G464" s="1" t="s">
        <v>285</v>
      </c>
      <c r="H464" s="1">
        <f>'Dispatch and Sales per day'!P339</f>
        <v>0</v>
      </c>
      <c r="I464" s="1"/>
      <c r="J464" s="10"/>
      <c r="K464" s="9"/>
      <c r="L464" s="1" t="s">
        <v>285</v>
      </c>
      <c r="M464" s="1">
        <f>'Dispatch and Sales per day'!AB339</f>
        <v>0</v>
      </c>
      <c r="N464" s="1"/>
      <c r="O464" s="10"/>
    </row>
    <row r="465" spans="1:15" x14ac:dyDescent="0.35">
      <c r="A465" s="9"/>
      <c r="B465" s="1" t="s">
        <v>311</v>
      </c>
      <c r="C465" s="1">
        <f>'Dispatch and Sales per day'!D341</f>
        <v>0</v>
      </c>
      <c r="D465" s="1"/>
      <c r="E465" s="79"/>
      <c r="F465" s="9"/>
      <c r="G465" s="1" t="s">
        <v>311</v>
      </c>
      <c r="H465" s="1">
        <f>'Dispatch and Sales per day'!P341</f>
        <v>0</v>
      </c>
      <c r="I465" s="1"/>
      <c r="J465" s="10"/>
      <c r="K465" s="9"/>
      <c r="L465" s="1" t="s">
        <v>311</v>
      </c>
      <c r="M465" s="1">
        <f>'Dispatch and Sales per day'!AB341</f>
        <v>0</v>
      </c>
      <c r="N465" s="1"/>
      <c r="O465" s="10"/>
    </row>
    <row r="466" spans="1:15" x14ac:dyDescent="0.35">
      <c r="A466" s="9"/>
      <c r="B466" s="1" t="s">
        <v>352</v>
      </c>
      <c r="C466" s="1">
        <v>0</v>
      </c>
      <c r="D466" s="1"/>
      <c r="E466" s="79"/>
      <c r="F466" s="9"/>
      <c r="G466" s="1" t="s">
        <v>352</v>
      </c>
      <c r="H466" s="1">
        <v>0</v>
      </c>
      <c r="I466" s="1"/>
      <c r="J466" s="10"/>
      <c r="K466" s="9"/>
      <c r="L466" s="1" t="s">
        <v>352</v>
      </c>
      <c r="M466" s="1">
        <v>0</v>
      </c>
      <c r="N466" s="1"/>
      <c r="O466" s="10"/>
    </row>
    <row r="467" spans="1:15" x14ac:dyDescent="0.35">
      <c r="A467" s="9"/>
      <c r="B467" s="1" t="s">
        <v>306</v>
      </c>
      <c r="C467" s="1">
        <f>'Dispatch and Sales per day'!D343</f>
        <v>0</v>
      </c>
      <c r="D467" s="1"/>
      <c r="E467" s="79"/>
      <c r="F467" s="9"/>
      <c r="G467" s="1" t="s">
        <v>306</v>
      </c>
      <c r="H467" s="1">
        <f>'Dispatch and Sales per day'!P343</f>
        <v>0</v>
      </c>
      <c r="I467" s="1"/>
      <c r="J467" s="10"/>
      <c r="K467" s="9"/>
      <c r="L467" s="1" t="s">
        <v>306</v>
      </c>
      <c r="M467" s="1">
        <f>'Dispatch and Sales per day'!AB343</f>
        <v>0</v>
      </c>
      <c r="N467" s="1"/>
      <c r="O467" s="10"/>
    </row>
    <row r="468" spans="1:15" x14ac:dyDescent="0.35">
      <c r="A468" s="9"/>
      <c r="B468" s="1" t="s">
        <v>154</v>
      </c>
      <c r="C468" s="1"/>
      <c r="D468" s="1">
        <f>SUM(C460:C467)</f>
        <v>0</v>
      </c>
      <c r="E468" s="79"/>
      <c r="F468" s="9"/>
      <c r="G468" s="1" t="s">
        <v>154</v>
      </c>
      <c r="H468" s="1"/>
      <c r="I468" s="1">
        <f>SUM(H460:H467)</f>
        <v>0</v>
      </c>
      <c r="J468" s="10"/>
      <c r="K468" s="9"/>
      <c r="L468" s="1" t="s">
        <v>154</v>
      </c>
      <c r="M468" s="1"/>
      <c r="N468" s="1">
        <f>SUM(M460:M467)</f>
        <v>0</v>
      </c>
      <c r="O468" s="10"/>
    </row>
    <row r="469" spans="1:15" ht="15" thickBot="1" x14ac:dyDescent="0.4">
      <c r="A469" s="9"/>
      <c r="B469" s="1" t="s">
        <v>155</v>
      </c>
      <c r="C469" s="1"/>
      <c r="D469" s="78">
        <f>D459-D468</f>
        <v>1354</v>
      </c>
      <c r="E469" s="79"/>
      <c r="F469" s="9"/>
      <c r="G469" s="1" t="s">
        <v>155</v>
      </c>
      <c r="H469" s="1"/>
      <c r="I469" s="78">
        <f>I459-I468</f>
        <v>1206</v>
      </c>
      <c r="J469" s="10"/>
      <c r="K469" s="9"/>
      <c r="L469" s="1" t="s">
        <v>155</v>
      </c>
      <c r="M469" s="1"/>
      <c r="N469" s="78">
        <f>N459-N468</f>
        <v>924</v>
      </c>
      <c r="O469" s="10"/>
    </row>
    <row r="470" spans="1:15" ht="15" thickTop="1" x14ac:dyDescent="0.35">
      <c r="A470" s="9" t="s">
        <v>48</v>
      </c>
      <c r="B470" s="1" t="s">
        <v>14</v>
      </c>
      <c r="C470" s="1"/>
      <c r="D470" s="6">
        <f>'Dispatch and Sales per day'!G344</f>
        <v>0</v>
      </c>
      <c r="E470" s="79"/>
      <c r="F470" s="9" t="s">
        <v>48</v>
      </c>
      <c r="G470" s="1" t="s">
        <v>14</v>
      </c>
      <c r="H470" s="1"/>
      <c r="I470" s="6">
        <f>'Dispatch and Sales per day'!S344</f>
        <v>0</v>
      </c>
      <c r="J470" s="10"/>
      <c r="K470" s="9" t="s">
        <v>48</v>
      </c>
      <c r="L470" s="1" t="s">
        <v>14</v>
      </c>
      <c r="M470" s="1"/>
      <c r="N470" s="6">
        <f>'Dispatch and Sales per day'!AE344</f>
        <v>0</v>
      </c>
      <c r="O470" s="10"/>
    </row>
    <row r="471" spans="1:15" ht="15" thickBot="1" x14ac:dyDescent="0.4">
      <c r="A471" s="9"/>
      <c r="B471" s="1" t="s">
        <v>47</v>
      </c>
      <c r="C471" s="1"/>
      <c r="D471" s="76">
        <f>D469+D470</f>
        <v>1354</v>
      </c>
      <c r="E471" s="36"/>
      <c r="F471" s="9"/>
      <c r="G471" s="1" t="s">
        <v>47</v>
      </c>
      <c r="H471" s="1"/>
      <c r="I471" s="76">
        <f>I469+I470</f>
        <v>1206</v>
      </c>
      <c r="J471" s="10"/>
      <c r="K471" s="9"/>
      <c r="L471" s="1" t="s">
        <v>47</v>
      </c>
      <c r="M471" s="1"/>
      <c r="N471" s="76">
        <f>N469+N470</f>
        <v>924</v>
      </c>
      <c r="O471" s="10"/>
    </row>
    <row r="472" spans="1:15" ht="15" thickTop="1" x14ac:dyDescent="0.35">
      <c r="A472" s="35"/>
      <c r="B472" s="5"/>
      <c r="C472" s="5"/>
      <c r="D472" s="204"/>
      <c r="F472" s="35"/>
      <c r="G472" s="5"/>
      <c r="H472" s="5"/>
      <c r="I472" s="204">
        <v>0</v>
      </c>
      <c r="J472" s="37"/>
      <c r="K472" s="35"/>
      <c r="L472" s="5" t="s">
        <v>437</v>
      </c>
      <c r="M472" s="5"/>
      <c r="N472" s="204"/>
      <c r="O472" s="37"/>
    </row>
    <row r="473" spans="1:15" x14ac:dyDescent="0.35">
      <c r="A473" s="35"/>
      <c r="B473" s="5"/>
      <c r="C473" s="5"/>
      <c r="D473" s="2"/>
      <c r="F473" s="35"/>
      <c r="G473" s="5"/>
      <c r="H473" s="5"/>
      <c r="I473" s="2"/>
      <c r="J473" s="37"/>
      <c r="K473" s="35"/>
      <c r="L473" s="5"/>
      <c r="M473" s="5"/>
      <c r="N473" s="2"/>
      <c r="O473" s="37"/>
    </row>
    <row r="474" spans="1:15" ht="15" thickBot="1" x14ac:dyDescent="0.4">
      <c r="A474" s="11"/>
      <c r="B474" s="12"/>
      <c r="C474" s="12"/>
      <c r="D474" s="203">
        <f>D471-D472</f>
        <v>1354</v>
      </c>
      <c r="E474" s="17"/>
      <c r="F474" s="11"/>
      <c r="G474" s="12"/>
      <c r="H474" s="12"/>
      <c r="I474" s="203">
        <f>I471-I472</f>
        <v>1206</v>
      </c>
      <c r="J474" s="13"/>
      <c r="K474" s="11"/>
      <c r="L474" s="12"/>
      <c r="M474" s="12"/>
      <c r="N474" s="203">
        <f>N471+N472</f>
        <v>924</v>
      </c>
      <c r="O474" s="13"/>
    </row>
    <row r="475" spans="1:15" x14ac:dyDescent="0.35">
      <c r="A475" s="80" t="s">
        <v>515</v>
      </c>
      <c r="B475" s="41" t="s">
        <v>39</v>
      </c>
      <c r="C475" s="41"/>
      <c r="D475" s="41">
        <f>D474</f>
        <v>1354</v>
      </c>
      <c r="E475" s="92"/>
      <c r="F475" s="80" t="s">
        <v>515</v>
      </c>
      <c r="G475" s="41" t="s">
        <v>39</v>
      </c>
      <c r="H475" s="41"/>
      <c r="I475" s="41">
        <f>I474</f>
        <v>1206</v>
      </c>
      <c r="J475" s="81"/>
      <c r="K475" s="80" t="s">
        <v>515</v>
      </c>
      <c r="L475" s="41" t="s">
        <v>39</v>
      </c>
      <c r="M475" s="41"/>
      <c r="N475" s="41">
        <f>N474</f>
        <v>924</v>
      </c>
      <c r="O475" s="81"/>
    </row>
    <row r="476" spans="1:15" x14ac:dyDescent="0.35">
      <c r="A476" s="9"/>
      <c r="B476" s="1" t="s">
        <v>369</v>
      </c>
      <c r="C476" s="1"/>
      <c r="D476" s="1">
        <f>Production!G529</f>
        <v>528</v>
      </c>
      <c r="E476" s="79"/>
      <c r="F476" s="9"/>
      <c r="G476" s="1" t="s">
        <v>278</v>
      </c>
      <c r="H476" s="1"/>
      <c r="I476" s="57">
        <f>Production!O529</f>
        <v>878</v>
      </c>
      <c r="J476" s="10"/>
      <c r="K476" s="9"/>
      <c r="L476" s="1" t="s">
        <v>257</v>
      </c>
      <c r="M476" s="1"/>
      <c r="N476" s="57">
        <f>Production!Y529</f>
        <v>918</v>
      </c>
      <c r="O476" s="10"/>
    </row>
    <row r="477" spans="1:15" ht="15" thickBot="1" x14ac:dyDescent="0.4">
      <c r="A477" s="9"/>
      <c r="B477" s="1" t="s">
        <v>153</v>
      </c>
      <c r="C477" s="1"/>
      <c r="D477" s="78">
        <f>D475+D476</f>
        <v>1882</v>
      </c>
      <c r="E477" s="79"/>
      <c r="F477" s="9"/>
      <c r="G477" s="1" t="s">
        <v>153</v>
      </c>
      <c r="H477" s="1"/>
      <c r="I477" s="78">
        <f>I475+I476</f>
        <v>2084</v>
      </c>
      <c r="J477" s="10"/>
      <c r="K477" s="9"/>
      <c r="L477" s="1" t="s">
        <v>153</v>
      </c>
      <c r="M477" s="1"/>
      <c r="N477" s="78">
        <f>N475+N476</f>
        <v>1842</v>
      </c>
      <c r="O477" s="10"/>
    </row>
    <row r="478" spans="1:15" ht="15" thickTop="1" x14ac:dyDescent="0.35">
      <c r="A478" s="9" t="s">
        <v>46</v>
      </c>
      <c r="B478" s="1" t="s">
        <v>538</v>
      </c>
      <c r="C478" s="1">
        <f>'Dispatch and Sales per day'!D345+'Dispatch and Sales per day'!D346</f>
        <v>270</v>
      </c>
      <c r="D478" s="6"/>
      <c r="E478" s="79"/>
      <c r="F478" s="9" t="s">
        <v>46</v>
      </c>
      <c r="G478" s="1" t="s">
        <v>538</v>
      </c>
      <c r="H478" s="1">
        <f>'Dispatch and Sales per day'!P345</f>
        <v>300</v>
      </c>
      <c r="I478" s="6"/>
      <c r="J478" s="10"/>
      <c r="K478" s="9" t="s">
        <v>46</v>
      </c>
      <c r="L478" s="1" t="s">
        <v>538</v>
      </c>
      <c r="M478" s="1">
        <f>'Dispatch and Sales per day'!AB345</f>
        <v>48</v>
      </c>
      <c r="N478" s="6"/>
      <c r="O478" s="10"/>
    </row>
    <row r="479" spans="1:15" x14ac:dyDescent="0.35">
      <c r="A479" s="9"/>
      <c r="B479" s="1" t="s">
        <v>540</v>
      </c>
      <c r="C479" s="1">
        <f>'Dispatch and Sales per day'!D347+'Dispatch and Sales per day'!D348</f>
        <v>225</v>
      </c>
      <c r="D479" s="1"/>
      <c r="E479" s="79"/>
      <c r="F479" s="9"/>
      <c r="G479" s="1" t="s">
        <v>540</v>
      </c>
      <c r="H479" s="1">
        <f>'Dispatch and Sales per day'!P347</f>
        <v>240</v>
      </c>
      <c r="I479" s="1"/>
      <c r="J479" s="10"/>
      <c r="K479" s="9"/>
      <c r="L479" s="1" t="s">
        <v>540</v>
      </c>
      <c r="M479" s="1">
        <f>'Dispatch and Sales per day'!AB347+'Dispatch and Sales per day'!AB348</f>
        <v>424</v>
      </c>
      <c r="N479" s="1"/>
      <c r="O479" s="10"/>
    </row>
    <row r="480" spans="1:15" x14ac:dyDescent="0.35">
      <c r="A480" s="9"/>
      <c r="B480" s="1" t="s">
        <v>506</v>
      </c>
      <c r="C480" s="1">
        <f>'Dispatch and Sales per day'!D350</f>
        <v>225</v>
      </c>
      <c r="D480" s="1"/>
      <c r="E480" s="79"/>
      <c r="F480" s="9"/>
      <c r="G480" s="1" t="s">
        <v>506</v>
      </c>
      <c r="H480" s="1">
        <f>'Dispatch and Sales per day'!P350</f>
        <v>204</v>
      </c>
      <c r="I480" s="1"/>
      <c r="J480" s="10"/>
      <c r="K480" s="9"/>
      <c r="L480" s="1" t="s">
        <v>506</v>
      </c>
      <c r="M480" s="1">
        <f>'Dispatch and Sales per day'!AB350</f>
        <v>120</v>
      </c>
      <c r="N480" s="1"/>
      <c r="O480" s="10"/>
    </row>
    <row r="481" spans="1:15" x14ac:dyDescent="0.35">
      <c r="A481" s="9"/>
      <c r="B481" s="1" t="s">
        <v>84</v>
      </c>
      <c r="C481" s="1">
        <f>'Dispatch and Sales per day'!D351</f>
        <v>45</v>
      </c>
      <c r="D481" s="1"/>
      <c r="E481" s="79"/>
      <c r="F481" s="9"/>
      <c r="G481" s="1" t="s">
        <v>84</v>
      </c>
      <c r="H481" s="1">
        <f>'Dispatch and Sales per day'!P351</f>
        <v>72</v>
      </c>
      <c r="I481" s="1"/>
      <c r="J481" s="10"/>
      <c r="K481" s="9"/>
      <c r="L481" s="1" t="s">
        <v>84</v>
      </c>
      <c r="M481" s="1">
        <f>'Dispatch and Sales per day'!AB351</f>
        <v>36</v>
      </c>
      <c r="N481" s="1"/>
      <c r="O481" s="10"/>
    </row>
    <row r="482" spans="1:15" x14ac:dyDescent="0.35">
      <c r="A482" s="9"/>
      <c r="B482" s="1" t="s">
        <v>285</v>
      </c>
      <c r="C482" s="1">
        <f>'Dispatch and Sales per day'!D352</f>
        <v>30</v>
      </c>
      <c r="D482" s="1"/>
      <c r="E482" s="79"/>
      <c r="F482" s="9"/>
      <c r="G482" s="1" t="s">
        <v>285</v>
      </c>
      <c r="H482" s="1">
        <f>'Dispatch and Sales per day'!P352+'Dispatch and Sales per day'!P353</f>
        <v>181</v>
      </c>
      <c r="I482" s="1"/>
      <c r="J482" s="10"/>
      <c r="K482" s="9"/>
      <c r="L482" s="1" t="s">
        <v>285</v>
      </c>
      <c r="M482" s="1">
        <f>'Dispatch and Sales per day'!AB352</f>
        <v>12</v>
      </c>
      <c r="N482" s="1"/>
      <c r="O482" s="10"/>
    </row>
    <row r="483" spans="1:15" x14ac:dyDescent="0.35">
      <c r="A483" s="9"/>
      <c r="B483" s="1" t="s">
        <v>572</v>
      </c>
      <c r="C483" s="1">
        <f>'Dispatch and Sales per day'!D349</f>
        <v>255</v>
      </c>
      <c r="D483" s="1"/>
      <c r="E483" s="79"/>
      <c r="F483" s="9"/>
      <c r="G483" s="1" t="s">
        <v>572</v>
      </c>
      <c r="H483" s="1">
        <f>'Dispatch and Sales per day'!P349</f>
        <v>97</v>
      </c>
      <c r="I483" s="1"/>
      <c r="J483" s="10"/>
      <c r="K483" s="9"/>
      <c r="L483" s="1" t="s">
        <v>572</v>
      </c>
      <c r="M483" s="1">
        <f>'Dispatch and Sales per day'!AB349</f>
        <v>0</v>
      </c>
      <c r="N483" s="1"/>
      <c r="O483" s="10"/>
    </row>
    <row r="484" spans="1:15" x14ac:dyDescent="0.35">
      <c r="A484" s="9"/>
      <c r="B484" s="1" t="s">
        <v>311</v>
      </c>
      <c r="C484" s="1">
        <f>'Dispatch and Sales per day'!D355</f>
        <v>150</v>
      </c>
      <c r="D484" s="1"/>
      <c r="E484" s="79"/>
      <c r="F484" s="9"/>
      <c r="G484" s="1" t="s">
        <v>311</v>
      </c>
      <c r="H484" s="1">
        <f>'Dispatch and Sales per day'!P355</f>
        <v>120</v>
      </c>
      <c r="I484" s="1"/>
      <c r="J484" s="10"/>
      <c r="K484" s="9"/>
      <c r="L484" s="1" t="s">
        <v>311</v>
      </c>
      <c r="M484" s="1">
        <f>'Dispatch and Sales per day'!AB355</f>
        <v>180</v>
      </c>
      <c r="N484" s="1"/>
      <c r="O484" s="10"/>
    </row>
    <row r="485" spans="1:15" x14ac:dyDescent="0.35">
      <c r="A485" s="9"/>
      <c r="B485" s="1" t="s">
        <v>352</v>
      </c>
      <c r="C485" s="1">
        <v>0</v>
      </c>
      <c r="D485" s="1"/>
      <c r="E485" s="79"/>
      <c r="F485" s="9"/>
      <c r="G485" s="1" t="s">
        <v>352</v>
      </c>
      <c r="H485" s="1">
        <v>0</v>
      </c>
      <c r="I485" s="1"/>
      <c r="J485" s="10"/>
      <c r="K485" s="9"/>
      <c r="L485" s="1" t="s">
        <v>352</v>
      </c>
      <c r="M485" s="1">
        <v>0</v>
      </c>
      <c r="N485" s="1"/>
      <c r="O485" s="10"/>
    </row>
    <row r="486" spans="1:15" x14ac:dyDescent="0.35">
      <c r="A486" s="9"/>
      <c r="B486" s="1" t="s">
        <v>306</v>
      </c>
      <c r="C486" s="1">
        <f>'Dispatch and Sales per day'!D357</f>
        <v>0</v>
      </c>
      <c r="D486" s="1"/>
      <c r="E486" s="79"/>
      <c r="F486" s="9"/>
      <c r="G486" s="1" t="s">
        <v>306</v>
      </c>
      <c r="H486" s="1">
        <f>'Dispatch and Sales per day'!P357</f>
        <v>0</v>
      </c>
      <c r="I486" s="1"/>
      <c r="J486" s="10"/>
      <c r="K486" s="9"/>
      <c r="L486" s="1" t="s">
        <v>306</v>
      </c>
      <c r="M486" s="1">
        <f>'Dispatch and Sales per day'!AB357</f>
        <v>0</v>
      </c>
      <c r="N486" s="1"/>
      <c r="O486" s="10"/>
    </row>
    <row r="487" spans="1:15" x14ac:dyDescent="0.35">
      <c r="A487" s="9"/>
      <c r="B487" s="1" t="s">
        <v>154</v>
      </c>
      <c r="C487" s="1"/>
      <c r="D487" s="1">
        <f>SUM(C478:C486)</f>
        <v>1200</v>
      </c>
      <c r="E487" s="79"/>
      <c r="F487" s="9"/>
      <c r="G487" s="1" t="s">
        <v>154</v>
      </c>
      <c r="H487" s="1"/>
      <c r="I487" s="1">
        <f>SUM(H478:H486)</f>
        <v>1214</v>
      </c>
      <c r="J487" s="10"/>
      <c r="K487" s="9"/>
      <c r="L487" s="1" t="s">
        <v>154</v>
      </c>
      <c r="M487" s="1"/>
      <c r="N487" s="1">
        <f>SUM(M478:M486)</f>
        <v>820</v>
      </c>
      <c r="O487" s="10"/>
    </row>
    <row r="488" spans="1:15" ht="15" thickBot="1" x14ac:dyDescent="0.4">
      <c r="A488" s="9"/>
      <c r="B488" s="1" t="s">
        <v>155</v>
      </c>
      <c r="C488" s="1"/>
      <c r="D488" s="78">
        <f>D477-D487</f>
        <v>682</v>
      </c>
      <c r="E488" s="79"/>
      <c r="F488" s="9"/>
      <c r="G488" s="1" t="s">
        <v>155</v>
      </c>
      <c r="H488" s="1"/>
      <c r="I488" s="78">
        <f>I477-I487</f>
        <v>870</v>
      </c>
      <c r="J488" s="10"/>
      <c r="K488" s="9"/>
      <c r="L488" s="1" t="s">
        <v>155</v>
      </c>
      <c r="M488" s="1"/>
      <c r="N488" s="78">
        <f>N477-N487</f>
        <v>1022</v>
      </c>
      <c r="O488" s="10"/>
    </row>
    <row r="489" spans="1:15" ht="15" thickTop="1" x14ac:dyDescent="0.35">
      <c r="A489" s="9" t="s">
        <v>48</v>
      </c>
      <c r="B489" s="1" t="s">
        <v>14</v>
      </c>
      <c r="C489" s="1"/>
      <c r="D489" s="6">
        <f>'Dispatch and Sales per day'!G358</f>
        <v>555</v>
      </c>
      <c r="E489" s="79"/>
      <c r="F489" s="9" t="s">
        <v>48</v>
      </c>
      <c r="G489" s="1" t="s">
        <v>14</v>
      </c>
      <c r="H489" s="1"/>
      <c r="I489" s="6">
        <f>'Dispatch and Sales per day'!S358</f>
        <v>111</v>
      </c>
      <c r="J489" s="10"/>
      <c r="K489" s="9" t="s">
        <v>48</v>
      </c>
      <c r="L489" s="1" t="s">
        <v>14</v>
      </c>
      <c r="M489" s="1"/>
      <c r="N489" s="6">
        <f>'Dispatch and Sales per day'!AE358</f>
        <v>13</v>
      </c>
      <c r="O489" s="10"/>
    </row>
    <row r="490" spans="1:15" ht="15" thickBot="1" x14ac:dyDescent="0.4">
      <c r="A490" s="9"/>
      <c r="B490" s="1" t="s">
        <v>47</v>
      </c>
      <c r="C490" s="1"/>
      <c r="D490" s="76">
        <f>D488+D489</f>
        <v>1237</v>
      </c>
      <c r="E490" s="36"/>
      <c r="F490" s="9"/>
      <c r="G490" s="1" t="s">
        <v>47</v>
      </c>
      <c r="H490" s="1"/>
      <c r="I490" s="76">
        <f>I488+I489</f>
        <v>981</v>
      </c>
      <c r="J490" s="10"/>
      <c r="K490" s="9"/>
      <c r="L490" s="1" t="s">
        <v>47</v>
      </c>
      <c r="M490" s="1"/>
      <c r="N490" s="76">
        <f>N488+N489</f>
        <v>1035</v>
      </c>
      <c r="O490" s="10"/>
    </row>
    <row r="491" spans="1:15" ht="15" thickTop="1" x14ac:dyDescent="0.35">
      <c r="A491" s="35"/>
      <c r="B491" s="5"/>
      <c r="C491" s="5"/>
      <c r="D491" s="204"/>
      <c r="F491" s="35"/>
      <c r="G491" s="5" t="s">
        <v>573</v>
      </c>
      <c r="H491" s="5"/>
      <c r="I491" s="5">
        <v>1</v>
      </c>
      <c r="J491" s="37"/>
      <c r="K491" s="35"/>
      <c r="L491" s="5" t="s">
        <v>333</v>
      </c>
      <c r="M491" s="5"/>
      <c r="N491" s="204"/>
      <c r="O491" s="37"/>
    </row>
    <row r="492" spans="1:15" x14ac:dyDescent="0.35">
      <c r="A492" s="35"/>
      <c r="B492" s="5"/>
      <c r="C492" s="5"/>
      <c r="D492" s="2">
        <f>D490+D491</f>
        <v>1237</v>
      </c>
      <c r="F492" s="35"/>
      <c r="G492" s="5"/>
      <c r="H492" s="5"/>
      <c r="I492" s="5"/>
      <c r="J492" s="37"/>
      <c r="K492" s="35"/>
      <c r="L492" s="5"/>
      <c r="M492" s="5"/>
      <c r="N492" s="2"/>
      <c r="O492" s="37"/>
    </row>
    <row r="493" spans="1:15" ht="15" thickBot="1" x14ac:dyDescent="0.4">
      <c r="A493" s="11"/>
      <c r="B493" s="12"/>
      <c r="C493" s="12"/>
      <c r="D493" s="12"/>
      <c r="E493" s="17"/>
      <c r="F493" s="11"/>
      <c r="G493" s="12"/>
      <c r="H493" s="12"/>
      <c r="I493" s="305">
        <f>I490+I491</f>
        <v>982</v>
      </c>
      <c r="J493" s="13"/>
      <c r="K493" s="11"/>
      <c r="L493" s="12"/>
      <c r="M493" s="12"/>
      <c r="N493" s="203">
        <f>N490+N492</f>
        <v>1035</v>
      </c>
      <c r="O493" s="13"/>
    </row>
    <row r="494" spans="1:15" x14ac:dyDescent="0.35">
      <c r="A494" s="80" t="s">
        <v>521</v>
      </c>
      <c r="B494" s="41" t="s">
        <v>39</v>
      </c>
      <c r="C494" s="41"/>
      <c r="D494" s="41">
        <f>D492</f>
        <v>1237</v>
      </c>
      <c r="E494" s="92"/>
      <c r="F494" s="80" t="s">
        <v>521</v>
      </c>
      <c r="G494" s="41" t="s">
        <v>39</v>
      </c>
      <c r="H494" s="41"/>
      <c r="I494" s="41">
        <f>I490</f>
        <v>981</v>
      </c>
      <c r="J494" s="81"/>
      <c r="K494" s="80" t="s">
        <v>521</v>
      </c>
      <c r="L494" s="41" t="s">
        <v>39</v>
      </c>
      <c r="M494" s="41"/>
      <c r="N494" s="41">
        <f>N493</f>
        <v>1035</v>
      </c>
      <c r="O494" s="81"/>
    </row>
    <row r="495" spans="1:15" x14ac:dyDescent="0.35">
      <c r="A495" s="9"/>
      <c r="B495" s="1" t="s">
        <v>393</v>
      </c>
      <c r="C495" s="1"/>
      <c r="D495" s="1">
        <f>Production!G547</f>
        <v>792</v>
      </c>
      <c r="E495" s="79"/>
      <c r="F495" s="9"/>
      <c r="G495" s="1" t="s">
        <v>537</v>
      </c>
      <c r="H495" s="1"/>
      <c r="I495" s="57">
        <f>Production!O547</f>
        <v>933</v>
      </c>
      <c r="J495" s="10"/>
      <c r="K495" s="9"/>
      <c r="L495" s="1" t="s">
        <v>360</v>
      </c>
      <c r="M495" s="1"/>
      <c r="N495" s="57">
        <f>Production!Y547</f>
        <v>1020</v>
      </c>
      <c r="O495" s="10"/>
    </row>
    <row r="496" spans="1:15" ht="15" thickBot="1" x14ac:dyDescent="0.4">
      <c r="A496" s="9"/>
      <c r="B496" s="1" t="s">
        <v>153</v>
      </c>
      <c r="C496" s="1"/>
      <c r="D496" s="78">
        <f>D494+D495</f>
        <v>2029</v>
      </c>
      <c r="E496" s="79"/>
      <c r="F496" s="9"/>
      <c r="G496" s="1" t="s">
        <v>153</v>
      </c>
      <c r="H496" s="1"/>
      <c r="I496" s="78">
        <f>I494+I495</f>
        <v>1914</v>
      </c>
      <c r="J496" s="10"/>
      <c r="K496" s="9"/>
      <c r="L496" s="1" t="s">
        <v>153</v>
      </c>
      <c r="M496" s="1"/>
      <c r="N496" s="78">
        <f>N494+N495</f>
        <v>2055</v>
      </c>
      <c r="O496" s="10"/>
    </row>
    <row r="497" spans="1:17" ht="15" thickTop="1" x14ac:dyDescent="0.35">
      <c r="A497" s="9" t="s">
        <v>46</v>
      </c>
      <c r="B497" s="1" t="s">
        <v>538</v>
      </c>
      <c r="C497" s="1">
        <f>'Dispatch and Sales per day'!D359+'Dispatch and Sales per day'!D360</f>
        <v>225</v>
      </c>
      <c r="D497" s="6"/>
      <c r="E497" s="79"/>
      <c r="F497" s="9" t="s">
        <v>46</v>
      </c>
      <c r="G497" s="1" t="s">
        <v>538</v>
      </c>
      <c r="H497" s="1">
        <f>'Dispatch and Sales per day'!P359</f>
        <v>192</v>
      </c>
      <c r="I497" s="6"/>
      <c r="J497" s="10"/>
      <c r="K497" s="9" t="s">
        <v>46</v>
      </c>
      <c r="L497" s="1" t="s">
        <v>538</v>
      </c>
      <c r="M497" s="1">
        <f>'Dispatch and Sales per day'!AB359</f>
        <v>72</v>
      </c>
      <c r="N497" s="6"/>
      <c r="O497" s="10"/>
    </row>
    <row r="498" spans="1:17" x14ac:dyDescent="0.35">
      <c r="A498" s="9"/>
      <c r="B498" s="1" t="s">
        <v>540</v>
      </c>
      <c r="C498" s="1">
        <f>'Dispatch and Sales per day'!D361+'Dispatch and Sales per day'!D362</f>
        <v>300</v>
      </c>
      <c r="D498" s="1"/>
      <c r="E498" s="79"/>
      <c r="F498" s="9"/>
      <c r="G498" s="1" t="s">
        <v>540</v>
      </c>
      <c r="H498" s="1">
        <f>'Dispatch and Sales per day'!P361</f>
        <v>240</v>
      </c>
      <c r="I498" s="1"/>
      <c r="J498" s="10"/>
      <c r="K498" s="9"/>
      <c r="L498" s="1" t="s">
        <v>540</v>
      </c>
      <c r="M498" s="1">
        <f>'Dispatch and Sales per day'!AB361+'Dispatch and Sales per day'!AB362</f>
        <v>484</v>
      </c>
      <c r="N498" s="1"/>
      <c r="O498" s="10"/>
    </row>
    <row r="499" spans="1:17" x14ac:dyDescent="0.35">
      <c r="A499" s="9"/>
      <c r="B499" s="1" t="s">
        <v>506</v>
      </c>
      <c r="C499" s="1">
        <f>'Dispatch and Sales per day'!D364</f>
        <v>150</v>
      </c>
      <c r="D499" s="1"/>
      <c r="E499" s="79"/>
      <c r="F499" s="9"/>
      <c r="G499" s="1" t="s">
        <v>506</v>
      </c>
      <c r="H499" s="1">
        <f>'Dispatch and Sales per day'!P364</f>
        <v>156</v>
      </c>
      <c r="I499" s="1"/>
      <c r="J499" s="10"/>
      <c r="K499" s="9"/>
      <c r="L499" s="1" t="s">
        <v>506</v>
      </c>
      <c r="M499" s="1">
        <f>'Dispatch and Sales per day'!AB364</f>
        <v>108</v>
      </c>
      <c r="N499" s="1"/>
      <c r="O499" s="10"/>
    </row>
    <row r="500" spans="1:17" x14ac:dyDescent="0.35">
      <c r="A500" s="9"/>
      <c r="B500" s="1" t="s">
        <v>84</v>
      </c>
      <c r="C500" s="1">
        <f>'Dispatch and Sales per day'!D365</f>
        <v>30</v>
      </c>
      <c r="D500" s="1"/>
      <c r="E500" s="79"/>
      <c r="F500" s="9"/>
      <c r="G500" s="1" t="s">
        <v>84</v>
      </c>
      <c r="H500" s="1">
        <f>'Dispatch and Sales per day'!P365</f>
        <v>60</v>
      </c>
      <c r="I500" s="1"/>
      <c r="J500" s="10"/>
      <c r="K500" s="9"/>
      <c r="L500" s="1" t="s">
        <v>84</v>
      </c>
      <c r="M500" s="1">
        <f>'Dispatch and Sales per day'!AB365</f>
        <v>60</v>
      </c>
      <c r="N500" s="1"/>
      <c r="O500" s="10"/>
    </row>
    <row r="501" spans="1:17" x14ac:dyDescent="0.35">
      <c r="A501" s="9"/>
      <c r="B501" s="1" t="s">
        <v>285</v>
      </c>
      <c r="C501" s="1">
        <f>'Dispatch and Sales per day'!D367</f>
        <v>15</v>
      </c>
      <c r="D501" s="1"/>
      <c r="E501" s="79"/>
      <c r="F501" s="9"/>
      <c r="G501" s="1" t="s">
        <v>285</v>
      </c>
      <c r="H501" s="1">
        <f>'Dispatch and Sales per day'!P367</f>
        <v>29</v>
      </c>
      <c r="I501" s="1"/>
      <c r="J501" s="10"/>
      <c r="K501" s="9"/>
      <c r="L501" s="1" t="s">
        <v>285</v>
      </c>
      <c r="M501" s="1">
        <f>'Dispatch and Sales per day'!AB367+'Dispatch and Sales per day'!AB368</f>
        <v>32</v>
      </c>
      <c r="N501" s="1"/>
      <c r="O501" s="10"/>
    </row>
    <row r="502" spans="1:17" x14ac:dyDescent="0.35">
      <c r="A502" s="9"/>
      <c r="B502" s="1" t="s">
        <v>311</v>
      </c>
      <c r="C502" s="1">
        <v>0</v>
      </c>
      <c r="D502" s="1"/>
      <c r="E502" s="79"/>
      <c r="F502" s="9"/>
      <c r="G502" s="1" t="s">
        <v>311</v>
      </c>
      <c r="H502" s="1">
        <v>0</v>
      </c>
      <c r="I502" s="1"/>
      <c r="J502" s="10"/>
      <c r="K502" s="9"/>
      <c r="L502" s="1" t="s">
        <v>311</v>
      </c>
      <c r="M502" s="1">
        <v>0</v>
      </c>
      <c r="N502" s="1"/>
      <c r="O502" s="10"/>
    </row>
    <row r="503" spans="1:17" x14ac:dyDescent="0.35">
      <c r="A503" s="9"/>
      <c r="B503" s="1" t="s">
        <v>572</v>
      </c>
      <c r="C503" s="1">
        <f>'Dispatch and Sales per day'!D363</f>
        <v>225</v>
      </c>
      <c r="D503" s="1"/>
      <c r="E503" s="79"/>
      <c r="F503" s="9"/>
      <c r="G503" s="1" t="s">
        <v>572</v>
      </c>
      <c r="H503" s="1">
        <f>'Dispatch and Sales per day'!P363</f>
        <v>120</v>
      </c>
      <c r="I503" s="1"/>
      <c r="J503" s="10"/>
      <c r="K503" s="9"/>
      <c r="L503" s="1" t="s">
        <v>572</v>
      </c>
      <c r="M503" s="1">
        <f>'Dispatch and Sales per day'!AB363</f>
        <v>60</v>
      </c>
      <c r="N503" s="1"/>
      <c r="O503" s="10"/>
    </row>
    <row r="504" spans="1:17" x14ac:dyDescent="0.35">
      <c r="A504" s="9"/>
      <c r="B504" s="1" t="s">
        <v>154</v>
      </c>
      <c r="C504" s="1"/>
      <c r="D504" s="1">
        <f>SUM(C497:C503)</f>
        <v>945</v>
      </c>
      <c r="E504" s="79"/>
      <c r="F504" s="9"/>
      <c r="G504" s="1" t="s">
        <v>154</v>
      </c>
      <c r="H504" s="1"/>
      <c r="I504" s="1">
        <f>SUM(H497:H503)</f>
        <v>797</v>
      </c>
      <c r="J504" s="10"/>
      <c r="K504" s="9"/>
      <c r="L504" s="1" t="s">
        <v>154</v>
      </c>
      <c r="M504" s="1"/>
      <c r="N504" s="1">
        <f>SUM(M497:M503)</f>
        <v>816</v>
      </c>
      <c r="O504" s="10"/>
    </row>
    <row r="505" spans="1:17" ht="15" thickBot="1" x14ac:dyDescent="0.4">
      <c r="A505" s="9"/>
      <c r="B505" s="1" t="s">
        <v>155</v>
      </c>
      <c r="C505" s="1"/>
      <c r="D505" s="78">
        <f>D496-D504</f>
        <v>1084</v>
      </c>
      <c r="E505" s="79"/>
      <c r="F505" s="9"/>
      <c r="G505" s="1" t="s">
        <v>155</v>
      </c>
      <c r="H505" s="1"/>
      <c r="I505" s="78">
        <f>I496-I504</f>
        <v>1117</v>
      </c>
      <c r="J505" s="10"/>
      <c r="K505" s="9"/>
      <c r="L505" s="1" t="s">
        <v>155</v>
      </c>
      <c r="M505" s="1"/>
      <c r="N505" s="78">
        <f>N496-N504</f>
        <v>1239</v>
      </c>
      <c r="O505" s="10"/>
    </row>
    <row r="506" spans="1:17" ht="15" thickTop="1" x14ac:dyDescent="0.35">
      <c r="A506" s="9" t="s">
        <v>48</v>
      </c>
      <c r="B506" s="1" t="s">
        <v>14</v>
      </c>
      <c r="C506" s="1"/>
      <c r="D506" s="6">
        <f>'Dispatch and Sales per day'!G371</f>
        <v>454</v>
      </c>
      <c r="E506" s="79"/>
      <c r="F506" s="9" t="s">
        <v>48</v>
      </c>
      <c r="G506" s="1" t="s">
        <v>14</v>
      </c>
      <c r="H506" s="1"/>
      <c r="I506" s="6">
        <f>'Dispatch and Sales per day'!S371</f>
        <v>142</v>
      </c>
      <c r="J506" s="10"/>
      <c r="K506" s="9" t="s">
        <v>48</v>
      </c>
      <c r="L506" s="1" t="s">
        <v>14</v>
      </c>
      <c r="M506" s="1"/>
      <c r="N506" s="6">
        <f>'Dispatch and Sales per day'!AE371</f>
        <v>29</v>
      </c>
      <c r="O506" s="10"/>
    </row>
    <row r="507" spans="1:17" ht="15" thickBot="1" x14ac:dyDescent="0.4">
      <c r="A507" s="9"/>
      <c r="B507" s="1" t="s">
        <v>47</v>
      </c>
      <c r="C507" s="1"/>
      <c r="D507" s="76">
        <f>D505+D506</f>
        <v>1538</v>
      </c>
      <c r="E507" s="36"/>
      <c r="F507" s="9"/>
      <c r="G507" s="1" t="s">
        <v>47</v>
      </c>
      <c r="H507" s="1"/>
      <c r="I507" s="76">
        <f>I505+I506</f>
        <v>1259</v>
      </c>
      <c r="J507" s="10"/>
      <c r="K507" s="9"/>
      <c r="L507" s="1" t="s">
        <v>47</v>
      </c>
      <c r="M507" s="1"/>
      <c r="N507" s="76">
        <f>N505+N506</f>
        <v>1268</v>
      </c>
      <c r="O507" s="10"/>
    </row>
    <row r="508" spans="1:17" ht="15" thickTop="1" x14ac:dyDescent="0.35">
      <c r="A508" s="35" t="s">
        <v>46</v>
      </c>
      <c r="B508" s="5" t="s">
        <v>577</v>
      </c>
      <c r="C508" s="5"/>
      <c r="D508" s="204"/>
      <c r="F508" s="35"/>
      <c r="G508" s="5" t="s">
        <v>578</v>
      </c>
      <c r="H508" s="5"/>
      <c r="I508" s="298">
        <v>1</v>
      </c>
      <c r="J508" s="37"/>
      <c r="K508" s="35"/>
      <c r="L508" s="5" t="s">
        <v>577</v>
      </c>
      <c r="M508" s="5"/>
      <c r="N508" s="298">
        <f>N507-1138</f>
        <v>130</v>
      </c>
      <c r="O508" s="37"/>
    </row>
    <row r="509" spans="1:17" ht="15" thickBot="1" x14ac:dyDescent="0.4">
      <c r="A509" s="35"/>
      <c r="B509" s="5"/>
      <c r="C509" s="5"/>
      <c r="D509" s="255">
        <f>D507-D508</f>
        <v>1538</v>
      </c>
      <c r="F509" s="35"/>
      <c r="G509" s="5"/>
      <c r="H509" s="5"/>
      <c r="I509" s="76">
        <f>I507+I508</f>
        <v>1260</v>
      </c>
      <c r="J509" s="37"/>
      <c r="K509" s="35"/>
      <c r="L509" s="5"/>
      <c r="M509" s="5"/>
      <c r="N509" s="76">
        <f>N507-N508</f>
        <v>1138</v>
      </c>
      <c r="O509" s="37"/>
    </row>
    <row r="510" spans="1:17" ht="15.5" thickTop="1" thickBot="1" x14ac:dyDescent="0.4">
      <c r="A510" s="11"/>
      <c r="B510" s="12"/>
      <c r="C510" s="12"/>
      <c r="D510" s="207"/>
      <c r="E510" s="17"/>
      <c r="F510" s="11"/>
      <c r="G510" s="12"/>
      <c r="H510" s="12"/>
      <c r="I510" s="207"/>
      <c r="J510" s="13"/>
      <c r="K510" s="11"/>
      <c r="L510" s="12"/>
      <c r="M510" s="12"/>
      <c r="N510" s="207"/>
      <c r="O510" s="13"/>
    </row>
    <row r="511" spans="1:17" ht="15" thickBot="1" x14ac:dyDescent="0.4"/>
    <row r="512" spans="1:17" x14ac:dyDescent="0.35">
      <c r="B512" s="256"/>
      <c r="C512" s="185" t="s">
        <v>0</v>
      </c>
      <c r="D512" s="185" t="s">
        <v>399</v>
      </c>
      <c r="E512" s="185" t="s">
        <v>9</v>
      </c>
      <c r="F512" s="185"/>
      <c r="G512" s="185" t="s">
        <v>1</v>
      </c>
      <c r="H512" s="185" t="s">
        <v>399</v>
      </c>
      <c r="I512" s="185" t="s">
        <v>9</v>
      </c>
      <c r="J512" s="185"/>
      <c r="K512" s="185"/>
      <c r="L512" s="185" t="s">
        <v>196</v>
      </c>
      <c r="M512" s="185" t="s">
        <v>399</v>
      </c>
      <c r="N512" s="185" t="s">
        <v>9</v>
      </c>
      <c r="O512" s="185"/>
      <c r="P512" s="185" t="s">
        <v>400</v>
      </c>
      <c r="Q512" s="186"/>
    </row>
    <row r="513" spans="2:17" ht="15" thickBot="1" x14ac:dyDescent="0.4">
      <c r="B513" s="11" t="s">
        <v>398</v>
      </c>
      <c r="C513" s="12"/>
      <c r="D513" s="12">
        <v>60</v>
      </c>
      <c r="E513" s="12">
        <f>C513*D513</f>
        <v>0</v>
      </c>
      <c r="F513" s="12"/>
      <c r="G513" s="12"/>
      <c r="H513" s="12">
        <v>100</v>
      </c>
      <c r="I513" s="12">
        <f>G513*H513</f>
        <v>0</v>
      </c>
      <c r="J513" s="12"/>
      <c r="K513" s="12"/>
      <c r="L513" s="12">
        <f>N357</f>
        <v>0</v>
      </c>
      <c r="M513" s="12">
        <v>50</v>
      </c>
      <c r="N513" s="12">
        <f>L513*M513</f>
        <v>0</v>
      </c>
      <c r="O513" s="12"/>
      <c r="P513" s="325">
        <f>E513+I513+N513</f>
        <v>0</v>
      </c>
      <c r="Q513" s="326"/>
    </row>
  </sheetData>
  <mergeCells count="1">
    <mergeCell ref="P513:Q5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81"/>
  <sheetViews>
    <sheetView zoomScale="63" zoomScaleNormal="72" workbookViewId="0">
      <pane ySplit="1" topLeftCell="A2" activePane="bottomLeft" state="frozen"/>
      <selection pane="bottomLeft" activeCell="F195" sqref="F195"/>
    </sheetView>
  </sheetViews>
  <sheetFormatPr defaultRowHeight="14.5" x14ac:dyDescent="0.35"/>
  <cols>
    <col min="1" max="1" width="14.26953125" customWidth="1"/>
    <col min="2" max="2" width="17.26953125" customWidth="1"/>
    <col min="3" max="4" width="10.7265625" bestFit="1" customWidth="1"/>
    <col min="5" max="5" width="23.08984375" bestFit="1" customWidth="1"/>
    <col min="6" max="6" width="26.453125" bestFit="1" customWidth="1"/>
    <col min="7" max="8" width="19.453125" customWidth="1"/>
    <col min="9" max="9" width="29.7265625" customWidth="1"/>
    <col min="10" max="10" width="14.90625" customWidth="1"/>
    <col min="11" max="11" width="17.6328125" bestFit="1" customWidth="1"/>
    <col min="12" max="12" width="17.6328125" customWidth="1"/>
    <col min="14" max="14" width="18.08984375" bestFit="1" customWidth="1"/>
    <col min="15" max="15" width="7.90625" bestFit="1" customWidth="1"/>
    <col min="17" max="17" width="11.08984375" bestFit="1" customWidth="1"/>
  </cols>
  <sheetData>
    <row r="1" spans="1:16" ht="15" thickBot="1" x14ac:dyDescent="0.4">
      <c r="A1" s="4" t="s">
        <v>10</v>
      </c>
      <c r="B1" s="4" t="s">
        <v>23</v>
      </c>
      <c r="C1" s="4" t="s">
        <v>74</v>
      </c>
      <c r="D1" s="4" t="s">
        <v>66</v>
      </c>
      <c r="E1" s="4" t="s">
        <v>75</v>
      </c>
      <c r="F1" s="4" t="s">
        <v>76</v>
      </c>
      <c r="G1" s="4" t="s">
        <v>77</v>
      </c>
      <c r="H1" s="4" t="s">
        <v>330</v>
      </c>
      <c r="I1" s="4" t="s">
        <v>78</v>
      </c>
      <c r="J1" s="4" t="s">
        <v>73</v>
      </c>
      <c r="K1" s="4" t="s">
        <v>79</v>
      </c>
      <c r="L1" s="4" t="s">
        <v>248</v>
      </c>
      <c r="M1" s="83" t="s">
        <v>80</v>
      </c>
      <c r="N1" s="218" t="s">
        <v>135</v>
      </c>
      <c r="O1" s="219" t="s">
        <v>156</v>
      </c>
      <c r="P1" s="220"/>
    </row>
    <row r="2" spans="1:16" x14ac:dyDescent="0.35">
      <c r="A2" s="54" t="s">
        <v>450</v>
      </c>
      <c r="B2" s="43" t="s">
        <v>39</v>
      </c>
      <c r="C2" s="73">
        <v>0.64</v>
      </c>
      <c r="D2" s="73">
        <v>5.8380000000000001</v>
      </c>
      <c r="E2" s="73">
        <v>1</v>
      </c>
      <c r="F2" s="73">
        <v>70.8</v>
      </c>
      <c r="G2" s="73">
        <v>20.25</v>
      </c>
      <c r="H2" s="73">
        <v>0</v>
      </c>
      <c r="I2" s="73">
        <v>37.65</v>
      </c>
      <c r="J2" s="73">
        <v>10.67</v>
      </c>
      <c r="K2" s="73">
        <v>386.01</v>
      </c>
      <c r="L2" s="73">
        <v>36.5</v>
      </c>
      <c r="M2" s="73">
        <v>60</v>
      </c>
      <c r="N2" s="80">
        <v>13685</v>
      </c>
      <c r="O2" s="41">
        <v>0</v>
      </c>
      <c r="P2" s="81">
        <v>0</v>
      </c>
    </row>
    <row r="3" spans="1:16" x14ac:dyDescent="0.35">
      <c r="A3" s="55"/>
      <c r="B3" t="s">
        <v>63</v>
      </c>
      <c r="C3">
        <v>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110</v>
      </c>
      <c r="L3">
        <v>0</v>
      </c>
      <c r="M3">
        <v>0</v>
      </c>
      <c r="N3" s="9">
        <v>0</v>
      </c>
      <c r="O3" s="1">
        <v>0</v>
      </c>
      <c r="P3" s="10">
        <v>0</v>
      </c>
    </row>
    <row r="4" spans="1:16" x14ac:dyDescent="0.35">
      <c r="A4" s="55"/>
      <c r="C4">
        <f t="shared" ref="C4:M4" si="0">C2+C3</f>
        <v>30.64</v>
      </c>
      <c r="D4">
        <f t="shared" si="0"/>
        <v>5.8380000000000001</v>
      </c>
      <c r="E4">
        <f t="shared" si="0"/>
        <v>1</v>
      </c>
      <c r="F4">
        <f t="shared" si="0"/>
        <v>70.8</v>
      </c>
      <c r="G4">
        <f t="shared" si="0"/>
        <v>20.25</v>
      </c>
      <c r="H4">
        <f t="shared" ref="H4" si="1">H2+H3</f>
        <v>0</v>
      </c>
      <c r="I4">
        <f t="shared" si="0"/>
        <v>37.65</v>
      </c>
      <c r="J4">
        <f t="shared" si="0"/>
        <v>10.67</v>
      </c>
      <c r="K4">
        <f t="shared" si="0"/>
        <v>496.01</v>
      </c>
      <c r="L4">
        <f t="shared" ref="L4:N4" si="2">L2+L3</f>
        <v>36.5</v>
      </c>
      <c r="M4">
        <f t="shared" si="0"/>
        <v>60</v>
      </c>
      <c r="N4" s="9">
        <f t="shared" si="2"/>
        <v>13685</v>
      </c>
      <c r="O4" s="1">
        <f t="shared" ref="O4:P4" si="3">O2+O3</f>
        <v>0</v>
      </c>
      <c r="P4" s="10">
        <f t="shared" si="3"/>
        <v>0</v>
      </c>
    </row>
    <row r="5" spans="1:16" x14ac:dyDescent="0.35">
      <c r="A5" s="55" t="s">
        <v>46</v>
      </c>
      <c r="B5" t="s">
        <v>64</v>
      </c>
      <c r="C5">
        <f>C4-C6</f>
        <v>16.880000000000003</v>
      </c>
      <c r="D5">
        <f t="shared" ref="D5:M5" si="4">D4-D6</f>
        <v>1.5780000000000003</v>
      </c>
      <c r="E5">
        <f t="shared" si="4"/>
        <v>1</v>
      </c>
      <c r="F5">
        <f t="shared" si="4"/>
        <v>3.2000000000000028</v>
      </c>
      <c r="G5">
        <f t="shared" si="4"/>
        <v>9.01</v>
      </c>
      <c r="H5">
        <f t="shared" ref="H5" si="5">H4-H6</f>
        <v>0</v>
      </c>
      <c r="I5">
        <f t="shared" si="4"/>
        <v>1.1799999999999997</v>
      </c>
      <c r="J5">
        <f t="shared" si="4"/>
        <v>1.2599999999999998</v>
      </c>
      <c r="K5">
        <f t="shared" si="4"/>
        <v>116.32</v>
      </c>
      <c r="L5">
        <f t="shared" ref="L5:N5" si="6">L4-L6</f>
        <v>9</v>
      </c>
      <c r="M5">
        <f t="shared" si="4"/>
        <v>20</v>
      </c>
      <c r="N5" s="9">
        <f t="shared" si="6"/>
        <v>-8816</v>
      </c>
      <c r="O5" s="1">
        <f t="shared" ref="O5:P5" si="7">O4-O6</f>
        <v>0</v>
      </c>
      <c r="P5" s="10">
        <f t="shared" si="7"/>
        <v>0</v>
      </c>
    </row>
    <row r="6" spans="1:16" x14ac:dyDescent="0.35">
      <c r="A6" s="55"/>
      <c r="B6" t="s">
        <v>65</v>
      </c>
      <c r="C6" s="4">
        <v>13.76</v>
      </c>
      <c r="D6" s="4">
        <v>4.26</v>
      </c>
      <c r="E6" s="4">
        <v>0</v>
      </c>
      <c r="F6" s="4">
        <v>67.599999999999994</v>
      </c>
      <c r="G6" s="4">
        <v>11.24</v>
      </c>
      <c r="H6" s="4">
        <v>0</v>
      </c>
      <c r="I6" s="4">
        <v>36.47</v>
      </c>
      <c r="J6" s="4">
        <v>9.41</v>
      </c>
      <c r="K6" s="4">
        <v>379.69</v>
      </c>
      <c r="L6" s="4">
        <v>27.5</v>
      </c>
      <c r="M6" s="4">
        <v>40</v>
      </c>
      <c r="N6" s="9">
        <v>22501</v>
      </c>
      <c r="O6" s="1">
        <v>0</v>
      </c>
      <c r="P6" s="10">
        <v>0</v>
      </c>
    </row>
    <row r="7" spans="1:16" ht="15" thickBot="1" x14ac:dyDescent="0.4">
      <c r="A7" s="5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222"/>
      <c r="O7" s="207"/>
      <c r="P7" s="224"/>
    </row>
    <row r="8" spans="1:16" x14ac:dyDescent="0.35">
      <c r="A8" s="54" t="s">
        <v>452</v>
      </c>
      <c r="B8" s="43" t="s">
        <v>39</v>
      </c>
      <c r="C8" s="73">
        <f t="shared" ref="C8:H8" si="8">C6</f>
        <v>13.76</v>
      </c>
      <c r="D8" s="73">
        <f t="shared" si="8"/>
        <v>4.26</v>
      </c>
      <c r="E8" s="73">
        <f t="shared" si="8"/>
        <v>0</v>
      </c>
      <c r="F8" s="73">
        <f t="shared" si="8"/>
        <v>67.599999999999994</v>
      </c>
      <c r="G8" s="73">
        <f t="shared" si="8"/>
        <v>11.24</v>
      </c>
      <c r="H8" s="73">
        <f t="shared" si="8"/>
        <v>0</v>
      </c>
      <c r="I8" s="73">
        <f t="shared" ref="I8:P8" si="9">I6</f>
        <v>36.47</v>
      </c>
      <c r="J8" s="73">
        <f t="shared" si="9"/>
        <v>9.41</v>
      </c>
      <c r="K8" s="73">
        <f t="shared" si="9"/>
        <v>379.69</v>
      </c>
      <c r="L8" s="73">
        <f t="shared" si="9"/>
        <v>27.5</v>
      </c>
      <c r="M8" s="73">
        <f t="shared" si="9"/>
        <v>40</v>
      </c>
      <c r="N8" s="217">
        <f t="shared" si="9"/>
        <v>22501</v>
      </c>
      <c r="O8" s="41">
        <f>O6</f>
        <v>0</v>
      </c>
      <c r="P8" s="217">
        <f t="shared" si="9"/>
        <v>0</v>
      </c>
    </row>
    <row r="9" spans="1:16" x14ac:dyDescent="0.35">
      <c r="A9" s="55"/>
      <c r="B9" t="s">
        <v>63</v>
      </c>
      <c r="C9">
        <v>200</v>
      </c>
      <c r="D9">
        <v>5</v>
      </c>
      <c r="E9">
        <v>6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 s="88">
        <v>0</v>
      </c>
      <c r="O9" s="1">
        <v>0</v>
      </c>
      <c r="P9" s="88">
        <v>0</v>
      </c>
    </row>
    <row r="10" spans="1:16" x14ac:dyDescent="0.35">
      <c r="A10" s="55"/>
      <c r="C10">
        <f t="shared" ref="C10:K10" si="10">C8+C9</f>
        <v>213.76</v>
      </c>
      <c r="D10">
        <f t="shared" si="10"/>
        <v>9.26</v>
      </c>
      <c r="E10">
        <f t="shared" si="10"/>
        <v>6</v>
      </c>
      <c r="F10">
        <f t="shared" si="10"/>
        <v>67.599999999999994</v>
      </c>
      <c r="G10">
        <f t="shared" si="10"/>
        <v>11.24</v>
      </c>
      <c r="H10">
        <f t="shared" si="10"/>
        <v>0</v>
      </c>
      <c r="I10">
        <f t="shared" si="10"/>
        <v>36.47</v>
      </c>
      <c r="J10">
        <f t="shared" si="10"/>
        <v>9.41</v>
      </c>
      <c r="K10">
        <f t="shared" si="10"/>
        <v>379.69</v>
      </c>
      <c r="L10">
        <f>L8+L9</f>
        <v>27.5</v>
      </c>
      <c r="M10">
        <f t="shared" ref="M10" si="11">M8+M9</f>
        <v>140</v>
      </c>
      <c r="N10" s="88">
        <f>N8+N9</f>
        <v>22501</v>
      </c>
      <c r="O10" s="1">
        <f t="shared" ref="O10" si="12">O8+O9</f>
        <v>0</v>
      </c>
      <c r="P10" s="93"/>
    </row>
    <row r="11" spans="1:16" x14ac:dyDescent="0.35">
      <c r="A11" s="55" t="s">
        <v>46</v>
      </c>
      <c r="B11" t="s">
        <v>64</v>
      </c>
      <c r="C11">
        <f>C10-C12</f>
        <v>15.759999999999991</v>
      </c>
      <c r="D11">
        <f t="shared" ref="D11:K11" si="13">D10-D12</f>
        <v>6.76</v>
      </c>
      <c r="E11">
        <f t="shared" si="13"/>
        <v>1</v>
      </c>
      <c r="F11">
        <f t="shared" si="13"/>
        <v>32.899999999999991</v>
      </c>
      <c r="G11">
        <f t="shared" si="13"/>
        <v>4.76</v>
      </c>
      <c r="H11">
        <f t="shared" si="13"/>
        <v>0</v>
      </c>
      <c r="I11">
        <f t="shared" si="13"/>
        <v>1.0899999999999963</v>
      </c>
      <c r="J11">
        <f t="shared" si="13"/>
        <v>1.17</v>
      </c>
      <c r="K11">
        <f t="shared" si="13"/>
        <v>6.0400000000000205</v>
      </c>
      <c r="L11">
        <f>L10-L12</f>
        <v>13.5</v>
      </c>
      <c r="M11">
        <f t="shared" ref="M11" si="14">M10-M12</f>
        <v>120</v>
      </c>
      <c r="N11" s="88">
        <f>N10-N12</f>
        <v>2250</v>
      </c>
      <c r="O11" s="1">
        <f t="shared" ref="O11" si="15">O10-O12</f>
        <v>-8</v>
      </c>
      <c r="P11" s="88">
        <v>0</v>
      </c>
    </row>
    <row r="12" spans="1:16" x14ac:dyDescent="0.35">
      <c r="A12" s="55"/>
      <c r="B12" t="s">
        <v>65</v>
      </c>
      <c r="C12">
        <v>198</v>
      </c>
      <c r="D12">
        <v>2.5</v>
      </c>
      <c r="E12">
        <v>5</v>
      </c>
      <c r="F12">
        <v>34.700000000000003</v>
      </c>
      <c r="G12">
        <v>6.48</v>
      </c>
      <c r="H12">
        <v>0</v>
      </c>
      <c r="I12">
        <v>35.380000000000003</v>
      </c>
      <c r="J12">
        <v>8.24</v>
      </c>
      <c r="K12">
        <v>373.65</v>
      </c>
      <c r="L12">
        <v>14</v>
      </c>
      <c r="M12">
        <v>20</v>
      </c>
      <c r="N12" s="88">
        <v>20251</v>
      </c>
      <c r="O12" s="88">
        <v>8</v>
      </c>
      <c r="P12" s="88">
        <v>0</v>
      </c>
    </row>
    <row r="13" spans="1:16" ht="15" thickBot="1" x14ac:dyDescent="0.4">
      <c r="A13" s="5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89"/>
      <c r="O13" s="86"/>
      <c r="P13" s="89"/>
    </row>
    <row r="14" spans="1:16" x14ac:dyDescent="0.35">
      <c r="A14" s="54" t="s">
        <v>458</v>
      </c>
      <c r="B14" s="43" t="s">
        <v>39</v>
      </c>
      <c r="C14" s="73">
        <f t="shared" ref="C14:P14" si="16">C12</f>
        <v>198</v>
      </c>
      <c r="D14" s="73">
        <f t="shared" si="16"/>
        <v>2.5</v>
      </c>
      <c r="E14" s="73">
        <f t="shared" si="16"/>
        <v>5</v>
      </c>
      <c r="F14" s="73">
        <f t="shared" si="16"/>
        <v>34.700000000000003</v>
      </c>
      <c r="G14" s="73">
        <f t="shared" si="16"/>
        <v>6.48</v>
      </c>
      <c r="H14" s="73">
        <f t="shared" si="16"/>
        <v>0</v>
      </c>
      <c r="I14" s="73">
        <f t="shared" si="16"/>
        <v>35.380000000000003</v>
      </c>
      <c r="J14" s="73">
        <f t="shared" si="16"/>
        <v>8.24</v>
      </c>
      <c r="K14" s="73">
        <f t="shared" si="16"/>
        <v>373.65</v>
      </c>
      <c r="L14" s="73">
        <f t="shared" si="16"/>
        <v>14</v>
      </c>
      <c r="M14" s="73">
        <f t="shared" si="16"/>
        <v>20</v>
      </c>
      <c r="N14" s="87">
        <f t="shared" si="16"/>
        <v>20251</v>
      </c>
      <c r="O14" s="84">
        <f t="shared" si="16"/>
        <v>8</v>
      </c>
      <c r="P14" s="87">
        <f t="shared" si="16"/>
        <v>0</v>
      </c>
    </row>
    <row r="15" spans="1:16" x14ac:dyDescent="0.35">
      <c r="A15" s="55"/>
      <c r="B15" t="s">
        <v>63</v>
      </c>
      <c r="C15">
        <v>0</v>
      </c>
      <c r="D15">
        <v>0</v>
      </c>
      <c r="E15">
        <v>0</v>
      </c>
      <c r="F15">
        <v>100</v>
      </c>
      <c r="G15">
        <v>20</v>
      </c>
      <c r="H15">
        <v>0</v>
      </c>
      <c r="I15">
        <v>0</v>
      </c>
      <c r="J15">
        <v>0</v>
      </c>
      <c r="K15">
        <v>0</v>
      </c>
      <c r="L15">
        <v>120</v>
      </c>
      <c r="M15">
        <v>0</v>
      </c>
      <c r="N15" s="88">
        <v>0</v>
      </c>
      <c r="O15" s="85">
        <v>0</v>
      </c>
      <c r="P15" s="88">
        <v>0</v>
      </c>
    </row>
    <row r="16" spans="1:16" x14ac:dyDescent="0.35">
      <c r="A16" s="55"/>
      <c r="C16">
        <f t="shared" ref="C16:K16" si="17">C14+C15</f>
        <v>198</v>
      </c>
      <c r="D16">
        <f t="shared" si="17"/>
        <v>2.5</v>
      </c>
      <c r="E16">
        <f t="shared" si="17"/>
        <v>5</v>
      </c>
      <c r="F16">
        <f t="shared" si="17"/>
        <v>134.69999999999999</v>
      </c>
      <c r="G16">
        <f t="shared" si="17"/>
        <v>26.48</v>
      </c>
      <c r="H16">
        <f t="shared" ref="H16" si="18">H14+H15</f>
        <v>0</v>
      </c>
      <c r="I16">
        <f t="shared" si="17"/>
        <v>35.380000000000003</v>
      </c>
      <c r="J16">
        <f t="shared" si="17"/>
        <v>8.24</v>
      </c>
      <c r="K16">
        <f t="shared" si="17"/>
        <v>373.65</v>
      </c>
      <c r="L16">
        <f>L14+L15</f>
        <v>134</v>
      </c>
      <c r="M16">
        <f t="shared" ref="M16" si="19">M14+M15</f>
        <v>20</v>
      </c>
      <c r="N16" s="88">
        <f>N14+N15</f>
        <v>20251</v>
      </c>
      <c r="O16" s="1">
        <f t="shared" ref="O16" si="20">O14+O15</f>
        <v>8</v>
      </c>
      <c r="P16" s="93"/>
    </row>
    <row r="17" spans="1:16" x14ac:dyDescent="0.35">
      <c r="A17" s="55" t="s">
        <v>46</v>
      </c>
      <c r="B17" t="s">
        <v>64</v>
      </c>
      <c r="C17">
        <f>C16-C18</f>
        <v>14.319999999999993</v>
      </c>
      <c r="D17">
        <f t="shared" ref="D17:K17" si="21">D16-D18</f>
        <v>1.6099999999999999</v>
      </c>
      <c r="E17">
        <f t="shared" si="21"/>
        <v>5</v>
      </c>
      <c r="F17">
        <f t="shared" si="21"/>
        <v>39.699999999999989</v>
      </c>
      <c r="G17">
        <f t="shared" si="21"/>
        <v>7.5599999999999987</v>
      </c>
      <c r="H17">
        <f t="shared" ref="H17" si="22">H16-H18</f>
        <v>0</v>
      </c>
      <c r="I17">
        <f t="shared" si="21"/>
        <v>0.99000000000000199</v>
      </c>
      <c r="J17">
        <f t="shared" si="21"/>
        <v>1.0700000000000003</v>
      </c>
      <c r="K17">
        <f t="shared" si="21"/>
        <v>5.4799999999999613</v>
      </c>
      <c r="L17">
        <f>L16-L18</f>
        <v>10.5</v>
      </c>
      <c r="M17">
        <f t="shared" ref="M17" si="23">M16-M18</f>
        <v>20</v>
      </c>
      <c r="N17" s="88">
        <f>N16-N18</f>
        <v>2065</v>
      </c>
      <c r="O17" s="1">
        <f t="shared" ref="O17" si="24">O16-O18</f>
        <v>-6</v>
      </c>
      <c r="P17" s="88">
        <v>0</v>
      </c>
    </row>
    <row r="18" spans="1:16" x14ac:dyDescent="0.35">
      <c r="A18" s="55"/>
      <c r="B18" t="s">
        <v>65</v>
      </c>
      <c r="C18">
        <v>183.68</v>
      </c>
      <c r="D18">
        <v>0.89</v>
      </c>
      <c r="E18">
        <v>0</v>
      </c>
      <c r="F18">
        <v>95</v>
      </c>
      <c r="G18">
        <v>18.920000000000002</v>
      </c>
      <c r="H18">
        <v>0</v>
      </c>
      <c r="I18">
        <v>34.39</v>
      </c>
      <c r="J18">
        <v>7.17</v>
      </c>
      <c r="K18">
        <v>368.17</v>
      </c>
      <c r="L18">
        <v>123.5</v>
      </c>
      <c r="M18">
        <v>0</v>
      </c>
      <c r="N18" s="88">
        <v>18186</v>
      </c>
      <c r="O18" s="88">
        <v>14</v>
      </c>
      <c r="P18" s="88">
        <v>0</v>
      </c>
    </row>
    <row r="19" spans="1:16" ht="15" thickBot="1" x14ac:dyDescent="0.4">
      <c r="A19" s="5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89"/>
      <c r="O19" s="86"/>
      <c r="P19" s="89"/>
    </row>
    <row r="20" spans="1:16" x14ac:dyDescent="0.35">
      <c r="A20" s="54" t="s">
        <v>461</v>
      </c>
      <c r="B20" s="43" t="s">
        <v>39</v>
      </c>
      <c r="C20" s="73">
        <f t="shared" ref="C20:P20" si="25">C18</f>
        <v>183.68</v>
      </c>
      <c r="D20" s="73">
        <f t="shared" si="25"/>
        <v>0.89</v>
      </c>
      <c r="E20" s="73">
        <v>4</v>
      </c>
      <c r="F20" s="73">
        <f t="shared" si="25"/>
        <v>95</v>
      </c>
      <c r="G20" s="73">
        <f t="shared" si="25"/>
        <v>18.920000000000002</v>
      </c>
      <c r="H20" s="73">
        <f t="shared" si="25"/>
        <v>0</v>
      </c>
      <c r="I20" s="73">
        <f t="shared" si="25"/>
        <v>34.39</v>
      </c>
      <c r="J20" s="73">
        <f t="shared" si="25"/>
        <v>7.17</v>
      </c>
      <c r="K20" s="73">
        <f t="shared" si="25"/>
        <v>368.17</v>
      </c>
      <c r="L20" s="73">
        <f t="shared" si="25"/>
        <v>123.5</v>
      </c>
      <c r="M20" s="73">
        <f t="shared" si="25"/>
        <v>0</v>
      </c>
      <c r="N20" s="87">
        <f t="shared" si="25"/>
        <v>18186</v>
      </c>
      <c r="O20" s="84">
        <f t="shared" si="25"/>
        <v>14</v>
      </c>
      <c r="P20" s="87">
        <f t="shared" si="25"/>
        <v>0</v>
      </c>
    </row>
    <row r="21" spans="1:16" x14ac:dyDescent="0.35">
      <c r="A21" s="55"/>
      <c r="B21" t="s">
        <v>63</v>
      </c>
      <c r="C21">
        <v>0</v>
      </c>
      <c r="D21">
        <v>7</v>
      </c>
      <c r="E21">
        <v>0</v>
      </c>
      <c r="F21">
        <v>47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40</v>
      </c>
      <c r="N21" s="88">
        <v>6000</v>
      </c>
      <c r="O21" s="85">
        <v>4</v>
      </c>
      <c r="P21" s="85">
        <v>0</v>
      </c>
    </row>
    <row r="22" spans="1:16" x14ac:dyDescent="0.35">
      <c r="A22" s="55"/>
      <c r="C22">
        <f t="shared" ref="C22:K22" si="26">C20+C21</f>
        <v>183.68</v>
      </c>
      <c r="D22">
        <f t="shared" si="26"/>
        <v>7.89</v>
      </c>
      <c r="E22">
        <f t="shared" si="26"/>
        <v>4</v>
      </c>
      <c r="F22">
        <f t="shared" si="26"/>
        <v>142</v>
      </c>
      <c r="G22">
        <f t="shared" si="26"/>
        <v>18.920000000000002</v>
      </c>
      <c r="H22">
        <f t="shared" si="26"/>
        <v>0</v>
      </c>
      <c r="I22">
        <f t="shared" si="26"/>
        <v>34.39</v>
      </c>
      <c r="J22">
        <f t="shared" si="26"/>
        <v>7.17</v>
      </c>
      <c r="K22">
        <f t="shared" si="26"/>
        <v>368.17</v>
      </c>
      <c r="L22">
        <f>L20+L21</f>
        <v>123.5</v>
      </c>
      <c r="M22">
        <f t="shared" ref="M22" si="27">M20+M21</f>
        <v>40</v>
      </c>
      <c r="N22" s="88">
        <f>N20+N21</f>
        <v>24186</v>
      </c>
      <c r="O22" s="1">
        <f t="shared" ref="O22:P22" si="28">O20+O21</f>
        <v>18</v>
      </c>
      <c r="P22" s="1">
        <f t="shared" si="28"/>
        <v>0</v>
      </c>
    </row>
    <row r="23" spans="1:16" x14ac:dyDescent="0.35">
      <c r="A23" s="55" t="s">
        <v>46</v>
      </c>
      <c r="B23" t="s">
        <v>64</v>
      </c>
      <c r="C23">
        <f>C22-C24</f>
        <v>14</v>
      </c>
      <c r="D23">
        <f t="shared" ref="D23:K23" si="29">D22-D24</f>
        <v>1.54</v>
      </c>
      <c r="E23">
        <f t="shared" si="29"/>
        <v>4</v>
      </c>
      <c r="F23">
        <f t="shared" si="29"/>
        <v>92</v>
      </c>
      <c r="G23">
        <f t="shared" si="29"/>
        <v>5.8000000000000025</v>
      </c>
      <c r="H23">
        <f t="shared" si="29"/>
        <v>0</v>
      </c>
      <c r="I23">
        <f t="shared" si="29"/>
        <v>0.93999999999999773</v>
      </c>
      <c r="J23">
        <f t="shared" si="29"/>
        <v>1.0199999999999996</v>
      </c>
      <c r="K23">
        <f t="shared" si="29"/>
        <v>10.199999999999989</v>
      </c>
      <c r="L23">
        <f>L22-L24</f>
        <v>9.5</v>
      </c>
      <c r="M23">
        <f t="shared" ref="M23" si="30">M22-M24</f>
        <v>20</v>
      </c>
      <c r="N23" s="88">
        <f>N22-N24</f>
        <v>7957</v>
      </c>
      <c r="O23" s="1">
        <f>O22-O24</f>
        <v>1</v>
      </c>
      <c r="P23" s="1">
        <f t="shared" ref="P23" si="31">P22-P24</f>
        <v>0</v>
      </c>
    </row>
    <row r="24" spans="1:16" x14ac:dyDescent="0.35">
      <c r="A24" s="55"/>
      <c r="B24" t="s">
        <v>65</v>
      </c>
      <c r="C24">
        <v>169.68</v>
      </c>
      <c r="D24">
        <v>6.35</v>
      </c>
      <c r="E24">
        <v>0</v>
      </c>
      <c r="F24">
        <v>50</v>
      </c>
      <c r="G24">
        <v>13.12</v>
      </c>
      <c r="H24">
        <v>0</v>
      </c>
      <c r="I24">
        <v>33.450000000000003</v>
      </c>
      <c r="J24">
        <v>6.15</v>
      </c>
      <c r="K24">
        <v>357.97</v>
      </c>
      <c r="L24">
        <v>114</v>
      </c>
      <c r="M24">
        <v>20</v>
      </c>
      <c r="N24" s="88">
        <v>16229</v>
      </c>
      <c r="O24" s="88">
        <v>17</v>
      </c>
      <c r="P24" s="88">
        <v>0</v>
      </c>
    </row>
    <row r="25" spans="1:16" ht="15" thickBot="1" x14ac:dyDescent="0.4">
      <c r="A25" s="5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89"/>
      <c r="O25" s="86"/>
      <c r="P25" s="89"/>
    </row>
    <row r="26" spans="1:16" x14ac:dyDescent="0.35">
      <c r="A26" s="54" t="s">
        <v>462</v>
      </c>
      <c r="B26" s="43" t="s">
        <v>39</v>
      </c>
      <c r="C26" s="73">
        <f t="shared" ref="C26:O26" si="32">C24</f>
        <v>169.68</v>
      </c>
      <c r="D26" s="73">
        <f t="shared" si="32"/>
        <v>6.35</v>
      </c>
      <c r="E26" s="73">
        <f t="shared" si="32"/>
        <v>0</v>
      </c>
      <c r="F26" s="73">
        <f t="shared" si="32"/>
        <v>50</v>
      </c>
      <c r="G26" s="73">
        <f t="shared" si="32"/>
        <v>13.12</v>
      </c>
      <c r="H26" s="73">
        <f t="shared" si="32"/>
        <v>0</v>
      </c>
      <c r="I26" s="73">
        <f t="shared" si="32"/>
        <v>33.450000000000003</v>
      </c>
      <c r="J26" s="73">
        <f t="shared" si="32"/>
        <v>6.15</v>
      </c>
      <c r="K26" s="73">
        <f t="shared" si="32"/>
        <v>357.97</v>
      </c>
      <c r="L26" s="73">
        <f t="shared" si="32"/>
        <v>114</v>
      </c>
      <c r="M26" s="73">
        <f t="shared" si="32"/>
        <v>20</v>
      </c>
      <c r="N26" s="87">
        <f t="shared" si="32"/>
        <v>16229</v>
      </c>
      <c r="O26" s="84">
        <f t="shared" si="32"/>
        <v>17</v>
      </c>
      <c r="P26" s="87">
        <v>0</v>
      </c>
    </row>
    <row r="27" spans="1:16" x14ac:dyDescent="0.35">
      <c r="A27" s="55"/>
      <c r="B27" t="s">
        <v>63</v>
      </c>
      <c r="C27">
        <v>0</v>
      </c>
      <c r="D27">
        <v>0</v>
      </c>
      <c r="E27">
        <v>4</v>
      </c>
      <c r="F27">
        <v>0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100</v>
      </c>
      <c r="N27" s="88">
        <v>31800</v>
      </c>
      <c r="O27" s="85">
        <v>6</v>
      </c>
      <c r="P27" s="85">
        <v>0</v>
      </c>
    </row>
    <row r="28" spans="1:16" x14ac:dyDescent="0.35">
      <c r="A28" s="55"/>
      <c r="C28">
        <f t="shared" ref="C28:K28" si="33">C26+C27</f>
        <v>169.68</v>
      </c>
      <c r="D28">
        <f t="shared" si="33"/>
        <v>6.35</v>
      </c>
      <c r="E28">
        <f t="shared" si="33"/>
        <v>4</v>
      </c>
      <c r="F28">
        <f t="shared" si="33"/>
        <v>50</v>
      </c>
      <c r="G28">
        <f t="shared" si="33"/>
        <v>23.119999999999997</v>
      </c>
      <c r="H28">
        <f t="shared" si="33"/>
        <v>0</v>
      </c>
      <c r="I28">
        <f t="shared" si="33"/>
        <v>33.450000000000003</v>
      </c>
      <c r="J28">
        <f t="shared" si="33"/>
        <v>6.15</v>
      </c>
      <c r="K28">
        <f t="shared" si="33"/>
        <v>357.97</v>
      </c>
      <c r="L28">
        <f>L26+L27</f>
        <v>114</v>
      </c>
      <c r="M28">
        <f t="shared" ref="M28" si="34">M26+M27</f>
        <v>120</v>
      </c>
      <c r="N28" s="88">
        <f>N26+N27</f>
        <v>48029</v>
      </c>
      <c r="O28" s="1">
        <f t="shared" ref="O28:P28" si="35">O26+O27</f>
        <v>23</v>
      </c>
      <c r="P28" s="1">
        <f t="shared" si="35"/>
        <v>0</v>
      </c>
    </row>
    <row r="29" spans="1:16" x14ac:dyDescent="0.35">
      <c r="A29" s="55" t="s">
        <v>46</v>
      </c>
      <c r="B29" t="s">
        <v>64</v>
      </c>
      <c r="C29">
        <f>C28-C30</f>
        <v>14</v>
      </c>
      <c r="D29">
        <f t="shared" ref="D29:K29" si="36">D28-D30</f>
        <v>1.54</v>
      </c>
      <c r="E29">
        <f t="shared" si="36"/>
        <v>4</v>
      </c>
      <c r="F29">
        <f t="shared" si="36"/>
        <v>29</v>
      </c>
      <c r="G29">
        <f t="shared" si="36"/>
        <v>17.239999999999998</v>
      </c>
      <c r="H29">
        <f t="shared" si="36"/>
        <v>0</v>
      </c>
      <c r="I29">
        <f t="shared" si="36"/>
        <v>0.94000000000000483</v>
      </c>
      <c r="J29">
        <f t="shared" si="36"/>
        <v>1.0200000000000005</v>
      </c>
      <c r="K29">
        <f t="shared" si="36"/>
        <v>5.2000000000000455</v>
      </c>
      <c r="L29">
        <f>L28-L30</f>
        <v>9</v>
      </c>
      <c r="M29">
        <f t="shared" ref="M29" si="37">M28-M30</f>
        <v>120</v>
      </c>
      <c r="N29" s="88">
        <f>N28-N30</f>
        <v>10418</v>
      </c>
      <c r="O29" s="1">
        <f t="shared" ref="O29:P29" si="38">O28-O30</f>
        <v>2</v>
      </c>
      <c r="P29" s="1">
        <f t="shared" si="38"/>
        <v>0</v>
      </c>
    </row>
    <row r="30" spans="1:16" x14ac:dyDescent="0.35">
      <c r="A30" s="55"/>
      <c r="B30" t="s">
        <v>65</v>
      </c>
      <c r="C30">
        <v>155.68</v>
      </c>
      <c r="D30">
        <v>4.8099999999999996</v>
      </c>
      <c r="E30">
        <v>0</v>
      </c>
      <c r="F30">
        <v>21</v>
      </c>
      <c r="G30">
        <v>5.88</v>
      </c>
      <c r="H30">
        <v>0</v>
      </c>
      <c r="I30">
        <v>32.51</v>
      </c>
      <c r="J30">
        <v>5.13</v>
      </c>
      <c r="K30">
        <v>352.77</v>
      </c>
      <c r="L30">
        <v>105</v>
      </c>
      <c r="M30">
        <v>0</v>
      </c>
      <c r="N30" s="88">
        <v>37611</v>
      </c>
      <c r="O30" s="88">
        <v>21</v>
      </c>
      <c r="P30" s="88">
        <v>0</v>
      </c>
    </row>
    <row r="31" spans="1:16" ht="15" thickBot="1" x14ac:dyDescent="0.4">
      <c r="A31" s="5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89"/>
      <c r="O31" s="86"/>
      <c r="P31" s="89"/>
    </row>
    <row r="32" spans="1:16" x14ac:dyDescent="0.35">
      <c r="A32" s="54" t="s">
        <v>464</v>
      </c>
      <c r="B32" s="43" t="s">
        <v>39</v>
      </c>
      <c r="C32" s="73">
        <f t="shared" ref="C32:P32" si="39">C30</f>
        <v>155.68</v>
      </c>
      <c r="D32" s="73">
        <f t="shared" si="39"/>
        <v>4.8099999999999996</v>
      </c>
      <c r="E32" s="73">
        <f t="shared" si="39"/>
        <v>0</v>
      </c>
      <c r="F32" s="73">
        <f t="shared" si="39"/>
        <v>21</v>
      </c>
      <c r="G32" s="73">
        <f t="shared" si="39"/>
        <v>5.88</v>
      </c>
      <c r="H32" s="73">
        <f t="shared" si="39"/>
        <v>0</v>
      </c>
      <c r="I32" s="73">
        <f t="shared" si="39"/>
        <v>32.51</v>
      </c>
      <c r="J32" s="73">
        <f t="shared" si="39"/>
        <v>5.13</v>
      </c>
      <c r="K32" s="73">
        <f t="shared" si="39"/>
        <v>352.77</v>
      </c>
      <c r="L32" s="73">
        <f t="shared" si="39"/>
        <v>105</v>
      </c>
      <c r="M32" s="73">
        <f t="shared" si="39"/>
        <v>0</v>
      </c>
      <c r="N32" s="87">
        <f t="shared" si="39"/>
        <v>37611</v>
      </c>
      <c r="O32" s="84">
        <f t="shared" si="39"/>
        <v>21</v>
      </c>
      <c r="P32" s="87">
        <f t="shared" si="39"/>
        <v>0</v>
      </c>
    </row>
    <row r="33" spans="1:16" x14ac:dyDescent="0.35">
      <c r="A33" s="55"/>
      <c r="B33" t="s">
        <v>63</v>
      </c>
      <c r="C33">
        <v>0</v>
      </c>
      <c r="D33">
        <v>10</v>
      </c>
      <c r="E33">
        <v>59</v>
      </c>
      <c r="F33">
        <v>600</v>
      </c>
      <c r="G33">
        <v>105</v>
      </c>
      <c r="H33">
        <v>0</v>
      </c>
      <c r="I33">
        <v>15</v>
      </c>
      <c r="J33">
        <v>0</v>
      </c>
      <c r="K33">
        <v>0</v>
      </c>
      <c r="L33">
        <v>0</v>
      </c>
      <c r="M33">
        <v>40</v>
      </c>
      <c r="N33" s="88">
        <v>0</v>
      </c>
      <c r="O33" s="85">
        <v>0</v>
      </c>
      <c r="P33" s="88">
        <v>0</v>
      </c>
    </row>
    <row r="34" spans="1:16" x14ac:dyDescent="0.35">
      <c r="A34" s="55"/>
      <c r="C34">
        <f t="shared" ref="C34:K34" si="40">C32+C33</f>
        <v>155.68</v>
      </c>
      <c r="D34">
        <f t="shared" si="40"/>
        <v>14.809999999999999</v>
      </c>
      <c r="E34">
        <f t="shared" si="40"/>
        <v>59</v>
      </c>
      <c r="F34">
        <f t="shared" si="40"/>
        <v>621</v>
      </c>
      <c r="G34">
        <f t="shared" si="40"/>
        <v>110.88</v>
      </c>
      <c r="H34">
        <f t="shared" si="40"/>
        <v>0</v>
      </c>
      <c r="I34">
        <f t="shared" si="40"/>
        <v>47.51</v>
      </c>
      <c r="J34">
        <f t="shared" si="40"/>
        <v>5.13</v>
      </c>
      <c r="K34">
        <f t="shared" si="40"/>
        <v>352.77</v>
      </c>
      <c r="L34">
        <f>L32+L33</f>
        <v>105</v>
      </c>
      <c r="M34">
        <f t="shared" ref="M34" si="41">M32+M33</f>
        <v>40</v>
      </c>
      <c r="N34" s="88">
        <f>N32+N33</f>
        <v>37611</v>
      </c>
      <c r="O34" s="55"/>
      <c r="P34" s="93"/>
    </row>
    <row r="35" spans="1:16" x14ac:dyDescent="0.35">
      <c r="A35" s="55" t="s">
        <v>46</v>
      </c>
      <c r="B35" t="s">
        <v>64</v>
      </c>
      <c r="C35" s="294">
        <f>C34-C36</f>
        <v>15.52000000000001</v>
      </c>
      <c r="D35">
        <f t="shared" ref="D35:K35" si="42">D34-D36</f>
        <v>1.5399999999999991</v>
      </c>
      <c r="E35">
        <f t="shared" si="42"/>
        <v>5</v>
      </c>
      <c r="F35" s="294">
        <f t="shared" si="42"/>
        <v>575</v>
      </c>
      <c r="G35">
        <f t="shared" si="42"/>
        <v>13.11</v>
      </c>
      <c r="H35">
        <f t="shared" si="42"/>
        <v>0</v>
      </c>
      <c r="I35">
        <f t="shared" si="42"/>
        <v>0.93999999999999773</v>
      </c>
      <c r="J35">
        <f t="shared" si="42"/>
        <v>1.0199999999999996</v>
      </c>
      <c r="K35">
        <f t="shared" si="42"/>
        <v>5.1999999999999886</v>
      </c>
      <c r="L35">
        <f>L34-L36</f>
        <v>9</v>
      </c>
      <c r="M35">
        <f t="shared" ref="M35" si="43">M34-M36</f>
        <v>20</v>
      </c>
      <c r="N35" s="88">
        <f>N34-N36</f>
        <v>25267</v>
      </c>
      <c r="O35" s="85">
        <v>0</v>
      </c>
      <c r="P35" s="88">
        <v>0</v>
      </c>
    </row>
    <row r="36" spans="1:16" x14ac:dyDescent="0.35">
      <c r="A36" s="55"/>
      <c r="B36" t="s">
        <v>65</v>
      </c>
      <c r="C36" s="294">
        <f>155.68-15.52</f>
        <v>140.16</v>
      </c>
      <c r="D36">
        <v>13.27</v>
      </c>
      <c r="E36">
        <v>54</v>
      </c>
      <c r="F36" s="294">
        <v>46</v>
      </c>
      <c r="G36">
        <v>97.77</v>
      </c>
      <c r="I36">
        <v>46.57</v>
      </c>
      <c r="J36">
        <v>4.1100000000000003</v>
      </c>
      <c r="K36">
        <v>347.57</v>
      </c>
      <c r="L36">
        <v>96</v>
      </c>
      <c r="M36">
        <v>20</v>
      </c>
      <c r="N36" s="88">
        <v>12344</v>
      </c>
      <c r="O36" s="88">
        <v>6</v>
      </c>
      <c r="P36" s="88">
        <v>4</v>
      </c>
    </row>
    <row r="37" spans="1:16" ht="15" thickBot="1" x14ac:dyDescent="0.4">
      <c r="A37" s="5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89"/>
      <c r="O37" s="86"/>
      <c r="P37" s="89"/>
    </row>
    <row r="38" spans="1:16" x14ac:dyDescent="0.35">
      <c r="A38" s="54" t="s">
        <v>465</v>
      </c>
      <c r="B38" s="43" t="s">
        <v>39</v>
      </c>
      <c r="C38" s="73">
        <f t="shared" ref="C38:P38" si="44">C36</f>
        <v>140.16</v>
      </c>
      <c r="D38" s="73">
        <f t="shared" si="44"/>
        <v>13.27</v>
      </c>
      <c r="E38" s="73">
        <f t="shared" si="44"/>
        <v>54</v>
      </c>
      <c r="F38" s="73">
        <f t="shared" si="44"/>
        <v>46</v>
      </c>
      <c r="G38" s="73">
        <f t="shared" si="44"/>
        <v>97.77</v>
      </c>
      <c r="H38" s="73">
        <f t="shared" si="44"/>
        <v>0</v>
      </c>
      <c r="I38" s="73">
        <f t="shared" si="44"/>
        <v>46.57</v>
      </c>
      <c r="J38" s="73">
        <f t="shared" si="44"/>
        <v>4.1100000000000003</v>
      </c>
      <c r="K38" s="73">
        <f t="shared" si="44"/>
        <v>347.57</v>
      </c>
      <c r="L38" s="73">
        <f t="shared" si="44"/>
        <v>96</v>
      </c>
      <c r="M38" s="73">
        <f t="shared" si="44"/>
        <v>20</v>
      </c>
      <c r="N38" s="87">
        <f t="shared" si="44"/>
        <v>12344</v>
      </c>
      <c r="O38" s="84">
        <f t="shared" si="44"/>
        <v>6</v>
      </c>
      <c r="P38" s="87">
        <f t="shared" si="44"/>
        <v>4</v>
      </c>
    </row>
    <row r="39" spans="1:16" x14ac:dyDescent="0.35">
      <c r="A39" s="55"/>
      <c r="B39" t="s">
        <v>63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88">
        <v>0</v>
      </c>
      <c r="O39" s="85">
        <v>0</v>
      </c>
      <c r="P39" s="88">
        <v>0</v>
      </c>
    </row>
    <row r="40" spans="1:16" x14ac:dyDescent="0.35">
      <c r="A40" s="55"/>
      <c r="C40">
        <f t="shared" ref="C40:K40" si="45">C38+C39</f>
        <v>140.16</v>
      </c>
      <c r="D40">
        <f t="shared" si="45"/>
        <v>16.27</v>
      </c>
      <c r="E40">
        <f t="shared" si="45"/>
        <v>54</v>
      </c>
      <c r="F40">
        <f t="shared" si="45"/>
        <v>46</v>
      </c>
      <c r="G40">
        <f t="shared" si="45"/>
        <v>97.77</v>
      </c>
      <c r="H40">
        <f t="shared" si="45"/>
        <v>0</v>
      </c>
      <c r="I40">
        <f t="shared" si="45"/>
        <v>46.57</v>
      </c>
      <c r="J40">
        <f t="shared" si="45"/>
        <v>4.1100000000000003</v>
      </c>
      <c r="K40">
        <f t="shared" si="45"/>
        <v>347.57</v>
      </c>
      <c r="L40">
        <f>L38+L39</f>
        <v>96</v>
      </c>
      <c r="M40">
        <f t="shared" ref="M40" si="46">M38+M39</f>
        <v>20</v>
      </c>
      <c r="N40" s="88">
        <f>N38+N39</f>
        <v>12344</v>
      </c>
      <c r="O40" s="55"/>
      <c r="P40" s="93"/>
    </row>
    <row r="41" spans="1:16" x14ac:dyDescent="0.35">
      <c r="A41" s="55" t="s">
        <v>46</v>
      </c>
      <c r="B41" t="s">
        <v>64</v>
      </c>
      <c r="C41">
        <f>C40-C42</f>
        <v>0</v>
      </c>
      <c r="D41">
        <f t="shared" ref="D41:K41" si="47">D40-D42</f>
        <v>3</v>
      </c>
      <c r="E41">
        <f t="shared" si="47"/>
        <v>0</v>
      </c>
      <c r="F41">
        <f t="shared" si="47"/>
        <v>0</v>
      </c>
      <c r="G41">
        <f t="shared" si="47"/>
        <v>0</v>
      </c>
      <c r="H41">
        <f t="shared" si="47"/>
        <v>0</v>
      </c>
      <c r="I41">
        <f t="shared" si="47"/>
        <v>0</v>
      </c>
      <c r="J41">
        <f t="shared" si="47"/>
        <v>0</v>
      </c>
      <c r="K41">
        <f t="shared" si="47"/>
        <v>0</v>
      </c>
      <c r="L41">
        <f>L40-L42</f>
        <v>0</v>
      </c>
      <c r="M41">
        <f t="shared" ref="M41" si="48">M40-M42</f>
        <v>0</v>
      </c>
      <c r="N41" s="88">
        <f>N40-N42</f>
        <v>0</v>
      </c>
      <c r="O41" s="85">
        <v>0</v>
      </c>
      <c r="P41" s="88">
        <v>0</v>
      </c>
    </row>
    <row r="42" spans="1:16" x14ac:dyDescent="0.35">
      <c r="A42" s="55"/>
      <c r="B42" t="s">
        <v>65</v>
      </c>
      <c r="C42" s="294">
        <v>140.16</v>
      </c>
      <c r="D42">
        <v>13.27</v>
      </c>
      <c r="E42">
        <v>54</v>
      </c>
      <c r="F42" s="294">
        <v>46</v>
      </c>
      <c r="G42">
        <v>97.77</v>
      </c>
      <c r="I42">
        <v>46.57</v>
      </c>
      <c r="J42">
        <v>4.1100000000000003</v>
      </c>
      <c r="K42">
        <v>347.57</v>
      </c>
      <c r="L42">
        <v>96</v>
      </c>
      <c r="M42">
        <v>20</v>
      </c>
      <c r="N42" s="88">
        <v>12344</v>
      </c>
      <c r="O42" s="88">
        <v>22</v>
      </c>
      <c r="P42" s="88">
        <v>0</v>
      </c>
    </row>
    <row r="43" spans="1:16" ht="15" thickBot="1" x14ac:dyDescent="0.4">
      <c r="A43" s="5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89"/>
      <c r="O43" s="86"/>
      <c r="P43" s="89"/>
    </row>
    <row r="44" spans="1:16" x14ac:dyDescent="0.35">
      <c r="A44" s="54" t="s">
        <v>466</v>
      </c>
      <c r="B44" s="43" t="s">
        <v>39</v>
      </c>
      <c r="C44" s="73">
        <f t="shared" ref="C44:P44" si="49">C42</f>
        <v>140.16</v>
      </c>
      <c r="D44" s="73">
        <f t="shared" si="49"/>
        <v>13.27</v>
      </c>
      <c r="E44" s="73">
        <f t="shared" si="49"/>
        <v>54</v>
      </c>
      <c r="F44" s="73">
        <f t="shared" si="49"/>
        <v>46</v>
      </c>
      <c r="G44" s="73">
        <f t="shared" si="49"/>
        <v>97.77</v>
      </c>
      <c r="H44" s="73">
        <f t="shared" si="49"/>
        <v>0</v>
      </c>
      <c r="I44" s="73">
        <f t="shared" si="49"/>
        <v>46.57</v>
      </c>
      <c r="J44" s="73">
        <f t="shared" si="49"/>
        <v>4.1100000000000003</v>
      </c>
      <c r="K44" s="73">
        <f t="shared" si="49"/>
        <v>347.57</v>
      </c>
      <c r="L44" s="73">
        <f t="shared" si="49"/>
        <v>96</v>
      </c>
      <c r="M44" s="73">
        <f t="shared" si="49"/>
        <v>20</v>
      </c>
      <c r="N44" s="87">
        <f t="shared" si="49"/>
        <v>12344</v>
      </c>
      <c r="O44" s="84">
        <f t="shared" si="49"/>
        <v>22</v>
      </c>
      <c r="P44" s="87">
        <f t="shared" si="49"/>
        <v>0</v>
      </c>
    </row>
    <row r="45" spans="1:16" x14ac:dyDescent="0.35">
      <c r="A45" s="55"/>
      <c r="B45" t="s">
        <v>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88">
        <v>0</v>
      </c>
      <c r="O45" s="85">
        <v>0</v>
      </c>
      <c r="P45" s="88">
        <v>0</v>
      </c>
    </row>
    <row r="46" spans="1:16" x14ac:dyDescent="0.35">
      <c r="A46" s="55"/>
      <c r="C46">
        <f t="shared" ref="C46:K46" si="50">C44+C45</f>
        <v>140.16</v>
      </c>
      <c r="D46">
        <f t="shared" si="50"/>
        <v>13.27</v>
      </c>
      <c r="E46">
        <f t="shared" si="50"/>
        <v>54</v>
      </c>
      <c r="F46">
        <f t="shared" si="50"/>
        <v>46</v>
      </c>
      <c r="G46">
        <f t="shared" si="50"/>
        <v>97.77</v>
      </c>
      <c r="H46">
        <f t="shared" si="50"/>
        <v>0</v>
      </c>
      <c r="I46">
        <f t="shared" si="50"/>
        <v>46.57</v>
      </c>
      <c r="J46">
        <f t="shared" si="50"/>
        <v>4.1100000000000003</v>
      </c>
      <c r="K46">
        <f t="shared" si="50"/>
        <v>347.57</v>
      </c>
      <c r="L46">
        <f>L44+L45</f>
        <v>96</v>
      </c>
      <c r="M46">
        <f t="shared" ref="M46" si="51">M44+M45</f>
        <v>20</v>
      </c>
      <c r="N46" s="88">
        <f>N44+N45</f>
        <v>12344</v>
      </c>
      <c r="O46" s="55"/>
      <c r="P46" s="93"/>
    </row>
    <row r="47" spans="1:16" x14ac:dyDescent="0.35">
      <c r="A47" s="55" t="s">
        <v>46</v>
      </c>
      <c r="B47" t="s">
        <v>64</v>
      </c>
      <c r="C47">
        <f>C46-C48</f>
        <v>15.519999999999996</v>
      </c>
      <c r="D47">
        <f t="shared" ref="D47:K47" si="52">D46-D48</f>
        <v>1.7799999999999994</v>
      </c>
      <c r="E47">
        <f t="shared" si="52"/>
        <v>4</v>
      </c>
      <c r="F47">
        <f t="shared" si="52"/>
        <v>-494.1</v>
      </c>
      <c r="G47">
        <f t="shared" si="52"/>
        <v>8.5999999999999943</v>
      </c>
      <c r="H47">
        <f t="shared" si="52"/>
        <v>0</v>
      </c>
      <c r="I47">
        <f t="shared" si="52"/>
        <v>1.1000000000000014</v>
      </c>
      <c r="J47">
        <f t="shared" si="52"/>
        <v>1.1800000000000002</v>
      </c>
      <c r="K47">
        <f t="shared" si="52"/>
        <v>5.8000000000000114</v>
      </c>
      <c r="L47">
        <f>L46-L48</f>
        <v>12</v>
      </c>
      <c r="M47">
        <f t="shared" ref="M47" si="53">M46-M48</f>
        <v>0</v>
      </c>
      <c r="N47" s="88">
        <f>N46-N48</f>
        <v>2299</v>
      </c>
      <c r="O47" s="85">
        <v>0</v>
      </c>
      <c r="P47" s="88">
        <v>0</v>
      </c>
    </row>
    <row r="48" spans="1:16" x14ac:dyDescent="0.35">
      <c r="A48" s="55"/>
      <c r="B48" t="s">
        <v>65</v>
      </c>
      <c r="C48">
        <f>C44-15.52</f>
        <v>124.64</v>
      </c>
      <c r="D48">
        <v>11.49</v>
      </c>
      <c r="E48">
        <v>50</v>
      </c>
      <c r="F48">
        <v>540.1</v>
      </c>
      <c r="G48">
        <v>89.17</v>
      </c>
      <c r="H48">
        <v>0</v>
      </c>
      <c r="I48">
        <v>45.47</v>
      </c>
      <c r="J48">
        <v>2.93</v>
      </c>
      <c r="K48">
        <v>341.77</v>
      </c>
      <c r="L48">
        <v>84</v>
      </c>
      <c r="M48">
        <v>20</v>
      </c>
      <c r="N48" s="88">
        <v>10045</v>
      </c>
      <c r="O48" s="88">
        <v>29</v>
      </c>
      <c r="P48" s="88">
        <v>3</v>
      </c>
    </row>
    <row r="49" spans="1:16" ht="15" thickBot="1" x14ac:dyDescent="0.4">
      <c r="A49" s="5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89"/>
      <c r="O49" s="86"/>
      <c r="P49" s="89"/>
    </row>
    <row r="50" spans="1:16" x14ac:dyDescent="0.35">
      <c r="A50" s="54" t="s">
        <v>467</v>
      </c>
      <c r="B50" s="43" t="s">
        <v>39</v>
      </c>
      <c r="C50" s="73">
        <f t="shared" ref="C50:P50" si="54">C48</f>
        <v>124.64</v>
      </c>
      <c r="D50" s="73">
        <f t="shared" si="54"/>
        <v>11.49</v>
      </c>
      <c r="E50" s="73">
        <f t="shared" si="54"/>
        <v>50</v>
      </c>
      <c r="F50" s="73">
        <f t="shared" si="54"/>
        <v>540.1</v>
      </c>
      <c r="G50" s="73">
        <f t="shared" si="54"/>
        <v>89.17</v>
      </c>
      <c r="H50" s="73">
        <f t="shared" si="54"/>
        <v>0</v>
      </c>
      <c r="I50" s="73">
        <f t="shared" si="54"/>
        <v>45.47</v>
      </c>
      <c r="J50" s="73">
        <f t="shared" si="54"/>
        <v>2.93</v>
      </c>
      <c r="K50" s="73">
        <f t="shared" si="54"/>
        <v>341.77</v>
      </c>
      <c r="L50" s="73">
        <f t="shared" si="54"/>
        <v>84</v>
      </c>
      <c r="M50" s="73">
        <f t="shared" si="54"/>
        <v>20</v>
      </c>
      <c r="N50" s="87">
        <f t="shared" si="54"/>
        <v>10045</v>
      </c>
      <c r="O50" s="84">
        <f t="shared" si="54"/>
        <v>29</v>
      </c>
      <c r="P50" s="87">
        <f t="shared" si="54"/>
        <v>3</v>
      </c>
    </row>
    <row r="51" spans="1:16" x14ac:dyDescent="0.35">
      <c r="A51" s="55"/>
      <c r="B51" t="s">
        <v>63</v>
      </c>
      <c r="C51">
        <v>0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100</v>
      </c>
      <c r="N51" s="88">
        <v>0</v>
      </c>
      <c r="O51" s="85">
        <v>0</v>
      </c>
      <c r="P51" s="88">
        <v>0</v>
      </c>
    </row>
    <row r="52" spans="1:16" x14ac:dyDescent="0.35">
      <c r="A52" s="55"/>
      <c r="C52">
        <f t="shared" ref="C52:K52" si="55">C50+C51</f>
        <v>124.64</v>
      </c>
      <c r="D52">
        <f t="shared" si="55"/>
        <v>13.49</v>
      </c>
      <c r="E52">
        <f t="shared" si="55"/>
        <v>50</v>
      </c>
      <c r="F52">
        <f t="shared" si="55"/>
        <v>540.1</v>
      </c>
      <c r="G52">
        <f t="shared" si="55"/>
        <v>89.17</v>
      </c>
      <c r="H52">
        <f t="shared" si="55"/>
        <v>0</v>
      </c>
      <c r="I52">
        <f t="shared" si="55"/>
        <v>45.47</v>
      </c>
      <c r="J52">
        <f t="shared" si="55"/>
        <v>2.93</v>
      </c>
      <c r="K52">
        <f t="shared" si="55"/>
        <v>341.77</v>
      </c>
      <c r="L52">
        <f>L50+L51</f>
        <v>84</v>
      </c>
      <c r="M52">
        <f t="shared" ref="M52" si="56">M50+M51</f>
        <v>120</v>
      </c>
      <c r="N52" s="88">
        <f>N50+N51</f>
        <v>10045</v>
      </c>
      <c r="O52" s="55"/>
      <c r="P52" s="93"/>
    </row>
    <row r="53" spans="1:16" x14ac:dyDescent="0.35">
      <c r="A53" s="55" t="s">
        <v>46</v>
      </c>
      <c r="B53" t="s">
        <v>64</v>
      </c>
      <c r="C53">
        <f>C52-C54</f>
        <v>14.519999999999996</v>
      </c>
      <c r="D53">
        <f t="shared" ref="D53:K53" si="57">D52-D54</f>
        <v>3.7000000000000011</v>
      </c>
      <c r="E53">
        <f t="shared" si="57"/>
        <v>4</v>
      </c>
      <c r="F53">
        <f t="shared" si="57"/>
        <v>40.800000000000011</v>
      </c>
      <c r="G53">
        <f t="shared" si="57"/>
        <v>8.0700000000000074</v>
      </c>
      <c r="H53">
        <f t="shared" si="57"/>
        <v>0</v>
      </c>
      <c r="I53">
        <f t="shared" si="57"/>
        <v>1.0399999999999991</v>
      </c>
      <c r="J53">
        <f t="shared" si="57"/>
        <v>1.1300000000000001</v>
      </c>
      <c r="K53">
        <f t="shared" si="57"/>
        <v>5.7799999999999727</v>
      </c>
      <c r="L53">
        <f>L52-L54</f>
        <v>10.5</v>
      </c>
      <c r="M53">
        <f t="shared" ref="M53" si="58">M52-M54</f>
        <v>20</v>
      </c>
      <c r="N53" s="88">
        <f>N52-N54</f>
        <v>2065</v>
      </c>
      <c r="O53" s="85">
        <v>0</v>
      </c>
      <c r="P53" s="88">
        <v>0</v>
      </c>
    </row>
    <row r="54" spans="1:16" x14ac:dyDescent="0.35">
      <c r="A54" s="55"/>
      <c r="B54" t="s">
        <v>65</v>
      </c>
      <c r="C54">
        <f>C50-14.52</f>
        <v>110.12</v>
      </c>
      <c r="D54">
        <v>9.7899999999999991</v>
      </c>
      <c r="E54">
        <v>46</v>
      </c>
      <c r="F54">
        <v>499.3</v>
      </c>
      <c r="G54">
        <v>81.099999999999994</v>
      </c>
      <c r="H54">
        <v>0</v>
      </c>
      <c r="I54">
        <v>44.43</v>
      </c>
      <c r="J54">
        <v>1.8</v>
      </c>
      <c r="K54">
        <v>335.99</v>
      </c>
      <c r="L54">
        <v>73.5</v>
      </c>
      <c r="M54">
        <v>100</v>
      </c>
      <c r="N54" s="88">
        <v>7980</v>
      </c>
      <c r="O54" s="88">
        <v>5</v>
      </c>
      <c r="P54" s="88">
        <v>0</v>
      </c>
    </row>
    <row r="55" spans="1:16" ht="15" thickBot="1" x14ac:dyDescent="0.4">
      <c r="A55" s="5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89"/>
      <c r="O55" s="86"/>
      <c r="P55" s="89"/>
    </row>
    <row r="56" spans="1:16" x14ac:dyDescent="0.35">
      <c r="A56" s="54" t="s">
        <v>474</v>
      </c>
      <c r="B56" s="43" t="s">
        <v>39</v>
      </c>
      <c r="C56" s="73">
        <f t="shared" ref="C56:P56" si="59">C54</f>
        <v>110.12</v>
      </c>
      <c r="D56" s="73">
        <f t="shared" si="59"/>
        <v>9.7899999999999991</v>
      </c>
      <c r="E56" s="73">
        <f t="shared" si="59"/>
        <v>46</v>
      </c>
      <c r="F56" s="73">
        <f t="shared" si="59"/>
        <v>499.3</v>
      </c>
      <c r="G56" s="73">
        <f t="shared" si="59"/>
        <v>81.099999999999994</v>
      </c>
      <c r="H56" s="73">
        <f t="shared" si="59"/>
        <v>0</v>
      </c>
      <c r="I56" s="73">
        <f t="shared" si="59"/>
        <v>44.43</v>
      </c>
      <c r="J56" s="73">
        <f t="shared" si="59"/>
        <v>1.8</v>
      </c>
      <c r="K56" s="73">
        <f t="shared" si="59"/>
        <v>335.99</v>
      </c>
      <c r="L56" s="73">
        <f t="shared" si="59"/>
        <v>73.5</v>
      </c>
      <c r="M56" s="73">
        <f t="shared" si="59"/>
        <v>100</v>
      </c>
      <c r="N56" s="87">
        <f t="shared" si="59"/>
        <v>7980</v>
      </c>
      <c r="O56" s="84">
        <f t="shared" si="59"/>
        <v>5</v>
      </c>
      <c r="P56" s="87">
        <f t="shared" si="59"/>
        <v>0</v>
      </c>
    </row>
    <row r="57" spans="1:16" x14ac:dyDescent="0.35">
      <c r="A57" s="55"/>
      <c r="B57" t="s">
        <v>63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12</v>
      </c>
      <c r="M57">
        <v>0</v>
      </c>
      <c r="N57" s="88">
        <v>3300</v>
      </c>
      <c r="O57" s="85">
        <v>0</v>
      </c>
      <c r="P57" s="88">
        <v>0</v>
      </c>
    </row>
    <row r="58" spans="1:16" x14ac:dyDescent="0.35">
      <c r="A58" s="55"/>
      <c r="C58">
        <f t="shared" ref="C58:K58" si="60">C56+C57</f>
        <v>110.12</v>
      </c>
      <c r="D58">
        <f t="shared" si="60"/>
        <v>9.7899999999999991</v>
      </c>
      <c r="E58">
        <f t="shared" si="60"/>
        <v>46</v>
      </c>
      <c r="F58">
        <f t="shared" si="60"/>
        <v>499.3</v>
      </c>
      <c r="G58">
        <f t="shared" si="60"/>
        <v>81.099999999999994</v>
      </c>
      <c r="H58">
        <f t="shared" si="60"/>
        <v>0</v>
      </c>
      <c r="I58">
        <f t="shared" si="60"/>
        <v>44.43</v>
      </c>
      <c r="J58">
        <f t="shared" si="60"/>
        <v>3.8</v>
      </c>
      <c r="K58">
        <f t="shared" si="60"/>
        <v>335.99</v>
      </c>
      <c r="L58">
        <f>L56+L57</f>
        <v>85.5</v>
      </c>
      <c r="M58">
        <f t="shared" ref="M58" si="61">M56+M57</f>
        <v>100</v>
      </c>
      <c r="N58" s="88">
        <f>N56+N57</f>
        <v>11280</v>
      </c>
      <c r="O58" s="55"/>
      <c r="P58" s="93"/>
    </row>
    <row r="59" spans="1:16" x14ac:dyDescent="0.35">
      <c r="A59" s="55" t="s">
        <v>46</v>
      </c>
      <c r="B59" t="s">
        <v>64</v>
      </c>
      <c r="C59">
        <f>C58-C60</f>
        <v>14.519999999999996</v>
      </c>
      <c r="D59">
        <f t="shared" ref="D59:K59" si="62">D58-D60</f>
        <v>1.6099999999999994</v>
      </c>
      <c r="E59">
        <f t="shared" si="62"/>
        <v>4</v>
      </c>
      <c r="F59">
        <f t="shared" si="62"/>
        <v>39.800000000000011</v>
      </c>
      <c r="G59">
        <f t="shared" si="62"/>
        <v>7.6699999999999875</v>
      </c>
      <c r="H59">
        <f t="shared" si="62"/>
        <v>0</v>
      </c>
      <c r="I59">
        <f t="shared" si="62"/>
        <v>0.89000000000000057</v>
      </c>
      <c r="J59">
        <f t="shared" si="62"/>
        <v>3.07</v>
      </c>
      <c r="K59">
        <f t="shared" si="62"/>
        <v>4.4800000000000182</v>
      </c>
      <c r="L59">
        <f>L58-L60</f>
        <v>22.5</v>
      </c>
      <c r="M59">
        <f t="shared" ref="M59" si="63">M58-M60</f>
        <v>20</v>
      </c>
      <c r="N59" s="88">
        <f>N58-N60</f>
        <v>5345</v>
      </c>
      <c r="O59" s="85">
        <v>0</v>
      </c>
      <c r="P59" s="88">
        <v>0</v>
      </c>
    </row>
    <row r="60" spans="1:16" x14ac:dyDescent="0.35">
      <c r="A60" s="55"/>
      <c r="B60" t="s">
        <v>65</v>
      </c>
      <c r="C60">
        <f>C56-14.52</f>
        <v>95.600000000000009</v>
      </c>
      <c r="D60">
        <v>8.18</v>
      </c>
      <c r="E60">
        <v>42</v>
      </c>
      <c r="F60">
        <v>459.5</v>
      </c>
      <c r="G60">
        <v>73.430000000000007</v>
      </c>
      <c r="H60">
        <v>0</v>
      </c>
      <c r="I60">
        <v>43.54</v>
      </c>
      <c r="J60">
        <v>0.73</v>
      </c>
      <c r="K60">
        <v>331.51</v>
      </c>
      <c r="L60">
        <v>63</v>
      </c>
      <c r="M60">
        <v>80</v>
      </c>
      <c r="N60" s="88">
        <v>5935</v>
      </c>
      <c r="O60" s="88">
        <v>5</v>
      </c>
      <c r="P60" s="88">
        <v>0</v>
      </c>
    </row>
    <row r="61" spans="1:16" ht="15" thickBot="1" x14ac:dyDescent="0.4">
      <c r="A61" s="5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89"/>
      <c r="O61" s="86"/>
      <c r="P61" s="89"/>
    </row>
    <row r="62" spans="1:16" x14ac:dyDescent="0.35">
      <c r="A62" s="54" t="s">
        <v>475</v>
      </c>
      <c r="B62" s="43" t="s">
        <v>39</v>
      </c>
      <c r="C62" s="73">
        <f t="shared" ref="C62:P62" si="64">C60</f>
        <v>95.600000000000009</v>
      </c>
      <c r="D62" s="73">
        <f t="shared" si="64"/>
        <v>8.18</v>
      </c>
      <c r="E62" s="73">
        <f t="shared" si="64"/>
        <v>42</v>
      </c>
      <c r="F62" s="73">
        <f t="shared" si="64"/>
        <v>459.5</v>
      </c>
      <c r="G62" s="73">
        <f t="shared" si="64"/>
        <v>73.430000000000007</v>
      </c>
      <c r="H62" s="73">
        <f t="shared" si="64"/>
        <v>0</v>
      </c>
      <c r="I62" s="73">
        <f t="shared" si="64"/>
        <v>43.54</v>
      </c>
      <c r="J62" s="73">
        <f t="shared" si="64"/>
        <v>0.73</v>
      </c>
      <c r="K62" s="73">
        <f t="shared" si="64"/>
        <v>331.51</v>
      </c>
      <c r="L62" s="73">
        <f t="shared" si="64"/>
        <v>63</v>
      </c>
      <c r="M62" s="73">
        <f t="shared" si="64"/>
        <v>80</v>
      </c>
      <c r="N62" s="87">
        <f t="shared" si="64"/>
        <v>5935</v>
      </c>
      <c r="O62" s="84">
        <f t="shared" si="64"/>
        <v>5</v>
      </c>
      <c r="P62" s="87">
        <f t="shared" si="64"/>
        <v>0</v>
      </c>
    </row>
    <row r="63" spans="1:16" x14ac:dyDescent="0.35">
      <c r="A63" s="55"/>
      <c r="B63" t="s">
        <v>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4</v>
      </c>
      <c r="K63">
        <v>0</v>
      </c>
      <c r="L63">
        <v>0</v>
      </c>
      <c r="M63">
        <v>0</v>
      </c>
      <c r="N63" s="88">
        <v>0</v>
      </c>
      <c r="O63" s="85">
        <v>0</v>
      </c>
      <c r="P63" s="88">
        <v>0</v>
      </c>
    </row>
    <row r="64" spans="1:16" x14ac:dyDescent="0.35">
      <c r="A64" s="55"/>
      <c r="C64">
        <f t="shared" ref="C64:K64" si="65">C62+C63</f>
        <v>95.600000000000009</v>
      </c>
      <c r="D64">
        <f t="shared" si="65"/>
        <v>8.18</v>
      </c>
      <c r="E64">
        <f t="shared" si="65"/>
        <v>42</v>
      </c>
      <c r="F64">
        <f t="shared" si="65"/>
        <v>459.5</v>
      </c>
      <c r="G64">
        <f t="shared" si="65"/>
        <v>73.430000000000007</v>
      </c>
      <c r="H64">
        <f t="shared" si="65"/>
        <v>0</v>
      </c>
      <c r="I64">
        <f t="shared" si="65"/>
        <v>43.54</v>
      </c>
      <c r="J64">
        <f t="shared" si="65"/>
        <v>4.7300000000000004</v>
      </c>
      <c r="K64">
        <f t="shared" si="65"/>
        <v>331.51</v>
      </c>
      <c r="L64">
        <f>L62+L63</f>
        <v>63</v>
      </c>
      <c r="M64">
        <f t="shared" ref="M64" si="66">M62+M63</f>
        <v>80</v>
      </c>
      <c r="N64" s="88">
        <f>N62+N63</f>
        <v>5935</v>
      </c>
      <c r="O64" s="55"/>
      <c r="P64" s="93"/>
    </row>
    <row r="65" spans="1:16" x14ac:dyDescent="0.35">
      <c r="A65" s="55" t="s">
        <v>46</v>
      </c>
      <c r="B65" t="s">
        <v>64</v>
      </c>
      <c r="C65">
        <f>C64-C66</f>
        <v>15.519999999999996</v>
      </c>
      <c r="D65">
        <f t="shared" ref="D65:K65" si="67">D64-D66</f>
        <v>1.4499999999999993</v>
      </c>
      <c r="E65">
        <f t="shared" si="67"/>
        <v>4</v>
      </c>
      <c r="F65">
        <f t="shared" si="67"/>
        <v>32.899999999999977</v>
      </c>
      <c r="G65">
        <f t="shared" si="67"/>
        <v>6.7400000000000091</v>
      </c>
      <c r="H65">
        <f t="shared" si="67"/>
        <v>0</v>
      </c>
      <c r="I65">
        <f t="shared" si="67"/>
        <v>0.86999999999999744</v>
      </c>
      <c r="J65">
        <f t="shared" si="67"/>
        <v>4.5</v>
      </c>
      <c r="K65">
        <f t="shared" si="67"/>
        <v>4.9399999999999977</v>
      </c>
      <c r="L65">
        <f>L64-L66</f>
        <v>9</v>
      </c>
      <c r="M65">
        <f t="shared" ref="M65" si="68">M64-M66</f>
        <v>20</v>
      </c>
      <c r="N65" s="295">
        <f>N64-N66</f>
        <v>-1209</v>
      </c>
      <c r="O65" s="85">
        <v>0</v>
      </c>
      <c r="P65" s="88">
        <v>0</v>
      </c>
    </row>
    <row r="66" spans="1:16" x14ac:dyDescent="0.35">
      <c r="A66" s="55"/>
      <c r="B66" t="s">
        <v>65</v>
      </c>
      <c r="C66">
        <f>C62-15.52</f>
        <v>80.080000000000013</v>
      </c>
      <c r="D66">
        <v>6.73</v>
      </c>
      <c r="E66">
        <v>38</v>
      </c>
      <c r="F66">
        <v>426.6</v>
      </c>
      <c r="G66">
        <v>66.69</v>
      </c>
      <c r="H66">
        <v>0</v>
      </c>
      <c r="I66">
        <v>42.67</v>
      </c>
      <c r="J66">
        <v>0.23</v>
      </c>
      <c r="K66">
        <v>326.57</v>
      </c>
      <c r="L66">
        <v>54</v>
      </c>
      <c r="M66">
        <v>60</v>
      </c>
      <c r="N66" s="295">
        <v>7144</v>
      </c>
      <c r="O66" s="88">
        <v>0</v>
      </c>
      <c r="P66" s="88">
        <v>0</v>
      </c>
    </row>
    <row r="67" spans="1:16" ht="15" thickBot="1" x14ac:dyDescent="0.4">
      <c r="A67" s="5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89"/>
      <c r="O67" s="86"/>
      <c r="P67" s="89"/>
    </row>
    <row r="68" spans="1:16" x14ac:dyDescent="0.35">
      <c r="A68" s="54" t="s">
        <v>479</v>
      </c>
      <c r="B68" s="43" t="s">
        <v>39</v>
      </c>
      <c r="C68" s="73">
        <f t="shared" ref="C68:P68" si="69">C66</f>
        <v>80.080000000000013</v>
      </c>
      <c r="D68" s="73">
        <f t="shared" si="69"/>
        <v>6.73</v>
      </c>
      <c r="E68" s="73">
        <f t="shared" si="69"/>
        <v>38</v>
      </c>
      <c r="F68" s="73">
        <f t="shared" si="69"/>
        <v>426.6</v>
      </c>
      <c r="G68" s="73">
        <f t="shared" si="69"/>
        <v>66.69</v>
      </c>
      <c r="H68" s="73">
        <f t="shared" si="69"/>
        <v>0</v>
      </c>
      <c r="I68" s="73">
        <f t="shared" si="69"/>
        <v>42.67</v>
      </c>
      <c r="J68" s="73">
        <f t="shared" si="69"/>
        <v>0.23</v>
      </c>
      <c r="K68" s="73">
        <f t="shared" si="69"/>
        <v>326.57</v>
      </c>
      <c r="L68" s="73">
        <f t="shared" si="69"/>
        <v>54</v>
      </c>
      <c r="M68" s="73">
        <f t="shared" si="69"/>
        <v>60</v>
      </c>
      <c r="N68" s="87">
        <f t="shared" si="69"/>
        <v>7144</v>
      </c>
      <c r="O68" s="84">
        <f t="shared" si="69"/>
        <v>0</v>
      </c>
      <c r="P68" s="87">
        <f t="shared" si="69"/>
        <v>0</v>
      </c>
    </row>
    <row r="69" spans="1:16" x14ac:dyDescent="0.35">
      <c r="A69" s="55"/>
      <c r="B69" t="s">
        <v>63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25</v>
      </c>
      <c r="K69">
        <v>0</v>
      </c>
      <c r="L69">
        <v>0</v>
      </c>
      <c r="M69">
        <v>20</v>
      </c>
      <c r="N69" s="88">
        <v>0</v>
      </c>
      <c r="O69" s="85">
        <v>0</v>
      </c>
      <c r="P69" s="88">
        <v>0</v>
      </c>
    </row>
    <row r="70" spans="1:16" x14ac:dyDescent="0.35">
      <c r="A70" s="55"/>
      <c r="C70">
        <f t="shared" ref="C70:K70" si="70">C68+C69</f>
        <v>80.080000000000013</v>
      </c>
      <c r="D70">
        <f t="shared" si="70"/>
        <v>8.73</v>
      </c>
      <c r="E70">
        <f t="shared" si="70"/>
        <v>38</v>
      </c>
      <c r="F70">
        <f t="shared" si="70"/>
        <v>426.6</v>
      </c>
      <c r="G70">
        <f t="shared" si="70"/>
        <v>66.69</v>
      </c>
      <c r="H70">
        <f t="shared" si="70"/>
        <v>0</v>
      </c>
      <c r="I70">
        <f t="shared" si="70"/>
        <v>42.67</v>
      </c>
      <c r="J70">
        <f t="shared" si="70"/>
        <v>25.23</v>
      </c>
      <c r="K70">
        <f t="shared" si="70"/>
        <v>326.57</v>
      </c>
      <c r="L70">
        <f>L68+L69</f>
        <v>54</v>
      </c>
      <c r="M70">
        <f t="shared" ref="M70" si="71">M68+M69</f>
        <v>80</v>
      </c>
      <c r="N70" s="88">
        <f>N68+N69</f>
        <v>7144</v>
      </c>
      <c r="O70" s="55"/>
      <c r="P70" s="93"/>
    </row>
    <row r="71" spans="1:16" x14ac:dyDescent="0.35">
      <c r="A71" s="55" t="s">
        <v>46</v>
      </c>
      <c r="B71" t="s">
        <v>64</v>
      </c>
      <c r="C71" s="296">
        <f>C70-C72</f>
        <v>14.719999999999999</v>
      </c>
      <c r="D71">
        <f t="shared" ref="D71:K71" si="72">D70-D72</f>
        <v>3.6300000000000008</v>
      </c>
      <c r="E71">
        <f t="shared" si="72"/>
        <v>5</v>
      </c>
      <c r="F71">
        <f t="shared" si="72"/>
        <v>38.300000000000011</v>
      </c>
      <c r="G71">
        <f t="shared" si="72"/>
        <v>7.0300000000000011</v>
      </c>
      <c r="H71">
        <f t="shared" si="72"/>
        <v>0</v>
      </c>
      <c r="I71">
        <f t="shared" si="72"/>
        <v>1</v>
      </c>
      <c r="J71">
        <f t="shared" si="72"/>
        <v>1.0800000000000018</v>
      </c>
      <c r="K71">
        <f t="shared" si="72"/>
        <v>5.4800000000000182</v>
      </c>
      <c r="L71">
        <f>L70-L72</f>
        <v>9</v>
      </c>
      <c r="M71">
        <f t="shared" ref="M71" si="73">M70-M72</f>
        <v>40</v>
      </c>
      <c r="N71" s="88">
        <f>N70-N72</f>
        <v>2082</v>
      </c>
      <c r="O71" s="85">
        <v>0</v>
      </c>
      <c r="P71" s="88">
        <v>0</v>
      </c>
    </row>
    <row r="72" spans="1:16" x14ac:dyDescent="0.35">
      <c r="A72" s="55"/>
      <c r="B72" t="s">
        <v>65</v>
      </c>
      <c r="C72">
        <f>C68-14.72</f>
        <v>65.360000000000014</v>
      </c>
      <c r="D72">
        <v>5.0999999999999996</v>
      </c>
      <c r="E72">
        <v>33</v>
      </c>
      <c r="F72">
        <v>388.3</v>
      </c>
      <c r="G72">
        <v>59.66</v>
      </c>
      <c r="H72">
        <v>0</v>
      </c>
      <c r="I72">
        <v>41.67</v>
      </c>
      <c r="J72">
        <v>24.15</v>
      </c>
      <c r="K72">
        <v>321.08999999999997</v>
      </c>
      <c r="L72">
        <v>45</v>
      </c>
      <c r="M72">
        <v>40</v>
      </c>
      <c r="N72" s="88">
        <v>5062</v>
      </c>
      <c r="O72" s="88">
        <v>15</v>
      </c>
      <c r="P72" s="88">
        <v>0</v>
      </c>
    </row>
    <row r="73" spans="1:16" ht="15" thickBot="1" x14ac:dyDescent="0.4">
      <c r="A73" s="5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89"/>
      <c r="O73" s="86"/>
      <c r="P73" s="89"/>
    </row>
    <row r="74" spans="1:16" x14ac:dyDescent="0.35">
      <c r="A74" s="54" t="s">
        <v>480</v>
      </c>
      <c r="B74" s="43" t="s">
        <v>39</v>
      </c>
      <c r="C74" s="73">
        <f t="shared" ref="C74:P74" si="74">C72</f>
        <v>65.360000000000014</v>
      </c>
      <c r="D74" s="73">
        <f t="shared" si="74"/>
        <v>5.0999999999999996</v>
      </c>
      <c r="E74" s="73">
        <f t="shared" si="74"/>
        <v>33</v>
      </c>
      <c r="F74" s="73">
        <f t="shared" si="74"/>
        <v>388.3</v>
      </c>
      <c r="G74" s="73">
        <f t="shared" si="74"/>
        <v>59.66</v>
      </c>
      <c r="H74" s="73">
        <f t="shared" si="74"/>
        <v>0</v>
      </c>
      <c r="I74" s="73">
        <f t="shared" si="74"/>
        <v>41.67</v>
      </c>
      <c r="J74" s="73">
        <f t="shared" si="74"/>
        <v>24.15</v>
      </c>
      <c r="K74" s="73">
        <f t="shared" si="74"/>
        <v>321.08999999999997</v>
      </c>
      <c r="L74" s="73">
        <f t="shared" si="74"/>
        <v>45</v>
      </c>
      <c r="M74" s="73">
        <f t="shared" si="74"/>
        <v>40</v>
      </c>
      <c r="N74" s="87">
        <f t="shared" si="74"/>
        <v>5062</v>
      </c>
      <c r="O74" s="84">
        <f t="shared" si="74"/>
        <v>15</v>
      </c>
      <c r="P74" s="87">
        <f t="shared" si="74"/>
        <v>0</v>
      </c>
    </row>
    <row r="75" spans="1:16" x14ac:dyDescent="0.35">
      <c r="A75" s="55"/>
      <c r="B75" t="s">
        <v>63</v>
      </c>
      <c r="C75">
        <v>0</v>
      </c>
      <c r="D75">
        <v>0</v>
      </c>
      <c r="E75">
        <v>0</v>
      </c>
      <c r="F75">
        <v>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88">
        <v>0</v>
      </c>
      <c r="O75" s="85">
        <v>0</v>
      </c>
      <c r="P75" s="88">
        <v>0</v>
      </c>
    </row>
    <row r="76" spans="1:16" x14ac:dyDescent="0.35">
      <c r="A76" s="55"/>
      <c r="C76">
        <f t="shared" ref="C76:K76" si="75">C74+C75</f>
        <v>65.360000000000014</v>
      </c>
      <c r="D76">
        <f t="shared" si="75"/>
        <v>5.0999999999999996</v>
      </c>
      <c r="E76">
        <f t="shared" si="75"/>
        <v>33</v>
      </c>
      <c r="F76">
        <f t="shared" si="75"/>
        <v>400.3</v>
      </c>
      <c r="G76">
        <f t="shared" si="75"/>
        <v>59.66</v>
      </c>
      <c r="H76">
        <f t="shared" si="75"/>
        <v>0</v>
      </c>
      <c r="I76">
        <f t="shared" si="75"/>
        <v>41.67</v>
      </c>
      <c r="J76">
        <f t="shared" si="75"/>
        <v>24.15</v>
      </c>
      <c r="K76">
        <f t="shared" si="75"/>
        <v>321.08999999999997</v>
      </c>
      <c r="L76">
        <f>L74+L75</f>
        <v>45</v>
      </c>
      <c r="M76">
        <f t="shared" ref="M76" si="76">M74+M75</f>
        <v>40</v>
      </c>
      <c r="N76" s="88">
        <f>N74+N75</f>
        <v>5062</v>
      </c>
      <c r="O76" s="55"/>
      <c r="P76" s="93"/>
    </row>
    <row r="77" spans="1:16" x14ac:dyDescent="0.35">
      <c r="A77" s="55" t="s">
        <v>46</v>
      </c>
      <c r="B77" t="s">
        <v>64</v>
      </c>
      <c r="C77" s="294">
        <f>C76-C78</f>
        <v>18.760000000000012</v>
      </c>
      <c r="D77">
        <f t="shared" ref="D77:K77" si="77">D76-D78</f>
        <v>2.6099999999999994</v>
      </c>
      <c r="E77">
        <f t="shared" si="77"/>
        <v>4</v>
      </c>
      <c r="F77">
        <f t="shared" si="77"/>
        <v>47.5</v>
      </c>
      <c r="G77">
        <f t="shared" si="77"/>
        <v>7.269999999999996</v>
      </c>
      <c r="H77">
        <f t="shared" si="77"/>
        <v>0</v>
      </c>
      <c r="I77" s="294">
        <f t="shared" si="77"/>
        <v>12.670000000000002</v>
      </c>
      <c r="J77">
        <f t="shared" si="77"/>
        <v>1.0499999999999972</v>
      </c>
      <c r="K77">
        <f t="shared" si="77"/>
        <v>8.6899999999999977</v>
      </c>
      <c r="L77">
        <f>L76-L78</f>
        <v>9</v>
      </c>
      <c r="M77">
        <f t="shared" ref="M77" si="78">M76-M78</f>
        <v>40</v>
      </c>
      <c r="N77" s="88">
        <f>N76-N78</f>
        <v>1845</v>
      </c>
      <c r="O77" s="85">
        <v>0</v>
      </c>
      <c r="P77" s="88">
        <v>0</v>
      </c>
    </row>
    <row r="78" spans="1:16" x14ac:dyDescent="0.35">
      <c r="A78" s="55"/>
      <c r="B78" t="s">
        <v>65</v>
      </c>
      <c r="C78">
        <v>46.6</v>
      </c>
      <c r="D78">
        <v>2.4900000000000002</v>
      </c>
      <c r="E78">
        <v>29</v>
      </c>
      <c r="F78">
        <v>352.8</v>
      </c>
      <c r="G78">
        <v>52.39</v>
      </c>
      <c r="H78">
        <v>0</v>
      </c>
      <c r="I78">
        <v>29</v>
      </c>
      <c r="J78">
        <v>23.1</v>
      </c>
      <c r="K78">
        <v>312.39999999999998</v>
      </c>
      <c r="L78">
        <v>36</v>
      </c>
      <c r="M78">
        <v>0</v>
      </c>
      <c r="N78" s="88">
        <v>3217</v>
      </c>
      <c r="O78" s="88">
        <v>18</v>
      </c>
      <c r="P78" s="88">
        <v>3</v>
      </c>
    </row>
    <row r="79" spans="1:16" ht="15" thickBot="1" x14ac:dyDescent="0.4">
      <c r="A79" s="5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89"/>
      <c r="O79" s="86"/>
      <c r="P79" s="89"/>
    </row>
    <row r="80" spans="1:16" x14ac:dyDescent="0.35">
      <c r="A80" s="54" t="s">
        <v>481</v>
      </c>
      <c r="B80" s="43" t="s">
        <v>39</v>
      </c>
      <c r="C80" s="73">
        <f t="shared" ref="C80:P80" si="79">C78</f>
        <v>46.6</v>
      </c>
      <c r="D80" s="73">
        <f t="shared" si="79"/>
        <v>2.4900000000000002</v>
      </c>
      <c r="E80" s="73">
        <f t="shared" si="79"/>
        <v>29</v>
      </c>
      <c r="F80" s="73">
        <f t="shared" si="79"/>
        <v>352.8</v>
      </c>
      <c r="G80" s="73">
        <f t="shared" si="79"/>
        <v>52.39</v>
      </c>
      <c r="H80" s="73">
        <f t="shared" si="79"/>
        <v>0</v>
      </c>
      <c r="I80" s="73">
        <f t="shared" si="79"/>
        <v>29</v>
      </c>
      <c r="J80" s="73">
        <f t="shared" si="79"/>
        <v>23.1</v>
      </c>
      <c r="K80" s="73">
        <f t="shared" si="79"/>
        <v>312.39999999999998</v>
      </c>
      <c r="L80" s="73">
        <f t="shared" si="79"/>
        <v>36</v>
      </c>
      <c r="M80" s="73">
        <f t="shared" si="79"/>
        <v>0</v>
      </c>
      <c r="N80" s="87">
        <f t="shared" si="79"/>
        <v>3217</v>
      </c>
      <c r="O80" s="84">
        <f t="shared" si="79"/>
        <v>18</v>
      </c>
      <c r="P80" s="87">
        <f t="shared" si="79"/>
        <v>3</v>
      </c>
    </row>
    <row r="81" spans="1:18" x14ac:dyDescent="0.35">
      <c r="A81" s="55"/>
      <c r="B81" t="s">
        <v>63</v>
      </c>
      <c r="C81">
        <v>0</v>
      </c>
      <c r="D81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88">
        <v>0</v>
      </c>
      <c r="O81" s="85">
        <v>0</v>
      </c>
      <c r="P81" s="88">
        <v>0</v>
      </c>
    </row>
    <row r="82" spans="1:18" x14ac:dyDescent="0.35">
      <c r="A82" s="55"/>
      <c r="C82">
        <f t="shared" ref="C82:K82" si="80">C80+C81</f>
        <v>46.6</v>
      </c>
      <c r="D82">
        <f t="shared" si="80"/>
        <v>9.49</v>
      </c>
      <c r="E82">
        <f t="shared" si="80"/>
        <v>29</v>
      </c>
      <c r="F82">
        <f t="shared" si="80"/>
        <v>352.8</v>
      </c>
      <c r="G82">
        <f t="shared" si="80"/>
        <v>52.39</v>
      </c>
      <c r="H82">
        <f t="shared" si="80"/>
        <v>0</v>
      </c>
      <c r="I82">
        <f t="shared" si="80"/>
        <v>29</v>
      </c>
      <c r="J82">
        <f t="shared" si="80"/>
        <v>23.1</v>
      </c>
      <c r="K82">
        <f t="shared" si="80"/>
        <v>312.39999999999998</v>
      </c>
      <c r="L82">
        <f>L80+L81</f>
        <v>36</v>
      </c>
      <c r="M82">
        <f t="shared" ref="M82" si="81">M80+M81</f>
        <v>0</v>
      </c>
      <c r="N82" s="88">
        <f>N80+N81</f>
        <v>3217</v>
      </c>
      <c r="O82" s="55"/>
      <c r="P82" s="93"/>
    </row>
    <row r="83" spans="1:18" x14ac:dyDescent="0.35">
      <c r="A83" s="55" t="s">
        <v>46</v>
      </c>
      <c r="B83" t="s">
        <v>64</v>
      </c>
      <c r="C83">
        <f>C82-C84</f>
        <v>0</v>
      </c>
      <c r="D83">
        <f t="shared" ref="D83:K83" si="82">D82-D84</f>
        <v>7</v>
      </c>
      <c r="E83">
        <f t="shared" si="82"/>
        <v>0</v>
      </c>
      <c r="F83">
        <f t="shared" si="82"/>
        <v>0</v>
      </c>
      <c r="G83">
        <f t="shared" si="82"/>
        <v>0</v>
      </c>
      <c r="H83">
        <f t="shared" si="82"/>
        <v>0</v>
      </c>
      <c r="I83">
        <f t="shared" si="82"/>
        <v>0</v>
      </c>
      <c r="J83">
        <f t="shared" si="82"/>
        <v>0</v>
      </c>
      <c r="K83">
        <f t="shared" si="82"/>
        <v>0</v>
      </c>
      <c r="L83">
        <f>L82-L84</f>
        <v>0</v>
      </c>
      <c r="M83">
        <f t="shared" ref="M83" si="83">M82-M84</f>
        <v>0</v>
      </c>
      <c r="N83" s="88">
        <f>N82-N84</f>
        <v>0</v>
      </c>
      <c r="O83" s="85">
        <v>0</v>
      </c>
      <c r="P83" s="88">
        <v>0</v>
      </c>
    </row>
    <row r="84" spans="1:18" x14ac:dyDescent="0.35">
      <c r="A84" s="55"/>
      <c r="B84" t="s">
        <v>65</v>
      </c>
      <c r="C84">
        <v>46.6</v>
      </c>
      <c r="D84">
        <v>2.4900000000000002</v>
      </c>
      <c r="E84">
        <v>29</v>
      </c>
      <c r="F84">
        <v>352.8</v>
      </c>
      <c r="G84">
        <v>52.39</v>
      </c>
      <c r="H84">
        <v>0</v>
      </c>
      <c r="I84">
        <v>29</v>
      </c>
      <c r="J84">
        <v>23.1</v>
      </c>
      <c r="K84">
        <v>312.39999999999998</v>
      </c>
      <c r="L84">
        <v>36</v>
      </c>
      <c r="M84">
        <v>0</v>
      </c>
      <c r="N84" s="88">
        <v>3217</v>
      </c>
      <c r="O84" s="88">
        <v>19</v>
      </c>
      <c r="P84" s="88">
        <v>0</v>
      </c>
    </row>
    <row r="85" spans="1:18" ht="15" thickBot="1" x14ac:dyDescent="0.4">
      <c r="A85" s="5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89"/>
      <c r="O85" s="86"/>
      <c r="P85" s="89"/>
    </row>
    <row r="86" spans="1:18" x14ac:dyDescent="0.35">
      <c r="A86" s="54" t="s">
        <v>482</v>
      </c>
      <c r="B86" s="43" t="s">
        <v>39</v>
      </c>
      <c r="C86" s="73">
        <f t="shared" ref="C86:P86" si="84">C84</f>
        <v>46.6</v>
      </c>
      <c r="D86" s="73">
        <f t="shared" si="84"/>
        <v>2.4900000000000002</v>
      </c>
      <c r="E86" s="73">
        <f t="shared" si="84"/>
        <v>29</v>
      </c>
      <c r="F86" s="73">
        <f t="shared" si="84"/>
        <v>352.8</v>
      </c>
      <c r="G86" s="73">
        <f t="shared" si="84"/>
        <v>52.39</v>
      </c>
      <c r="H86" s="73">
        <f t="shared" si="84"/>
        <v>0</v>
      </c>
      <c r="I86" s="73">
        <f t="shared" si="84"/>
        <v>29</v>
      </c>
      <c r="J86" s="73">
        <f t="shared" si="84"/>
        <v>23.1</v>
      </c>
      <c r="K86" s="73">
        <f t="shared" si="84"/>
        <v>312.39999999999998</v>
      </c>
      <c r="L86" s="73">
        <f t="shared" si="84"/>
        <v>36</v>
      </c>
      <c r="M86" s="73">
        <f t="shared" si="84"/>
        <v>0</v>
      </c>
      <c r="N86" s="87">
        <f t="shared" si="84"/>
        <v>3217</v>
      </c>
      <c r="O86" s="84">
        <f t="shared" si="84"/>
        <v>19</v>
      </c>
      <c r="P86" s="87">
        <f t="shared" si="84"/>
        <v>0</v>
      </c>
    </row>
    <row r="87" spans="1:18" x14ac:dyDescent="0.35">
      <c r="A87" s="55"/>
      <c r="B87" t="s">
        <v>63</v>
      </c>
      <c r="C87">
        <v>0</v>
      </c>
      <c r="D87">
        <v>7</v>
      </c>
      <c r="E87">
        <v>0</v>
      </c>
      <c r="F87">
        <v>0</v>
      </c>
      <c r="G87">
        <v>0</v>
      </c>
      <c r="H87">
        <v>8</v>
      </c>
      <c r="I87">
        <v>0</v>
      </c>
      <c r="J87">
        <v>0</v>
      </c>
      <c r="K87">
        <v>0</v>
      </c>
      <c r="L87">
        <v>0</v>
      </c>
      <c r="M87">
        <v>80</v>
      </c>
      <c r="N87" s="88">
        <v>0</v>
      </c>
      <c r="O87" s="85">
        <v>0</v>
      </c>
      <c r="P87" s="88">
        <v>0</v>
      </c>
    </row>
    <row r="88" spans="1:18" x14ac:dyDescent="0.35">
      <c r="A88" s="55"/>
      <c r="C88">
        <f t="shared" ref="C88:K88" si="85">C86+C87</f>
        <v>46.6</v>
      </c>
      <c r="D88">
        <f t="shared" si="85"/>
        <v>9.49</v>
      </c>
      <c r="E88">
        <f t="shared" si="85"/>
        <v>29</v>
      </c>
      <c r="F88">
        <f t="shared" si="85"/>
        <v>352.8</v>
      </c>
      <c r="G88">
        <f t="shared" si="85"/>
        <v>52.39</v>
      </c>
      <c r="H88">
        <f t="shared" si="85"/>
        <v>8</v>
      </c>
      <c r="I88">
        <f t="shared" si="85"/>
        <v>29</v>
      </c>
      <c r="J88">
        <f t="shared" si="85"/>
        <v>23.1</v>
      </c>
      <c r="K88">
        <f t="shared" si="85"/>
        <v>312.39999999999998</v>
      </c>
      <c r="L88">
        <f>L86+L87</f>
        <v>36</v>
      </c>
      <c r="M88">
        <f t="shared" ref="M88" si="86">M86+M87</f>
        <v>80</v>
      </c>
      <c r="N88" s="88">
        <f>N86+N87</f>
        <v>3217</v>
      </c>
      <c r="O88" s="55"/>
      <c r="P88" s="93"/>
    </row>
    <row r="89" spans="1:18" x14ac:dyDescent="0.35">
      <c r="A89" s="55" t="s">
        <v>46</v>
      </c>
      <c r="B89" t="s">
        <v>64</v>
      </c>
      <c r="C89">
        <f>C88-C90</f>
        <v>14.240000000000002</v>
      </c>
      <c r="D89">
        <f t="shared" ref="D89:K89" si="87">D88-D90</f>
        <v>1.6400000000000006</v>
      </c>
      <c r="E89">
        <f t="shared" si="87"/>
        <v>3</v>
      </c>
      <c r="F89">
        <f t="shared" si="87"/>
        <v>40.600000000000023</v>
      </c>
      <c r="G89">
        <f t="shared" si="87"/>
        <v>8.14</v>
      </c>
      <c r="H89">
        <f t="shared" si="87"/>
        <v>8</v>
      </c>
      <c r="I89">
        <f t="shared" si="87"/>
        <v>0.66000000000000014</v>
      </c>
      <c r="J89">
        <f t="shared" si="87"/>
        <v>1.0100000000000016</v>
      </c>
      <c r="K89">
        <f t="shared" si="87"/>
        <v>5.4599999999999795</v>
      </c>
      <c r="L89">
        <f>L88-L90</f>
        <v>10.5</v>
      </c>
      <c r="M89">
        <f t="shared" ref="M89" si="88">M88-M90</f>
        <v>20</v>
      </c>
      <c r="N89" s="88">
        <f>N88-N90</f>
        <v>2097</v>
      </c>
      <c r="O89" s="85">
        <v>0</v>
      </c>
      <c r="P89" s="88">
        <v>0</v>
      </c>
    </row>
    <row r="90" spans="1:18" x14ac:dyDescent="0.35">
      <c r="A90" s="55"/>
      <c r="B90" t="s">
        <v>65</v>
      </c>
      <c r="C90">
        <v>32.36</v>
      </c>
      <c r="D90">
        <v>7.85</v>
      </c>
      <c r="E90">
        <v>26</v>
      </c>
      <c r="F90">
        <v>312.2</v>
      </c>
      <c r="G90">
        <v>44.25</v>
      </c>
      <c r="H90">
        <v>0</v>
      </c>
      <c r="I90">
        <v>28.34</v>
      </c>
      <c r="J90">
        <v>22.09</v>
      </c>
      <c r="K90">
        <v>306.94</v>
      </c>
      <c r="L90">
        <v>25.5</v>
      </c>
      <c r="M90">
        <v>60</v>
      </c>
      <c r="N90" s="88">
        <v>1120</v>
      </c>
      <c r="O90" s="88">
        <v>19</v>
      </c>
      <c r="P90" s="88">
        <v>0</v>
      </c>
    </row>
    <row r="91" spans="1:18" ht="15" thickBot="1" x14ac:dyDescent="0.4">
      <c r="A91" s="5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89"/>
      <c r="O91" s="86"/>
      <c r="P91" s="89"/>
    </row>
    <row r="92" spans="1:18" x14ac:dyDescent="0.35">
      <c r="A92" s="54" t="s">
        <v>484</v>
      </c>
      <c r="B92" s="43" t="s">
        <v>39</v>
      </c>
      <c r="C92" s="73">
        <f t="shared" ref="C92:P92" si="89">C90</f>
        <v>32.36</v>
      </c>
      <c r="D92" s="73">
        <f t="shared" si="89"/>
        <v>7.85</v>
      </c>
      <c r="E92" s="73">
        <f t="shared" si="89"/>
        <v>26</v>
      </c>
      <c r="F92" s="73">
        <f t="shared" si="89"/>
        <v>312.2</v>
      </c>
      <c r="G92" s="73">
        <f t="shared" si="89"/>
        <v>44.25</v>
      </c>
      <c r="H92" s="73">
        <f t="shared" si="89"/>
        <v>0</v>
      </c>
      <c r="I92" s="73">
        <f t="shared" si="89"/>
        <v>28.34</v>
      </c>
      <c r="J92" s="73">
        <f t="shared" si="89"/>
        <v>22.09</v>
      </c>
      <c r="K92" s="73">
        <f t="shared" si="89"/>
        <v>306.94</v>
      </c>
      <c r="L92" s="73">
        <f t="shared" si="89"/>
        <v>25.5</v>
      </c>
      <c r="M92" s="73">
        <f t="shared" si="89"/>
        <v>60</v>
      </c>
      <c r="N92" s="87">
        <f t="shared" si="89"/>
        <v>1120</v>
      </c>
      <c r="O92" s="84">
        <f t="shared" si="89"/>
        <v>19</v>
      </c>
      <c r="P92" s="87">
        <f t="shared" si="89"/>
        <v>0</v>
      </c>
      <c r="R92">
        <f>50000-3300</f>
        <v>46700</v>
      </c>
    </row>
    <row r="93" spans="1:18" x14ac:dyDescent="0.35">
      <c r="A93" s="55"/>
      <c r="B93" t="s">
        <v>63</v>
      </c>
      <c r="C93">
        <v>200</v>
      </c>
      <c r="D93">
        <v>0</v>
      </c>
      <c r="E93">
        <v>0</v>
      </c>
      <c r="F93">
        <v>0</v>
      </c>
      <c r="G93">
        <v>80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88">
        <v>47000</v>
      </c>
      <c r="O93" s="85">
        <v>0</v>
      </c>
      <c r="P93" s="88">
        <v>0</v>
      </c>
    </row>
    <row r="94" spans="1:18" x14ac:dyDescent="0.35">
      <c r="A94" s="55"/>
      <c r="C94">
        <f t="shared" ref="C94:K94" si="90">C92+C93</f>
        <v>232.36</v>
      </c>
      <c r="D94">
        <f t="shared" si="90"/>
        <v>7.85</v>
      </c>
      <c r="E94">
        <f t="shared" si="90"/>
        <v>26</v>
      </c>
      <c r="F94">
        <f t="shared" si="90"/>
        <v>312.2</v>
      </c>
      <c r="G94">
        <f t="shared" si="90"/>
        <v>124.25</v>
      </c>
      <c r="H94">
        <f t="shared" si="90"/>
        <v>0</v>
      </c>
      <c r="I94">
        <f t="shared" si="90"/>
        <v>28.34</v>
      </c>
      <c r="J94">
        <f t="shared" si="90"/>
        <v>22.09</v>
      </c>
      <c r="K94">
        <f t="shared" si="90"/>
        <v>306.94</v>
      </c>
      <c r="L94">
        <f>L92+L93</f>
        <v>25.5</v>
      </c>
      <c r="M94">
        <f t="shared" ref="M94" si="91">M92+M93</f>
        <v>60</v>
      </c>
      <c r="N94" s="88">
        <f>N92+N93</f>
        <v>48120</v>
      </c>
      <c r="O94" s="55"/>
      <c r="P94" s="93"/>
    </row>
    <row r="95" spans="1:18" x14ac:dyDescent="0.35">
      <c r="A95" s="55" t="s">
        <v>46</v>
      </c>
      <c r="B95" t="s">
        <v>64</v>
      </c>
      <c r="C95">
        <f>C94-C96</f>
        <v>15.240000000000009</v>
      </c>
      <c r="D95">
        <f t="shared" ref="D95:K95" si="92">D94-D96</f>
        <v>1.7299999999999995</v>
      </c>
      <c r="E95">
        <f t="shared" si="92"/>
        <v>5</v>
      </c>
      <c r="F95">
        <f t="shared" si="92"/>
        <v>42.099999999999966</v>
      </c>
      <c r="G95">
        <f t="shared" si="92"/>
        <v>88.1</v>
      </c>
      <c r="H95">
        <f t="shared" si="92"/>
        <v>0</v>
      </c>
      <c r="I95">
        <f t="shared" si="92"/>
        <v>1.3399999999999999</v>
      </c>
      <c r="J95">
        <f t="shared" si="92"/>
        <v>1.129999999999999</v>
      </c>
      <c r="K95">
        <f t="shared" si="92"/>
        <v>5.7599999999999909</v>
      </c>
      <c r="L95">
        <f>L94-L96</f>
        <v>10.5</v>
      </c>
      <c r="M95">
        <f t="shared" ref="M95" si="93">M94-M96</f>
        <v>40</v>
      </c>
      <c r="N95" s="88">
        <f>N94-N96</f>
        <v>2195</v>
      </c>
      <c r="O95" s="85">
        <v>0</v>
      </c>
      <c r="P95" s="88">
        <v>0</v>
      </c>
    </row>
    <row r="96" spans="1:18" x14ac:dyDescent="0.35">
      <c r="A96" s="55"/>
      <c r="B96" t="s">
        <v>65</v>
      </c>
      <c r="C96">
        <v>217.12</v>
      </c>
      <c r="D96">
        <v>6.12</v>
      </c>
      <c r="E96">
        <v>21</v>
      </c>
      <c r="F96">
        <v>270.10000000000002</v>
      </c>
      <c r="G96">
        <v>36.15</v>
      </c>
      <c r="H96">
        <v>0</v>
      </c>
      <c r="I96">
        <v>27</v>
      </c>
      <c r="J96">
        <v>20.96</v>
      </c>
      <c r="K96">
        <v>301.18</v>
      </c>
      <c r="L96">
        <v>15</v>
      </c>
      <c r="M96">
        <v>20</v>
      </c>
      <c r="N96" s="88">
        <v>45925</v>
      </c>
      <c r="O96" s="88">
        <v>23</v>
      </c>
      <c r="P96" s="88">
        <v>0</v>
      </c>
    </row>
    <row r="97" spans="1:18" ht="15" thickBot="1" x14ac:dyDescent="0.4">
      <c r="A97" s="5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89"/>
      <c r="O97" s="86"/>
      <c r="P97" s="89"/>
    </row>
    <row r="98" spans="1:18" x14ac:dyDescent="0.35">
      <c r="A98" s="54" t="s">
        <v>490</v>
      </c>
      <c r="B98" s="43" t="s">
        <v>39</v>
      </c>
      <c r="C98" s="73">
        <f t="shared" ref="C98:P98" si="94">C96</f>
        <v>217.12</v>
      </c>
      <c r="D98" s="73">
        <f t="shared" si="94"/>
        <v>6.12</v>
      </c>
      <c r="E98" s="73">
        <f t="shared" si="94"/>
        <v>21</v>
      </c>
      <c r="F98" s="73">
        <f t="shared" si="94"/>
        <v>270.10000000000002</v>
      </c>
      <c r="G98" s="73">
        <f t="shared" si="94"/>
        <v>36.15</v>
      </c>
      <c r="H98" s="73">
        <f t="shared" si="94"/>
        <v>0</v>
      </c>
      <c r="I98" s="73">
        <f t="shared" si="94"/>
        <v>27</v>
      </c>
      <c r="J98" s="73">
        <f t="shared" si="94"/>
        <v>20.96</v>
      </c>
      <c r="K98" s="73">
        <f t="shared" si="94"/>
        <v>301.18</v>
      </c>
      <c r="L98" s="73">
        <f t="shared" si="94"/>
        <v>15</v>
      </c>
      <c r="M98" s="73">
        <f t="shared" si="94"/>
        <v>20</v>
      </c>
      <c r="N98" s="87">
        <f t="shared" si="94"/>
        <v>45925</v>
      </c>
      <c r="O98" s="84">
        <f t="shared" si="94"/>
        <v>23</v>
      </c>
      <c r="P98" s="87">
        <f t="shared" si="94"/>
        <v>0</v>
      </c>
      <c r="R98">
        <f>50000-3300</f>
        <v>46700</v>
      </c>
    </row>
    <row r="99" spans="1:18" x14ac:dyDescent="0.35">
      <c r="A99" s="55"/>
      <c r="B99" t="s">
        <v>63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 s="88">
        <v>7100</v>
      </c>
      <c r="O99" s="85">
        <v>0</v>
      </c>
      <c r="P99" s="88">
        <v>0</v>
      </c>
    </row>
    <row r="100" spans="1:18" x14ac:dyDescent="0.35">
      <c r="A100" s="55"/>
      <c r="C100">
        <f t="shared" ref="C100:K100" si="95">C98+C99</f>
        <v>217.12</v>
      </c>
      <c r="D100">
        <f t="shared" si="95"/>
        <v>6.12</v>
      </c>
      <c r="E100">
        <f t="shared" si="95"/>
        <v>21</v>
      </c>
      <c r="F100">
        <f t="shared" si="95"/>
        <v>270.10000000000002</v>
      </c>
      <c r="G100">
        <f t="shared" si="95"/>
        <v>36.15</v>
      </c>
      <c r="H100">
        <f t="shared" si="95"/>
        <v>5</v>
      </c>
      <c r="I100">
        <f t="shared" si="95"/>
        <v>27</v>
      </c>
      <c r="J100">
        <f t="shared" si="95"/>
        <v>20.96</v>
      </c>
      <c r="K100">
        <f t="shared" si="95"/>
        <v>301.18</v>
      </c>
      <c r="L100">
        <f>L98+L99</f>
        <v>15</v>
      </c>
      <c r="M100">
        <f t="shared" ref="M100" si="96">M98+M99</f>
        <v>20</v>
      </c>
      <c r="N100" s="88">
        <f>N98+N99</f>
        <v>53025</v>
      </c>
      <c r="O100" s="55"/>
      <c r="P100" s="93"/>
    </row>
    <row r="101" spans="1:18" x14ac:dyDescent="0.35">
      <c r="A101" s="55" t="s">
        <v>46</v>
      </c>
      <c r="B101" t="s">
        <v>64</v>
      </c>
      <c r="C101">
        <f>C100-C102</f>
        <v>15</v>
      </c>
      <c r="D101">
        <f t="shared" ref="D101:K101" si="97">D100-D102</f>
        <v>1.6500000000000004</v>
      </c>
      <c r="E101">
        <f t="shared" si="97"/>
        <v>5</v>
      </c>
      <c r="F101">
        <f t="shared" si="97"/>
        <v>38.500000000000028</v>
      </c>
      <c r="G101">
        <f t="shared" si="97"/>
        <v>7.629999999999999</v>
      </c>
      <c r="H101">
        <f t="shared" si="97"/>
        <v>5</v>
      </c>
      <c r="I101">
        <f t="shared" si="97"/>
        <v>1.2600000000000016</v>
      </c>
      <c r="J101">
        <f t="shared" si="97"/>
        <v>1.0800000000000018</v>
      </c>
      <c r="K101">
        <f t="shared" si="97"/>
        <v>5.5</v>
      </c>
      <c r="L101">
        <f>L100-L102</f>
        <v>9</v>
      </c>
      <c r="M101">
        <f t="shared" ref="M101" si="98">M100-M102</f>
        <v>0</v>
      </c>
      <c r="N101" s="88">
        <f>N100-N102</f>
        <v>9126</v>
      </c>
      <c r="O101" s="85">
        <v>0</v>
      </c>
      <c r="P101" s="88">
        <v>0</v>
      </c>
    </row>
    <row r="102" spans="1:18" x14ac:dyDescent="0.35">
      <c r="A102" s="55"/>
      <c r="B102" t="s">
        <v>65</v>
      </c>
      <c r="C102">
        <v>202.12</v>
      </c>
      <c r="D102">
        <v>4.47</v>
      </c>
      <c r="E102">
        <v>16</v>
      </c>
      <c r="F102">
        <v>231.6</v>
      </c>
      <c r="G102">
        <v>28.52</v>
      </c>
      <c r="H102">
        <v>0</v>
      </c>
      <c r="I102">
        <v>25.74</v>
      </c>
      <c r="J102">
        <v>19.88</v>
      </c>
      <c r="K102">
        <v>295.68</v>
      </c>
      <c r="L102">
        <v>6</v>
      </c>
      <c r="M102">
        <v>20</v>
      </c>
      <c r="N102" s="88">
        <v>43899</v>
      </c>
      <c r="O102" s="88">
        <v>5</v>
      </c>
      <c r="P102" s="88">
        <v>0</v>
      </c>
    </row>
    <row r="103" spans="1:18" ht="15" thickBot="1" x14ac:dyDescent="0.4">
      <c r="A103" s="5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89"/>
      <c r="O103" s="86"/>
      <c r="P103" s="89"/>
    </row>
    <row r="104" spans="1:18" x14ac:dyDescent="0.35">
      <c r="A104" s="54" t="s">
        <v>492</v>
      </c>
      <c r="B104" s="43" t="s">
        <v>39</v>
      </c>
      <c r="C104" s="73">
        <f>C102</f>
        <v>202.12</v>
      </c>
      <c r="D104" s="73">
        <f t="shared" ref="D104:P104" si="99">D102</f>
        <v>4.47</v>
      </c>
      <c r="E104" s="73">
        <f t="shared" si="99"/>
        <v>16</v>
      </c>
      <c r="F104" s="73">
        <f t="shared" si="99"/>
        <v>231.6</v>
      </c>
      <c r="G104" s="73">
        <f t="shared" si="99"/>
        <v>28.52</v>
      </c>
      <c r="H104" s="73">
        <f t="shared" si="99"/>
        <v>0</v>
      </c>
      <c r="I104" s="73">
        <f t="shared" si="99"/>
        <v>25.74</v>
      </c>
      <c r="J104" s="73">
        <f t="shared" si="99"/>
        <v>19.88</v>
      </c>
      <c r="K104" s="73">
        <f t="shared" si="99"/>
        <v>295.68</v>
      </c>
      <c r="L104" s="73">
        <f t="shared" si="99"/>
        <v>6</v>
      </c>
      <c r="M104" s="73">
        <f t="shared" si="99"/>
        <v>20</v>
      </c>
      <c r="N104" s="87">
        <f t="shared" si="99"/>
        <v>43899</v>
      </c>
      <c r="O104" s="84">
        <f t="shared" si="99"/>
        <v>5</v>
      </c>
      <c r="P104" s="87">
        <f t="shared" si="99"/>
        <v>0</v>
      </c>
    </row>
    <row r="105" spans="1:18" x14ac:dyDescent="0.35">
      <c r="A105" s="55"/>
      <c r="B105" t="s">
        <v>63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40</v>
      </c>
      <c r="N105" s="88">
        <v>0</v>
      </c>
      <c r="O105" s="85">
        <v>0</v>
      </c>
      <c r="P105" s="88">
        <v>0</v>
      </c>
    </row>
    <row r="106" spans="1:18" x14ac:dyDescent="0.35">
      <c r="A106" s="55"/>
      <c r="C106">
        <f t="shared" ref="C106:K106" si="100">C104+C105</f>
        <v>202.12</v>
      </c>
      <c r="D106">
        <f t="shared" si="100"/>
        <v>4.47</v>
      </c>
      <c r="E106">
        <f t="shared" si="100"/>
        <v>16</v>
      </c>
      <c r="F106">
        <f t="shared" si="100"/>
        <v>231.6</v>
      </c>
      <c r="G106">
        <f t="shared" si="100"/>
        <v>28.52</v>
      </c>
      <c r="H106">
        <f t="shared" si="100"/>
        <v>0</v>
      </c>
      <c r="I106">
        <f t="shared" si="100"/>
        <v>25.74</v>
      </c>
      <c r="J106">
        <f t="shared" si="100"/>
        <v>19.88</v>
      </c>
      <c r="K106">
        <f t="shared" si="100"/>
        <v>295.68</v>
      </c>
      <c r="L106">
        <f>L104+L105</f>
        <v>6</v>
      </c>
      <c r="M106">
        <f t="shared" ref="M106" si="101">M104+M105</f>
        <v>60</v>
      </c>
      <c r="N106" s="88">
        <f>N104+N105</f>
        <v>43899</v>
      </c>
      <c r="O106" s="55"/>
      <c r="P106" s="93"/>
    </row>
    <row r="107" spans="1:18" x14ac:dyDescent="0.35">
      <c r="A107" s="55" t="s">
        <v>46</v>
      </c>
      <c r="B107" t="s">
        <v>64</v>
      </c>
      <c r="C107">
        <f>C106-C108</f>
        <v>12.759999999999991</v>
      </c>
      <c r="D107">
        <f t="shared" ref="D107:K107" si="102">D106-D108</f>
        <v>1.38</v>
      </c>
      <c r="E107">
        <f t="shared" si="102"/>
        <v>4</v>
      </c>
      <c r="F107">
        <f t="shared" si="102"/>
        <v>31.900000000000006</v>
      </c>
      <c r="G107">
        <f t="shared" si="102"/>
        <v>6.3499999999999979</v>
      </c>
      <c r="H107">
        <f t="shared" si="102"/>
        <v>0</v>
      </c>
      <c r="I107">
        <f t="shared" si="102"/>
        <v>1.1999999999999993</v>
      </c>
      <c r="J107">
        <f t="shared" si="102"/>
        <v>0.91000000000000014</v>
      </c>
      <c r="K107">
        <f t="shared" si="102"/>
        <v>4.6399999999999864</v>
      </c>
      <c r="L107">
        <f>L106-L108</f>
        <v>5.5</v>
      </c>
      <c r="M107">
        <f t="shared" ref="M107" si="103">M106-M108</f>
        <v>20</v>
      </c>
      <c r="N107" s="88">
        <f>N106-N108</f>
        <v>1706</v>
      </c>
      <c r="O107" s="85">
        <v>0</v>
      </c>
      <c r="P107" s="88">
        <v>0</v>
      </c>
    </row>
    <row r="108" spans="1:18" x14ac:dyDescent="0.35">
      <c r="A108" s="55"/>
      <c r="B108" t="s">
        <v>65</v>
      </c>
      <c r="C108">
        <v>189.36</v>
      </c>
      <c r="D108">
        <v>3.09</v>
      </c>
      <c r="E108">
        <v>12</v>
      </c>
      <c r="F108">
        <v>199.7</v>
      </c>
      <c r="G108">
        <v>22.17</v>
      </c>
      <c r="H108">
        <v>0</v>
      </c>
      <c r="I108">
        <v>24.54</v>
      </c>
      <c r="J108">
        <v>18.97</v>
      </c>
      <c r="K108">
        <v>291.04000000000002</v>
      </c>
      <c r="L108">
        <v>0.5</v>
      </c>
      <c r="M108">
        <v>40</v>
      </c>
      <c r="N108" s="88">
        <v>42193</v>
      </c>
      <c r="O108" s="88">
        <v>8</v>
      </c>
      <c r="P108" s="88">
        <v>0</v>
      </c>
    </row>
    <row r="109" spans="1:18" ht="15" thickBot="1" x14ac:dyDescent="0.4">
      <c r="A109" s="5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89"/>
      <c r="O109" s="86"/>
      <c r="P109" s="89"/>
    </row>
    <row r="110" spans="1:18" x14ac:dyDescent="0.35">
      <c r="A110" s="54" t="s">
        <v>495</v>
      </c>
      <c r="B110" s="43" t="s">
        <v>39</v>
      </c>
      <c r="C110" s="73">
        <f>C108</f>
        <v>189.36</v>
      </c>
      <c r="D110" s="73">
        <f t="shared" ref="D110:P110" si="104">D108</f>
        <v>3.09</v>
      </c>
      <c r="E110" s="73">
        <f t="shared" si="104"/>
        <v>12</v>
      </c>
      <c r="F110" s="73">
        <f t="shared" si="104"/>
        <v>199.7</v>
      </c>
      <c r="G110" s="73">
        <f t="shared" si="104"/>
        <v>22.17</v>
      </c>
      <c r="H110" s="73">
        <f t="shared" si="104"/>
        <v>0</v>
      </c>
      <c r="I110" s="73">
        <f t="shared" si="104"/>
        <v>24.54</v>
      </c>
      <c r="J110" s="73">
        <f t="shared" si="104"/>
        <v>18.97</v>
      </c>
      <c r="K110" s="73">
        <f t="shared" si="104"/>
        <v>291.04000000000002</v>
      </c>
      <c r="L110" s="73">
        <f t="shared" si="104"/>
        <v>0.5</v>
      </c>
      <c r="M110" s="73">
        <f t="shared" si="104"/>
        <v>40</v>
      </c>
      <c r="N110" s="87">
        <f t="shared" si="104"/>
        <v>42193</v>
      </c>
      <c r="O110" s="84">
        <f t="shared" si="104"/>
        <v>8</v>
      </c>
      <c r="P110" s="87">
        <f t="shared" si="104"/>
        <v>0</v>
      </c>
    </row>
    <row r="111" spans="1:18" x14ac:dyDescent="0.35">
      <c r="A111" s="55"/>
      <c r="B111" t="s">
        <v>63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72</v>
      </c>
      <c r="M111">
        <v>0</v>
      </c>
      <c r="N111" s="88">
        <v>0</v>
      </c>
      <c r="O111" s="85">
        <v>0</v>
      </c>
      <c r="P111" s="88">
        <v>0</v>
      </c>
    </row>
    <row r="112" spans="1:18" x14ac:dyDescent="0.35">
      <c r="A112" s="55"/>
      <c r="C112">
        <f t="shared" ref="C112:K112" si="105">C110+C111</f>
        <v>189.36</v>
      </c>
      <c r="D112">
        <f t="shared" si="105"/>
        <v>3.09</v>
      </c>
      <c r="E112">
        <f t="shared" si="105"/>
        <v>12</v>
      </c>
      <c r="F112">
        <f t="shared" si="105"/>
        <v>199.7</v>
      </c>
      <c r="G112">
        <f t="shared" si="105"/>
        <v>22.17</v>
      </c>
      <c r="H112">
        <f t="shared" si="105"/>
        <v>0</v>
      </c>
      <c r="I112">
        <f t="shared" si="105"/>
        <v>24.54</v>
      </c>
      <c r="J112">
        <f t="shared" si="105"/>
        <v>18.97</v>
      </c>
      <c r="K112">
        <f t="shared" si="105"/>
        <v>291.04000000000002</v>
      </c>
      <c r="L112">
        <f>L110+L111</f>
        <v>72.5</v>
      </c>
      <c r="M112">
        <f t="shared" ref="M112" si="106">M110+M111</f>
        <v>40</v>
      </c>
      <c r="N112" s="88">
        <f>N110+N111</f>
        <v>42193</v>
      </c>
      <c r="O112" s="55"/>
      <c r="P112" s="93"/>
    </row>
    <row r="113" spans="1:16" x14ac:dyDescent="0.35">
      <c r="A113" s="55" t="s">
        <v>46</v>
      </c>
      <c r="B113" t="s">
        <v>64</v>
      </c>
      <c r="C113">
        <f>C112-C114</f>
        <v>11.200000000000017</v>
      </c>
      <c r="D113">
        <f t="shared" ref="D113:K113" si="107">D112-D114</f>
        <v>1.1499999999999999</v>
      </c>
      <c r="E113">
        <f t="shared" si="107"/>
        <v>6</v>
      </c>
      <c r="F113">
        <f t="shared" si="107"/>
        <v>25</v>
      </c>
      <c r="G113">
        <f t="shared" si="107"/>
        <v>3.9600000000000009</v>
      </c>
      <c r="H113">
        <f t="shared" si="107"/>
        <v>0</v>
      </c>
      <c r="I113">
        <f t="shared" si="107"/>
        <v>0.98999999999999844</v>
      </c>
      <c r="J113">
        <f t="shared" si="107"/>
        <v>0.75999999999999801</v>
      </c>
      <c r="K113">
        <f t="shared" si="107"/>
        <v>3.8000000000000114</v>
      </c>
      <c r="L113">
        <f>L112-L114</f>
        <v>3</v>
      </c>
      <c r="M113">
        <f t="shared" ref="M113" si="108">M112-M114</f>
        <v>20</v>
      </c>
      <c r="N113" s="88">
        <f>N112-N114</f>
        <v>1414</v>
      </c>
      <c r="O113" s="85">
        <v>0</v>
      </c>
      <c r="P113" s="88">
        <v>0</v>
      </c>
    </row>
    <row r="114" spans="1:16" x14ac:dyDescent="0.35">
      <c r="A114" s="55"/>
      <c r="B114" t="s">
        <v>65</v>
      </c>
      <c r="C114">
        <v>178.16</v>
      </c>
      <c r="D114">
        <v>1.94</v>
      </c>
      <c r="E114">
        <v>6</v>
      </c>
      <c r="F114">
        <v>174.7</v>
      </c>
      <c r="G114">
        <v>18.21</v>
      </c>
      <c r="H114">
        <v>0</v>
      </c>
      <c r="I114">
        <v>23.55</v>
      </c>
      <c r="J114">
        <v>18.21</v>
      </c>
      <c r="K114">
        <v>287.24</v>
      </c>
      <c r="L114">
        <v>69.5</v>
      </c>
      <c r="M114">
        <v>20</v>
      </c>
      <c r="N114" s="88">
        <v>40779</v>
      </c>
      <c r="O114" s="88">
        <v>10</v>
      </c>
      <c r="P114" s="88">
        <v>0</v>
      </c>
    </row>
    <row r="115" spans="1:16" ht="15" thickBot="1" x14ac:dyDescent="0.4">
      <c r="A115" s="5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89"/>
      <c r="O115" s="86"/>
      <c r="P115" s="89"/>
    </row>
    <row r="116" spans="1:16" x14ac:dyDescent="0.35">
      <c r="A116" s="54" t="s">
        <v>498</v>
      </c>
      <c r="B116" s="43" t="s">
        <v>39</v>
      </c>
      <c r="C116" s="73">
        <f>C114</f>
        <v>178.16</v>
      </c>
      <c r="D116" s="73">
        <f t="shared" ref="D116:P116" si="109">D114</f>
        <v>1.94</v>
      </c>
      <c r="E116" s="73">
        <f t="shared" si="109"/>
        <v>6</v>
      </c>
      <c r="F116" s="73">
        <f t="shared" si="109"/>
        <v>174.7</v>
      </c>
      <c r="G116" s="73">
        <f t="shared" si="109"/>
        <v>18.21</v>
      </c>
      <c r="H116" s="73">
        <f t="shared" si="109"/>
        <v>0</v>
      </c>
      <c r="I116" s="73">
        <f t="shared" si="109"/>
        <v>23.55</v>
      </c>
      <c r="J116" s="73">
        <f t="shared" si="109"/>
        <v>18.21</v>
      </c>
      <c r="K116" s="73">
        <f t="shared" si="109"/>
        <v>287.24</v>
      </c>
      <c r="L116" s="73">
        <f t="shared" si="109"/>
        <v>69.5</v>
      </c>
      <c r="M116" s="73">
        <f t="shared" si="109"/>
        <v>20</v>
      </c>
      <c r="N116" s="87">
        <f t="shared" si="109"/>
        <v>40779</v>
      </c>
      <c r="O116" s="84">
        <f t="shared" si="109"/>
        <v>10</v>
      </c>
      <c r="P116" s="87">
        <f t="shared" si="109"/>
        <v>0</v>
      </c>
    </row>
    <row r="117" spans="1:16" x14ac:dyDescent="0.35">
      <c r="A117" s="55"/>
      <c r="B117" t="s">
        <v>63</v>
      </c>
      <c r="C117">
        <v>0</v>
      </c>
      <c r="D117">
        <f>15+15</f>
        <v>30</v>
      </c>
      <c r="E117">
        <f>50+50</f>
        <v>100</v>
      </c>
      <c r="F117">
        <v>1160</v>
      </c>
      <c r="G117">
        <f>100+80</f>
        <v>180</v>
      </c>
      <c r="H117">
        <v>0</v>
      </c>
      <c r="I117">
        <v>26</v>
      </c>
      <c r="J117">
        <v>0</v>
      </c>
      <c r="K117">
        <v>0</v>
      </c>
      <c r="L117">
        <f>13*12+120</f>
        <v>276</v>
      </c>
      <c r="M117">
        <v>20</v>
      </c>
      <c r="N117" s="88">
        <v>0</v>
      </c>
      <c r="O117" s="85">
        <v>0</v>
      </c>
      <c r="P117" s="88">
        <v>0</v>
      </c>
    </row>
    <row r="118" spans="1:16" x14ac:dyDescent="0.35">
      <c r="A118" s="55"/>
      <c r="C118">
        <f t="shared" ref="C118:K118" si="110">C116+C117</f>
        <v>178.16</v>
      </c>
      <c r="D118">
        <f t="shared" si="110"/>
        <v>31.94</v>
      </c>
      <c r="E118">
        <f t="shared" si="110"/>
        <v>106</v>
      </c>
      <c r="F118">
        <f t="shared" si="110"/>
        <v>1334.7</v>
      </c>
      <c r="G118">
        <f t="shared" si="110"/>
        <v>198.21</v>
      </c>
      <c r="H118">
        <f t="shared" si="110"/>
        <v>0</v>
      </c>
      <c r="I118">
        <f t="shared" si="110"/>
        <v>49.55</v>
      </c>
      <c r="J118">
        <f t="shared" si="110"/>
        <v>18.21</v>
      </c>
      <c r="K118">
        <f t="shared" si="110"/>
        <v>287.24</v>
      </c>
      <c r="L118">
        <f>L116+L117</f>
        <v>345.5</v>
      </c>
      <c r="M118">
        <f t="shared" ref="M118" si="111">M116+M117</f>
        <v>40</v>
      </c>
      <c r="N118" s="88">
        <f>N116+N117</f>
        <v>40779</v>
      </c>
      <c r="O118" s="55"/>
      <c r="P118" s="93"/>
    </row>
    <row r="119" spans="1:16" x14ac:dyDescent="0.35">
      <c r="A119" s="55" t="s">
        <v>46</v>
      </c>
      <c r="B119" t="s">
        <v>64</v>
      </c>
      <c r="C119">
        <f>C118-C120</f>
        <v>13.47999999999999</v>
      </c>
      <c r="D119">
        <f t="shared" ref="D119:K119" si="112">D118-D120</f>
        <v>1.4800000000000004</v>
      </c>
      <c r="E119">
        <f t="shared" si="112"/>
        <v>5</v>
      </c>
      <c r="F119" s="294">
        <f t="shared" si="112"/>
        <v>34.700000000000045</v>
      </c>
      <c r="G119">
        <f t="shared" si="112"/>
        <v>6.8000000000000114</v>
      </c>
      <c r="H119">
        <f t="shared" si="112"/>
        <v>0</v>
      </c>
      <c r="I119">
        <f t="shared" si="112"/>
        <v>1.269999999999996</v>
      </c>
      <c r="J119">
        <f t="shared" si="112"/>
        <v>0.97000000000000242</v>
      </c>
      <c r="K119">
        <f t="shared" si="112"/>
        <v>4</v>
      </c>
      <c r="L119" s="294">
        <f>L118-L120</f>
        <v>-42.5</v>
      </c>
      <c r="M119">
        <f t="shared" ref="M119" si="113">M118-M120</f>
        <v>40</v>
      </c>
      <c r="N119" s="88">
        <f>N118-N120</f>
        <v>1841</v>
      </c>
      <c r="O119" s="85">
        <v>0</v>
      </c>
      <c r="P119" s="88">
        <v>0</v>
      </c>
    </row>
    <row r="120" spans="1:16" x14ac:dyDescent="0.35">
      <c r="A120" s="55"/>
      <c r="B120" t="s">
        <v>65</v>
      </c>
      <c r="C120">
        <v>164.68</v>
      </c>
      <c r="D120">
        <v>30.46</v>
      </c>
      <c r="E120">
        <v>101</v>
      </c>
      <c r="F120">
        <v>1300</v>
      </c>
      <c r="G120">
        <v>191.41</v>
      </c>
      <c r="H120">
        <v>0</v>
      </c>
      <c r="I120">
        <v>48.28</v>
      </c>
      <c r="J120">
        <v>17.239999999999998</v>
      </c>
      <c r="K120">
        <v>283.24</v>
      </c>
      <c r="L120">
        <v>388</v>
      </c>
      <c r="M120">
        <v>0</v>
      </c>
      <c r="N120" s="88">
        <v>38938</v>
      </c>
      <c r="O120" s="88">
        <v>14</v>
      </c>
      <c r="P120" s="88">
        <v>0</v>
      </c>
    </row>
    <row r="121" spans="1:16" ht="15" thickBot="1" x14ac:dyDescent="0.4">
      <c r="A121" s="5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89"/>
      <c r="O121" s="86"/>
      <c r="P121" s="89"/>
    </row>
    <row r="122" spans="1:16" x14ac:dyDescent="0.35">
      <c r="A122" s="54" t="s">
        <v>499</v>
      </c>
      <c r="B122" s="43" t="s">
        <v>39</v>
      </c>
      <c r="C122" s="73">
        <f>C120</f>
        <v>164.68</v>
      </c>
      <c r="D122" s="73">
        <f t="shared" ref="D122:P122" si="114">D120</f>
        <v>30.46</v>
      </c>
      <c r="E122" s="73">
        <f t="shared" si="114"/>
        <v>101</v>
      </c>
      <c r="F122" s="73">
        <f t="shared" si="114"/>
        <v>1300</v>
      </c>
      <c r="G122" s="73">
        <f t="shared" si="114"/>
        <v>191.41</v>
      </c>
      <c r="H122" s="73">
        <f t="shared" si="114"/>
        <v>0</v>
      </c>
      <c r="I122" s="73">
        <f t="shared" si="114"/>
        <v>48.28</v>
      </c>
      <c r="J122" s="73">
        <f t="shared" si="114"/>
        <v>17.239999999999998</v>
      </c>
      <c r="K122" s="73">
        <f t="shared" si="114"/>
        <v>283.24</v>
      </c>
      <c r="L122" s="73">
        <f t="shared" si="114"/>
        <v>388</v>
      </c>
      <c r="M122" s="73">
        <f t="shared" si="114"/>
        <v>0</v>
      </c>
      <c r="N122" s="87">
        <f t="shared" si="114"/>
        <v>38938</v>
      </c>
      <c r="O122" s="84">
        <f t="shared" si="114"/>
        <v>14</v>
      </c>
      <c r="P122" s="87">
        <f t="shared" si="114"/>
        <v>0</v>
      </c>
    </row>
    <row r="123" spans="1:16" x14ac:dyDescent="0.35">
      <c r="A123" s="55"/>
      <c r="B123" t="s">
        <v>63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s="88">
        <v>0</v>
      </c>
      <c r="O123" s="85">
        <v>0</v>
      </c>
      <c r="P123" s="88">
        <v>0</v>
      </c>
    </row>
    <row r="124" spans="1:16" x14ac:dyDescent="0.35">
      <c r="A124" s="55"/>
      <c r="C124">
        <f t="shared" ref="C124:K124" si="115">C122+C123</f>
        <v>164.68</v>
      </c>
      <c r="D124">
        <f t="shared" si="115"/>
        <v>30.46</v>
      </c>
      <c r="E124">
        <f t="shared" si="115"/>
        <v>101</v>
      </c>
      <c r="F124">
        <f t="shared" si="115"/>
        <v>1300</v>
      </c>
      <c r="G124">
        <f t="shared" si="115"/>
        <v>191.41</v>
      </c>
      <c r="H124">
        <f t="shared" si="115"/>
        <v>0</v>
      </c>
      <c r="I124">
        <f t="shared" si="115"/>
        <v>48.28</v>
      </c>
      <c r="J124">
        <f t="shared" si="115"/>
        <v>17.239999999999998</v>
      </c>
      <c r="K124">
        <f t="shared" si="115"/>
        <v>283.24</v>
      </c>
      <c r="L124">
        <f>L122+L123</f>
        <v>388</v>
      </c>
      <c r="M124">
        <f t="shared" ref="M124" si="116">M122+M123</f>
        <v>0</v>
      </c>
      <c r="N124" s="88">
        <f>N122+N123</f>
        <v>38938</v>
      </c>
      <c r="O124" s="55"/>
      <c r="P124" s="93"/>
    </row>
    <row r="125" spans="1:16" x14ac:dyDescent="0.35">
      <c r="A125" s="55" t="s">
        <v>46</v>
      </c>
      <c r="B125" t="s">
        <v>64</v>
      </c>
      <c r="C125">
        <f>C124-C126</f>
        <v>0</v>
      </c>
      <c r="D125">
        <f t="shared" ref="D125:K125" si="117">D124-D126</f>
        <v>0</v>
      </c>
      <c r="E125">
        <f t="shared" si="117"/>
        <v>0</v>
      </c>
      <c r="F125">
        <f t="shared" si="117"/>
        <v>0</v>
      </c>
      <c r="G125">
        <f t="shared" si="117"/>
        <v>0</v>
      </c>
      <c r="H125">
        <f t="shared" si="117"/>
        <v>0</v>
      </c>
      <c r="I125">
        <f t="shared" si="117"/>
        <v>0</v>
      </c>
      <c r="J125">
        <f t="shared" si="117"/>
        <v>0</v>
      </c>
      <c r="K125">
        <f t="shared" si="117"/>
        <v>0</v>
      </c>
      <c r="L125">
        <f>L124-L126</f>
        <v>0</v>
      </c>
      <c r="M125">
        <f t="shared" ref="M125" si="118">M124-M126</f>
        <v>0</v>
      </c>
      <c r="N125" s="88">
        <f>N124-N126</f>
        <v>0</v>
      </c>
      <c r="O125" s="85">
        <v>0</v>
      </c>
      <c r="P125" s="88">
        <v>0</v>
      </c>
    </row>
    <row r="126" spans="1:16" x14ac:dyDescent="0.35">
      <c r="A126" s="55"/>
      <c r="B126" t="s">
        <v>65</v>
      </c>
      <c r="C126">
        <v>164.68</v>
      </c>
      <c r="D126">
        <v>30.46</v>
      </c>
      <c r="E126">
        <v>101</v>
      </c>
      <c r="F126">
        <v>1300</v>
      </c>
      <c r="G126">
        <v>191.41</v>
      </c>
      <c r="H126">
        <v>0</v>
      </c>
      <c r="I126">
        <v>48.28</v>
      </c>
      <c r="J126">
        <v>17.239999999999998</v>
      </c>
      <c r="K126">
        <v>283.24</v>
      </c>
      <c r="L126">
        <v>388</v>
      </c>
      <c r="M126">
        <v>0</v>
      </c>
      <c r="N126" s="88">
        <v>38938</v>
      </c>
      <c r="O126" s="88">
        <v>4</v>
      </c>
      <c r="P126" s="88">
        <v>0</v>
      </c>
    </row>
    <row r="127" spans="1:16" ht="15" thickBot="1" x14ac:dyDescent="0.4">
      <c r="A127" s="5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89"/>
      <c r="O127" s="86"/>
      <c r="P127" s="89"/>
    </row>
    <row r="128" spans="1:16" x14ac:dyDescent="0.35">
      <c r="A128" s="54" t="s">
        <v>500</v>
      </c>
      <c r="B128" s="43" t="s">
        <v>39</v>
      </c>
      <c r="C128" s="73">
        <f>C126</f>
        <v>164.68</v>
      </c>
      <c r="D128" s="73">
        <f t="shared" ref="D128:P128" si="119">D126</f>
        <v>30.46</v>
      </c>
      <c r="E128" s="73">
        <f t="shared" si="119"/>
        <v>101</v>
      </c>
      <c r="F128" s="73">
        <f t="shared" si="119"/>
        <v>1300</v>
      </c>
      <c r="G128" s="73">
        <f t="shared" si="119"/>
        <v>191.41</v>
      </c>
      <c r="H128" s="73">
        <f t="shared" si="119"/>
        <v>0</v>
      </c>
      <c r="I128" s="73">
        <f t="shared" si="119"/>
        <v>48.28</v>
      </c>
      <c r="J128" s="73">
        <f t="shared" si="119"/>
        <v>17.239999999999998</v>
      </c>
      <c r="K128" s="73">
        <f t="shared" si="119"/>
        <v>283.24</v>
      </c>
      <c r="L128" s="73">
        <f t="shared" si="119"/>
        <v>388</v>
      </c>
      <c r="M128" s="73">
        <f t="shared" si="119"/>
        <v>0</v>
      </c>
      <c r="N128" s="87">
        <f t="shared" si="119"/>
        <v>38938</v>
      </c>
      <c r="O128" s="84">
        <f t="shared" si="119"/>
        <v>4</v>
      </c>
      <c r="P128" s="87">
        <f t="shared" si="119"/>
        <v>0</v>
      </c>
    </row>
    <row r="129" spans="1:18" x14ac:dyDescent="0.35">
      <c r="A129" s="55"/>
      <c r="B129" t="s">
        <v>63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80</v>
      </c>
      <c r="N129" s="88">
        <v>0</v>
      </c>
      <c r="O129" s="85">
        <v>0</v>
      </c>
      <c r="P129" s="88">
        <v>0</v>
      </c>
    </row>
    <row r="130" spans="1:18" x14ac:dyDescent="0.35">
      <c r="A130" s="55"/>
      <c r="C130">
        <f t="shared" ref="C130:K130" si="120">C128+C129</f>
        <v>164.68</v>
      </c>
      <c r="D130">
        <f t="shared" si="120"/>
        <v>30.46</v>
      </c>
      <c r="E130">
        <f t="shared" si="120"/>
        <v>101</v>
      </c>
      <c r="F130">
        <f t="shared" si="120"/>
        <v>1300</v>
      </c>
      <c r="G130">
        <f t="shared" si="120"/>
        <v>191.41</v>
      </c>
      <c r="H130">
        <f t="shared" si="120"/>
        <v>0</v>
      </c>
      <c r="I130">
        <f t="shared" si="120"/>
        <v>48.28</v>
      </c>
      <c r="J130">
        <f t="shared" si="120"/>
        <v>17.239999999999998</v>
      </c>
      <c r="K130">
        <f t="shared" si="120"/>
        <v>283.24</v>
      </c>
      <c r="L130">
        <f>L128+L129</f>
        <v>388</v>
      </c>
      <c r="M130">
        <f t="shared" ref="M130" si="121">M128+M129</f>
        <v>80</v>
      </c>
      <c r="N130" s="88">
        <f>N128+N129</f>
        <v>38938</v>
      </c>
      <c r="O130" s="55"/>
      <c r="P130" s="93"/>
    </row>
    <row r="131" spans="1:18" x14ac:dyDescent="0.35">
      <c r="A131" s="55" t="s">
        <v>46</v>
      </c>
      <c r="B131" t="s">
        <v>64</v>
      </c>
      <c r="C131">
        <f>C130-C132</f>
        <v>17.480000000000018</v>
      </c>
      <c r="D131">
        <f t="shared" ref="D131:K131" si="122">D130-D132</f>
        <v>1.9700000000000024</v>
      </c>
      <c r="E131">
        <f t="shared" si="122"/>
        <v>6</v>
      </c>
      <c r="F131">
        <f t="shared" si="122"/>
        <v>40</v>
      </c>
      <c r="G131">
        <f t="shared" si="122"/>
        <v>17.680000000000007</v>
      </c>
      <c r="H131">
        <f t="shared" si="122"/>
        <v>0</v>
      </c>
      <c r="I131">
        <f t="shared" si="122"/>
        <v>1.7000000000000028</v>
      </c>
      <c r="J131">
        <f t="shared" si="122"/>
        <v>1.2399999999999984</v>
      </c>
      <c r="K131">
        <f t="shared" si="122"/>
        <v>4</v>
      </c>
      <c r="L131" s="294">
        <f>L130-L132</f>
        <v>62</v>
      </c>
      <c r="M131">
        <f t="shared" ref="M131" si="123">M130-M132</f>
        <v>20</v>
      </c>
      <c r="N131" s="88">
        <f>N130-N132</f>
        <v>2520</v>
      </c>
      <c r="O131" s="85">
        <v>0</v>
      </c>
      <c r="P131" s="88">
        <v>0</v>
      </c>
    </row>
    <row r="132" spans="1:18" x14ac:dyDescent="0.35">
      <c r="A132" s="55"/>
      <c r="B132" t="s">
        <v>65</v>
      </c>
      <c r="C132">
        <v>147.19999999999999</v>
      </c>
      <c r="D132">
        <v>28.49</v>
      </c>
      <c r="E132">
        <v>95</v>
      </c>
      <c r="F132">
        <v>1260</v>
      </c>
      <c r="G132">
        <v>173.73</v>
      </c>
      <c r="H132">
        <v>0</v>
      </c>
      <c r="I132">
        <v>46.58</v>
      </c>
      <c r="J132">
        <v>16</v>
      </c>
      <c r="K132">
        <v>279.24</v>
      </c>
      <c r="L132">
        <v>326</v>
      </c>
      <c r="M132">
        <v>60</v>
      </c>
      <c r="N132" s="88">
        <v>36418</v>
      </c>
      <c r="O132" s="88">
        <v>0</v>
      </c>
      <c r="P132" s="88">
        <v>0</v>
      </c>
    </row>
    <row r="133" spans="1:18" ht="15" thickBot="1" x14ac:dyDescent="0.4">
      <c r="A133" s="5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89"/>
      <c r="O133" s="86"/>
      <c r="P133" s="89"/>
    </row>
    <row r="134" spans="1:18" x14ac:dyDescent="0.35">
      <c r="A134" s="54" t="s">
        <v>502</v>
      </c>
      <c r="B134" s="43" t="s">
        <v>39</v>
      </c>
      <c r="C134" s="73">
        <f>C132</f>
        <v>147.19999999999999</v>
      </c>
      <c r="D134" s="73">
        <f t="shared" ref="D134:P134" si="124">D132</f>
        <v>28.49</v>
      </c>
      <c r="E134" s="73">
        <f t="shared" si="124"/>
        <v>95</v>
      </c>
      <c r="F134" s="73">
        <f t="shared" si="124"/>
        <v>1260</v>
      </c>
      <c r="G134" s="73">
        <f t="shared" si="124"/>
        <v>173.73</v>
      </c>
      <c r="H134" s="73">
        <f t="shared" si="124"/>
        <v>0</v>
      </c>
      <c r="I134" s="73">
        <f t="shared" si="124"/>
        <v>46.58</v>
      </c>
      <c r="J134" s="73">
        <f t="shared" si="124"/>
        <v>16</v>
      </c>
      <c r="K134" s="73">
        <f t="shared" si="124"/>
        <v>279.24</v>
      </c>
      <c r="L134" s="73">
        <f t="shared" si="124"/>
        <v>326</v>
      </c>
      <c r="M134" s="73">
        <f t="shared" si="124"/>
        <v>60</v>
      </c>
      <c r="N134" s="87">
        <f t="shared" si="124"/>
        <v>36418</v>
      </c>
      <c r="O134" s="84">
        <f t="shared" si="124"/>
        <v>0</v>
      </c>
      <c r="P134" s="87">
        <f t="shared" si="124"/>
        <v>0</v>
      </c>
      <c r="R134">
        <f>50000-3300</f>
        <v>46700</v>
      </c>
    </row>
    <row r="135" spans="1:18" x14ac:dyDescent="0.35">
      <c r="A135" s="55"/>
      <c r="B135" t="s">
        <v>63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s="88">
        <v>0</v>
      </c>
      <c r="O135" s="85">
        <v>0</v>
      </c>
      <c r="P135" s="88">
        <v>0</v>
      </c>
    </row>
    <row r="136" spans="1:18" x14ac:dyDescent="0.35">
      <c r="A136" s="55"/>
      <c r="C136">
        <f t="shared" ref="C136:K136" si="125">C134+C135</f>
        <v>147.19999999999999</v>
      </c>
      <c r="D136">
        <f t="shared" si="125"/>
        <v>28.49</v>
      </c>
      <c r="E136">
        <f t="shared" si="125"/>
        <v>95</v>
      </c>
      <c r="F136">
        <f t="shared" si="125"/>
        <v>1260</v>
      </c>
      <c r="G136">
        <f t="shared" si="125"/>
        <v>173.73</v>
      </c>
      <c r="H136">
        <f t="shared" si="125"/>
        <v>0</v>
      </c>
      <c r="I136">
        <f t="shared" si="125"/>
        <v>46.58</v>
      </c>
      <c r="J136">
        <f t="shared" si="125"/>
        <v>16</v>
      </c>
      <c r="K136">
        <f t="shared" si="125"/>
        <v>279.24</v>
      </c>
      <c r="L136">
        <f>L134+L135</f>
        <v>326</v>
      </c>
      <c r="M136">
        <f t="shared" ref="M136" si="126">M134+M135</f>
        <v>60</v>
      </c>
      <c r="N136" s="88">
        <f>N134+N135</f>
        <v>36418</v>
      </c>
      <c r="O136" s="55"/>
      <c r="P136" s="93"/>
    </row>
    <row r="137" spans="1:18" x14ac:dyDescent="0.35">
      <c r="A137" s="55" t="s">
        <v>46</v>
      </c>
      <c r="B137" t="s">
        <v>64</v>
      </c>
      <c r="C137">
        <f>C136-C138</f>
        <v>15.039999999999992</v>
      </c>
      <c r="D137">
        <f t="shared" ref="D137:K137" si="127">D136-D138</f>
        <v>1.7099999999999973</v>
      </c>
      <c r="E137">
        <f t="shared" si="127"/>
        <v>4</v>
      </c>
      <c r="F137">
        <f t="shared" si="127"/>
        <v>40.299999999999955</v>
      </c>
      <c r="G137">
        <f t="shared" si="127"/>
        <v>0</v>
      </c>
      <c r="H137">
        <f t="shared" si="127"/>
        <v>0</v>
      </c>
      <c r="I137">
        <f t="shared" si="127"/>
        <v>1.4799999999999969</v>
      </c>
      <c r="J137">
        <f t="shared" si="127"/>
        <v>1.1199999999999992</v>
      </c>
      <c r="K137">
        <f t="shared" si="127"/>
        <v>2.6800000000000068</v>
      </c>
      <c r="L137">
        <f>L136-L138</f>
        <v>12</v>
      </c>
      <c r="M137">
        <f t="shared" ref="M137" si="128">M136-M138</f>
        <v>20</v>
      </c>
      <c r="N137" s="88">
        <f>N136-N138</f>
        <v>2148</v>
      </c>
      <c r="O137" s="85">
        <v>0</v>
      </c>
      <c r="P137" s="88">
        <v>0</v>
      </c>
    </row>
    <row r="138" spans="1:18" x14ac:dyDescent="0.35">
      <c r="A138" s="55"/>
      <c r="B138" t="s">
        <v>65</v>
      </c>
      <c r="C138">
        <v>132.16</v>
      </c>
      <c r="D138">
        <v>26.78</v>
      </c>
      <c r="E138">
        <v>91</v>
      </c>
      <c r="F138">
        <v>1219.7</v>
      </c>
      <c r="G138">
        <v>173.73</v>
      </c>
      <c r="H138">
        <v>0</v>
      </c>
      <c r="I138">
        <v>45.1</v>
      </c>
      <c r="J138">
        <v>14.88</v>
      </c>
      <c r="K138">
        <v>276.56</v>
      </c>
      <c r="L138">
        <v>314</v>
      </c>
      <c r="M138">
        <v>40</v>
      </c>
      <c r="N138" s="88">
        <v>34270</v>
      </c>
      <c r="O138" s="88">
        <v>1</v>
      </c>
      <c r="P138" s="88">
        <v>0</v>
      </c>
    </row>
    <row r="139" spans="1:18" ht="15" thickBot="1" x14ac:dyDescent="0.4">
      <c r="A139" s="5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89"/>
      <c r="O139" s="86"/>
      <c r="P139" s="89"/>
    </row>
    <row r="140" spans="1:18" x14ac:dyDescent="0.35">
      <c r="A140" s="54" t="s">
        <v>507</v>
      </c>
      <c r="B140" s="43" t="s">
        <v>39</v>
      </c>
      <c r="C140" s="73">
        <f>C138</f>
        <v>132.16</v>
      </c>
      <c r="D140" s="73">
        <f t="shared" ref="D140:P140" si="129">D138</f>
        <v>26.78</v>
      </c>
      <c r="E140" s="73">
        <f t="shared" si="129"/>
        <v>91</v>
      </c>
      <c r="F140" s="73">
        <f t="shared" si="129"/>
        <v>1219.7</v>
      </c>
      <c r="G140" s="73">
        <f t="shared" si="129"/>
        <v>173.73</v>
      </c>
      <c r="H140" s="73">
        <f t="shared" si="129"/>
        <v>0</v>
      </c>
      <c r="I140" s="73">
        <f t="shared" si="129"/>
        <v>45.1</v>
      </c>
      <c r="J140" s="73">
        <f t="shared" si="129"/>
        <v>14.88</v>
      </c>
      <c r="K140" s="73">
        <f t="shared" si="129"/>
        <v>276.56</v>
      </c>
      <c r="L140" s="73">
        <f t="shared" si="129"/>
        <v>314</v>
      </c>
      <c r="M140" s="73">
        <f t="shared" si="129"/>
        <v>40</v>
      </c>
      <c r="N140" s="87">
        <f t="shared" si="129"/>
        <v>34270</v>
      </c>
      <c r="O140" s="84">
        <f t="shared" si="129"/>
        <v>1</v>
      </c>
      <c r="P140" s="87">
        <f t="shared" si="129"/>
        <v>0</v>
      </c>
      <c r="R140">
        <f>50000-3300</f>
        <v>46700</v>
      </c>
    </row>
    <row r="141" spans="1:18" x14ac:dyDescent="0.35">
      <c r="A141" s="55"/>
      <c r="B141" t="s">
        <v>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s="88">
        <v>21000</v>
      </c>
      <c r="O141" s="85">
        <v>0</v>
      </c>
      <c r="P141" s="88">
        <v>0</v>
      </c>
    </row>
    <row r="142" spans="1:18" x14ac:dyDescent="0.35">
      <c r="A142" s="55"/>
      <c r="C142">
        <f t="shared" ref="C142:K142" si="130">C140+C141</f>
        <v>132.16</v>
      </c>
      <c r="D142">
        <f t="shared" si="130"/>
        <v>26.78</v>
      </c>
      <c r="E142">
        <f t="shared" si="130"/>
        <v>91</v>
      </c>
      <c r="F142">
        <f t="shared" si="130"/>
        <v>1219.7</v>
      </c>
      <c r="G142">
        <f t="shared" si="130"/>
        <v>173.73</v>
      </c>
      <c r="H142">
        <f t="shared" si="130"/>
        <v>0</v>
      </c>
      <c r="I142">
        <f t="shared" si="130"/>
        <v>45.1</v>
      </c>
      <c r="J142">
        <f t="shared" si="130"/>
        <v>14.88</v>
      </c>
      <c r="K142">
        <f t="shared" si="130"/>
        <v>276.56</v>
      </c>
      <c r="L142">
        <f>L140+L141</f>
        <v>314</v>
      </c>
      <c r="M142">
        <f t="shared" ref="M142" si="131">M140+M141</f>
        <v>40</v>
      </c>
      <c r="N142" s="88">
        <f>N140+N141</f>
        <v>55270</v>
      </c>
      <c r="O142" s="55"/>
      <c r="P142" s="93"/>
    </row>
    <row r="143" spans="1:18" x14ac:dyDescent="0.35">
      <c r="A143" s="55" t="s">
        <v>46</v>
      </c>
      <c r="B143" t="s">
        <v>64</v>
      </c>
      <c r="C143">
        <f>C142-C144</f>
        <v>13.079999999999998</v>
      </c>
      <c r="D143">
        <f t="shared" ref="D143:K143" si="132">D142-D144</f>
        <v>1.4299999999999997</v>
      </c>
      <c r="E143">
        <f t="shared" si="132"/>
        <v>6</v>
      </c>
      <c r="F143">
        <f t="shared" si="132"/>
        <v>43.700000000000045</v>
      </c>
      <c r="G143">
        <f t="shared" si="132"/>
        <v>6.6999999999999886</v>
      </c>
      <c r="H143">
        <f t="shared" si="132"/>
        <v>0</v>
      </c>
      <c r="I143">
        <f t="shared" si="132"/>
        <v>1.1300000000000026</v>
      </c>
      <c r="J143">
        <f t="shared" si="132"/>
        <v>0.95000000000000107</v>
      </c>
      <c r="K143">
        <f t="shared" si="132"/>
        <v>4.9200000000000159</v>
      </c>
      <c r="L143">
        <f>L142-L144</f>
        <v>10.5</v>
      </c>
      <c r="M143">
        <f t="shared" ref="M143" si="133">M142-M144</f>
        <v>20</v>
      </c>
      <c r="N143" s="88">
        <f>N142-N144</f>
        <v>22785</v>
      </c>
      <c r="O143" s="85">
        <v>0</v>
      </c>
      <c r="P143" s="88">
        <v>0</v>
      </c>
    </row>
    <row r="144" spans="1:18" x14ac:dyDescent="0.35">
      <c r="A144" s="55"/>
      <c r="B144" t="s">
        <v>65</v>
      </c>
      <c r="C144">
        <v>119.08</v>
      </c>
      <c r="D144">
        <v>25.35</v>
      </c>
      <c r="E144">
        <v>85</v>
      </c>
      <c r="F144">
        <v>1176</v>
      </c>
      <c r="G144">
        <v>167.03</v>
      </c>
      <c r="H144">
        <v>0</v>
      </c>
      <c r="I144">
        <v>43.97</v>
      </c>
      <c r="J144">
        <v>13.93</v>
      </c>
      <c r="K144">
        <v>271.64</v>
      </c>
      <c r="L144">
        <v>303.5</v>
      </c>
      <c r="M144">
        <v>20</v>
      </c>
      <c r="N144" s="88">
        <v>32485</v>
      </c>
      <c r="O144" s="88">
        <v>29</v>
      </c>
      <c r="P144" s="88">
        <v>0</v>
      </c>
    </row>
    <row r="145" spans="1:18" ht="15" thickBot="1" x14ac:dyDescent="0.4">
      <c r="A145" s="5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89"/>
      <c r="O145" s="86"/>
      <c r="P145" s="89"/>
    </row>
    <row r="146" spans="1:18" x14ac:dyDescent="0.35">
      <c r="A146" s="54" t="s">
        <v>509</v>
      </c>
      <c r="B146" s="43" t="s">
        <v>39</v>
      </c>
      <c r="C146" s="73">
        <f>C144</f>
        <v>119.08</v>
      </c>
      <c r="D146" s="73">
        <f t="shared" ref="D146:P146" si="134">D144</f>
        <v>25.35</v>
      </c>
      <c r="E146" s="73">
        <f t="shared" si="134"/>
        <v>85</v>
      </c>
      <c r="F146" s="73">
        <f t="shared" si="134"/>
        <v>1176</v>
      </c>
      <c r="G146" s="73">
        <f t="shared" si="134"/>
        <v>167.03</v>
      </c>
      <c r="H146" s="73">
        <f t="shared" si="134"/>
        <v>0</v>
      </c>
      <c r="I146" s="73">
        <f t="shared" si="134"/>
        <v>43.97</v>
      </c>
      <c r="J146" s="73">
        <f t="shared" si="134"/>
        <v>13.93</v>
      </c>
      <c r="K146" s="73">
        <f t="shared" si="134"/>
        <v>271.64</v>
      </c>
      <c r="L146" s="73">
        <f t="shared" si="134"/>
        <v>303.5</v>
      </c>
      <c r="M146" s="73">
        <f t="shared" si="134"/>
        <v>20</v>
      </c>
      <c r="N146" s="87">
        <f t="shared" si="134"/>
        <v>32485</v>
      </c>
      <c r="O146" s="84">
        <f t="shared" si="134"/>
        <v>29</v>
      </c>
      <c r="P146" s="87">
        <f t="shared" si="134"/>
        <v>0</v>
      </c>
      <c r="R146">
        <f>50000-3300</f>
        <v>46700</v>
      </c>
    </row>
    <row r="147" spans="1:18" x14ac:dyDescent="0.35">
      <c r="A147" s="55"/>
      <c r="B147" t="s">
        <v>63</v>
      </c>
      <c r="C147">
        <v>0</v>
      </c>
      <c r="D147">
        <v>0</v>
      </c>
      <c r="E147">
        <v>0</v>
      </c>
      <c r="F147">
        <v>9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40</v>
      </c>
      <c r="N147" s="88">
        <v>0</v>
      </c>
      <c r="O147" s="85">
        <v>0</v>
      </c>
      <c r="P147" s="88">
        <v>0</v>
      </c>
    </row>
    <row r="148" spans="1:18" x14ac:dyDescent="0.35">
      <c r="A148" s="55"/>
      <c r="C148">
        <f t="shared" ref="C148:K148" si="135">C146+C147</f>
        <v>119.08</v>
      </c>
      <c r="D148">
        <f t="shared" si="135"/>
        <v>25.35</v>
      </c>
      <c r="E148">
        <f t="shared" si="135"/>
        <v>85</v>
      </c>
      <c r="F148">
        <f t="shared" si="135"/>
        <v>1185</v>
      </c>
      <c r="G148">
        <f t="shared" si="135"/>
        <v>167.03</v>
      </c>
      <c r="H148">
        <f t="shared" si="135"/>
        <v>0</v>
      </c>
      <c r="I148">
        <f t="shared" si="135"/>
        <v>43.97</v>
      </c>
      <c r="J148">
        <f t="shared" si="135"/>
        <v>15.93</v>
      </c>
      <c r="K148">
        <f t="shared" si="135"/>
        <v>271.64</v>
      </c>
      <c r="L148">
        <f>L146+L147</f>
        <v>303.5</v>
      </c>
      <c r="M148">
        <f t="shared" ref="M148" si="136">M146+M147</f>
        <v>60</v>
      </c>
      <c r="N148" s="88">
        <f>N146+N147</f>
        <v>32485</v>
      </c>
      <c r="O148" s="55"/>
      <c r="P148" s="93"/>
    </row>
    <row r="149" spans="1:18" x14ac:dyDescent="0.35">
      <c r="A149" s="55" t="s">
        <v>46</v>
      </c>
      <c r="B149" t="s">
        <v>64</v>
      </c>
      <c r="C149">
        <f>C148-C150</f>
        <v>12.039999999999992</v>
      </c>
      <c r="D149">
        <f t="shared" ref="D149:K149" si="137">D148-D150</f>
        <v>1.2800000000000011</v>
      </c>
      <c r="E149">
        <f t="shared" si="137"/>
        <v>5</v>
      </c>
      <c r="F149">
        <f t="shared" si="137"/>
        <v>38.099999999999909</v>
      </c>
      <c r="G149">
        <f t="shared" si="137"/>
        <v>5.8199999999999932</v>
      </c>
      <c r="H149">
        <f t="shared" si="137"/>
        <v>0</v>
      </c>
      <c r="I149">
        <f t="shared" si="137"/>
        <v>1.1299999999999955</v>
      </c>
      <c r="J149">
        <f t="shared" si="137"/>
        <v>2.8499999999999996</v>
      </c>
      <c r="K149">
        <f t="shared" si="137"/>
        <v>4.3600000000000136</v>
      </c>
      <c r="L149">
        <f>L148-L150</f>
        <v>7.5</v>
      </c>
      <c r="M149">
        <f t="shared" ref="M149" si="138">M148-M150</f>
        <v>20</v>
      </c>
      <c r="N149" s="88">
        <f>N148-N150</f>
        <v>1578</v>
      </c>
      <c r="O149" s="85">
        <v>0</v>
      </c>
      <c r="P149" s="88">
        <v>0</v>
      </c>
    </row>
    <row r="150" spans="1:18" x14ac:dyDescent="0.35">
      <c r="A150" s="55"/>
      <c r="B150" t="s">
        <v>65</v>
      </c>
      <c r="C150">
        <v>107.04</v>
      </c>
      <c r="D150">
        <v>24.07</v>
      </c>
      <c r="E150">
        <v>80</v>
      </c>
      <c r="F150">
        <v>1146.9000000000001</v>
      </c>
      <c r="G150">
        <v>161.21</v>
      </c>
      <c r="H150">
        <v>0</v>
      </c>
      <c r="I150">
        <v>42.84</v>
      </c>
      <c r="J150">
        <v>13.08</v>
      </c>
      <c r="K150">
        <v>267.27999999999997</v>
      </c>
      <c r="L150">
        <v>296</v>
      </c>
      <c r="M150">
        <v>40</v>
      </c>
      <c r="N150" s="88">
        <v>30907</v>
      </c>
      <c r="O150" s="88">
        <v>33</v>
      </c>
      <c r="P150" s="88">
        <v>0</v>
      </c>
    </row>
    <row r="151" spans="1:18" ht="15" thickBot="1" x14ac:dyDescent="0.4">
      <c r="A151" s="5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89"/>
      <c r="O151" s="86"/>
      <c r="P151" s="89"/>
    </row>
    <row r="152" spans="1:18" x14ac:dyDescent="0.35">
      <c r="A152" s="54" t="s">
        <v>510</v>
      </c>
      <c r="B152" s="43" t="s">
        <v>39</v>
      </c>
      <c r="C152" s="73">
        <f>C150</f>
        <v>107.04</v>
      </c>
      <c r="D152" s="73">
        <f t="shared" ref="D152:P152" si="139">D150</f>
        <v>24.07</v>
      </c>
      <c r="E152" s="73">
        <f t="shared" si="139"/>
        <v>80</v>
      </c>
      <c r="F152" s="73">
        <f t="shared" si="139"/>
        <v>1146.9000000000001</v>
      </c>
      <c r="G152" s="73">
        <f t="shared" si="139"/>
        <v>161.21</v>
      </c>
      <c r="H152" s="73">
        <f t="shared" si="139"/>
        <v>0</v>
      </c>
      <c r="I152" s="73">
        <f t="shared" si="139"/>
        <v>42.84</v>
      </c>
      <c r="J152" s="73">
        <f t="shared" si="139"/>
        <v>13.08</v>
      </c>
      <c r="K152" s="73">
        <f t="shared" si="139"/>
        <v>267.27999999999997</v>
      </c>
      <c r="L152" s="73">
        <f t="shared" si="139"/>
        <v>296</v>
      </c>
      <c r="M152" s="73">
        <f t="shared" si="139"/>
        <v>40</v>
      </c>
      <c r="N152" s="87">
        <f t="shared" si="139"/>
        <v>30907</v>
      </c>
      <c r="O152" s="84">
        <f t="shared" si="139"/>
        <v>33</v>
      </c>
      <c r="P152" s="87">
        <f t="shared" si="139"/>
        <v>0</v>
      </c>
      <c r="R152">
        <f>50000-3300</f>
        <v>46700</v>
      </c>
    </row>
    <row r="153" spans="1:18" x14ac:dyDescent="0.35">
      <c r="A153" s="55"/>
      <c r="B153" t="s">
        <v>63</v>
      </c>
      <c r="C153">
        <v>0</v>
      </c>
      <c r="D153">
        <v>1.5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25</v>
      </c>
      <c r="K153">
        <v>0</v>
      </c>
      <c r="L153">
        <v>0</v>
      </c>
      <c r="M153">
        <v>0</v>
      </c>
      <c r="N153" s="88">
        <v>41200</v>
      </c>
      <c r="O153" s="85">
        <v>0</v>
      </c>
      <c r="P153" s="88">
        <v>0</v>
      </c>
    </row>
    <row r="154" spans="1:18" x14ac:dyDescent="0.35">
      <c r="A154" s="55"/>
      <c r="C154">
        <f t="shared" ref="C154:K154" si="140">C152+C153</f>
        <v>107.04</v>
      </c>
      <c r="D154">
        <f t="shared" si="140"/>
        <v>25.57</v>
      </c>
      <c r="E154">
        <f t="shared" si="140"/>
        <v>80</v>
      </c>
      <c r="F154">
        <f t="shared" si="140"/>
        <v>1146.9000000000001</v>
      </c>
      <c r="G154">
        <f t="shared" si="140"/>
        <v>161.21</v>
      </c>
      <c r="H154">
        <f t="shared" si="140"/>
        <v>0</v>
      </c>
      <c r="I154">
        <f t="shared" si="140"/>
        <v>42.84</v>
      </c>
      <c r="J154">
        <f t="shared" si="140"/>
        <v>38.08</v>
      </c>
      <c r="K154">
        <f t="shared" si="140"/>
        <v>267.27999999999997</v>
      </c>
      <c r="L154">
        <f>L152+L153</f>
        <v>296</v>
      </c>
      <c r="M154">
        <f t="shared" ref="M154" si="141">M152+M153</f>
        <v>40</v>
      </c>
      <c r="N154" s="88">
        <f>N152+N153</f>
        <v>72107</v>
      </c>
      <c r="O154" s="55"/>
      <c r="P154" s="93"/>
    </row>
    <row r="155" spans="1:18" x14ac:dyDescent="0.35">
      <c r="A155" s="55" t="s">
        <v>46</v>
      </c>
      <c r="B155" t="s">
        <v>64</v>
      </c>
      <c r="C155">
        <f>C154-C156</f>
        <v>15.240000000000009</v>
      </c>
      <c r="D155">
        <f t="shared" ref="D155:K155" si="142">D154-D156</f>
        <v>3.2300000000000004</v>
      </c>
      <c r="E155">
        <f t="shared" si="142"/>
        <v>5</v>
      </c>
      <c r="F155">
        <f t="shared" si="142"/>
        <v>42.800000000000182</v>
      </c>
      <c r="G155">
        <f t="shared" si="142"/>
        <v>8.1200000000000045</v>
      </c>
      <c r="H155">
        <f t="shared" si="142"/>
        <v>0</v>
      </c>
      <c r="I155">
        <f t="shared" si="142"/>
        <v>1.480000000000004</v>
      </c>
      <c r="J155">
        <f t="shared" si="142"/>
        <v>26.13</v>
      </c>
      <c r="K155">
        <f t="shared" si="142"/>
        <v>5.7599999999999909</v>
      </c>
      <c r="L155">
        <f>L154-L156</f>
        <v>10.5</v>
      </c>
      <c r="M155">
        <f t="shared" ref="M155" si="143">M154-M156</f>
        <v>20</v>
      </c>
      <c r="N155" s="88">
        <f>N154-N156</f>
        <v>43391</v>
      </c>
      <c r="O155" s="85">
        <v>0</v>
      </c>
      <c r="P155" s="88">
        <v>0</v>
      </c>
    </row>
    <row r="156" spans="1:18" x14ac:dyDescent="0.35">
      <c r="A156" s="55"/>
      <c r="B156" t="s">
        <v>65</v>
      </c>
      <c r="C156">
        <v>91.8</v>
      </c>
      <c r="D156">
        <v>22.34</v>
      </c>
      <c r="E156">
        <v>75</v>
      </c>
      <c r="F156">
        <v>1104.0999999999999</v>
      </c>
      <c r="G156">
        <v>153.09</v>
      </c>
      <c r="H156">
        <v>0</v>
      </c>
      <c r="I156">
        <v>41.36</v>
      </c>
      <c r="J156">
        <v>11.95</v>
      </c>
      <c r="K156">
        <v>261.52</v>
      </c>
      <c r="L156">
        <v>285.5</v>
      </c>
      <c r="M156">
        <v>20</v>
      </c>
      <c r="N156" s="88">
        <v>28716</v>
      </c>
      <c r="O156" s="88">
        <v>38</v>
      </c>
      <c r="P156" s="88">
        <v>0</v>
      </c>
    </row>
    <row r="157" spans="1:18" ht="15" thickBot="1" x14ac:dyDescent="0.4">
      <c r="A157" s="5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89"/>
      <c r="O157" s="86"/>
      <c r="P157" s="89"/>
    </row>
    <row r="158" spans="1:18" x14ac:dyDescent="0.35">
      <c r="A158" s="54" t="s">
        <v>513</v>
      </c>
      <c r="B158" s="43" t="s">
        <v>39</v>
      </c>
      <c r="C158" s="73">
        <f>C156</f>
        <v>91.8</v>
      </c>
      <c r="D158" s="73">
        <f t="shared" ref="D158:P158" si="144">D156</f>
        <v>22.34</v>
      </c>
      <c r="E158" s="73">
        <f t="shared" si="144"/>
        <v>75</v>
      </c>
      <c r="F158" s="73">
        <f t="shared" si="144"/>
        <v>1104.0999999999999</v>
      </c>
      <c r="G158" s="73">
        <f t="shared" si="144"/>
        <v>153.09</v>
      </c>
      <c r="H158" s="73">
        <f t="shared" si="144"/>
        <v>0</v>
      </c>
      <c r="I158" s="73">
        <f t="shared" si="144"/>
        <v>41.36</v>
      </c>
      <c r="J158" s="73">
        <f t="shared" si="144"/>
        <v>11.95</v>
      </c>
      <c r="K158" s="73">
        <f t="shared" si="144"/>
        <v>261.52</v>
      </c>
      <c r="L158" s="73">
        <f t="shared" si="144"/>
        <v>285.5</v>
      </c>
      <c r="M158" s="73">
        <f t="shared" si="144"/>
        <v>20</v>
      </c>
      <c r="N158" s="87">
        <f t="shared" si="144"/>
        <v>28716</v>
      </c>
      <c r="O158" s="84">
        <f t="shared" si="144"/>
        <v>38</v>
      </c>
      <c r="P158" s="87">
        <f t="shared" si="144"/>
        <v>0</v>
      </c>
      <c r="R158">
        <f>50000-3300</f>
        <v>46700</v>
      </c>
    </row>
    <row r="159" spans="1:18" x14ac:dyDescent="0.35">
      <c r="A159" s="55"/>
      <c r="B159" t="s">
        <v>63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s="88">
        <v>0</v>
      </c>
      <c r="O159" s="85">
        <v>0</v>
      </c>
      <c r="P159" s="88">
        <v>0</v>
      </c>
    </row>
    <row r="160" spans="1:18" x14ac:dyDescent="0.35">
      <c r="A160" s="55"/>
      <c r="C160">
        <f t="shared" ref="C160:K160" si="145">C158+C159</f>
        <v>91.8</v>
      </c>
      <c r="D160">
        <f t="shared" si="145"/>
        <v>22.34</v>
      </c>
      <c r="E160">
        <f t="shared" si="145"/>
        <v>75</v>
      </c>
      <c r="F160">
        <f t="shared" si="145"/>
        <v>1104.0999999999999</v>
      </c>
      <c r="G160">
        <f t="shared" si="145"/>
        <v>153.09</v>
      </c>
      <c r="H160">
        <f t="shared" si="145"/>
        <v>0</v>
      </c>
      <c r="I160">
        <f t="shared" si="145"/>
        <v>41.36</v>
      </c>
      <c r="J160">
        <f t="shared" si="145"/>
        <v>11.95</v>
      </c>
      <c r="K160">
        <f t="shared" si="145"/>
        <v>261.52</v>
      </c>
      <c r="L160">
        <f>L158+L159</f>
        <v>285.5</v>
      </c>
      <c r="M160">
        <f t="shared" ref="M160" si="146">M158+M159</f>
        <v>20</v>
      </c>
      <c r="N160" s="88">
        <f>N158+N159</f>
        <v>28716</v>
      </c>
      <c r="O160" s="55"/>
      <c r="P160" s="93"/>
    </row>
    <row r="161" spans="1:18" x14ac:dyDescent="0.35">
      <c r="A161" s="55" t="s">
        <v>46</v>
      </c>
      <c r="B161" t="s">
        <v>64</v>
      </c>
      <c r="C161">
        <f>C160-C162</f>
        <v>14.319999999999993</v>
      </c>
      <c r="D161">
        <f t="shared" ref="D161:K161" si="147">D160-D162</f>
        <v>1.6600000000000001</v>
      </c>
      <c r="E161">
        <f t="shared" si="147"/>
        <v>5</v>
      </c>
      <c r="F161">
        <f t="shared" si="147"/>
        <v>39.099999999999909</v>
      </c>
      <c r="G161">
        <f t="shared" si="147"/>
        <v>7.6299999999999955</v>
      </c>
      <c r="H161">
        <f t="shared" si="147"/>
        <v>0</v>
      </c>
      <c r="I161">
        <f t="shared" si="147"/>
        <v>1.4600000000000009</v>
      </c>
      <c r="J161">
        <f t="shared" si="147"/>
        <v>1.08</v>
      </c>
      <c r="K161">
        <f t="shared" si="147"/>
        <v>5.4799999999999613</v>
      </c>
      <c r="L161">
        <f>L160-L162</f>
        <v>13.5</v>
      </c>
      <c r="M161">
        <f t="shared" ref="M161" si="148">M160-M162</f>
        <v>20</v>
      </c>
      <c r="N161" s="88">
        <f>N160-N162</f>
        <v>1780</v>
      </c>
      <c r="O161" s="85">
        <v>0</v>
      </c>
      <c r="P161" s="88">
        <v>0</v>
      </c>
    </row>
    <row r="162" spans="1:18" x14ac:dyDescent="0.35">
      <c r="A162" s="55"/>
      <c r="B162" t="s">
        <v>65</v>
      </c>
      <c r="C162">
        <v>77.48</v>
      </c>
      <c r="D162">
        <v>20.68</v>
      </c>
      <c r="E162">
        <v>70</v>
      </c>
      <c r="F162">
        <v>1065</v>
      </c>
      <c r="G162">
        <v>145.46</v>
      </c>
      <c r="H162">
        <v>0</v>
      </c>
      <c r="I162">
        <v>39.9</v>
      </c>
      <c r="J162">
        <v>10.87</v>
      </c>
      <c r="K162">
        <v>256.04000000000002</v>
      </c>
      <c r="L162">
        <v>272</v>
      </c>
      <c r="M162">
        <v>0</v>
      </c>
      <c r="N162" s="88">
        <v>26936</v>
      </c>
      <c r="O162" s="88">
        <v>38</v>
      </c>
      <c r="P162" s="88">
        <v>0</v>
      </c>
    </row>
    <row r="163" spans="1:18" ht="15" thickBot="1" x14ac:dyDescent="0.4">
      <c r="A163" s="5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89"/>
      <c r="O163" s="86"/>
      <c r="P163" s="89"/>
    </row>
    <row r="164" spans="1:18" x14ac:dyDescent="0.35">
      <c r="A164" s="54" t="s">
        <v>514</v>
      </c>
      <c r="B164" s="43" t="s">
        <v>39</v>
      </c>
      <c r="C164" s="73">
        <f>C162</f>
        <v>77.48</v>
      </c>
      <c r="D164" s="73">
        <f t="shared" ref="D164:P164" si="149">D162</f>
        <v>20.68</v>
      </c>
      <c r="E164" s="73">
        <f t="shared" si="149"/>
        <v>70</v>
      </c>
      <c r="F164" s="73">
        <f t="shared" si="149"/>
        <v>1065</v>
      </c>
      <c r="G164" s="73">
        <f t="shared" si="149"/>
        <v>145.46</v>
      </c>
      <c r="H164" s="73">
        <f t="shared" si="149"/>
        <v>0</v>
      </c>
      <c r="I164" s="73">
        <f t="shared" si="149"/>
        <v>39.9</v>
      </c>
      <c r="J164" s="73">
        <f t="shared" si="149"/>
        <v>10.87</v>
      </c>
      <c r="K164" s="73">
        <f t="shared" si="149"/>
        <v>256.04000000000002</v>
      </c>
      <c r="L164" s="73">
        <f t="shared" si="149"/>
        <v>272</v>
      </c>
      <c r="M164" s="73">
        <f t="shared" si="149"/>
        <v>0</v>
      </c>
      <c r="N164" s="87">
        <f t="shared" si="149"/>
        <v>26936</v>
      </c>
      <c r="O164" s="84">
        <f t="shared" si="149"/>
        <v>38</v>
      </c>
      <c r="P164" s="87">
        <f t="shared" si="149"/>
        <v>0</v>
      </c>
      <c r="R164">
        <f>50000-3300</f>
        <v>46700</v>
      </c>
    </row>
    <row r="165" spans="1:18" x14ac:dyDescent="0.35">
      <c r="A165" s="55"/>
      <c r="B165" t="s">
        <v>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s="88">
        <v>0</v>
      </c>
      <c r="O165" s="85">
        <v>0</v>
      </c>
      <c r="P165" s="88">
        <v>0</v>
      </c>
    </row>
    <row r="166" spans="1:18" x14ac:dyDescent="0.35">
      <c r="A166" s="55"/>
      <c r="C166">
        <f t="shared" ref="C166:K166" si="150">C164+C165</f>
        <v>77.48</v>
      </c>
      <c r="D166">
        <f t="shared" si="150"/>
        <v>20.68</v>
      </c>
      <c r="E166">
        <f t="shared" si="150"/>
        <v>70</v>
      </c>
      <c r="F166">
        <f t="shared" si="150"/>
        <v>1065</v>
      </c>
      <c r="G166">
        <f t="shared" si="150"/>
        <v>145.46</v>
      </c>
      <c r="H166">
        <f t="shared" si="150"/>
        <v>0</v>
      </c>
      <c r="I166">
        <f t="shared" si="150"/>
        <v>39.9</v>
      </c>
      <c r="J166">
        <f t="shared" si="150"/>
        <v>10.87</v>
      </c>
      <c r="K166">
        <f t="shared" si="150"/>
        <v>256.04000000000002</v>
      </c>
      <c r="L166">
        <f>L164+L165</f>
        <v>272</v>
      </c>
      <c r="M166">
        <f t="shared" ref="M166" si="151">M164+M165</f>
        <v>0</v>
      </c>
      <c r="N166" s="88">
        <f>N164+N165</f>
        <v>26936</v>
      </c>
      <c r="O166" s="55"/>
      <c r="P166" s="93"/>
    </row>
    <row r="167" spans="1:18" x14ac:dyDescent="0.35">
      <c r="A167" s="55" t="s">
        <v>46</v>
      </c>
      <c r="B167" t="s">
        <v>64</v>
      </c>
      <c r="C167">
        <f>C166-C168</f>
        <v>0</v>
      </c>
      <c r="D167">
        <f t="shared" ref="D167:K167" si="152">D166-D168</f>
        <v>0</v>
      </c>
      <c r="E167">
        <f t="shared" si="152"/>
        <v>0</v>
      </c>
      <c r="F167">
        <f t="shared" si="152"/>
        <v>0</v>
      </c>
      <c r="G167">
        <f t="shared" si="152"/>
        <v>0</v>
      </c>
      <c r="H167">
        <f t="shared" si="152"/>
        <v>0</v>
      </c>
      <c r="I167">
        <f t="shared" si="152"/>
        <v>0</v>
      </c>
      <c r="J167">
        <f t="shared" si="152"/>
        <v>0</v>
      </c>
      <c r="K167">
        <f t="shared" si="152"/>
        <v>0</v>
      </c>
      <c r="L167">
        <f>L166-L168</f>
        <v>0</v>
      </c>
      <c r="M167">
        <f t="shared" ref="M167" si="153">M166-M168</f>
        <v>0</v>
      </c>
      <c r="N167" s="88">
        <f>N166-N168</f>
        <v>0</v>
      </c>
      <c r="O167" s="85">
        <v>0</v>
      </c>
      <c r="P167" s="88">
        <v>0</v>
      </c>
    </row>
    <row r="168" spans="1:18" x14ac:dyDescent="0.35">
      <c r="A168" s="55"/>
      <c r="B168" t="s">
        <v>65</v>
      </c>
      <c r="C168">
        <v>77.48</v>
      </c>
      <c r="D168">
        <v>20.68</v>
      </c>
      <c r="E168">
        <v>70</v>
      </c>
      <c r="F168">
        <v>1065</v>
      </c>
      <c r="G168">
        <v>145.46</v>
      </c>
      <c r="H168">
        <v>0</v>
      </c>
      <c r="I168">
        <v>39.9</v>
      </c>
      <c r="J168">
        <v>10.87</v>
      </c>
      <c r="K168">
        <v>256.04000000000002</v>
      </c>
      <c r="L168">
        <v>272</v>
      </c>
      <c r="M168">
        <v>0</v>
      </c>
      <c r="N168" s="88">
        <v>26936</v>
      </c>
      <c r="O168" s="88">
        <v>42</v>
      </c>
      <c r="P168" s="88">
        <v>0</v>
      </c>
    </row>
    <row r="169" spans="1:18" ht="15" thickBot="1" x14ac:dyDescent="0.4">
      <c r="A169" s="5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89"/>
      <c r="O169" s="86"/>
      <c r="P169" s="89"/>
    </row>
    <row r="170" spans="1:18" x14ac:dyDescent="0.35">
      <c r="A170" s="54" t="s">
        <v>515</v>
      </c>
      <c r="B170" s="43" t="s">
        <v>39</v>
      </c>
      <c r="C170" s="73">
        <f>C168</f>
        <v>77.48</v>
      </c>
      <c r="D170" s="73">
        <f t="shared" ref="D170:P170" si="154">D168</f>
        <v>20.68</v>
      </c>
      <c r="E170" s="73">
        <f t="shared" si="154"/>
        <v>70</v>
      </c>
      <c r="F170" s="73">
        <f t="shared" si="154"/>
        <v>1065</v>
      </c>
      <c r="G170" s="73">
        <f t="shared" si="154"/>
        <v>145.46</v>
      </c>
      <c r="H170" s="73">
        <f t="shared" si="154"/>
        <v>0</v>
      </c>
      <c r="I170" s="73">
        <f t="shared" si="154"/>
        <v>39.9</v>
      </c>
      <c r="J170" s="73">
        <f t="shared" si="154"/>
        <v>10.87</v>
      </c>
      <c r="K170" s="73">
        <f t="shared" si="154"/>
        <v>256.04000000000002</v>
      </c>
      <c r="L170" s="73">
        <f t="shared" si="154"/>
        <v>272</v>
      </c>
      <c r="M170" s="73">
        <f t="shared" si="154"/>
        <v>0</v>
      </c>
      <c r="N170" s="87">
        <f t="shared" si="154"/>
        <v>26936</v>
      </c>
      <c r="O170" s="84">
        <f t="shared" si="154"/>
        <v>42</v>
      </c>
      <c r="P170" s="87">
        <f t="shared" si="154"/>
        <v>0</v>
      </c>
      <c r="R170">
        <f>50000-3300</f>
        <v>46700</v>
      </c>
    </row>
    <row r="171" spans="1:18" x14ac:dyDescent="0.35">
      <c r="A171" s="55"/>
      <c r="B171" t="s">
        <v>63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72</v>
      </c>
      <c r="M171">
        <v>40</v>
      </c>
      <c r="N171" s="88">
        <v>0</v>
      </c>
      <c r="O171" s="85">
        <v>0</v>
      </c>
      <c r="P171" s="88">
        <v>0</v>
      </c>
    </row>
    <row r="172" spans="1:18" x14ac:dyDescent="0.35">
      <c r="A172" s="55"/>
      <c r="C172">
        <f t="shared" ref="C172:K172" si="155">C170+C171</f>
        <v>77.48</v>
      </c>
      <c r="D172">
        <f t="shared" si="155"/>
        <v>20.68</v>
      </c>
      <c r="E172">
        <f t="shared" si="155"/>
        <v>70</v>
      </c>
      <c r="F172">
        <f t="shared" si="155"/>
        <v>1065</v>
      </c>
      <c r="G172">
        <f t="shared" si="155"/>
        <v>145.46</v>
      </c>
      <c r="H172">
        <f t="shared" si="155"/>
        <v>0</v>
      </c>
      <c r="I172">
        <f t="shared" si="155"/>
        <v>39.9</v>
      </c>
      <c r="J172">
        <f t="shared" si="155"/>
        <v>10.87</v>
      </c>
      <c r="K172">
        <f t="shared" si="155"/>
        <v>256.04000000000002</v>
      </c>
      <c r="L172">
        <f>L170+L171</f>
        <v>344</v>
      </c>
      <c r="M172">
        <f t="shared" ref="M172" si="156">M170+M171</f>
        <v>40</v>
      </c>
      <c r="N172" s="88">
        <f>N170+N171</f>
        <v>26936</v>
      </c>
      <c r="O172" s="55"/>
      <c r="P172" s="93"/>
    </row>
    <row r="173" spans="1:18" x14ac:dyDescent="0.35">
      <c r="A173" s="55" t="s">
        <v>46</v>
      </c>
      <c r="B173" t="s">
        <v>64</v>
      </c>
      <c r="C173">
        <f>C172-C174</f>
        <v>15.560000000000002</v>
      </c>
      <c r="D173">
        <f t="shared" ref="D173:K173" si="157">D172-D174</f>
        <v>1.8599999999999994</v>
      </c>
      <c r="E173">
        <f t="shared" si="157"/>
        <v>6</v>
      </c>
      <c r="F173">
        <f t="shared" si="157"/>
        <v>43.899999999999977</v>
      </c>
      <c r="G173">
        <f t="shared" si="157"/>
        <v>8.6800000000000068</v>
      </c>
      <c r="H173">
        <f t="shared" si="157"/>
        <v>0</v>
      </c>
      <c r="I173">
        <f t="shared" si="157"/>
        <v>1.5499999999999972</v>
      </c>
      <c r="J173">
        <f t="shared" si="157"/>
        <v>1.17</v>
      </c>
      <c r="K173">
        <f t="shared" si="157"/>
        <v>6.0400000000000205</v>
      </c>
      <c r="L173" s="294">
        <f>L172-L174</f>
        <v>85.5</v>
      </c>
      <c r="M173">
        <f t="shared" ref="M173" si="158">M172-M174</f>
        <v>40</v>
      </c>
      <c r="N173" s="88">
        <f>N172-N174</f>
        <v>2306</v>
      </c>
      <c r="O173" s="85">
        <v>7</v>
      </c>
      <c r="P173" s="88">
        <v>0</v>
      </c>
    </row>
    <row r="174" spans="1:18" x14ac:dyDescent="0.35">
      <c r="A174" s="55"/>
      <c r="B174" t="s">
        <v>65</v>
      </c>
      <c r="C174">
        <v>61.92</v>
      </c>
      <c r="D174">
        <v>18.82</v>
      </c>
      <c r="E174">
        <v>64</v>
      </c>
      <c r="F174">
        <v>1021.1</v>
      </c>
      <c r="G174">
        <v>136.78</v>
      </c>
      <c r="H174">
        <v>0</v>
      </c>
      <c r="I174">
        <v>38.35</v>
      </c>
      <c r="J174">
        <v>9.6999999999999993</v>
      </c>
      <c r="K174">
        <v>250</v>
      </c>
      <c r="L174">
        <v>258.5</v>
      </c>
      <c r="M174">
        <v>0</v>
      </c>
      <c r="N174" s="88">
        <v>24630</v>
      </c>
      <c r="O174" s="88">
        <v>43</v>
      </c>
      <c r="P174" s="88">
        <v>0</v>
      </c>
    </row>
    <row r="175" spans="1:18" ht="15" thickBot="1" x14ac:dyDescent="0.4">
      <c r="A175" s="5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89"/>
      <c r="O175" s="86"/>
      <c r="P175" s="89"/>
    </row>
    <row r="176" spans="1:18" x14ac:dyDescent="0.35">
      <c r="A176" s="54" t="s">
        <v>521</v>
      </c>
      <c r="B176" s="43" t="s">
        <v>39</v>
      </c>
      <c r="C176" s="73">
        <f>C174</f>
        <v>61.92</v>
      </c>
      <c r="D176" s="73">
        <f t="shared" ref="D176:P176" si="159">D174</f>
        <v>18.82</v>
      </c>
      <c r="E176" s="73">
        <f t="shared" si="159"/>
        <v>64</v>
      </c>
      <c r="F176" s="73">
        <f t="shared" si="159"/>
        <v>1021.1</v>
      </c>
      <c r="G176" s="73">
        <f t="shared" si="159"/>
        <v>136.78</v>
      </c>
      <c r="H176" s="73">
        <f t="shared" si="159"/>
        <v>0</v>
      </c>
      <c r="I176" s="73">
        <f t="shared" si="159"/>
        <v>38.35</v>
      </c>
      <c r="J176" s="73">
        <f t="shared" si="159"/>
        <v>9.6999999999999993</v>
      </c>
      <c r="K176" s="73">
        <f t="shared" si="159"/>
        <v>250</v>
      </c>
      <c r="L176" s="73">
        <f t="shared" si="159"/>
        <v>258.5</v>
      </c>
      <c r="M176" s="73">
        <f t="shared" si="159"/>
        <v>0</v>
      </c>
      <c r="N176" s="87">
        <f t="shared" si="159"/>
        <v>24630</v>
      </c>
      <c r="O176" s="84">
        <f t="shared" si="159"/>
        <v>43</v>
      </c>
      <c r="P176" s="87">
        <f t="shared" si="159"/>
        <v>0</v>
      </c>
      <c r="R176">
        <f>50000-3300</f>
        <v>46700</v>
      </c>
    </row>
    <row r="177" spans="1:16" x14ac:dyDescent="0.35">
      <c r="A177" s="55"/>
      <c r="B177" t="s">
        <v>63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80</v>
      </c>
      <c r="N177" s="88">
        <v>0</v>
      </c>
      <c r="O177" s="85">
        <v>0</v>
      </c>
      <c r="P177" s="88">
        <v>0</v>
      </c>
    </row>
    <row r="178" spans="1:16" x14ac:dyDescent="0.35">
      <c r="A178" s="55"/>
      <c r="C178">
        <f t="shared" ref="C178:K178" si="160">C176+C177</f>
        <v>61.92</v>
      </c>
      <c r="D178">
        <f t="shared" si="160"/>
        <v>18.82</v>
      </c>
      <c r="E178">
        <f t="shared" si="160"/>
        <v>64</v>
      </c>
      <c r="F178">
        <f t="shared" si="160"/>
        <v>1021.1</v>
      </c>
      <c r="G178">
        <f t="shared" si="160"/>
        <v>136.78</v>
      </c>
      <c r="H178">
        <f t="shared" si="160"/>
        <v>0</v>
      </c>
      <c r="I178">
        <f t="shared" si="160"/>
        <v>38.35</v>
      </c>
      <c r="J178">
        <f t="shared" si="160"/>
        <v>9.6999999999999993</v>
      </c>
      <c r="K178">
        <f t="shared" si="160"/>
        <v>250</v>
      </c>
      <c r="L178">
        <f>L176+L177</f>
        <v>258.5</v>
      </c>
      <c r="M178">
        <f t="shared" ref="M178" si="161">M176+M177</f>
        <v>80</v>
      </c>
      <c r="N178" s="88">
        <f>N176+N177</f>
        <v>24630</v>
      </c>
      <c r="O178" s="55"/>
      <c r="P178" s="93"/>
    </row>
    <row r="179" spans="1:16" x14ac:dyDescent="0.35">
      <c r="A179" s="55" t="s">
        <v>46</v>
      </c>
      <c r="B179" t="s">
        <v>64</v>
      </c>
      <c r="C179">
        <f>C178-C180</f>
        <v>17.520000000000003</v>
      </c>
      <c r="D179">
        <f t="shared" ref="D179:K179" si="162">D178-D180</f>
        <v>2.1099999999999994</v>
      </c>
      <c r="E179">
        <f t="shared" si="162"/>
        <v>5</v>
      </c>
      <c r="F179" s="294">
        <f t="shared" si="162"/>
        <v>84.300000000000068</v>
      </c>
      <c r="G179">
        <f t="shared" si="162"/>
        <v>16.379999999999995</v>
      </c>
      <c r="H179">
        <f t="shared" si="162"/>
        <v>0</v>
      </c>
      <c r="I179">
        <f t="shared" si="162"/>
        <v>4.9500000000000028</v>
      </c>
      <c r="J179">
        <f t="shared" si="162"/>
        <v>1.3999999999999986</v>
      </c>
      <c r="K179" s="294">
        <f t="shared" si="162"/>
        <v>30</v>
      </c>
      <c r="L179" s="294">
        <f>L178-L180</f>
        <v>-20.5</v>
      </c>
      <c r="M179">
        <f t="shared" ref="M179" si="163">M178-M180</f>
        <v>40</v>
      </c>
      <c r="N179" s="88">
        <f>N178-N180</f>
        <v>1830</v>
      </c>
      <c r="O179" s="85">
        <v>0</v>
      </c>
      <c r="P179" s="88">
        <v>0</v>
      </c>
    </row>
    <row r="180" spans="1:16" x14ac:dyDescent="0.35">
      <c r="A180" s="55"/>
      <c r="B180" t="s">
        <v>65</v>
      </c>
      <c r="C180">
        <v>44.4</v>
      </c>
      <c r="D180">
        <v>16.71</v>
      </c>
      <c r="E180">
        <v>59</v>
      </c>
      <c r="F180">
        <v>936.8</v>
      </c>
      <c r="G180">
        <v>120.4</v>
      </c>
      <c r="H180">
        <v>0</v>
      </c>
      <c r="I180">
        <v>33.4</v>
      </c>
      <c r="J180">
        <v>8.3000000000000007</v>
      </c>
      <c r="K180">
        <v>220</v>
      </c>
      <c r="L180">
        <v>279</v>
      </c>
      <c r="M180">
        <v>40</v>
      </c>
      <c r="N180" s="88">
        <v>22800</v>
      </c>
      <c r="O180" s="88">
        <v>0</v>
      </c>
      <c r="P180" s="88">
        <v>0</v>
      </c>
    </row>
    <row r="181" spans="1:16" ht="15" thickBot="1" x14ac:dyDescent="0.4">
      <c r="A181" s="5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89"/>
      <c r="O181" s="86"/>
      <c r="P181" s="8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9"/>
  <sheetViews>
    <sheetView zoomScale="57" zoomScaleNormal="57" workbookViewId="0">
      <selection activeCell="AE32" sqref="AE32"/>
    </sheetView>
  </sheetViews>
  <sheetFormatPr defaultRowHeight="15.5" x14ac:dyDescent="0.35"/>
  <cols>
    <col min="1" max="1" width="32.36328125" style="198" customWidth="1"/>
    <col min="2" max="2" width="21.54296875" style="198" bestFit="1" customWidth="1"/>
    <col min="3" max="3" width="22.1796875" style="198" hidden="1" customWidth="1"/>
    <col min="4" max="4" width="24.08984375" style="198" hidden="1" customWidth="1"/>
    <col min="5" max="5" width="22.90625" style="198" hidden="1" customWidth="1"/>
    <col min="6" max="7" width="14.90625" style="198" hidden="1" customWidth="1"/>
    <col min="8" max="8" width="14.453125" style="198" hidden="1" customWidth="1"/>
    <col min="9" max="9" width="16.08984375" style="198" hidden="1" customWidth="1"/>
    <col min="10" max="10" width="15.1796875" style="198" hidden="1" customWidth="1"/>
    <col min="11" max="11" width="8.81640625" style="198" hidden="1" customWidth="1"/>
    <col min="12" max="12" width="12" style="198" hidden="1" customWidth="1"/>
    <col min="13" max="13" width="22.453125" style="198" hidden="1" customWidth="1"/>
    <col min="14" max="14" width="28.6328125" style="198" hidden="1" customWidth="1"/>
    <col min="15" max="17" width="17.26953125" style="198" hidden="1" customWidth="1"/>
    <col min="18" max="18" width="20.81640625" style="198" hidden="1" customWidth="1"/>
    <col min="19" max="19" width="17.26953125" style="198" hidden="1" customWidth="1"/>
    <col min="20" max="20" width="28.453125" style="198" hidden="1" customWidth="1"/>
    <col min="21" max="21" width="17.54296875" style="198" hidden="1" customWidth="1"/>
    <col min="22" max="22" width="22.7265625" style="198" hidden="1" customWidth="1"/>
    <col min="23" max="23" width="15.08984375" style="198" customWidth="1"/>
    <col min="24" max="24" width="23.1796875" style="198" bestFit="1" customWidth="1"/>
    <col min="25" max="25" width="8.81640625" style="198" bestFit="1" customWidth="1"/>
    <col min="26" max="16384" width="8.7265625" style="198"/>
  </cols>
  <sheetData>
    <row r="1" spans="1:24" x14ac:dyDescent="0.35">
      <c r="A1" s="199" t="s">
        <v>88</v>
      </c>
      <c r="B1" s="199" t="s">
        <v>89</v>
      </c>
      <c r="C1" s="244" t="s">
        <v>90</v>
      </c>
      <c r="D1" s="244" t="s">
        <v>17</v>
      </c>
      <c r="E1" s="244" t="s">
        <v>91</v>
      </c>
      <c r="F1" s="244" t="s">
        <v>92</v>
      </c>
      <c r="G1" s="244" t="s">
        <v>93</v>
      </c>
      <c r="H1" s="244" t="s">
        <v>94</v>
      </c>
      <c r="I1" s="244" t="s">
        <v>131</v>
      </c>
      <c r="J1" s="244" t="s">
        <v>115</v>
      </c>
      <c r="K1" s="244" t="s">
        <v>116</v>
      </c>
      <c r="L1" s="244" t="s">
        <v>95</v>
      </c>
      <c r="M1" s="244" t="s">
        <v>358</v>
      </c>
      <c r="N1" s="244" t="s">
        <v>355</v>
      </c>
      <c r="O1" s="244" t="s">
        <v>356</v>
      </c>
      <c r="P1" s="244" t="s">
        <v>354</v>
      </c>
      <c r="Q1" s="244" t="s">
        <v>599</v>
      </c>
      <c r="R1" s="244" t="s">
        <v>409</v>
      </c>
      <c r="S1" s="244" t="s">
        <v>405</v>
      </c>
      <c r="T1" s="199" t="s">
        <v>357</v>
      </c>
      <c r="U1" s="199" t="s">
        <v>96</v>
      </c>
      <c r="V1" s="199" t="s">
        <v>302</v>
      </c>
      <c r="W1" s="199" t="s">
        <v>97</v>
      </c>
      <c r="X1" s="198" t="s">
        <v>600</v>
      </c>
    </row>
    <row r="2" spans="1:24" s="268" customFormat="1" x14ac:dyDescent="0.35">
      <c r="A2" s="260" t="s">
        <v>595</v>
      </c>
      <c r="B2" s="260" t="s">
        <v>596</v>
      </c>
      <c r="C2" s="261"/>
      <c r="D2" s="260" t="s">
        <v>597</v>
      </c>
      <c r="E2" s="262">
        <v>254724912696</v>
      </c>
      <c r="F2" s="263">
        <v>38000</v>
      </c>
      <c r="G2" s="264">
        <v>45666</v>
      </c>
      <c r="H2" s="265" t="s">
        <v>594</v>
      </c>
      <c r="I2" s="260">
        <v>30</v>
      </c>
      <c r="J2" s="265">
        <v>0</v>
      </c>
      <c r="K2" s="260">
        <f t="shared" ref="K2" si="0">I2-J2</f>
        <v>30</v>
      </c>
      <c r="L2" s="266">
        <f>F2/I2</f>
        <v>1266.6666666666667</v>
      </c>
      <c r="M2" s="241">
        <f t="shared" ref="M2" si="1">K2*L2</f>
        <v>38000</v>
      </c>
      <c r="N2" s="241"/>
      <c r="O2" s="241"/>
      <c r="P2" s="241"/>
      <c r="Q2" s="241"/>
      <c r="R2" s="241"/>
      <c r="S2" s="241"/>
      <c r="T2" s="241">
        <f>M2+Q2+P2+R2+S2</f>
        <v>38000</v>
      </c>
      <c r="U2" s="263"/>
      <c r="V2" s="263"/>
      <c r="W2" s="263">
        <f t="shared" ref="W2" si="2">T2-U2-V2</f>
        <v>38000</v>
      </c>
      <c r="X2" s="267">
        <f>14221-5000-5000-4221</f>
        <v>0</v>
      </c>
    </row>
    <row r="3" spans="1:24" s="268" customFormat="1" x14ac:dyDescent="0.35">
      <c r="A3" s="260" t="s">
        <v>98</v>
      </c>
      <c r="B3" s="260" t="s">
        <v>99</v>
      </c>
      <c r="C3" s="261">
        <v>32543030</v>
      </c>
      <c r="D3" s="260" t="s">
        <v>315</v>
      </c>
      <c r="E3" s="262" t="s">
        <v>118</v>
      </c>
      <c r="F3" s="263">
        <v>13000</v>
      </c>
      <c r="G3" s="264">
        <v>45513</v>
      </c>
      <c r="H3" s="265" t="s">
        <v>594</v>
      </c>
      <c r="I3" s="260">
        <v>30</v>
      </c>
      <c r="J3" s="265">
        <v>0</v>
      </c>
      <c r="K3" s="260">
        <f t="shared" ref="K3:K18" si="3">I3-J3</f>
        <v>30</v>
      </c>
      <c r="L3" s="266">
        <f>F3/I3</f>
        <v>433.33333333333331</v>
      </c>
      <c r="M3" s="241">
        <f t="shared" ref="M3:M18" si="4">K3*L3</f>
        <v>13000</v>
      </c>
      <c r="N3" s="241"/>
      <c r="O3" s="241"/>
      <c r="P3" s="241"/>
      <c r="Q3" s="241"/>
      <c r="R3" s="241"/>
      <c r="S3" s="241"/>
      <c r="T3" s="241">
        <f t="shared" ref="T3:T5" si="5">M3+Q3+P3+R3+S3</f>
        <v>13000</v>
      </c>
      <c r="U3" s="263"/>
      <c r="V3" s="263"/>
      <c r="W3" s="263">
        <f t="shared" ref="W3:W12" si="6">T3-U3-V3</f>
        <v>13000</v>
      </c>
      <c r="X3" s="267">
        <f>14221-5000-5000-4221</f>
        <v>0</v>
      </c>
    </row>
    <row r="4" spans="1:24" s="268" customFormat="1" x14ac:dyDescent="0.35">
      <c r="A4" s="260" t="s">
        <v>100</v>
      </c>
      <c r="B4" s="260" t="s">
        <v>101</v>
      </c>
      <c r="C4" s="261">
        <v>9955897</v>
      </c>
      <c r="D4" s="260" t="s">
        <v>188</v>
      </c>
      <c r="E4" s="262" t="s">
        <v>117</v>
      </c>
      <c r="F4" s="263">
        <v>12000</v>
      </c>
      <c r="G4" s="264">
        <v>45514</v>
      </c>
      <c r="H4" s="265" t="s">
        <v>594</v>
      </c>
      <c r="I4" s="260">
        <v>30</v>
      </c>
      <c r="J4" s="265">
        <v>0</v>
      </c>
      <c r="K4" s="260">
        <f t="shared" si="3"/>
        <v>30</v>
      </c>
      <c r="L4" s="266">
        <f t="shared" ref="L4:L12" si="7">F4/I4</f>
        <v>400</v>
      </c>
      <c r="M4" s="241">
        <f t="shared" si="4"/>
        <v>12000</v>
      </c>
      <c r="N4" s="241"/>
      <c r="O4" s="241"/>
      <c r="P4" s="241"/>
      <c r="Q4" s="241"/>
      <c r="R4" s="241"/>
      <c r="S4" s="241"/>
      <c r="T4" s="241">
        <f t="shared" si="5"/>
        <v>12000</v>
      </c>
      <c r="U4" s="263">
        <v>6000</v>
      </c>
      <c r="V4" s="263"/>
      <c r="W4" s="263">
        <f t="shared" si="6"/>
        <v>6000</v>
      </c>
      <c r="X4" s="267">
        <f>5000-2000-3000</f>
        <v>0</v>
      </c>
    </row>
    <row r="5" spans="1:24" s="268" customFormat="1" x14ac:dyDescent="0.35">
      <c r="A5" s="260" t="s">
        <v>102</v>
      </c>
      <c r="B5" s="260" t="s">
        <v>105</v>
      </c>
      <c r="C5" s="261">
        <v>7421512</v>
      </c>
      <c r="D5" s="260" t="s">
        <v>187</v>
      </c>
      <c r="E5" s="262" t="s">
        <v>119</v>
      </c>
      <c r="F5" s="263">
        <v>15000</v>
      </c>
      <c r="G5" s="264">
        <v>45514</v>
      </c>
      <c r="H5" s="265" t="s">
        <v>594</v>
      </c>
      <c r="I5" s="260">
        <v>30</v>
      </c>
      <c r="J5" s="265">
        <v>0</v>
      </c>
      <c r="K5" s="260">
        <f t="shared" si="3"/>
        <v>30</v>
      </c>
      <c r="L5" s="266">
        <f t="shared" si="7"/>
        <v>500</v>
      </c>
      <c r="M5" s="241">
        <f t="shared" si="4"/>
        <v>15000</v>
      </c>
      <c r="N5" s="241"/>
      <c r="O5" s="241"/>
      <c r="P5" s="241"/>
      <c r="Q5" s="241"/>
      <c r="R5" s="241"/>
      <c r="S5" s="241"/>
      <c r="T5" s="241">
        <f t="shared" si="5"/>
        <v>15000</v>
      </c>
      <c r="U5" s="263"/>
      <c r="V5" s="263"/>
      <c r="W5" s="263">
        <f t="shared" si="6"/>
        <v>15000</v>
      </c>
      <c r="X5" s="267">
        <f>20000-4000-4000-4000-4000-4000</f>
        <v>0</v>
      </c>
    </row>
    <row r="6" spans="1:24" s="268" customFormat="1" x14ac:dyDescent="0.35">
      <c r="A6" s="260" t="s">
        <v>103</v>
      </c>
      <c r="B6" s="260" t="s">
        <v>106</v>
      </c>
      <c r="C6" s="261">
        <v>34810497</v>
      </c>
      <c r="D6" s="260" t="s">
        <v>186</v>
      </c>
      <c r="E6" s="262" t="s">
        <v>120</v>
      </c>
      <c r="F6" s="263">
        <v>12000</v>
      </c>
      <c r="G6" s="264">
        <v>45514</v>
      </c>
      <c r="H6" s="265" t="s">
        <v>594</v>
      </c>
      <c r="I6" s="260">
        <v>30</v>
      </c>
      <c r="J6" s="265">
        <v>0</v>
      </c>
      <c r="K6" s="260">
        <f t="shared" si="3"/>
        <v>30</v>
      </c>
      <c r="L6" s="266">
        <f t="shared" si="7"/>
        <v>400</v>
      </c>
      <c r="M6" s="241">
        <f t="shared" si="4"/>
        <v>12000</v>
      </c>
      <c r="N6" s="241"/>
      <c r="O6" s="241"/>
      <c r="P6" s="241"/>
      <c r="Q6" s="241">
        <v>673</v>
      </c>
      <c r="R6" s="241">
        <v>1171</v>
      </c>
      <c r="S6" s="241">
        <v>500</v>
      </c>
      <c r="T6" s="241">
        <f>M6+Q6+P6+R6+S6</f>
        <v>14344</v>
      </c>
      <c r="U6" s="263"/>
      <c r="V6" s="263">
        <v>910</v>
      </c>
      <c r="W6" s="263">
        <f t="shared" si="6"/>
        <v>13434</v>
      </c>
      <c r="X6" s="267"/>
    </row>
    <row r="7" spans="1:24" s="268" customFormat="1" x14ac:dyDescent="0.35">
      <c r="A7" s="260" t="s">
        <v>104</v>
      </c>
      <c r="B7" s="260" t="s">
        <v>109</v>
      </c>
      <c r="C7" s="261">
        <v>27078393</v>
      </c>
      <c r="D7" s="260" t="s">
        <v>190</v>
      </c>
      <c r="E7" s="262" t="s">
        <v>121</v>
      </c>
      <c r="F7" s="263">
        <v>10000</v>
      </c>
      <c r="G7" s="264">
        <v>45514</v>
      </c>
      <c r="H7" s="265" t="s">
        <v>594</v>
      </c>
      <c r="I7" s="260">
        <v>30</v>
      </c>
      <c r="J7" s="265">
        <v>0</v>
      </c>
      <c r="K7" s="260">
        <f t="shared" si="3"/>
        <v>30</v>
      </c>
      <c r="L7" s="266">
        <f t="shared" si="7"/>
        <v>333.33333333333331</v>
      </c>
      <c r="M7" s="241">
        <f t="shared" si="4"/>
        <v>10000</v>
      </c>
      <c r="N7" s="241"/>
      <c r="O7" s="241"/>
      <c r="P7" s="241"/>
      <c r="Q7" s="241"/>
      <c r="R7" s="241"/>
      <c r="S7" s="241"/>
      <c r="T7" s="241">
        <f t="shared" ref="T7:T22" si="8">M7+Q7+P7+R7+S7</f>
        <v>10000</v>
      </c>
      <c r="U7" s="263"/>
      <c r="V7" s="263"/>
      <c r="W7" s="263">
        <f t="shared" si="6"/>
        <v>10000</v>
      </c>
      <c r="X7" s="267">
        <f>12000-4000-4000-4000</f>
        <v>0</v>
      </c>
    </row>
    <row r="8" spans="1:24" s="268" customFormat="1" x14ac:dyDescent="0.35">
      <c r="A8" s="260" t="s">
        <v>107</v>
      </c>
      <c r="B8" s="260" t="s">
        <v>293</v>
      </c>
      <c r="C8" s="261">
        <v>209677093</v>
      </c>
      <c r="D8" s="260" t="s">
        <v>190</v>
      </c>
      <c r="E8" s="262" t="s">
        <v>122</v>
      </c>
      <c r="F8" s="263">
        <v>8000</v>
      </c>
      <c r="G8" s="264">
        <v>45514</v>
      </c>
      <c r="H8" s="265" t="s">
        <v>594</v>
      </c>
      <c r="I8" s="260">
        <v>30</v>
      </c>
      <c r="J8" s="265">
        <v>0</v>
      </c>
      <c r="K8" s="260">
        <f t="shared" si="3"/>
        <v>30</v>
      </c>
      <c r="L8" s="266">
        <f t="shared" si="7"/>
        <v>266.66666666666669</v>
      </c>
      <c r="M8" s="241">
        <f t="shared" si="4"/>
        <v>8000.0000000000009</v>
      </c>
      <c r="N8" s="241"/>
      <c r="O8" s="241"/>
      <c r="P8" s="241"/>
      <c r="Q8" s="241"/>
      <c r="R8" s="241"/>
      <c r="S8" s="241"/>
      <c r="T8" s="241">
        <f t="shared" si="8"/>
        <v>8000.0000000000009</v>
      </c>
      <c r="U8" s="263"/>
      <c r="V8" s="263"/>
      <c r="W8" s="263">
        <f t="shared" si="6"/>
        <v>8000.0000000000009</v>
      </c>
      <c r="X8" s="267"/>
    </row>
    <row r="9" spans="1:24" s="268" customFormat="1" x14ac:dyDescent="0.35">
      <c r="A9" s="260" t="s">
        <v>108</v>
      </c>
      <c r="B9" s="260" t="s">
        <v>110</v>
      </c>
      <c r="C9" s="261">
        <v>24198407</v>
      </c>
      <c r="D9" s="260" t="s">
        <v>189</v>
      </c>
      <c r="E9" s="262" t="s">
        <v>123</v>
      </c>
      <c r="F9" s="263">
        <v>10000</v>
      </c>
      <c r="G9" s="264">
        <v>45514</v>
      </c>
      <c r="H9" s="265" t="s">
        <v>594</v>
      </c>
      <c r="I9" s="260">
        <v>30</v>
      </c>
      <c r="J9" s="265">
        <v>0</v>
      </c>
      <c r="K9" s="260">
        <f t="shared" si="3"/>
        <v>30</v>
      </c>
      <c r="L9" s="266">
        <f t="shared" si="7"/>
        <v>333.33333333333331</v>
      </c>
      <c r="M9" s="241">
        <f t="shared" si="4"/>
        <v>10000</v>
      </c>
      <c r="N9" s="241"/>
      <c r="O9" s="241"/>
      <c r="P9" s="241"/>
      <c r="Q9" s="241"/>
      <c r="R9" s="241"/>
      <c r="S9" s="241"/>
      <c r="T9" s="241">
        <f t="shared" si="8"/>
        <v>10000</v>
      </c>
      <c r="U9" s="263"/>
      <c r="V9" s="263"/>
      <c r="W9" s="263">
        <f t="shared" si="6"/>
        <v>10000</v>
      </c>
      <c r="X9" s="267"/>
    </row>
    <row r="10" spans="1:24" s="268" customFormat="1" x14ac:dyDescent="0.35">
      <c r="A10" s="260" t="s">
        <v>111</v>
      </c>
      <c r="B10" s="260" t="s">
        <v>112</v>
      </c>
      <c r="C10" s="261">
        <v>30233782</v>
      </c>
      <c r="D10" s="260" t="s">
        <v>185</v>
      </c>
      <c r="E10" s="262" t="s">
        <v>590</v>
      </c>
      <c r="F10" s="263">
        <v>6000</v>
      </c>
      <c r="G10" s="264">
        <v>45514</v>
      </c>
      <c r="H10" s="265" t="s">
        <v>594</v>
      </c>
      <c r="I10" s="260">
        <v>30</v>
      </c>
      <c r="J10" s="265">
        <v>0</v>
      </c>
      <c r="K10" s="260">
        <f t="shared" si="3"/>
        <v>30</v>
      </c>
      <c r="L10" s="266">
        <f t="shared" si="7"/>
        <v>200</v>
      </c>
      <c r="M10" s="241">
        <f t="shared" si="4"/>
        <v>6000</v>
      </c>
      <c r="N10" s="241"/>
      <c r="O10" s="241"/>
      <c r="P10" s="241"/>
      <c r="Q10" s="241"/>
      <c r="R10" s="241"/>
      <c r="S10" s="241"/>
      <c r="T10" s="241">
        <f t="shared" si="8"/>
        <v>6000</v>
      </c>
      <c r="U10" s="263"/>
      <c r="V10" s="263"/>
      <c r="W10" s="263">
        <f t="shared" si="6"/>
        <v>6000</v>
      </c>
      <c r="X10" s="267"/>
    </row>
    <row r="11" spans="1:24" s="268" customFormat="1" x14ac:dyDescent="0.35">
      <c r="A11" s="260" t="s">
        <v>113</v>
      </c>
      <c r="B11" s="260" t="s">
        <v>295</v>
      </c>
      <c r="C11" s="261">
        <v>38686818</v>
      </c>
      <c r="D11" s="260" t="s">
        <v>185</v>
      </c>
      <c r="E11" s="262" t="s">
        <v>124</v>
      </c>
      <c r="F11" s="263">
        <v>6000</v>
      </c>
      <c r="G11" s="264">
        <v>45518</v>
      </c>
      <c r="H11" s="265" t="s">
        <v>594</v>
      </c>
      <c r="I11" s="260">
        <v>30</v>
      </c>
      <c r="J11" s="265">
        <v>0</v>
      </c>
      <c r="K11" s="260">
        <f t="shared" si="3"/>
        <v>30</v>
      </c>
      <c r="L11" s="266">
        <f t="shared" si="7"/>
        <v>200</v>
      </c>
      <c r="M11" s="241">
        <f t="shared" si="4"/>
        <v>6000</v>
      </c>
      <c r="N11" s="241"/>
      <c r="O11" s="241"/>
      <c r="P11" s="241"/>
      <c r="Q11" s="241"/>
      <c r="R11" s="241"/>
      <c r="S11" s="241"/>
      <c r="T11" s="241">
        <f t="shared" si="8"/>
        <v>6000</v>
      </c>
      <c r="U11" s="263"/>
      <c r="V11" s="263"/>
      <c r="W11" s="263">
        <f t="shared" si="6"/>
        <v>6000</v>
      </c>
      <c r="X11" s="267"/>
    </row>
    <row r="12" spans="1:24" s="268" customFormat="1" x14ac:dyDescent="0.35">
      <c r="A12" s="260" t="s">
        <v>114</v>
      </c>
      <c r="B12" s="260" t="s">
        <v>301</v>
      </c>
      <c r="C12" s="261">
        <v>42760324</v>
      </c>
      <c r="D12" s="260" t="s">
        <v>184</v>
      </c>
      <c r="E12" s="262" t="s">
        <v>125</v>
      </c>
      <c r="F12" s="263">
        <v>6000</v>
      </c>
      <c r="G12" s="264">
        <v>45518</v>
      </c>
      <c r="H12" s="265" t="s">
        <v>594</v>
      </c>
      <c r="I12" s="260">
        <v>30</v>
      </c>
      <c r="J12" s="265">
        <v>0</v>
      </c>
      <c r="K12" s="260">
        <f t="shared" si="3"/>
        <v>30</v>
      </c>
      <c r="L12" s="266">
        <f t="shared" si="7"/>
        <v>200</v>
      </c>
      <c r="M12" s="241">
        <f t="shared" si="4"/>
        <v>6000</v>
      </c>
      <c r="N12" s="241"/>
      <c r="O12" s="241"/>
      <c r="P12" s="241"/>
      <c r="Q12" s="241"/>
      <c r="R12" s="241"/>
      <c r="S12" s="241">
        <v>1000</v>
      </c>
      <c r="T12" s="241">
        <f t="shared" si="8"/>
        <v>7000</v>
      </c>
      <c r="U12" s="263"/>
      <c r="V12" s="263">
        <v>5990</v>
      </c>
      <c r="W12" s="263">
        <f t="shared" si="6"/>
        <v>1010</v>
      </c>
      <c r="X12" s="267"/>
    </row>
    <row r="13" spans="1:24" s="268" customFormat="1" x14ac:dyDescent="0.35">
      <c r="A13" s="260" t="s">
        <v>183</v>
      </c>
      <c r="B13" s="260" t="s">
        <v>191</v>
      </c>
      <c r="C13" s="261">
        <v>26027507</v>
      </c>
      <c r="D13" s="260" t="s">
        <v>184</v>
      </c>
      <c r="E13" s="262" t="s">
        <v>251</v>
      </c>
      <c r="F13" s="263">
        <v>12000</v>
      </c>
      <c r="G13" s="264">
        <v>45566</v>
      </c>
      <c r="H13" s="265" t="s">
        <v>594</v>
      </c>
      <c r="I13" s="260">
        <v>30</v>
      </c>
      <c r="J13" s="265">
        <v>0</v>
      </c>
      <c r="K13" s="260">
        <f t="shared" si="3"/>
        <v>30</v>
      </c>
      <c r="L13" s="266">
        <f>F13/I13</f>
        <v>400</v>
      </c>
      <c r="M13" s="241">
        <f t="shared" si="4"/>
        <v>12000</v>
      </c>
      <c r="N13" s="241"/>
      <c r="O13" s="241"/>
      <c r="P13" s="241"/>
      <c r="Q13" s="241">
        <v>2083</v>
      </c>
      <c r="R13" s="241">
        <v>2186</v>
      </c>
      <c r="S13" s="241">
        <v>1000</v>
      </c>
      <c r="T13" s="241">
        <f t="shared" si="8"/>
        <v>17269</v>
      </c>
      <c r="U13" s="263">
        <v>2000</v>
      </c>
      <c r="V13" s="263">
        <f>5738+4530</f>
        <v>10268</v>
      </c>
      <c r="W13" s="263">
        <f>T13-U13-V13</f>
        <v>5001</v>
      </c>
      <c r="X13" s="267">
        <f>10800-3000-3000+4730-5000-4530</f>
        <v>0</v>
      </c>
    </row>
    <row r="14" spans="1:24" s="268" customFormat="1" x14ac:dyDescent="0.35">
      <c r="A14" s="260" t="s">
        <v>288</v>
      </c>
      <c r="B14" s="260" t="s">
        <v>193</v>
      </c>
      <c r="C14" s="261">
        <v>27988865</v>
      </c>
      <c r="D14" s="260" t="s">
        <v>289</v>
      </c>
      <c r="E14" s="262" t="s">
        <v>304</v>
      </c>
      <c r="F14" s="263">
        <v>6000</v>
      </c>
      <c r="G14" s="264">
        <v>45931</v>
      </c>
      <c r="H14" s="265" t="s">
        <v>594</v>
      </c>
      <c r="I14" s="260">
        <v>30</v>
      </c>
      <c r="J14" s="265">
        <v>0</v>
      </c>
      <c r="K14" s="260">
        <f t="shared" si="3"/>
        <v>30</v>
      </c>
      <c r="L14" s="266">
        <f t="shared" ref="L14:L18" si="9">F14/I14</f>
        <v>200</v>
      </c>
      <c r="M14" s="241">
        <f t="shared" si="4"/>
        <v>6000</v>
      </c>
      <c r="N14" s="241"/>
      <c r="O14" s="241"/>
      <c r="P14" s="241"/>
      <c r="Q14" s="241"/>
      <c r="R14" s="241"/>
      <c r="S14" s="241"/>
      <c r="T14" s="241">
        <f t="shared" si="8"/>
        <v>6000</v>
      </c>
      <c r="U14" s="263"/>
      <c r="V14" s="263"/>
      <c r="W14" s="263">
        <f t="shared" ref="W14:W21" si="10">T14-U14-V14</f>
        <v>6000</v>
      </c>
      <c r="X14" s="267"/>
    </row>
    <row r="15" spans="1:24" s="268" customFormat="1" x14ac:dyDescent="0.35">
      <c r="A15" s="260" t="s">
        <v>290</v>
      </c>
      <c r="B15" s="260" t="s">
        <v>300</v>
      </c>
      <c r="C15" s="292">
        <v>30760734</v>
      </c>
      <c r="D15" s="260" t="s">
        <v>410</v>
      </c>
      <c r="E15" s="262" t="s">
        <v>305</v>
      </c>
      <c r="F15" s="263">
        <v>9000</v>
      </c>
      <c r="G15" s="264">
        <v>45931</v>
      </c>
      <c r="H15" s="265" t="s">
        <v>594</v>
      </c>
      <c r="I15" s="260">
        <v>30</v>
      </c>
      <c r="J15" s="265">
        <v>0</v>
      </c>
      <c r="K15" s="260">
        <f t="shared" si="3"/>
        <v>30</v>
      </c>
      <c r="L15" s="266">
        <f t="shared" si="9"/>
        <v>300</v>
      </c>
      <c r="M15" s="241">
        <f t="shared" si="4"/>
        <v>9000</v>
      </c>
      <c r="N15" s="241"/>
      <c r="O15" s="241"/>
      <c r="P15" s="241"/>
      <c r="Q15" s="241"/>
      <c r="R15" s="241"/>
      <c r="S15" s="241"/>
      <c r="T15" s="241">
        <f t="shared" si="8"/>
        <v>9000</v>
      </c>
      <c r="U15" s="263"/>
      <c r="V15" s="263">
        <v>730</v>
      </c>
      <c r="W15" s="263">
        <f t="shared" si="10"/>
        <v>8270</v>
      </c>
      <c r="X15" s="267"/>
    </row>
    <row r="16" spans="1:24" s="268" customFormat="1" x14ac:dyDescent="0.35">
      <c r="A16" s="260" t="s">
        <v>291</v>
      </c>
      <c r="B16" s="260" t="s">
        <v>299</v>
      </c>
      <c r="C16" s="261">
        <v>39809688</v>
      </c>
      <c r="D16" s="260" t="s">
        <v>292</v>
      </c>
      <c r="E16" s="262" t="s">
        <v>312</v>
      </c>
      <c r="F16" s="263">
        <v>5000</v>
      </c>
      <c r="G16" s="264">
        <v>45931</v>
      </c>
      <c r="H16" s="265" t="s">
        <v>594</v>
      </c>
      <c r="I16" s="260">
        <v>30</v>
      </c>
      <c r="J16" s="265">
        <v>0</v>
      </c>
      <c r="K16" s="260">
        <f t="shared" si="3"/>
        <v>30</v>
      </c>
      <c r="L16" s="266">
        <f t="shared" si="9"/>
        <v>166.66666666666666</v>
      </c>
      <c r="M16" s="241">
        <f t="shared" si="4"/>
        <v>5000</v>
      </c>
      <c r="N16" s="241"/>
      <c r="O16" s="241"/>
      <c r="P16" s="241"/>
      <c r="Q16" s="241"/>
      <c r="R16" s="241"/>
      <c r="S16" s="241"/>
      <c r="T16" s="241">
        <f t="shared" si="8"/>
        <v>5000</v>
      </c>
      <c r="U16" s="263"/>
      <c r="V16" s="263"/>
      <c r="W16" s="263">
        <f t="shared" si="10"/>
        <v>5000</v>
      </c>
      <c r="X16" s="267"/>
    </row>
    <row r="17" spans="1:25" s="268" customFormat="1" x14ac:dyDescent="0.35">
      <c r="A17" s="260" t="s">
        <v>327</v>
      </c>
      <c r="B17" s="260" t="s">
        <v>328</v>
      </c>
      <c r="C17" s="261"/>
      <c r="D17" s="260" t="s">
        <v>190</v>
      </c>
      <c r="E17" s="262" t="s">
        <v>345</v>
      </c>
      <c r="F17" s="263">
        <v>12000</v>
      </c>
      <c r="G17" s="264">
        <v>45659</v>
      </c>
      <c r="H17" s="265" t="s">
        <v>594</v>
      </c>
      <c r="I17" s="260">
        <v>30</v>
      </c>
      <c r="J17" s="265">
        <v>0</v>
      </c>
      <c r="K17" s="260">
        <f t="shared" si="3"/>
        <v>30</v>
      </c>
      <c r="L17" s="266">
        <f t="shared" si="9"/>
        <v>400</v>
      </c>
      <c r="M17" s="241">
        <f t="shared" si="4"/>
        <v>12000</v>
      </c>
      <c r="N17" s="241"/>
      <c r="O17" s="241"/>
      <c r="P17" s="241"/>
      <c r="Q17" s="241"/>
      <c r="R17" s="241"/>
      <c r="S17" s="241">
        <v>0</v>
      </c>
      <c r="T17" s="241">
        <f t="shared" si="8"/>
        <v>12000</v>
      </c>
      <c r="U17" s="263"/>
      <c r="V17" s="263"/>
      <c r="W17" s="263">
        <f t="shared" si="10"/>
        <v>12000</v>
      </c>
      <c r="X17" s="267"/>
    </row>
    <row r="18" spans="1:25" s="317" customFormat="1" x14ac:dyDescent="0.35">
      <c r="A18" s="308" t="s">
        <v>346</v>
      </c>
      <c r="B18" s="308" t="s">
        <v>347</v>
      </c>
      <c r="C18" s="309"/>
      <c r="D18" s="308" t="s">
        <v>348</v>
      </c>
      <c r="E18" s="310" t="s">
        <v>349</v>
      </c>
      <c r="F18" s="311">
        <v>10000</v>
      </c>
      <c r="G18" s="312">
        <v>45659</v>
      </c>
      <c r="H18" s="313" t="s">
        <v>594</v>
      </c>
      <c r="I18" s="308">
        <v>30</v>
      </c>
      <c r="J18" s="313">
        <v>0</v>
      </c>
      <c r="K18" s="308">
        <f t="shared" si="3"/>
        <v>30</v>
      </c>
      <c r="L18" s="314">
        <f t="shared" si="9"/>
        <v>333.33333333333331</v>
      </c>
      <c r="M18" s="315">
        <f t="shared" si="4"/>
        <v>10000</v>
      </c>
      <c r="N18" s="315"/>
      <c r="O18" s="315"/>
      <c r="P18" s="315"/>
      <c r="Q18" s="315"/>
      <c r="R18" s="315"/>
      <c r="S18" s="315"/>
      <c r="T18" s="315">
        <f t="shared" si="8"/>
        <v>10000</v>
      </c>
      <c r="U18" s="311"/>
      <c r="V18" s="311">
        <v>12350</v>
      </c>
      <c r="W18" s="311">
        <f t="shared" si="10"/>
        <v>-2350</v>
      </c>
      <c r="X18" s="316"/>
    </row>
    <row r="19" spans="1:25" s="268" customFormat="1" x14ac:dyDescent="0.35">
      <c r="A19" s="260" t="s">
        <v>350</v>
      </c>
      <c r="B19" s="260" t="s">
        <v>303</v>
      </c>
      <c r="C19" s="261"/>
      <c r="D19" s="260" t="s">
        <v>185</v>
      </c>
      <c r="E19" s="269">
        <v>254793978880</v>
      </c>
      <c r="F19" s="263">
        <v>6000</v>
      </c>
      <c r="G19" s="264">
        <v>45662</v>
      </c>
      <c r="H19" s="265" t="s">
        <v>594</v>
      </c>
      <c r="I19" s="260">
        <v>30</v>
      </c>
      <c r="J19" s="265">
        <v>0</v>
      </c>
      <c r="K19" s="260">
        <f t="shared" ref="K19" si="11">I19-J19</f>
        <v>30</v>
      </c>
      <c r="L19" s="266">
        <f t="shared" ref="L19" si="12">F19/I19</f>
        <v>200</v>
      </c>
      <c r="M19" s="241">
        <f t="shared" ref="M19:M20" si="13">K19*L19</f>
        <v>6000</v>
      </c>
      <c r="N19" s="241"/>
      <c r="O19" s="241"/>
      <c r="P19" s="241"/>
      <c r="Q19" s="241"/>
      <c r="R19" s="241"/>
      <c r="S19" s="241"/>
      <c r="T19" s="241">
        <f t="shared" si="8"/>
        <v>6000</v>
      </c>
      <c r="U19" s="263"/>
      <c r="V19" s="263"/>
      <c r="W19" s="263">
        <f t="shared" si="10"/>
        <v>6000</v>
      </c>
      <c r="X19" s="267"/>
    </row>
    <row r="20" spans="1:25" s="268" customFormat="1" x14ac:dyDescent="0.35">
      <c r="A20" s="260" t="s">
        <v>364</v>
      </c>
      <c r="B20" s="260" t="s">
        <v>365</v>
      </c>
      <c r="C20" s="261">
        <v>40785104</v>
      </c>
      <c r="D20" s="260" t="s">
        <v>185</v>
      </c>
      <c r="E20" s="269">
        <v>254717691034</v>
      </c>
      <c r="F20" s="263">
        <v>10000</v>
      </c>
      <c r="G20" s="264">
        <v>45662</v>
      </c>
      <c r="H20" s="265" t="s">
        <v>594</v>
      </c>
      <c r="I20" s="260">
        <v>30</v>
      </c>
      <c r="J20" s="265">
        <v>0</v>
      </c>
      <c r="K20" s="260">
        <f t="shared" ref="K20" si="14">I20-J20</f>
        <v>30</v>
      </c>
      <c r="L20" s="266">
        <f>F20/I20</f>
        <v>333.33333333333331</v>
      </c>
      <c r="M20" s="241">
        <f t="shared" si="13"/>
        <v>10000</v>
      </c>
      <c r="N20" s="241"/>
      <c r="O20" s="241"/>
      <c r="P20" s="241"/>
      <c r="Q20" s="241"/>
      <c r="R20" s="241"/>
      <c r="S20" s="241"/>
      <c r="T20" s="241">
        <f t="shared" si="8"/>
        <v>10000</v>
      </c>
      <c r="U20" s="263"/>
      <c r="V20" s="263"/>
      <c r="W20" s="263">
        <f t="shared" si="10"/>
        <v>10000</v>
      </c>
      <c r="X20" s="267"/>
    </row>
    <row r="21" spans="1:25" s="268" customFormat="1" x14ac:dyDescent="0.35">
      <c r="A21" s="260" t="s">
        <v>394</v>
      </c>
      <c r="B21" s="260" t="s">
        <v>298</v>
      </c>
      <c r="C21" s="260">
        <v>37845714</v>
      </c>
      <c r="D21" s="260" t="s">
        <v>395</v>
      </c>
      <c r="E21" s="269">
        <v>254797515677</v>
      </c>
      <c r="F21" s="263">
        <v>6000</v>
      </c>
      <c r="G21" s="264">
        <v>45664</v>
      </c>
      <c r="H21" s="265" t="s">
        <v>594</v>
      </c>
      <c r="I21" s="260">
        <v>30</v>
      </c>
      <c r="J21" s="265">
        <v>0</v>
      </c>
      <c r="K21" s="260">
        <f t="shared" ref="K21" si="15">I21-J21</f>
        <v>30</v>
      </c>
      <c r="L21" s="266">
        <f>F21/I21</f>
        <v>200</v>
      </c>
      <c r="M21" s="241">
        <f t="shared" ref="M21" si="16">K21*L21</f>
        <v>6000</v>
      </c>
      <c r="N21" s="241"/>
      <c r="O21" s="241"/>
      <c r="P21" s="241"/>
      <c r="Q21" s="241"/>
      <c r="R21" s="241"/>
      <c r="S21" s="241"/>
      <c r="T21" s="241">
        <f t="shared" si="8"/>
        <v>6000</v>
      </c>
      <c r="U21" s="263"/>
      <c r="V21" s="263"/>
      <c r="W21" s="263">
        <f t="shared" si="10"/>
        <v>6000</v>
      </c>
      <c r="X21" s="267"/>
    </row>
    <row r="22" spans="1:25" s="268" customFormat="1" x14ac:dyDescent="0.35">
      <c r="A22" s="260" t="s">
        <v>598</v>
      </c>
      <c r="B22" s="260" t="s">
        <v>592</v>
      </c>
      <c r="C22" s="260">
        <v>24199655</v>
      </c>
      <c r="D22" s="260" t="s">
        <v>593</v>
      </c>
      <c r="E22" s="269">
        <v>254759158588</v>
      </c>
      <c r="F22" s="263">
        <v>11500</v>
      </c>
      <c r="G22" s="264">
        <v>45666</v>
      </c>
      <c r="H22" s="265" t="s">
        <v>594</v>
      </c>
      <c r="I22" s="260">
        <v>30</v>
      </c>
      <c r="J22" s="265">
        <v>5</v>
      </c>
      <c r="K22" s="260">
        <f t="shared" ref="K22" si="17">I22-J22</f>
        <v>25</v>
      </c>
      <c r="L22" s="266">
        <f>F22/I22</f>
        <v>383.33333333333331</v>
      </c>
      <c r="M22" s="241">
        <f t="shared" ref="M22" si="18">K22*L22</f>
        <v>9583.3333333333321</v>
      </c>
      <c r="N22" s="241"/>
      <c r="O22" s="241"/>
      <c r="P22" s="241"/>
      <c r="Q22" s="241">
        <v>1542</v>
      </c>
      <c r="R22" s="241">
        <v>1536.5</v>
      </c>
      <c r="S22" s="241">
        <v>500</v>
      </c>
      <c r="T22" s="241">
        <f t="shared" si="8"/>
        <v>13161.833333333332</v>
      </c>
      <c r="U22" s="263"/>
      <c r="V22" s="263">
        <v>4754</v>
      </c>
      <c r="W22" s="263">
        <f t="shared" ref="W22" si="19">T22-U22-V22</f>
        <v>8407.8333333333321</v>
      </c>
      <c r="X22" s="267"/>
    </row>
    <row r="23" spans="1:25" x14ac:dyDescent="0.35">
      <c r="F23" s="245">
        <f>SUM(F2:F22)</f>
        <v>223500</v>
      </c>
      <c r="M23" s="245">
        <f>SUM(M2:M22)</f>
        <v>221583.33333333334</v>
      </c>
      <c r="N23" s="245"/>
      <c r="O23" s="245"/>
      <c r="P23" s="245"/>
      <c r="Q23" s="245"/>
      <c r="R23" s="245"/>
      <c r="S23" s="245"/>
      <c r="T23" s="245">
        <f>SUM(T2:T22)</f>
        <v>233774.83333333334</v>
      </c>
      <c r="U23" s="245">
        <f>SUM(U2:U22)</f>
        <v>8000</v>
      </c>
      <c r="V23" s="245">
        <f>SUM(V2:V22)</f>
        <v>35002</v>
      </c>
      <c r="W23" s="245">
        <f>SUM(W2:W22)</f>
        <v>190772.83333333334</v>
      </c>
      <c r="X23" s="200">
        <f>SUM(X3:X17)</f>
        <v>0</v>
      </c>
    </row>
    <row r="25" spans="1:25" ht="16" thickBot="1" x14ac:dyDescent="0.4">
      <c r="W25" s="201"/>
      <c r="Y25" s="201"/>
    </row>
    <row r="26" spans="1:25" ht="16" thickBot="1" x14ac:dyDescent="0.4">
      <c r="B26" s="327" t="s">
        <v>411</v>
      </c>
      <c r="C26" s="328"/>
      <c r="D26" s="328"/>
      <c r="E26" s="328"/>
      <c r="F26" s="328"/>
      <c r="G26" s="328"/>
      <c r="H26" s="328"/>
      <c r="I26" s="329"/>
      <c r="U26" s="201"/>
      <c r="V26" s="318"/>
    </row>
    <row r="27" spans="1:25" ht="16" thickBot="1" x14ac:dyDescent="0.4">
      <c r="A27" s="246" t="s">
        <v>89</v>
      </c>
      <c r="B27" s="202" t="s">
        <v>294</v>
      </c>
      <c r="C27" s="246" t="s">
        <v>91</v>
      </c>
      <c r="D27" s="247" t="s">
        <v>464</v>
      </c>
      <c r="E27" s="248" t="s">
        <v>480</v>
      </c>
      <c r="F27" s="248" t="s">
        <v>498</v>
      </c>
      <c r="G27" s="248" t="s">
        <v>513</v>
      </c>
      <c r="H27" s="249" t="s">
        <v>521</v>
      </c>
      <c r="I27" s="250"/>
      <c r="J27" s="250" t="s">
        <v>9</v>
      </c>
    </row>
    <row r="28" spans="1:25" x14ac:dyDescent="0.35">
      <c r="A28" s="278" t="s">
        <v>297</v>
      </c>
      <c r="B28" s="253">
        <v>13170785</v>
      </c>
      <c r="C28" s="270">
        <v>254742475992</v>
      </c>
      <c r="D28" s="254">
        <v>1200</v>
      </c>
      <c r="E28" s="254">
        <v>1200</v>
      </c>
      <c r="F28" s="254">
        <v>1200</v>
      </c>
      <c r="G28" s="254">
        <v>1200</v>
      </c>
      <c r="H28" s="254">
        <v>400</v>
      </c>
      <c r="I28" s="274"/>
      <c r="J28" s="279">
        <f t="shared" ref="J28:J34" si="20">SUM(D28:I28)</f>
        <v>5200</v>
      </c>
      <c r="N28" s="198">
        <v>400</v>
      </c>
      <c r="V28" s="198">
        <f>5001-3851</f>
        <v>1150</v>
      </c>
    </row>
    <row r="29" spans="1:25" x14ac:dyDescent="0.35">
      <c r="A29" s="194" t="s">
        <v>313</v>
      </c>
      <c r="B29" s="195"/>
      <c r="C29" s="271">
        <v>254793697100</v>
      </c>
      <c r="D29" s="241">
        <v>1200</v>
      </c>
      <c r="E29" s="241">
        <v>1200</v>
      </c>
      <c r="F29" s="241">
        <v>1200</v>
      </c>
      <c r="G29" s="241">
        <v>1200</v>
      </c>
      <c r="H29" s="241">
        <v>400</v>
      </c>
      <c r="I29" s="275"/>
      <c r="J29" s="280">
        <f t="shared" si="20"/>
        <v>5200</v>
      </c>
    </row>
    <row r="30" spans="1:25" x14ac:dyDescent="0.35">
      <c r="A30" s="194" t="s">
        <v>314</v>
      </c>
      <c r="B30" s="195"/>
      <c r="C30" s="271">
        <v>254703578772</v>
      </c>
      <c r="D30" s="241">
        <v>1200</v>
      </c>
      <c r="E30" s="241">
        <v>1200</v>
      </c>
      <c r="F30" s="241">
        <v>1200</v>
      </c>
      <c r="G30" s="241">
        <v>1200</v>
      </c>
      <c r="H30" s="241">
        <v>400</v>
      </c>
      <c r="I30" s="275"/>
      <c r="J30" s="280">
        <f t="shared" si="20"/>
        <v>5200</v>
      </c>
    </row>
    <row r="31" spans="1:25" x14ac:dyDescent="0.35">
      <c r="A31" s="194" t="s">
        <v>366</v>
      </c>
      <c r="B31" s="227"/>
      <c r="C31" s="272">
        <v>254748336513</v>
      </c>
      <c r="D31" s="241">
        <v>1200</v>
      </c>
      <c r="E31" s="241">
        <v>1200</v>
      </c>
      <c r="F31" s="241">
        <v>1200</v>
      </c>
      <c r="G31" s="241">
        <v>1200</v>
      </c>
      <c r="H31" s="241">
        <v>400</v>
      </c>
      <c r="I31" s="276"/>
      <c r="J31" s="280">
        <f t="shared" si="20"/>
        <v>5200</v>
      </c>
    </row>
    <row r="32" spans="1:25" x14ac:dyDescent="0.35">
      <c r="A32" s="192" t="s">
        <v>296</v>
      </c>
      <c r="B32" s="193">
        <v>26452355</v>
      </c>
      <c r="C32" s="271">
        <v>254793591511</v>
      </c>
      <c r="D32" s="241">
        <v>1200</v>
      </c>
      <c r="E32" s="241">
        <v>1200</v>
      </c>
      <c r="F32" s="241">
        <v>1200</v>
      </c>
      <c r="G32" s="241">
        <v>1200</v>
      </c>
      <c r="H32" s="241">
        <v>400</v>
      </c>
      <c r="I32" s="275"/>
      <c r="J32" s="280">
        <f t="shared" ref="J32:J33" si="21">SUM(D32:I32)</f>
        <v>5200</v>
      </c>
    </row>
    <row r="33" spans="1:15" x14ac:dyDescent="0.35">
      <c r="A33" s="192" t="s">
        <v>412</v>
      </c>
      <c r="B33" s="195">
        <v>40214695</v>
      </c>
      <c r="C33" s="271">
        <v>254797125144</v>
      </c>
      <c r="D33" s="241">
        <v>1200</v>
      </c>
      <c r="E33" s="241">
        <v>1200</v>
      </c>
      <c r="F33" s="241">
        <v>1200</v>
      </c>
      <c r="G33" s="241">
        <v>1200</v>
      </c>
      <c r="H33" s="241">
        <v>400</v>
      </c>
      <c r="I33" s="275"/>
      <c r="J33" s="280">
        <f t="shared" si="21"/>
        <v>5200</v>
      </c>
    </row>
    <row r="34" spans="1:15" ht="16" thickBot="1" x14ac:dyDescent="0.4">
      <c r="A34" s="196" t="s">
        <v>413</v>
      </c>
      <c r="B34" s="197">
        <v>26373175</v>
      </c>
      <c r="C34" s="273">
        <v>254700263765</v>
      </c>
      <c r="D34" s="242">
        <v>1200</v>
      </c>
      <c r="E34" s="242">
        <v>1200</v>
      </c>
      <c r="F34" s="242">
        <v>1200</v>
      </c>
      <c r="G34" s="242">
        <v>1200</v>
      </c>
      <c r="H34" s="242">
        <v>400</v>
      </c>
      <c r="I34" s="277"/>
      <c r="J34" s="281">
        <f t="shared" si="20"/>
        <v>5200</v>
      </c>
    </row>
    <row r="35" spans="1:15" x14ac:dyDescent="0.35">
      <c r="J35" s="251">
        <f>SUM(J28:J34)</f>
        <v>36400</v>
      </c>
    </row>
    <row r="36" spans="1:15" x14ac:dyDescent="0.35">
      <c r="J36" s="319">
        <f>800*7</f>
        <v>5600</v>
      </c>
    </row>
    <row r="37" spans="1:15" x14ac:dyDescent="0.35">
      <c r="J37" s="201">
        <f>J35+J36</f>
        <v>42000</v>
      </c>
      <c r="O37" s="198">
        <v>31</v>
      </c>
    </row>
    <row r="39" spans="1:15" x14ac:dyDescent="0.35">
      <c r="J39" s="198" t="s">
        <v>167</v>
      </c>
    </row>
  </sheetData>
  <mergeCells count="1">
    <mergeCell ref="B26:I26"/>
  </mergeCells>
  <dataValidations count="1">
    <dataValidation type="whole" operator="greaterThan" allowBlank="1" showInputMessage="1" showErrorMessage="1" errorTitle="Account Number" error="Error: AC Number has a maximum of 16 characters" promptTitle="Account Number" prompt="Numbers Only_x000a_Mpesa prefix with 2547..." sqref="C28:C34 E21:E22" xr:uid="{D90EFCDC-DD21-4EDC-826E-E61895583765}">
      <formula1>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16"/>
  <sheetViews>
    <sheetView zoomScale="60" zoomScaleNormal="60" workbookViewId="0">
      <selection activeCell="H16" sqref="H16"/>
    </sheetView>
  </sheetViews>
  <sheetFormatPr defaultRowHeight="14.5" x14ac:dyDescent="0.35"/>
  <cols>
    <col min="1" max="1" width="13.26953125" customWidth="1"/>
    <col min="2" max="2" width="34.08984375" bestFit="1" customWidth="1"/>
    <col min="3" max="3" width="8.26953125" bestFit="1" customWidth="1"/>
    <col min="4" max="4" width="11.26953125" bestFit="1" customWidth="1"/>
    <col min="5" max="5" width="14.08984375" bestFit="1" customWidth="1"/>
    <col min="14" max="14" width="10.54296875" bestFit="1" customWidth="1"/>
  </cols>
  <sheetData>
    <row r="1" spans="1:5" x14ac:dyDescent="0.35">
      <c r="A1" s="21" t="s">
        <v>10</v>
      </c>
      <c r="B1" s="21" t="s">
        <v>23</v>
      </c>
      <c r="C1" s="21" t="s">
        <v>25</v>
      </c>
      <c r="D1" s="21" t="s">
        <v>24</v>
      </c>
      <c r="E1" s="21" t="s">
        <v>9</v>
      </c>
    </row>
    <row r="2" spans="1:5" x14ac:dyDescent="0.35">
      <c r="A2" s="1" t="s">
        <v>450</v>
      </c>
      <c r="B2" s="1" t="s">
        <v>3</v>
      </c>
      <c r="C2" s="1">
        <v>7</v>
      </c>
      <c r="D2" s="1">
        <v>2750</v>
      </c>
      <c r="E2" s="1">
        <f>C2*D2</f>
        <v>19250</v>
      </c>
    </row>
    <row r="3" spans="1:5" x14ac:dyDescent="0.35">
      <c r="A3" s="1"/>
      <c r="B3" s="1" t="s">
        <v>637</v>
      </c>
      <c r="C3" s="1">
        <v>30</v>
      </c>
      <c r="D3" s="1">
        <f>112500/30</f>
        <v>3750</v>
      </c>
      <c r="E3" s="1">
        <f>C3*D3</f>
        <v>112500</v>
      </c>
    </row>
    <row r="4" spans="1:5" x14ac:dyDescent="0.35">
      <c r="A4" s="1"/>
      <c r="B4" s="1" t="s">
        <v>7</v>
      </c>
      <c r="C4" s="1">
        <v>1</v>
      </c>
      <c r="D4" s="1">
        <v>20000</v>
      </c>
      <c r="E4" s="1">
        <f>C4*D4</f>
        <v>20000</v>
      </c>
    </row>
    <row r="5" spans="1:5" x14ac:dyDescent="0.35">
      <c r="A5" s="19"/>
      <c r="B5" s="19"/>
      <c r="C5" s="19"/>
      <c r="D5" s="19"/>
      <c r="E5" s="20">
        <f>SUM(E2:E4)</f>
        <v>151750</v>
      </c>
    </row>
    <row r="6" spans="1:5" x14ac:dyDescent="0.35">
      <c r="A6" s="1" t="s">
        <v>452</v>
      </c>
      <c r="B6" s="1" t="s">
        <v>368</v>
      </c>
      <c r="C6" s="1">
        <v>1</v>
      </c>
      <c r="D6" s="1">
        <v>3000</v>
      </c>
      <c r="E6" s="1">
        <f>C6*D6</f>
        <v>3000</v>
      </c>
    </row>
    <row r="7" spans="1:5" x14ac:dyDescent="0.35">
      <c r="A7" s="1"/>
      <c r="B7" s="1" t="s">
        <v>605</v>
      </c>
      <c r="C7" s="1">
        <v>1</v>
      </c>
      <c r="D7" s="1">
        <v>9300</v>
      </c>
      <c r="E7" s="1">
        <f>C7*D7</f>
        <v>9300</v>
      </c>
    </row>
    <row r="8" spans="1:5" x14ac:dyDescent="0.35">
      <c r="A8" s="1"/>
      <c r="B8" s="1" t="s">
        <v>169</v>
      </c>
      <c r="C8" s="1">
        <v>1</v>
      </c>
      <c r="D8" s="1">
        <v>720000</v>
      </c>
      <c r="E8" s="1">
        <f>C8*D8</f>
        <v>720000</v>
      </c>
    </row>
    <row r="9" spans="1:5" x14ac:dyDescent="0.35">
      <c r="A9" s="1"/>
      <c r="B9" s="1" t="s">
        <v>7</v>
      </c>
      <c r="C9" s="1">
        <v>4</v>
      </c>
      <c r="D9" s="1">
        <f>17800/4</f>
        <v>4450</v>
      </c>
      <c r="E9" s="1">
        <f>C9*D9</f>
        <v>17800</v>
      </c>
    </row>
    <row r="10" spans="1:5" x14ac:dyDescent="0.35">
      <c r="A10" s="19"/>
      <c r="B10" s="19"/>
      <c r="C10" s="19"/>
      <c r="D10" s="19"/>
      <c r="E10" s="20">
        <f>SUM(E6:E9)</f>
        <v>750100</v>
      </c>
    </row>
    <row r="11" spans="1:5" x14ac:dyDescent="0.35">
      <c r="A11" s="1" t="s">
        <v>458</v>
      </c>
      <c r="B11" s="1" t="s">
        <v>7</v>
      </c>
      <c r="C11" s="1">
        <v>5</v>
      </c>
      <c r="D11" s="1">
        <v>4380</v>
      </c>
      <c r="E11" s="1">
        <f>C11*D11</f>
        <v>21900</v>
      </c>
    </row>
    <row r="12" spans="1:5" x14ac:dyDescent="0.35">
      <c r="A12" s="1"/>
      <c r="B12" s="1" t="s">
        <v>5</v>
      </c>
      <c r="C12" s="1">
        <v>1</v>
      </c>
      <c r="D12" s="1">
        <v>7500</v>
      </c>
      <c r="E12" s="1">
        <f>C12*D12</f>
        <v>7500</v>
      </c>
    </row>
    <row r="13" spans="1:5" x14ac:dyDescent="0.35">
      <c r="A13" s="1"/>
      <c r="B13" s="1" t="s">
        <v>3</v>
      </c>
      <c r="C13" s="1">
        <v>1</v>
      </c>
      <c r="D13" s="1">
        <v>26000</v>
      </c>
      <c r="E13" s="57">
        <f>C13*D13</f>
        <v>26000</v>
      </c>
    </row>
    <row r="14" spans="1:5" x14ac:dyDescent="0.35">
      <c r="A14" s="1"/>
      <c r="B14" s="1" t="s">
        <v>392</v>
      </c>
      <c r="C14" s="1">
        <v>1</v>
      </c>
      <c r="D14" s="1">
        <v>2900</v>
      </c>
      <c r="E14" s="1">
        <f>C14*D14</f>
        <v>2900</v>
      </c>
    </row>
    <row r="15" spans="1:5" x14ac:dyDescent="0.35">
      <c r="A15" s="19"/>
      <c r="B15" s="19"/>
      <c r="C15" s="19"/>
      <c r="D15" s="19"/>
      <c r="E15" s="20">
        <f>SUM(E11:E14)</f>
        <v>58300</v>
      </c>
    </row>
    <row r="16" spans="1:5" x14ac:dyDescent="0.35">
      <c r="A16" s="1" t="s">
        <v>461</v>
      </c>
      <c r="B16" s="1" t="s">
        <v>8</v>
      </c>
      <c r="C16" s="1">
        <v>1</v>
      </c>
      <c r="D16" s="1">
        <v>7000</v>
      </c>
      <c r="E16" s="1">
        <f>C16*D16</f>
        <v>7000</v>
      </c>
    </row>
    <row r="17" spans="1:5" x14ac:dyDescent="0.35">
      <c r="A17" s="1"/>
      <c r="B17" s="1" t="s">
        <v>591</v>
      </c>
      <c r="C17" s="1">
        <v>1</v>
      </c>
      <c r="D17" s="1">
        <v>4000</v>
      </c>
      <c r="E17" s="1">
        <f>C17*D17</f>
        <v>4000</v>
      </c>
    </row>
    <row r="18" spans="1:5" x14ac:dyDescent="0.35">
      <c r="A18" s="19"/>
      <c r="B18" s="19"/>
      <c r="C18" s="19"/>
      <c r="D18" s="19"/>
      <c r="E18" s="20">
        <f>SUM(E16:E17)</f>
        <v>11000</v>
      </c>
    </row>
    <row r="19" spans="1:5" x14ac:dyDescent="0.35">
      <c r="A19" s="1" t="s">
        <v>462</v>
      </c>
      <c r="B19" s="1" t="s">
        <v>368</v>
      </c>
      <c r="C19" s="1">
        <v>1</v>
      </c>
      <c r="D19" s="1">
        <v>4000</v>
      </c>
      <c r="E19" s="1">
        <f t="shared" ref="E19:E24" si="0">C19*D19</f>
        <v>4000</v>
      </c>
    </row>
    <row r="20" spans="1:5" x14ac:dyDescent="0.35">
      <c r="A20" s="1"/>
      <c r="B20" s="1" t="s">
        <v>4</v>
      </c>
      <c r="C20" s="1">
        <v>7</v>
      </c>
      <c r="D20" s="1">
        <f>51450/7</f>
        <v>7350</v>
      </c>
      <c r="E20" s="1">
        <f t="shared" si="0"/>
        <v>51450</v>
      </c>
    </row>
    <row r="21" spans="1:5" x14ac:dyDescent="0.35">
      <c r="A21" s="1"/>
      <c r="B21" s="1" t="s">
        <v>7</v>
      </c>
      <c r="C21" s="1">
        <v>4</v>
      </c>
      <c r="D21" s="1">
        <f>17600/4</f>
        <v>4400</v>
      </c>
      <c r="E21" s="1">
        <f t="shared" si="0"/>
        <v>17600</v>
      </c>
    </row>
    <row r="22" spans="1:5" x14ac:dyDescent="0.35">
      <c r="A22" s="1"/>
      <c r="B22" s="1" t="s">
        <v>606</v>
      </c>
      <c r="C22" s="1">
        <v>1</v>
      </c>
      <c r="D22" s="1">
        <v>60000</v>
      </c>
      <c r="E22" s="1">
        <f t="shared" si="0"/>
        <v>60000</v>
      </c>
    </row>
    <row r="23" spans="1:5" x14ac:dyDescent="0.35">
      <c r="A23" s="1"/>
      <c r="B23" s="1" t="s">
        <v>607</v>
      </c>
      <c r="C23" s="1">
        <v>1</v>
      </c>
      <c r="D23" s="1">
        <v>10000</v>
      </c>
      <c r="E23" s="1">
        <f t="shared" si="0"/>
        <v>10000</v>
      </c>
    </row>
    <row r="24" spans="1:5" x14ac:dyDescent="0.35">
      <c r="A24" s="1"/>
      <c r="B24" s="1" t="s">
        <v>608</v>
      </c>
      <c r="C24" s="1">
        <v>1</v>
      </c>
      <c r="D24" s="1">
        <v>1000</v>
      </c>
      <c r="E24" s="1">
        <f t="shared" si="0"/>
        <v>1000</v>
      </c>
    </row>
    <row r="25" spans="1:5" x14ac:dyDescent="0.35">
      <c r="A25" s="19"/>
      <c r="B25" s="19"/>
      <c r="C25" s="19"/>
      <c r="D25" s="19"/>
      <c r="E25" s="20">
        <f>SUM(E19:E24)</f>
        <v>144050</v>
      </c>
    </row>
    <row r="26" spans="1:5" x14ac:dyDescent="0.35">
      <c r="A26" s="1" t="s">
        <v>464</v>
      </c>
      <c r="B26" s="1" t="s">
        <v>7</v>
      </c>
      <c r="C26" s="57">
        <v>3</v>
      </c>
      <c r="D26" s="1">
        <v>4400</v>
      </c>
      <c r="E26" s="1">
        <f>C26*D26</f>
        <v>13200</v>
      </c>
    </row>
    <row r="27" spans="1:5" x14ac:dyDescent="0.35">
      <c r="A27" s="1"/>
      <c r="B27" s="1" t="s">
        <v>5</v>
      </c>
      <c r="C27" s="57">
        <v>5</v>
      </c>
      <c r="D27" s="1">
        <v>260</v>
      </c>
      <c r="E27" s="1">
        <f>C27*D27</f>
        <v>1300</v>
      </c>
    </row>
    <row r="28" spans="1:5" x14ac:dyDescent="0.35">
      <c r="A28" s="1"/>
      <c r="B28" s="1" t="s">
        <v>3</v>
      </c>
      <c r="C28" s="57">
        <v>20</v>
      </c>
      <c r="D28" s="1">
        <v>270</v>
      </c>
      <c r="E28" s="1">
        <f>C28*D28</f>
        <v>5400</v>
      </c>
    </row>
    <row r="29" spans="1:5" x14ac:dyDescent="0.35">
      <c r="A29" s="1"/>
      <c r="B29" s="1" t="s">
        <v>7</v>
      </c>
      <c r="C29" s="57">
        <v>4</v>
      </c>
      <c r="D29" s="1">
        <v>4450</v>
      </c>
      <c r="E29" s="1">
        <f>C29*D29</f>
        <v>17800</v>
      </c>
    </row>
    <row r="30" spans="1:5" x14ac:dyDescent="0.35">
      <c r="A30" s="1"/>
      <c r="B30" s="1" t="s">
        <v>8</v>
      </c>
      <c r="C30" s="57">
        <v>1</v>
      </c>
      <c r="D30" s="1">
        <v>7000</v>
      </c>
      <c r="E30" s="1">
        <f>C30*D30</f>
        <v>7000</v>
      </c>
    </row>
    <row r="31" spans="1:5" x14ac:dyDescent="0.35">
      <c r="A31" s="19"/>
      <c r="B31" s="19"/>
      <c r="C31" s="19"/>
      <c r="D31" s="19"/>
      <c r="E31" s="20">
        <f>SUM(E26:E30)</f>
        <v>44700</v>
      </c>
    </row>
    <row r="32" spans="1:5" x14ac:dyDescent="0.35">
      <c r="A32" s="1" t="s">
        <v>466</v>
      </c>
      <c r="B32" s="1" t="s">
        <v>8</v>
      </c>
      <c r="C32" s="1">
        <v>1</v>
      </c>
      <c r="D32" s="1">
        <v>7000</v>
      </c>
      <c r="E32" s="1">
        <f>C32*D32</f>
        <v>7000</v>
      </c>
    </row>
    <row r="33" spans="1:5" x14ac:dyDescent="0.35">
      <c r="A33" s="1"/>
      <c r="B33" s="1" t="s">
        <v>581</v>
      </c>
      <c r="C33" s="1">
        <v>1</v>
      </c>
      <c r="D33" s="1">
        <v>13000</v>
      </c>
      <c r="E33" s="1">
        <f>C33*D33</f>
        <v>13000</v>
      </c>
    </row>
    <row r="34" spans="1:5" x14ac:dyDescent="0.35">
      <c r="A34" s="1"/>
      <c r="B34" s="1" t="s">
        <v>4</v>
      </c>
      <c r="C34" s="1">
        <v>10</v>
      </c>
      <c r="D34" s="1">
        <v>7100</v>
      </c>
      <c r="E34" s="1">
        <f t="shared" ref="E34:E40" si="1">C34*D34</f>
        <v>71000</v>
      </c>
    </row>
    <row r="35" spans="1:5" x14ac:dyDescent="0.35">
      <c r="A35" s="1"/>
      <c r="B35" s="1" t="s">
        <v>3</v>
      </c>
      <c r="C35" s="1">
        <v>60</v>
      </c>
      <c r="D35" s="1">
        <v>2390</v>
      </c>
      <c r="E35" s="1">
        <f t="shared" si="1"/>
        <v>143400</v>
      </c>
    </row>
    <row r="36" spans="1:5" x14ac:dyDescent="0.35">
      <c r="A36" s="1"/>
      <c r="B36" s="1" t="s">
        <v>54</v>
      </c>
      <c r="C36" s="1">
        <v>15</v>
      </c>
      <c r="D36" s="1">
        <v>280</v>
      </c>
      <c r="E36" s="1">
        <f t="shared" si="1"/>
        <v>4200</v>
      </c>
    </row>
    <row r="37" spans="1:5" x14ac:dyDescent="0.35">
      <c r="A37" s="1"/>
      <c r="B37" s="1" t="s">
        <v>5</v>
      </c>
      <c r="C37" s="1">
        <v>5</v>
      </c>
      <c r="D37" s="1">
        <v>5000</v>
      </c>
      <c r="E37" s="1">
        <f t="shared" si="1"/>
        <v>25000</v>
      </c>
    </row>
    <row r="38" spans="1:5" x14ac:dyDescent="0.35">
      <c r="A38" s="1"/>
      <c r="B38" s="1" t="s">
        <v>7</v>
      </c>
      <c r="C38" s="1">
        <v>56</v>
      </c>
      <c r="D38" s="1">
        <v>4350</v>
      </c>
      <c r="E38" s="1">
        <f t="shared" si="1"/>
        <v>243600</v>
      </c>
    </row>
    <row r="39" spans="1:5" x14ac:dyDescent="0.35">
      <c r="A39" s="1"/>
      <c r="B39" s="1"/>
      <c r="C39" s="1"/>
      <c r="D39" s="1"/>
      <c r="E39" s="1">
        <f t="shared" si="1"/>
        <v>0</v>
      </c>
    </row>
    <row r="40" spans="1:5" x14ac:dyDescent="0.35">
      <c r="A40" s="1"/>
      <c r="B40" s="1"/>
      <c r="C40" s="1"/>
      <c r="D40" s="1"/>
      <c r="E40" s="1">
        <f t="shared" si="1"/>
        <v>0</v>
      </c>
    </row>
    <row r="41" spans="1:5" x14ac:dyDescent="0.35">
      <c r="A41" s="19"/>
      <c r="B41" s="19"/>
      <c r="C41" s="19"/>
      <c r="D41" s="19"/>
      <c r="E41" s="20">
        <f>SUM(E32:E40)</f>
        <v>507200</v>
      </c>
    </row>
    <row r="42" spans="1:5" x14ac:dyDescent="0.35">
      <c r="A42" s="1" t="s">
        <v>467</v>
      </c>
      <c r="B42" s="1" t="s">
        <v>8</v>
      </c>
      <c r="C42" s="1">
        <v>1</v>
      </c>
      <c r="D42" s="1">
        <v>7000</v>
      </c>
      <c r="E42" s="1">
        <f t="shared" ref="E42:E47" si="2">C42*D42</f>
        <v>7000</v>
      </c>
    </row>
    <row r="43" spans="1:5" x14ac:dyDescent="0.35">
      <c r="A43" s="1"/>
      <c r="B43" s="1" t="s">
        <v>446</v>
      </c>
      <c r="C43" s="1">
        <v>1</v>
      </c>
      <c r="D43" s="1">
        <v>113850</v>
      </c>
      <c r="E43" s="1">
        <f t="shared" si="2"/>
        <v>113850</v>
      </c>
    </row>
    <row r="44" spans="1:5" x14ac:dyDescent="0.35">
      <c r="A44" s="1"/>
      <c r="B44" s="1" t="s">
        <v>447</v>
      </c>
      <c r="C44" s="1">
        <v>1</v>
      </c>
      <c r="D44" s="1">
        <v>5000</v>
      </c>
      <c r="E44" s="1">
        <f t="shared" si="2"/>
        <v>5000</v>
      </c>
    </row>
    <row r="45" spans="1:5" x14ac:dyDescent="0.35">
      <c r="A45" s="1"/>
      <c r="B45" s="1" t="s">
        <v>368</v>
      </c>
      <c r="C45" s="1">
        <v>1</v>
      </c>
      <c r="D45" s="1">
        <v>5000</v>
      </c>
      <c r="E45" s="1">
        <f t="shared" si="2"/>
        <v>5000</v>
      </c>
    </row>
    <row r="46" spans="1:5" x14ac:dyDescent="0.35">
      <c r="A46" s="1"/>
      <c r="B46" s="1" t="s">
        <v>608</v>
      </c>
      <c r="C46" s="1">
        <v>1</v>
      </c>
      <c r="D46" s="1">
        <v>3000</v>
      </c>
      <c r="E46" s="1">
        <f t="shared" si="2"/>
        <v>3000</v>
      </c>
    </row>
    <row r="47" spans="1:5" x14ac:dyDescent="0.35">
      <c r="A47" s="1"/>
      <c r="B47" s="1" t="s">
        <v>206</v>
      </c>
      <c r="C47" s="1">
        <v>1</v>
      </c>
      <c r="D47" s="1">
        <v>51244</v>
      </c>
      <c r="E47" s="1">
        <f t="shared" si="2"/>
        <v>51244</v>
      </c>
    </row>
    <row r="48" spans="1:5" x14ac:dyDescent="0.35">
      <c r="A48" s="19"/>
      <c r="B48" s="19"/>
      <c r="C48" s="19"/>
      <c r="D48" s="19"/>
      <c r="E48" s="20">
        <f>SUM(E42:E47)</f>
        <v>185094</v>
      </c>
    </row>
    <row r="49" spans="1:5" x14ac:dyDescent="0.35">
      <c r="A49" s="1" t="s">
        <v>484</v>
      </c>
      <c r="B49" s="1" t="s">
        <v>169</v>
      </c>
      <c r="C49" s="1">
        <v>1</v>
      </c>
      <c r="D49" s="1">
        <v>720000</v>
      </c>
      <c r="E49" s="1">
        <f t="shared" ref="E49:E54" si="3">C49*D49</f>
        <v>720000</v>
      </c>
    </row>
    <row r="50" spans="1:5" x14ac:dyDescent="0.35">
      <c r="A50" s="1"/>
      <c r="B50" s="1" t="s">
        <v>4</v>
      </c>
      <c r="C50" s="1">
        <v>7</v>
      </c>
      <c r="D50" s="1">
        <v>7300</v>
      </c>
      <c r="E50" s="1">
        <f t="shared" si="3"/>
        <v>51100</v>
      </c>
    </row>
    <row r="51" spans="1:5" x14ac:dyDescent="0.35">
      <c r="A51" s="1"/>
      <c r="B51" s="1" t="s">
        <v>26</v>
      </c>
      <c r="C51" s="1">
        <v>1</v>
      </c>
      <c r="D51" s="1">
        <v>8600</v>
      </c>
      <c r="E51" s="1">
        <f t="shared" si="3"/>
        <v>8600</v>
      </c>
    </row>
    <row r="52" spans="1:5" x14ac:dyDescent="0.35">
      <c r="A52" s="1"/>
      <c r="B52" s="1" t="s">
        <v>609</v>
      </c>
      <c r="C52" s="1">
        <v>1</v>
      </c>
      <c r="D52" s="1">
        <v>15000</v>
      </c>
      <c r="E52" s="1">
        <f t="shared" si="3"/>
        <v>15000</v>
      </c>
    </row>
    <row r="53" spans="1:5" x14ac:dyDescent="0.35">
      <c r="A53" s="1"/>
      <c r="B53" s="1" t="s">
        <v>384</v>
      </c>
      <c r="C53" s="1">
        <v>1</v>
      </c>
      <c r="D53" s="1">
        <v>60000</v>
      </c>
      <c r="E53" s="1">
        <f t="shared" si="3"/>
        <v>60000</v>
      </c>
    </row>
    <row r="54" spans="1:5" x14ac:dyDescent="0.35">
      <c r="A54" s="1"/>
      <c r="B54" s="1" t="s">
        <v>368</v>
      </c>
      <c r="C54" s="1">
        <v>1</v>
      </c>
      <c r="D54" s="1">
        <v>5000</v>
      </c>
      <c r="E54" s="1">
        <f t="shared" si="3"/>
        <v>5000</v>
      </c>
    </row>
    <row r="55" spans="1:5" x14ac:dyDescent="0.35">
      <c r="A55" s="19"/>
      <c r="B55" s="19"/>
      <c r="C55" s="19"/>
      <c r="D55" s="19"/>
      <c r="E55" s="20">
        <f>SUM(E49:E54)</f>
        <v>859700</v>
      </c>
    </row>
    <row r="56" spans="1:5" x14ac:dyDescent="0.35">
      <c r="A56" s="1" t="s">
        <v>490</v>
      </c>
      <c r="B56" s="1" t="s">
        <v>610</v>
      </c>
      <c r="C56" s="1">
        <v>1</v>
      </c>
      <c r="D56" s="1">
        <v>7250</v>
      </c>
      <c r="E56" s="1">
        <f>C56*D56</f>
        <v>7250</v>
      </c>
    </row>
    <row r="57" spans="1:5" x14ac:dyDescent="0.35">
      <c r="A57" s="1"/>
      <c r="B57" s="1" t="s">
        <v>611</v>
      </c>
      <c r="C57" s="1">
        <v>1</v>
      </c>
      <c r="D57" s="1">
        <v>6000</v>
      </c>
      <c r="E57" s="1">
        <f>C57*D57</f>
        <v>6000</v>
      </c>
    </row>
    <row r="58" spans="1:5" x14ac:dyDescent="0.35">
      <c r="A58" s="19"/>
      <c r="B58" s="19"/>
      <c r="C58" s="19"/>
      <c r="D58" s="19"/>
      <c r="E58" s="20">
        <f>SUM(E56:E57)</f>
        <v>13250</v>
      </c>
    </row>
    <row r="59" spans="1:5" x14ac:dyDescent="0.35">
      <c r="A59" s="1" t="s">
        <v>495</v>
      </c>
      <c r="B59" s="1" t="s">
        <v>392</v>
      </c>
      <c r="C59" s="1">
        <v>1</v>
      </c>
      <c r="D59" s="1">
        <v>1860</v>
      </c>
      <c r="E59" s="1">
        <f>C59*D59</f>
        <v>1860</v>
      </c>
    </row>
    <row r="60" spans="1:5" x14ac:dyDescent="0.35">
      <c r="A60" s="1"/>
      <c r="B60" s="1" t="s">
        <v>362</v>
      </c>
      <c r="C60" s="1">
        <v>50</v>
      </c>
      <c r="D60" s="1">
        <v>4500</v>
      </c>
      <c r="E60" s="1">
        <f>C60*D60</f>
        <v>225000</v>
      </c>
    </row>
    <row r="61" spans="1:5" x14ac:dyDescent="0.35">
      <c r="A61" s="1"/>
      <c r="B61" s="1" t="s">
        <v>4</v>
      </c>
      <c r="C61" s="1">
        <v>15</v>
      </c>
      <c r="D61" s="1">
        <v>7150</v>
      </c>
      <c r="E61" s="1">
        <f t="shared" ref="E61:E65" si="4">C61*D61</f>
        <v>107250</v>
      </c>
    </row>
    <row r="62" spans="1:5" x14ac:dyDescent="0.35">
      <c r="A62" s="1"/>
      <c r="B62" s="1" t="s">
        <v>588</v>
      </c>
      <c r="C62" s="1">
        <v>60</v>
      </c>
      <c r="D62" s="1">
        <v>2350</v>
      </c>
      <c r="E62" s="1">
        <f t="shared" si="4"/>
        <v>141000</v>
      </c>
    </row>
    <row r="63" spans="1:5" x14ac:dyDescent="0.35">
      <c r="A63" s="1"/>
      <c r="B63" s="1" t="s">
        <v>5</v>
      </c>
      <c r="C63" s="1">
        <v>100</v>
      </c>
      <c r="D63" s="1">
        <v>235</v>
      </c>
      <c r="E63" s="1">
        <f t="shared" si="4"/>
        <v>23500</v>
      </c>
    </row>
    <row r="64" spans="1:5" x14ac:dyDescent="0.35">
      <c r="A64" s="1"/>
      <c r="B64" s="1" t="s">
        <v>392</v>
      </c>
      <c r="C64" s="1">
        <v>13</v>
      </c>
      <c r="D64" s="1">
        <v>255</v>
      </c>
      <c r="E64" s="1">
        <f t="shared" si="4"/>
        <v>3315</v>
      </c>
    </row>
    <row r="65" spans="1:5" x14ac:dyDescent="0.35">
      <c r="A65" s="1"/>
      <c r="B65" s="1" t="s">
        <v>589</v>
      </c>
      <c r="C65" s="1">
        <v>1</v>
      </c>
      <c r="D65" s="1">
        <v>500</v>
      </c>
      <c r="E65" s="1">
        <f t="shared" si="4"/>
        <v>500</v>
      </c>
    </row>
    <row r="66" spans="1:5" x14ac:dyDescent="0.35">
      <c r="A66" s="19"/>
      <c r="B66" s="19"/>
      <c r="C66" s="19"/>
      <c r="D66" s="19"/>
      <c r="E66" s="20">
        <f>SUM(E59:E65)</f>
        <v>502425</v>
      </c>
    </row>
    <row r="67" spans="1:5" x14ac:dyDescent="0.35">
      <c r="A67" s="1" t="s">
        <v>498</v>
      </c>
      <c r="B67" s="1" t="s">
        <v>362</v>
      </c>
      <c r="C67" s="1">
        <v>50</v>
      </c>
      <c r="D67" s="1">
        <v>4550</v>
      </c>
      <c r="E67" s="1">
        <f>C67*D67</f>
        <v>227500</v>
      </c>
    </row>
    <row r="68" spans="1:5" x14ac:dyDescent="0.35">
      <c r="A68" s="1"/>
      <c r="B68" s="1" t="s">
        <v>4</v>
      </c>
      <c r="C68" s="1">
        <v>15</v>
      </c>
      <c r="D68" s="1">
        <v>7250</v>
      </c>
      <c r="E68" s="1">
        <f t="shared" ref="E68:E74" si="5">C68*D68</f>
        <v>108750</v>
      </c>
    </row>
    <row r="69" spans="1:5" x14ac:dyDescent="0.35">
      <c r="A69" s="1"/>
      <c r="B69" s="1" t="s">
        <v>587</v>
      </c>
      <c r="C69" s="1">
        <v>56</v>
      </c>
      <c r="D69" s="1">
        <v>2390</v>
      </c>
      <c r="E69" s="1">
        <f t="shared" si="5"/>
        <v>133840</v>
      </c>
    </row>
    <row r="70" spans="1:5" x14ac:dyDescent="0.35">
      <c r="A70" s="1"/>
      <c r="B70" s="1" t="s">
        <v>151</v>
      </c>
      <c r="C70" s="1">
        <v>26</v>
      </c>
      <c r="D70" s="1">
        <v>280</v>
      </c>
      <c r="E70" s="1">
        <f t="shared" si="5"/>
        <v>7280</v>
      </c>
    </row>
    <row r="71" spans="1:5" x14ac:dyDescent="0.35">
      <c r="A71" s="1"/>
      <c r="B71" s="1" t="s">
        <v>5</v>
      </c>
      <c r="C71" s="1">
        <v>4</v>
      </c>
      <c r="D71" s="1">
        <v>5000</v>
      </c>
      <c r="E71" s="1">
        <f t="shared" si="5"/>
        <v>20000</v>
      </c>
    </row>
    <row r="72" spans="1:5" x14ac:dyDescent="0.35">
      <c r="A72" s="1"/>
      <c r="B72" s="1" t="s">
        <v>612</v>
      </c>
      <c r="C72" s="1">
        <v>1</v>
      </c>
      <c r="D72" s="1">
        <v>5000</v>
      </c>
      <c r="E72" s="1">
        <f t="shared" si="5"/>
        <v>5000</v>
      </c>
    </row>
    <row r="73" spans="1:5" x14ac:dyDescent="0.35">
      <c r="A73" s="1"/>
      <c r="B73" s="1" t="s">
        <v>613</v>
      </c>
      <c r="C73" s="1">
        <v>1</v>
      </c>
      <c r="D73" s="1">
        <v>2000</v>
      </c>
      <c r="E73" s="1">
        <f t="shared" si="5"/>
        <v>2000</v>
      </c>
    </row>
    <row r="74" spans="1:5" x14ac:dyDescent="0.35">
      <c r="A74" s="1"/>
      <c r="B74" s="1" t="s">
        <v>392</v>
      </c>
      <c r="C74" s="1">
        <v>10</v>
      </c>
      <c r="D74" s="1">
        <v>250</v>
      </c>
      <c r="E74" s="1">
        <f t="shared" si="5"/>
        <v>2500</v>
      </c>
    </row>
    <row r="75" spans="1:5" x14ac:dyDescent="0.35">
      <c r="A75" s="19"/>
      <c r="B75" s="19"/>
      <c r="C75" s="19"/>
      <c r="D75" s="19"/>
      <c r="E75" s="20">
        <f>SUM(E67:E74)</f>
        <v>506870</v>
      </c>
    </row>
    <row r="76" spans="1:5" x14ac:dyDescent="0.35">
      <c r="A76" s="1" t="s">
        <v>499</v>
      </c>
      <c r="B76" s="1" t="s">
        <v>614</v>
      </c>
      <c r="C76" s="1">
        <v>1</v>
      </c>
      <c r="D76" s="1">
        <v>350000</v>
      </c>
      <c r="E76" s="1">
        <f t="shared" ref="E76:E81" si="6">C76*D76</f>
        <v>350000</v>
      </c>
    </row>
    <row r="77" spans="1:5" x14ac:dyDescent="0.35">
      <c r="A77" s="1"/>
      <c r="B77" s="1" t="s">
        <v>582</v>
      </c>
      <c r="C77" s="1">
        <v>1</v>
      </c>
      <c r="D77" s="1">
        <v>7724</v>
      </c>
      <c r="E77" s="1">
        <f t="shared" si="6"/>
        <v>7724</v>
      </c>
    </row>
    <row r="78" spans="1:5" x14ac:dyDescent="0.35">
      <c r="A78" s="1"/>
      <c r="B78" s="1" t="s">
        <v>615</v>
      </c>
      <c r="C78" s="1">
        <v>1</v>
      </c>
      <c r="D78" s="1">
        <v>135500</v>
      </c>
      <c r="E78" s="1">
        <f t="shared" si="6"/>
        <v>135500</v>
      </c>
    </row>
    <row r="79" spans="1:5" x14ac:dyDescent="0.35">
      <c r="A79" s="1"/>
      <c r="B79" s="1" t="s">
        <v>384</v>
      </c>
      <c r="C79" s="1">
        <v>1</v>
      </c>
      <c r="D79" s="1">
        <v>70000</v>
      </c>
      <c r="E79" s="1">
        <f t="shared" si="6"/>
        <v>70000</v>
      </c>
    </row>
    <row r="80" spans="1:5" x14ac:dyDescent="0.35">
      <c r="A80" s="1"/>
      <c r="B80" s="1" t="s">
        <v>368</v>
      </c>
      <c r="C80" s="1">
        <v>1</v>
      </c>
      <c r="D80" s="1">
        <v>5000</v>
      </c>
      <c r="E80" s="1">
        <f t="shared" si="6"/>
        <v>5000</v>
      </c>
    </row>
    <row r="81" spans="1:5" x14ac:dyDescent="0.35">
      <c r="A81" s="1"/>
      <c r="B81" s="1" t="s">
        <v>616</v>
      </c>
      <c r="C81" s="1">
        <v>1</v>
      </c>
      <c r="D81" s="1">
        <v>100000</v>
      </c>
      <c r="E81" s="1">
        <f t="shared" si="6"/>
        <v>100000</v>
      </c>
    </row>
    <row r="82" spans="1:5" x14ac:dyDescent="0.35">
      <c r="A82" s="19"/>
      <c r="B82" s="19"/>
      <c r="C82" s="19"/>
      <c r="D82" s="19"/>
      <c r="E82" s="20">
        <f>SUM(E76:E81)</f>
        <v>668224</v>
      </c>
    </row>
    <row r="83" spans="1:5" x14ac:dyDescent="0.35">
      <c r="A83" s="1" t="s">
        <v>514</v>
      </c>
      <c r="B83" s="1" t="s">
        <v>584</v>
      </c>
      <c r="C83" s="1">
        <v>1</v>
      </c>
      <c r="D83" s="1">
        <v>22400</v>
      </c>
      <c r="E83" s="1">
        <f>C83*D83</f>
        <v>22400</v>
      </c>
    </row>
    <row r="84" spans="1:5" x14ac:dyDescent="0.35">
      <c r="A84" s="1"/>
      <c r="B84" s="1" t="s">
        <v>585</v>
      </c>
      <c r="C84" s="1">
        <v>1</v>
      </c>
      <c r="D84" s="1">
        <v>8000</v>
      </c>
      <c r="E84" s="1">
        <f>C84*D84</f>
        <v>8000</v>
      </c>
    </row>
    <row r="85" spans="1:5" x14ac:dyDescent="0.35">
      <c r="A85" s="1"/>
      <c r="B85" s="1" t="s">
        <v>586</v>
      </c>
      <c r="C85" s="1">
        <v>1</v>
      </c>
      <c r="D85" s="1">
        <v>3550</v>
      </c>
      <c r="E85" s="1">
        <f>C85*D85</f>
        <v>3550</v>
      </c>
    </row>
    <row r="86" spans="1:5" x14ac:dyDescent="0.35">
      <c r="A86" s="1"/>
      <c r="B86" s="1" t="s">
        <v>372</v>
      </c>
      <c r="C86" s="1">
        <v>1</v>
      </c>
      <c r="D86" s="1">
        <v>60000</v>
      </c>
      <c r="E86" s="1">
        <f>C86*D86</f>
        <v>60000</v>
      </c>
    </row>
    <row r="87" spans="1:5" x14ac:dyDescent="0.35">
      <c r="A87" s="1"/>
      <c r="B87" s="1" t="s">
        <v>383</v>
      </c>
      <c r="C87" s="1">
        <v>1</v>
      </c>
      <c r="D87" s="1">
        <v>40000</v>
      </c>
      <c r="E87" s="1">
        <f>C87*D87</f>
        <v>40000</v>
      </c>
    </row>
    <row r="88" spans="1:5" x14ac:dyDescent="0.35">
      <c r="A88" s="19"/>
      <c r="B88" s="19"/>
      <c r="C88" s="19"/>
      <c r="D88" s="19"/>
      <c r="E88" s="20">
        <f>SUM(E83:E87)</f>
        <v>133950</v>
      </c>
    </row>
    <row r="89" spans="1:5" x14ac:dyDescent="0.35">
      <c r="A89" s="1" t="s">
        <v>515</v>
      </c>
      <c r="B89" s="1" t="s">
        <v>8</v>
      </c>
      <c r="C89" s="1">
        <v>1</v>
      </c>
      <c r="D89" s="1">
        <v>7000</v>
      </c>
      <c r="E89" s="1">
        <f t="shared" ref="E89:E92" si="7">C89*D89</f>
        <v>7000</v>
      </c>
    </row>
    <row r="90" spans="1:5" x14ac:dyDescent="0.35">
      <c r="A90" s="1"/>
      <c r="B90" s="1" t="s">
        <v>582</v>
      </c>
      <c r="C90" s="1">
        <v>1</v>
      </c>
      <c r="D90" s="1">
        <v>7574</v>
      </c>
      <c r="E90" s="1">
        <f t="shared" si="7"/>
        <v>7574</v>
      </c>
    </row>
    <row r="91" spans="1:5" x14ac:dyDescent="0.35">
      <c r="A91" s="1"/>
      <c r="B91" s="1" t="s">
        <v>583</v>
      </c>
      <c r="C91" s="1">
        <v>1</v>
      </c>
      <c r="D91" s="1">
        <v>4000</v>
      </c>
      <c r="E91" s="1">
        <f t="shared" si="7"/>
        <v>4000</v>
      </c>
    </row>
    <row r="92" spans="1:5" x14ac:dyDescent="0.35">
      <c r="A92" s="1"/>
      <c r="B92" s="1" t="s">
        <v>448</v>
      </c>
      <c r="C92" s="1">
        <v>1</v>
      </c>
      <c r="D92" s="1">
        <v>1500</v>
      </c>
      <c r="E92" s="1">
        <f t="shared" si="7"/>
        <v>1500</v>
      </c>
    </row>
    <row r="93" spans="1:5" x14ac:dyDescent="0.35">
      <c r="A93" s="19"/>
      <c r="B93" s="19"/>
      <c r="C93" s="19"/>
      <c r="D93" s="19"/>
      <c r="E93" s="20">
        <f>SUM(E89:E92)</f>
        <v>20074</v>
      </c>
    </row>
    <row r="94" spans="1:5" x14ac:dyDescent="0.35">
      <c r="A94" s="1" t="s">
        <v>579</v>
      </c>
      <c r="B94" s="1" t="s">
        <v>580</v>
      </c>
      <c r="C94" s="1">
        <v>1</v>
      </c>
      <c r="D94" s="1">
        <f>67+72+72+67+99+83+67+72+67+99+72+72+72+67+72+108+103+108+103</f>
        <v>1542</v>
      </c>
      <c r="E94" s="1">
        <f t="shared" ref="E94:E99" si="8">C94*D94</f>
        <v>1542</v>
      </c>
    </row>
    <row r="95" spans="1:5" x14ac:dyDescent="0.35">
      <c r="A95" s="1"/>
      <c r="B95" s="1" t="s">
        <v>617</v>
      </c>
      <c r="C95" s="1">
        <v>1</v>
      </c>
      <c r="D95" s="1">
        <v>2083</v>
      </c>
      <c r="E95" s="1">
        <v>2083</v>
      </c>
    </row>
    <row r="96" spans="1:5" x14ac:dyDescent="0.35">
      <c r="A96" s="1"/>
      <c r="B96" s="1" t="s">
        <v>618</v>
      </c>
      <c r="C96" s="1">
        <v>1</v>
      </c>
      <c r="D96" s="1">
        <v>2139</v>
      </c>
      <c r="E96" s="1">
        <f>C96*D96</f>
        <v>2139</v>
      </c>
    </row>
    <row r="97" spans="1:22" x14ac:dyDescent="0.35">
      <c r="A97" s="1"/>
      <c r="B97" s="1" t="s">
        <v>619</v>
      </c>
      <c r="C97" s="1">
        <v>1</v>
      </c>
      <c r="D97" s="1">
        <v>673</v>
      </c>
      <c r="E97" s="1">
        <f>C97*D97</f>
        <v>673</v>
      </c>
    </row>
    <row r="98" spans="1:22" x14ac:dyDescent="0.35">
      <c r="A98" s="1"/>
      <c r="B98" s="1" t="s">
        <v>383</v>
      </c>
      <c r="C98" s="1">
        <v>1</v>
      </c>
      <c r="D98" s="1">
        <v>30000</v>
      </c>
      <c r="E98" s="1">
        <f t="shared" si="8"/>
        <v>30000</v>
      </c>
    </row>
    <row r="99" spans="1:22" x14ac:dyDescent="0.35">
      <c r="A99" s="1"/>
      <c r="B99" s="1" t="s">
        <v>8</v>
      </c>
      <c r="C99" s="1">
        <v>1</v>
      </c>
      <c r="D99" s="1">
        <v>7000</v>
      </c>
      <c r="E99" s="1">
        <f t="shared" si="8"/>
        <v>7000</v>
      </c>
    </row>
    <row r="100" spans="1:22" x14ac:dyDescent="0.35">
      <c r="A100" s="1"/>
      <c r="B100" s="1" t="s">
        <v>581</v>
      </c>
      <c r="C100" s="57">
        <v>1</v>
      </c>
      <c r="D100" s="1">
        <v>13000</v>
      </c>
      <c r="E100" s="1">
        <f t="shared" ref="E100:E105" si="9">C100*D100</f>
        <v>13000</v>
      </c>
    </row>
    <row r="101" spans="1:22" x14ac:dyDescent="0.35">
      <c r="A101" s="1"/>
      <c r="B101" s="1" t="s">
        <v>448</v>
      </c>
      <c r="C101" s="1">
        <v>1</v>
      </c>
      <c r="D101" s="1">
        <v>2000</v>
      </c>
      <c r="E101" s="1">
        <f t="shared" si="9"/>
        <v>2000</v>
      </c>
    </row>
    <row r="102" spans="1:22" x14ac:dyDescent="0.35">
      <c r="A102" s="1"/>
      <c r="B102" s="1" t="s">
        <v>601</v>
      </c>
      <c r="C102" s="1">
        <v>1</v>
      </c>
      <c r="D102" s="1">
        <f>'Staff Salaries'!W2+'Staff Salaries'!W3+'Staff Salaries'!W16+'Staff Salaries'!W15</f>
        <v>64270</v>
      </c>
      <c r="E102" s="1">
        <f t="shared" si="9"/>
        <v>64270</v>
      </c>
    </row>
    <row r="103" spans="1:22" x14ac:dyDescent="0.35">
      <c r="A103" s="1"/>
      <c r="B103" s="1" t="s">
        <v>604</v>
      </c>
      <c r="C103" s="1">
        <v>1</v>
      </c>
      <c r="D103" s="57">
        <f>'Staff Salaries'!W12+'Staff Salaries'!W13+'Staff Salaries'!W22</f>
        <v>14418.833333333332</v>
      </c>
      <c r="E103" s="57">
        <f t="shared" si="9"/>
        <v>14418.833333333332</v>
      </c>
    </row>
    <row r="104" spans="1:22" x14ac:dyDescent="0.35">
      <c r="A104" s="1"/>
      <c r="B104" s="1" t="s">
        <v>602</v>
      </c>
      <c r="C104" s="1">
        <v>1</v>
      </c>
      <c r="D104" s="1">
        <f>'Staff Salaries'!W4+'Staff Salaries'!W5+'Staff Salaries'!W6+'Staff Salaries'!W7+'Staff Salaries'!W8+'Staff Salaries'!W9+'Staff Salaries'!W10+'Staff Salaries'!W11+'Staff Salaries'!W14+'Staff Salaries'!W17+'Staff Salaries'!W19+'Staff Salaries'!W20+'Staff Salaries'!W21</f>
        <v>114434</v>
      </c>
      <c r="E104" s="1">
        <f t="shared" si="9"/>
        <v>114434</v>
      </c>
    </row>
    <row r="105" spans="1:22" x14ac:dyDescent="0.35">
      <c r="A105" s="1"/>
      <c r="B105" s="1" t="s">
        <v>603</v>
      </c>
      <c r="C105" s="1">
        <v>1</v>
      </c>
      <c r="D105" s="1">
        <v>42000</v>
      </c>
      <c r="E105" s="1">
        <f t="shared" si="9"/>
        <v>42000</v>
      </c>
      <c r="V105" t="s">
        <v>8</v>
      </c>
    </row>
    <row r="106" spans="1:22" x14ac:dyDescent="0.35">
      <c r="A106" s="1"/>
      <c r="B106" s="1"/>
      <c r="C106" s="1"/>
      <c r="D106" s="1"/>
      <c r="E106" s="1"/>
    </row>
    <row r="107" spans="1:22" x14ac:dyDescent="0.35">
      <c r="A107" s="19"/>
      <c r="B107" s="187"/>
      <c r="C107" s="19"/>
      <c r="D107" s="19"/>
      <c r="E107" s="20">
        <f>SUM(E94:E106)</f>
        <v>293559.83333333337</v>
      </c>
    </row>
    <row r="108" spans="1:22" x14ac:dyDescent="0.35">
      <c r="A108" s="1"/>
      <c r="B108" s="3"/>
      <c r="C108" s="1"/>
      <c r="D108" s="1"/>
      <c r="E108" s="1"/>
    </row>
    <row r="109" spans="1:22" x14ac:dyDescent="0.35">
      <c r="A109" s="19"/>
      <c r="B109" s="19" t="s">
        <v>27</v>
      </c>
      <c r="C109" s="19"/>
      <c r="D109" s="19"/>
      <c r="E109" s="22">
        <f>SUM(E15,E18,E25,E31,E41,E48,E55,E66,E71,E75,E88,E93,E107,E10,E5)</f>
        <v>4188772.8333333335</v>
      </c>
    </row>
    <row r="110" spans="1:22" x14ac:dyDescent="0.35">
      <c r="A110" s="3"/>
      <c r="B110" s="3"/>
      <c r="C110" s="3"/>
      <c r="D110" s="3"/>
      <c r="E110" s="1"/>
    </row>
    <row r="111" spans="1:22" x14ac:dyDescent="0.35">
      <c r="A111" s="3"/>
      <c r="B111" s="3"/>
      <c r="C111" s="3"/>
      <c r="D111" s="3"/>
      <c r="E111" s="1"/>
    </row>
    <row r="112" spans="1:22" x14ac:dyDescent="0.35">
      <c r="A112" s="3"/>
      <c r="B112" s="3"/>
      <c r="C112" s="3"/>
      <c r="D112" s="3"/>
      <c r="E112" s="1"/>
    </row>
    <row r="113" spans="1:5" x14ac:dyDescent="0.35">
      <c r="A113" s="1"/>
      <c r="B113" s="3"/>
      <c r="C113" s="1"/>
      <c r="D113" s="1"/>
      <c r="E113" s="174"/>
    </row>
    <row r="114" spans="1:5" x14ac:dyDescent="0.35">
      <c r="A114" s="187"/>
      <c r="B114" s="19" t="s">
        <v>307</v>
      </c>
      <c r="C114" s="187"/>
      <c r="D114" s="187"/>
      <c r="E114" s="188">
        <f>E109-E110-E111-E112</f>
        <v>4188772.8333333335</v>
      </c>
    </row>
    <row r="116" spans="1:5" x14ac:dyDescent="0.35">
      <c r="E116" s="6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8286-7395-4AFF-9BE8-F7BD17CB2B09}">
  <dimension ref="A2:J43"/>
  <sheetViews>
    <sheetView topLeftCell="A31" zoomScale="83" zoomScaleNormal="83" workbookViewId="0">
      <selection activeCell="M19" sqref="M19"/>
    </sheetView>
  </sheetViews>
  <sheetFormatPr defaultRowHeight="14.5" x14ac:dyDescent="0.35"/>
  <cols>
    <col min="1" max="1" width="9.90625" bestFit="1" customWidth="1"/>
    <col min="2" max="2" width="27.36328125" bestFit="1" customWidth="1"/>
    <col min="3" max="3" width="11.1796875" bestFit="1" customWidth="1"/>
    <col min="4" max="4" width="12.7265625" customWidth="1"/>
    <col min="9" max="9" width="10.36328125" customWidth="1"/>
    <col min="10" max="10" width="11.6328125" customWidth="1"/>
  </cols>
  <sheetData>
    <row r="2" spans="1:10" x14ac:dyDescent="0.35">
      <c r="B2" t="s">
        <v>620</v>
      </c>
      <c r="H2" t="s">
        <v>621</v>
      </c>
    </row>
    <row r="3" spans="1:10" x14ac:dyDescent="0.35">
      <c r="A3" s="1" t="s">
        <v>10</v>
      </c>
      <c r="B3" s="1" t="s">
        <v>375</v>
      </c>
      <c r="C3" s="1" t="s">
        <v>376</v>
      </c>
      <c r="D3" s="1" t="s">
        <v>379</v>
      </c>
      <c r="G3" s="1" t="s">
        <v>10</v>
      </c>
      <c r="H3" s="1" t="s">
        <v>622</v>
      </c>
      <c r="I3" s="1" t="s">
        <v>376</v>
      </c>
      <c r="J3" s="1" t="s">
        <v>379</v>
      </c>
    </row>
    <row r="4" spans="1:10" x14ac:dyDescent="0.35">
      <c r="A4" s="1"/>
      <c r="B4" s="1" t="s">
        <v>632</v>
      </c>
      <c r="C4" s="252">
        <v>12300</v>
      </c>
      <c r="D4" s="331"/>
      <c r="G4" s="1"/>
      <c r="H4" s="331"/>
      <c r="I4" s="331"/>
      <c r="J4" s="331"/>
    </row>
    <row r="5" spans="1:10" x14ac:dyDescent="0.35">
      <c r="A5" s="1" t="s">
        <v>452</v>
      </c>
      <c r="B5" s="1" t="s">
        <v>627</v>
      </c>
      <c r="C5" s="252">
        <v>9329.77</v>
      </c>
      <c r="D5" s="252"/>
      <c r="G5" s="1" t="s">
        <v>450</v>
      </c>
      <c r="H5" s="331" t="s">
        <v>623</v>
      </c>
      <c r="I5" s="252">
        <v>6600</v>
      </c>
      <c r="J5" s="252"/>
    </row>
    <row r="6" spans="1:10" x14ac:dyDescent="0.35">
      <c r="A6" s="1" t="s">
        <v>452</v>
      </c>
      <c r="B6" s="1" t="s">
        <v>380</v>
      </c>
      <c r="C6" s="252">
        <v>5381.76</v>
      </c>
      <c r="D6" s="252"/>
      <c r="G6" s="1" t="s">
        <v>467</v>
      </c>
      <c r="H6" s="331" t="s">
        <v>624</v>
      </c>
      <c r="I6" s="252">
        <v>13200</v>
      </c>
      <c r="J6" s="252"/>
    </row>
    <row r="7" spans="1:10" x14ac:dyDescent="0.35">
      <c r="A7" s="1" t="s">
        <v>461</v>
      </c>
      <c r="B7" s="1" t="s">
        <v>380</v>
      </c>
      <c r="C7" s="252">
        <v>5168.3</v>
      </c>
      <c r="D7" s="252"/>
      <c r="G7" s="1" t="s">
        <v>480</v>
      </c>
      <c r="H7" s="331" t="s">
        <v>625</v>
      </c>
      <c r="I7" s="252">
        <v>3300</v>
      </c>
      <c r="J7" s="252"/>
    </row>
    <row r="8" spans="1:10" x14ac:dyDescent="0.35">
      <c r="A8" s="1" t="s">
        <v>462</v>
      </c>
      <c r="B8" s="1" t="s">
        <v>378</v>
      </c>
      <c r="C8" s="252">
        <v>8483.5</v>
      </c>
      <c r="D8" s="252"/>
      <c r="G8" s="1" t="s">
        <v>482</v>
      </c>
      <c r="H8" s="331" t="s">
        <v>623</v>
      </c>
      <c r="I8" s="252">
        <v>6600</v>
      </c>
      <c r="J8" s="252"/>
    </row>
    <row r="9" spans="1:10" x14ac:dyDescent="0.35">
      <c r="A9" s="1" t="s">
        <v>466</v>
      </c>
      <c r="B9" s="1" t="s">
        <v>380</v>
      </c>
      <c r="C9" s="252">
        <v>5007.74</v>
      </c>
      <c r="D9" s="252"/>
      <c r="G9" s="1" t="s">
        <v>492</v>
      </c>
      <c r="H9" s="331" t="s">
        <v>623</v>
      </c>
      <c r="I9" s="252">
        <v>6600</v>
      </c>
      <c r="J9" s="252"/>
    </row>
    <row r="10" spans="1:10" x14ac:dyDescent="0.35">
      <c r="A10" s="1" t="s">
        <v>466</v>
      </c>
      <c r="B10" s="1" t="s">
        <v>627</v>
      </c>
      <c r="C10" s="252">
        <v>8321.0499999999993</v>
      </c>
      <c r="D10" s="252"/>
      <c r="G10" s="1" t="s">
        <v>498</v>
      </c>
      <c r="H10" s="331" t="s">
        <v>625</v>
      </c>
      <c r="I10" s="252">
        <v>3300</v>
      </c>
      <c r="J10" s="252"/>
    </row>
    <row r="11" spans="1:10" x14ac:dyDescent="0.35">
      <c r="A11" s="1" t="s">
        <v>474</v>
      </c>
      <c r="B11" s="1" t="s">
        <v>380</v>
      </c>
      <c r="C11" s="252">
        <v>5291.09</v>
      </c>
      <c r="D11" s="252"/>
      <c r="G11" s="1" t="s">
        <v>500</v>
      </c>
      <c r="H11" s="331" t="s">
        <v>624</v>
      </c>
      <c r="I11" s="252">
        <v>13200</v>
      </c>
      <c r="J11" s="252"/>
    </row>
    <row r="12" spans="1:10" x14ac:dyDescent="0.35">
      <c r="A12" s="1" t="s">
        <v>474</v>
      </c>
      <c r="B12" s="1" t="s">
        <v>378</v>
      </c>
      <c r="C12" s="252">
        <v>9462</v>
      </c>
      <c r="D12" s="252"/>
      <c r="G12" s="1" t="s">
        <v>509</v>
      </c>
      <c r="H12" s="331" t="s">
        <v>623</v>
      </c>
      <c r="I12" s="252">
        <v>6600</v>
      </c>
      <c r="J12" s="252"/>
    </row>
    <row r="13" spans="1:10" x14ac:dyDescent="0.35">
      <c r="A13" s="1" t="s">
        <v>479</v>
      </c>
      <c r="B13" s="1" t="s">
        <v>628</v>
      </c>
      <c r="C13" s="252">
        <v>5308.09</v>
      </c>
      <c r="D13" s="252"/>
      <c r="G13" s="1" t="s">
        <v>521</v>
      </c>
      <c r="H13" s="331" t="s">
        <v>623</v>
      </c>
      <c r="I13" s="252">
        <v>6600</v>
      </c>
      <c r="J13" s="252"/>
    </row>
    <row r="14" spans="1:10" x14ac:dyDescent="0.35">
      <c r="A14" s="1" t="s">
        <v>482</v>
      </c>
      <c r="B14" s="1" t="s">
        <v>380</v>
      </c>
      <c r="C14" s="252">
        <v>5313</v>
      </c>
      <c r="D14" s="252"/>
      <c r="G14" s="1" t="s">
        <v>521</v>
      </c>
      <c r="H14" s="331" t="s">
        <v>626</v>
      </c>
      <c r="I14" s="252">
        <v>9570</v>
      </c>
      <c r="J14" s="252"/>
    </row>
    <row r="15" spans="1:10" x14ac:dyDescent="0.35">
      <c r="A15" s="1" t="s">
        <v>482</v>
      </c>
      <c r="B15" s="1" t="s">
        <v>627</v>
      </c>
      <c r="C15" s="252">
        <v>8519.39</v>
      </c>
      <c r="D15" s="252"/>
      <c r="G15" s="1"/>
      <c r="H15" s="331"/>
      <c r="I15" s="252"/>
      <c r="J15" s="252"/>
    </row>
    <row r="16" spans="1:10" x14ac:dyDescent="0.35">
      <c r="A16" s="1" t="s">
        <v>490</v>
      </c>
      <c r="B16" s="1" t="s">
        <v>380</v>
      </c>
      <c r="C16" s="252">
        <v>5600.85</v>
      </c>
      <c r="D16" s="252"/>
      <c r="G16" s="1"/>
      <c r="H16" s="331"/>
      <c r="I16" s="252">
        <f>SUM(I5:I14)</f>
        <v>75570</v>
      </c>
      <c r="J16" s="252"/>
    </row>
    <row r="17" spans="1:10" x14ac:dyDescent="0.35">
      <c r="A17" s="1" t="s">
        <v>492</v>
      </c>
      <c r="B17" s="1" t="s">
        <v>378</v>
      </c>
      <c r="C17" s="252">
        <v>7930.2</v>
      </c>
      <c r="D17" s="252"/>
      <c r="G17" s="1"/>
      <c r="H17" s="1"/>
      <c r="I17" s="174"/>
      <c r="J17" s="174"/>
    </row>
    <row r="18" spans="1:10" x14ac:dyDescent="0.35">
      <c r="A18" s="1" t="s">
        <v>495</v>
      </c>
      <c r="B18" s="1" t="s">
        <v>380</v>
      </c>
      <c r="C18" s="252">
        <v>5674.56</v>
      </c>
      <c r="D18" s="252"/>
      <c r="G18" s="1"/>
      <c r="H18" s="1"/>
      <c r="I18" s="174"/>
      <c r="J18" s="174"/>
    </row>
    <row r="19" spans="1:10" x14ac:dyDescent="0.35">
      <c r="A19" s="1" t="s">
        <v>498</v>
      </c>
      <c r="B19" s="1" t="s">
        <v>627</v>
      </c>
      <c r="C19" s="252">
        <v>8593.08</v>
      </c>
      <c r="D19" s="252"/>
      <c r="G19" s="1"/>
      <c r="H19" s="1"/>
      <c r="I19" s="174"/>
      <c r="J19" s="174"/>
    </row>
    <row r="20" spans="1:10" x14ac:dyDescent="0.35">
      <c r="A20" s="1" t="s">
        <v>500</v>
      </c>
      <c r="B20" s="1" t="s">
        <v>380</v>
      </c>
      <c r="C20" s="252">
        <v>6324.37</v>
      </c>
      <c r="D20" s="252"/>
      <c r="G20" s="1"/>
      <c r="H20" s="1"/>
      <c r="I20" s="174"/>
      <c r="J20" s="174"/>
    </row>
    <row r="21" spans="1:10" x14ac:dyDescent="0.35">
      <c r="A21" s="1" t="s">
        <v>507</v>
      </c>
      <c r="B21" s="1" t="s">
        <v>627</v>
      </c>
      <c r="C21" s="252">
        <v>9305.2099999999991</v>
      </c>
      <c r="D21" s="252"/>
      <c r="G21" s="1"/>
      <c r="H21" s="1"/>
      <c r="I21" s="174"/>
      <c r="J21" s="174"/>
    </row>
    <row r="22" spans="1:10" x14ac:dyDescent="0.35">
      <c r="A22" s="1" t="s">
        <v>510</v>
      </c>
      <c r="B22" s="1" t="s">
        <v>380</v>
      </c>
      <c r="C22" s="252">
        <v>5833.23</v>
      </c>
      <c r="D22" s="252"/>
      <c r="G22" s="1"/>
      <c r="H22" s="1"/>
      <c r="I22" s="174"/>
      <c r="J22" s="174"/>
    </row>
    <row r="23" spans="1:10" x14ac:dyDescent="0.35">
      <c r="A23" s="1" t="s">
        <v>510</v>
      </c>
      <c r="B23" s="1" t="s">
        <v>627</v>
      </c>
      <c r="C23" s="252">
        <v>9450.67</v>
      </c>
      <c r="D23" s="252"/>
      <c r="G23" s="1"/>
      <c r="H23" s="1"/>
      <c r="I23" s="174"/>
      <c r="J23" s="174"/>
    </row>
    <row r="24" spans="1:10" x14ac:dyDescent="0.35">
      <c r="A24" s="1" t="s">
        <v>513</v>
      </c>
      <c r="B24" s="1" t="s">
        <v>380</v>
      </c>
      <c r="C24" s="252">
        <v>5676.45</v>
      </c>
      <c r="D24" s="252"/>
      <c r="G24" s="1"/>
      <c r="H24" s="1"/>
      <c r="I24" s="174"/>
      <c r="J24" s="174"/>
    </row>
    <row r="25" spans="1:10" x14ac:dyDescent="0.35">
      <c r="A25" s="1" t="s">
        <v>515</v>
      </c>
      <c r="B25" s="1" t="s">
        <v>627</v>
      </c>
      <c r="C25" s="252">
        <v>8200.15</v>
      </c>
      <c r="D25" s="252"/>
      <c r="G25" s="1"/>
      <c r="H25" s="1"/>
      <c r="I25" s="174"/>
      <c r="J25" s="174"/>
    </row>
    <row r="26" spans="1:10" x14ac:dyDescent="0.35">
      <c r="A26" s="1" t="s">
        <v>521</v>
      </c>
      <c r="B26" s="1" t="s">
        <v>380</v>
      </c>
      <c r="C26" s="252">
        <v>5716.11</v>
      </c>
      <c r="D26" s="252"/>
      <c r="G26" s="1"/>
      <c r="H26" s="1"/>
      <c r="I26" s="174"/>
      <c r="J26" s="174"/>
    </row>
    <row r="27" spans="1:10" x14ac:dyDescent="0.35">
      <c r="A27" s="1"/>
      <c r="B27" s="1"/>
      <c r="C27" s="252"/>
      <c r="D27" s="252"/>
      <c r="G27" s="1"/>
      <c r="H27" s="1"/>
      <c r="I27" s="174"/>
      <c r="J27" s="174"/>
    </row>
    <row r="28" spans="1:10" x14ac:dyDescent="0.35">
      <c r="A28" s="1"/>
      <c r="B28" s="1" t="s">
        <v>629</v>
      </c>
      <c r="C28" s="252">
        <f>SUM(C4:C26)</f>
        <v>166190.57</v>
      </c>
      <c r="D28" s="252"/>
      <c r="G28" s="1"/>
      <c r="H28" s="1"/>
      <c r="I28" s="174"/>
      <c r="J28" s="174"/>
    </row>
    <row r="29" spans="1:10" x14ac:dyDescent="0.35">
      <c r="A29" s="1"/>
      <c r="B29" s="1" t="s">
        <v>630</v>
      </c>
      <c r="C29" s="252">
        <f>I16</f>
        <v>75570</v>
      </c>
      <c r="D29" s="252"/>
      <c r="G29" s="1"/>
      <c r="H29" s="1"/>
      <c r="I29" s="174"/>
      <c r="J29" s="174"/>
    </row>
    <row r="30" spans="1:10" x14ac:dyDescent="0.35">
      <c r="A30" s="1"/>
      <c r="B30" s="1" t="s">
        <v>9</v>
      </c>
      <c r="C30" s="252">
        <f>C28+C29</f>
        <v>241760.57</v>
      </c>
      <c r="D30" s="252"/>
      <c r="G30" s="1"/>
      <c r="H30" s="1"/>
      <c r="I30" s="174"/>
      <c r="J30" s="174"/>
    </row>
    <row r="31" spans="1:10" x14ac:dyDescent="0.35">
      <c r="A31" s="1"/>
      <c r="B31" s="1"/>
      <c r="C31" s="252"/>
      <c r="D31" s="252"/>
      <c r="G31" s="1"/>
      <c r="H31" s="1"/>
      <c r="I31" s="174"/>
      <c r="J31" s="174"/>
    </row>
    <row r="32" spans="1:10" x14ac:dyDescent="0.35">
      <c r="A32" s="1" t="s">
        <v>461</v>
      </c>
      <c r="B32" s="1" t="s">
        <v>377</v>
      </c>
      <c r="C32" s="252"/>
      <c r="D32" s="252">
        <v>60000</v>
      </c>
      <c r="G32" s="1"/>
      <c r="H32" s="1"/>
      <c r="I32" s="174"/>
      <c r="J32" s="174"/>
    </row>
    <row r="33" spans="1:10" x14ac:dyDescent="0.35">
      <c r="A33" s="1" t="s">
        <v>482</v>
      </c>
      <c r="B33" s="1" t="s">
        <v>377</v>
      </c>
      <c r="C33" s="252"/>
      <c r="D33" s="252">
        <v>60000</v>
      </c>
      <c r="G33" s="1"/>
      <c r="H33" s="1"/>
      <c r="I33" s="174"/>
      <c r="J33" s="252"/>
    </row>
    <row r="34" spans="1:10" x14ac:dyDescent="0.35">
      <c r="A34" s="1" t="s">
        <v>507</v>
      </c>
      <c r="B34" s="1" t="s">
        <v>377</v>
      </c>
      <c r="C34" s="252"/>
      <c r="D34" s="252">
        <v>70000</v>
      </c>
      <c r="G34" s="1"/>
      <c r="H34" s="1"/>
      <c r="I34" s="174"/>
      <c r="J34" s="174"/>
    </row>
    <row r="35" spans="1:10" x14ac:dyDescent="0.35">
      <c r="A35" s="1" t="s">
        <v>631</v>
      </c>
      <c r="B35" s="1" t="s">
        <v>377</v>
      </c>
      <c r="C35" s="252"/>
      <c r="D35" s="252">
        <v>51800</v>
      </c>
      <c r="I35" s="154"/>
      <c r="J35" s="154"/>
    </row>
    <row r="36" spans="1:10" x14ac:dyDescent="0.35">
      <c r="A36" s="1"/>
      <c r="B36" s="1"/>
      <c r="C36" s="252"/>
      <c r="D36" s="252">
        <f>D32+D33+D34+D35</f>
        <v>241800</v>
      </c>
    </row>
    <row r="37" spans="1:10" x14ac:dyDescent="0.35">
      <c r="A37" s="1"/>
      <c r="B37" s="1" t="s">
        <v>633</v>
      </c>
      <c r="C37" s="252"/>
      <c r="D37" s="252">
        <f>C30-D36</f>
        <v>-39.429999999993015</v>
      </c>
    </row>
    <row r="38" spans="1:10" x14ac:dyDescent="0.35">
      <c r="A38" s="1"/>
      <c r="B38" s="1"/>
      <c r="C38" s="252"/>
      <c r="D38" s="252"/>
      <c r="E38" t="s">
        <v>367</v>
      </c>
    </row>
    <row r="39" spans="1:10" x14ac:dyDescent="0.35">
      <c r="A39" s="1"/>
      <c r="B39" s="1"/>
      <c r="C39" s="252"/>
      <c r="D39" s="252"/>
    </row>
    <row r="40" spans="1:10" x14ac:dyDescent="0.35">
      <c r="A40" s="1"/>
      <c r="B40" s="1"/>
      <c r="C40" s="252"/>
      <c r="D40" s="252"/>
    </row>
    <row r="41" spans="1:10" x14ac:dyDescent="0.35">
      <c r="A41" s="1"/>
      <c r="B41" s="1"/>
      <c r="C41" s="252"/>
      <c r="D41" s="252"/>
    </row>
    <row r="42" spans="1:10" x14ac:dyDescent="0.35">
      <c r="A42" s="1"/>
      <c r="B42" s="1"/>
      <c r="C42" s="174"/>
      <c r="D42" s="174"/>
    </row>
    <row r="43" spans="1:10" x14ac:dyDescent="0.35">
      <c r="A43" s="1"/>
      <c r="B43" s="1"/>
      <c r="C43" s="174"/>
      <c r="D43" s="17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0267-26D1-4B77-B801-720B6C117A7D}">
  <dimension ref="A1:F13"/>
  <sheetViews>
    <sheetView tabSelected="1" workbookViewId="0">
      <selection activeCell="I14" sqref="I14"/>
    </sheetView>
  </sheetViews>
  <sheetFormatPr defaultRowHeight="14.5" x14ac:dyDescent="0.35"/>
  <cols>
    <col min="1" max="1" width="20.453125" bestFit="1" customWidth="1"/>
    <col min="2" max="2" width="9.90625" bestFit="1" customWidth="1"/>
    <col min="3" max="3" width="20.7265625" hidden="1" customWidth="1"/>
    <col min="4" max="4" width="12.7265625" hidden="1" customWidth="1"/>
    <col min="5" max="5" width="12.7265625" customWidth="1"/>
  </cols>
  <sheetData>
    <row r="1" spans="1:6" x14ac:dyDescent="0.35">
      <c r="A1" t="s">
        <v>401</v>
      </c>
    </row>
    <row r="2" spans="1:6" x14ac:dyDescent="0.35">
      <c r="A2" t="s">
        <v>402</v>
      </c>
      <c r="B2" t="s">
        <v>10</v>
      </c>
      <c r="C2" t="s">
        <v>403</v>
      </c>
      <c r="D2" t="s">
        <v>20</v>
      </c>
      <c r="E2" t="s">
        <v>404</v>
      </c>
    </row>
    <row r="3" spans="1:6" x14ac:dyDescent="0.35">
      <c r="A3" t="s">
        <v>415</v>
      </c>
      <c r="B3" t="s">
        <v>521</v>
      </c>
      <c r="C3" s="238">
        <f>[2]Mike!E33</f>
        <v>796875</v>
      </c>
      <c r="D3" s="8">
        <f>[2]Mike!E69</f>
        <v>784160</v>
      </c>
      <c r="E3" s="257">
        <f>C3-D3</f>
        <v>12715</v>
      </c>
    </row>
    <row r="4" spans="1:6" x14ac:dyDescent="0.35">
      <c r="A4" t="s">
        <v>634</v>
      </c>
      <c r="B4" t="s">
        <v>521</v>
      </c>
      <c r="C4" s="8">
        <f>[2]Ipaat!E22</f>
        <v>256595</v>
      </c>
      <c r="D4" s="8">
        <f>[2]Ipaat!E67</f>
        <v>256595</v>
      </c>
      <c r="E4" s="257">
        <f>[2]Ipaat!D71</f>
        <v>0</v>
      </c>
    </row>
    <row r="5" spans="1:6" x14ac:dyDescent="0.35">
      <c r="A5" t="s">
        <v>396</v>
      </c>
      <c r="B5" t="s">
        <v>521</v>
      </c>
      <c r="C5" s="8">
        <f>'[2]Matayos Depot'!D65</f>
        <v>314220</v>
      </c>
      <c r="D5" s="258">
        <f>'[2]Matayos Depot'!D66</f>
        <v>301870</v>
      </c>
      <c r="E5" s="257">
        <f t="shared" ref="E5" si="0">C5-D5</f>
        <v>12350</v>
      </c>
    </row>
    <row r="6" spans="1:6" x14ac:dyDescent="0.35">
      <c r="A6" t="s">
        <v>397</v>
      </c>
      <c r="B6" t="s">
        <v>521</v>
      </c>
      <c r="C6" s="8">
        <f>[2]Enos!E56</f>
        <v>862540</v>
      </c>
      <c r="D6" s="258">
        <f>[2]Enos!E95</f>
        <v>862540</v>
      </c>
      <c r="E6" s="257">
        <f>[2]Enos!D99</f>
        <v>0</v>
      </c>
    </row>
    <row r="7" spans="1:6" x14ac:dyDescent="0.35">
      <c r="A7" t="s">
        <v>463</v>
      </c>
      <c r="B7" t="s">
        <v>521</v>
      </c>
      <c r="C7" s="8">
        <f>[2]Jeremiah!E48</f>
        <v>570160</v>
      </c>
      <c r="D7" s="258">
        <f>[2]Jeremiah!E90</f>
        <v>570160</v>
      </c>
      <c r="E7" s="257">
        <f>[2]Jeremiah!D94</f>
        <v>0</v>
      </c>
    </row>
    <row r="8" spans="1:6" x14ac:dyDescent="0.35">
      <c r="A8" t="s">
        <v>635</v>
      </c>
      <c r="B8" t="s">
        <v>521</v>
      </c>
      <c r="C8" s="8">
        <f>'[2]Okiya &amp; Edwardo'!E36+'[2]Okiya &amp; Edwardo'!F36</f>
        <v>780230</v>
      </c>
      <c r="D8" s="8">
        <f>'[2]Okiya &amp; Edwardo'!E143</f>
        <v>696875</v>
      </c>
      <c r="E8" s="257">
        <f>'[2]Okiya &amp; Edwardo'!D147</f>
        <v>80235</v>
      </c>
      <c r="F8" t="s">
        <v>636</v>
      </c>
    </row>
    <row r="9" spans="1:6" ht="15" thickBot="1" x14ac:dyDescent="0.4">
      <c r="C9" s="163">
        <f>SUM(C3:C8)</f>
        <v>3580620</v>
      </c>
      <c r="D9" s="163">
        <f>SUM(D3:D8)</f>
        <v>3472200</v>
      </c>
      <c r="E9" s="259">
        <f>SUM(E3:E8)</f>
        <v>105300</v>
      </c>
    </row>
    <row r="11" spans="1:6" x14ac:dyDescent="0.35">
      <c r="E11" s="164"/>
    </row>
    <row r="12" spans="1:6" x14ac:dyDescent="0.35">
      <c r="E12" s="164"/>
    </row>
    <row r="13" spans="1:6" ht="15" thickBot="1" x14ac:dyDescent="0.4">
      <c r="E13" s="3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F594-FF15-4346-92A9-EF07E3076F61}">
  <dimension ref="A1:K88"/>
  <sheetViews>
    <sheetView topLeftCell="A81" zoomScale="80" zoomScaleNormal="80" workbookViewId="0">
      <selection activeCell="J98" sqref="J98"/>
    </sheetView>
  </sheetViews>
  <sheetFormatPr defaultRowHeight="14.5" x14ac:dyDescent="0.35"/>
  <cols>
    <col min="1" max="1" width="9.90625" bestFit="1" customWidth="1"/>
    <col min="3" max="3" width="19.1796875" bestFit="1" customWidth="1"/>
    <col min="4" max="4" width="22" bestFit="1" customWidth="1"/>
    <col min="5" max="5" width="20.26953125" bestFit="1" customWidth="1"/>
    <col min="6" max="6" width="15.08984375" customWidth="1"/>
    <col min="7" max="7" width="22.81640625" bestFit="1" customWidth="1"/>
    <col min="8" max="8" width="16" bestFit="1" customWidth="1"/>
    <col min="9" max="9" width="15.08984375" bestFit="1" customWidth="1"/>
    <col min="10" max="10" width="17.7265625" bestFit="1" customWidth="1"/>
    <col min="11" max="11" width="9.453125" bestFit="1" customWidth="1"/>
  </cols>
  <sheetData>
    <row r="1" spans="1:10" x14ac:dyDescent="0.35">
      <c r="A1" s="4" t="s">
        <v>10</v>
      </c>
      <c r="B1" s="4" t="s">
        <v>440</v>
      </c>
      <c r="C1" s="4" t="s">
        <v>33</v>
      </c>
      <c r="D1" s="4" t="s">
        <v>441</v>
      </c>
      <c r="E1" s="4" t="s">
        <v>442</v>
      </c>
      <c r="F1" s="4" t="s">
        <v>87</v>
      </c>
      <c r="G1" s="4" t="s">
        <v>443</v>
      </c>
      <c r="H1" s="4" t="s">
        <v>444</v>
      </c>
      <c r="I1" s="4" t="s">
        <v>445</v>
      </c>
      <c r="J1" s="4" t="s">
        <v>409</v>
      </c>
    </row>
    <row r="2" spans="1:10" x14ac:dyDescent="0.35">
      <c r="A2" s="3" t="s">
        <v>450</v>
      </c>
      <c r="B2" s="172" t="s">
        <v>276</v>
      </c>
      <c r="C2" s="3" t="s">
        <v>33</v>
      </c>
      <c r="D2" s="3" t="s">
        <v>450</v>
      </c>
      <c r="E2" s="282">
        <v>27720</v>
      </c>
      <c r="F2" s="284">
        <f>E2+E3</f>
        <v>29370</v>
      </c>
      <c r="G2" s="174">
        <v>35000</v>
      </c>
      <c r="H2" s="286">
        <f>F2-G2</f>
        <v>-5630</v>
      </c>
      <c r="I2" s="290">
        <v>0</v>
      </c>
      <c r="J2" s="286">
        <f>H2*I2</f>
        <v>0</v>
      </c>
    </row>
    <row r="3" spans="1:10" x14ac:dyDescent="0.35">
      <c r="A3" s="3" t="s">
        <v>450</v>
      </c>
      <c r="B3" s="172" t="s">
        <v>276</v>
      </c>
      <c r="C3" s="3" t="s">
        <v>182</v>
      </c>
      <c r="D3" s="3" t="s">
        <v>450</v>
      </c>
      <c r="E3" s="282">
        <v>1650</v>
      </c>
      <c r="F3" s="283"/>
      <c r="G3" s="174"/>
      <c r="H3" s="1"/>
      <c r="I3" s="1"/>
      <c r="J3" s="1"/>
    </row>
    <row r="4" spans="1:10" x14ac:dyDescent="0.35">
      <c r="A4" s="3" t="s">
        <v>452</v>
      </c>
      <c r="B4" s="172" t="s">
        <v>276</v>
      </c>
      <c r="C4" s="3" t="s">
        <v>33</v>
      </c>
      <c r="D4" s="3" t="s">
        <v>452</v>
      </c>
      <c r="E4" s="282">
        <v>30540</v>
      </c>
      <c r="F4" s="283">
        <f>E4</f>
        <v>30540</v>
      </c>
      <c r="G4" s="174">
        <v>35000</v>
      </c>
      <c r="H4" s="286">
        <f>F4-G4</f>
        <v>-4460</v>
      </c>
      <c r="I4" s="290">
        <v>0</v>
      </c>
      <c r="J4" s="286">
        <f>H4*I4</f>
        <v>0</v>
      </c>
    </row>
    <row r="5" spans="1:10" x14ac:dyDescent="0.35">
      <c r="A5" s="3" t="s">
        <v>458</v>
      </c>
      <c r="B5" s="172" t="s">
        <v>276</v>
      </c>
      <c r="C5" s="3" t="s">
        <v>33</v>
      </c>
      <c r="D5" s="3" t="s">
        <v>458</v>
      </c>
      <c r="E5" s="282">
        <v>31320</v>
      </c>
      <c r="F5" s="283">
        <f>E5+E6</f>
        <v>35055</v>
      </c>
      <c r="G5" s="174">
        <v>35000</v>
      </c>
      <c r="H5" s="286">
        <f>F5-G5</f>
        <v>55</v>
      </c>
      <c r="I5" s="290">
        <v>7.0000000000000007E-2</v>
      </c>
      <c r="J5" s="286">
        <f>H5*I5</f>
        <v>3.8500000000000005</v>
      </c>
    </row>
    <row r="6" spans="1:10" x14ac:dyDescent="0.35">
      <c r="A6" s="3" t="s">
        <v>458</v>
      </c>
      <c r="B6" s="172" t="s">
        <v>276</v>
      </c>
      <c r="C6" s="3" t="s">
        <v>182</v>
      </c>
      <c r="D6" s="3" t="s">
        <v>458</v>
      </c>
      <c r="E6" s="282">
        <v>3735</v>
      </c>
      <c r="F6" s="283"/>
      <c r="G6" s="174"/>
      <c r="H6" s="286"/>
      <c r="I6" s="290"/>
      <c r="J6" s="286"/>
    </row>
    <row r="7" spans="1:10" x14ac:dyDescent="0.35">
      <c r="A7" s="3" t="s">
        <v>461</v>
      </c>
      <c r="B7" s="172" t="s">
        <v>276</v>
      </c>
      <c r="C7" s="3" t="s">
        <v>33</v>
      </c>
      <c r="D7" s="3" t="s">
        <v>461</v>
      </c>
      <c r="E7" s="282">
        <v>31680</v>
      </c>
      <c r="F7" s="284">
        <f>E7+E8</f>
        <v>34155</v>
      </c>
      <c r="G7" s="174">
        <v>35000</v>
      </c>
      <c r="H7" s="286">
        <f>F7-G7</f>
        <v>-845</v>
      </c>
      <c r="I7" s="290">
        <v>0</v>
      </c>
      <c r="J7" s="286">
        <f>H7*I7</f>
        <v>0</v>
      </c>
    </row>
    <row r="8" spans="1:10" x14ac:dyDescent="0.35">
      <c r="A8" s="3" t="s">
        <v>461</v>
      </c>
      <c r="B8" s="172" t="s">
        <v>276</v>
      </c>
      <c r="C8" s="3" t="s">
        <v>182</v>
      </c>
      <c r="D8" s="3" t="s">
        <v>461</v>
      </c>
      <c r="E8" s="282">
        <v>2475</v>
      </c>
      <c r="F8" s="283"/>
      <c r="G8" s="174"/>
      <c r="H8" s="286"/>
      <c r="I8" s="290"/>
      <c r="J8" s="286"/>
    </row>
    <row r="9" spans="1:10" x14ac:dyDescent="0.35">
      <c r="A9" s="3" t="s">
        <v>462</v>
      </c>
      <c r="B9" s="172" t="s">
        <v>276</v>
      </c>
      <c r="C9" s="3" t="s">
        <v>33</v>
      </c>
      <c r="D9" s="3" t="s">
        <v>462</v>
      </c>
      <c r="E9" s="282">
        <v>35970</v>
      </c>
      <c r="F9" s="283">
        <f>E9+E10</f>
        <v>39270</v>
      </c>
      <c r="G9" s="174">
        <v>35000</v>
      </c>
      <c r="H9" s="286">
        <f>F9-G9</f>
        <v>4270</v>
      </c>
      <c r="I9" s="290">
        <v>7.0000000000000007E-2</v>
      </c>
      <c r="J9" s="286">
        <f>H9*I9</f>
        <v>298.90000000000003</v>
      </c>
    </row>
    <row r="10" spans="1:10" x14ac:dyDescent="0.35">
      <c r="A10" s="3" t="s">
        <v>462</v>
      </c>
      <c r="B10" s="172" t="s">
        <v>276</v>
      </c>
      <c r="C10" s="3" t="s">
        <v>182</v>
      </c>
      <c r="D10" s="3" t="s">
        <v>462</v>
      </c>
      <c r="E10" s="282">
        <v>3300</v>
      </c>
      <c r="F10" s="283"/>
      <c r="G10" s="174"/>
      <c r="H10" s="286"/>
      <c r="I10" s="290"/>
      <c r="J10" s="286"/>
    </row>
    <row r="11" spans="1:10" x14ac:dyDescent="0.35">
      <c r="A11" s="3" t="s">
        <v>464</v>
      </c>
      <c r="B11" s="172" t="s">
        <v>276</v>
      </c>
      <c r="C11" s="3" t="s">
        <v>33</v>
      </c>
      <c r="D11" s="3" t="s">
        <v>464</v>
      </c>
      <c r="E11" s="282">
        <v>35280</v>
      </c>
      <c r="F11" s="283">
        <f>E11+E12</f>
        <v>38580</v>
      </c>
      <c r="G11" s="174">
        <v>35000</v>
      </c>
      <c r="H11" s="286">
        <f>F11-G11</f>
        <v>3580</v>
      </c>
      <c r="I11" s="290">
        <v>7.0000000000000007E-2</v>
      </c>
      <c r="J11" s="286">
        <f>H11*I11</f>
        <v>250.60000000000002</v>
      </c>
    </row>
    <row r="12" spans="1:10" x14ac:dyDescent="0.35">
      <c r="A12" s="3" t="s">
        <v>464</v>
      </c>
      <c r="B12" s="172" t="s">
        <v>276</v>
      </c>
      <c r="C12" s="3" t="s">
        <v>182</v>
      </c>
      <c r="D12" s="3" t="s">
        <v>464</v>
      </c>
      <c r="E12" s="282">
        <v>3300</v>
      </c>
      <c r="F12" s="283"/>
      <c r="G12" s="174"/>
      <c r="H12" s="286"/>
      <c r="I12" s="290"/>
      <c r="J12" s="286"/>
    </row>
    <row r="13" spans="1:10" x14ac:dyDescent="0.35">
      <c r="A13" s="3" t="s">
        <v>466</v>
      </c>
      <c r="B13" s="172" t="s">
        <v>276</v>
      </c>
      <c r="C13" s="3" t="s">
        <v>33</v>
      </c>
      <c r="D13" s="3" t="s">
        <v>466</v>
      </c>
      <c r="E13" s="282">
        <v>35460</v>
      </c>
      <c r="F13" s="283">
        <f>E13+E14</f>
        <v>38760</v>
      </c>
      <c r="G13" s="174">
        <v>35000</v>
      </c>
      <c r="H13" s="286">
        <f>F13-G13</f>
        <v>3760</v>
      </c>
      <c r="I13" s="290">
        <v>7.0000000000000007E-2</v>
      </c>
      <c r="J13" s="286">
        <f>H13*I13</f>
        <v>263.20000000000005</v>
      </c>
    </row>
    <row r="14" spans="1:10" x14ac:dyDescent="0.35">
      <c r="A14" s="3" t="s">
        <v>466</v>
      </c>
      <c r="B14" s="172" t="s">
        <v>276</v>
      </c>
      <c r="C14" s="3" t="s">
        <v>182</v>
      </c>
      <c r="D14" s="3" t="s">
        <v>466</v>
      </c>
      <c r="E14" s="282">
        <v>3300</v>
      </c>
      <c r="F14" s="283"/>
      <c r="G14" s="174"/>
      <c r="H14" s="286"/>
      <c r="I14" s="290"/>
      <c r="J14" s="286"/>
    </row>
    <row r="15" spans="1:10" x14ac:dyDescent="0.35">
      <c r="A15" s="3" t="s">
        <v>467</v>
      </c>
      <c r="B15" s="172" t="s">
        <v>276</v>
      </c>
      <c r="C15" s="3" t="s">
        <v>33</v>
      </c>
      <c r="D15" s="3" t="s">
        <v>467</v>
      </c>
      <c r="E15" s="282">
        <v>31930</v>
      </c>
      <c r="F15" s="283">
        <f>E15+E16</f>
        <v>35230</v>
      </c>
      <c r="G15" s="174">
        <v>35000</v>
      </c>
      <c r="H15" s="286">
        <f>F15-G15</f>
        <v>230</v>
      </c>
      <c r="I15" s="290">
        <v>7.0000000000000007E-2</v>
      </c>
      <c r="J15" s="286">
        <f>H15*I15</f>
        <v>16.100000000000001</v>
      </c>
    </row>
    <row r="16" spans="1:10" x14ac:dyDescent="0.35">
      <c r="A16" s="3" t="s">
        <v>467</v>
      </c>
      <c r="B16" s="172" t="s">
        <v>276</v>
      </c>
      <c r="C16" s="3" t="s">
        <v>182</v>
      </c>
      <c r="D16" s="3" t="s">
        <v>467</v>
      </c>
      <c r="E16" s="282">
        <v>3300</v>
      </c>
      <c r="F16" s="283"/>
      <c r="G16" s="174"/>
      <c r="H16" s="286"/>
      <c r="I16" s="290"/>
      <c r="J16" s="286"/>
    </row>
    <row r="17" spans="1:10" x14ac:dyDescent="0.35">
      <c r="A17" s="3" t="s">
        <v>474</v>
      </c>
      <c r="B17" s="172" t="s">
        <v>276</v>
      </c>
      <c r="C17" s="3" t="s">
        <v>33</v>
      </c>
      <c r="D17" s="3" t="s">
        <v>474</v>
      </c>
      <c r="E17" s="282">
        <v>28900</v>
      </c>
      <c r="F17" s="283">
        <f>E17</f>
        <v>28900</v>
      </c>
      <c r="G17" s="174">
        <v>35000</v>
      </c>
      <c r="H17" s="286">
        <f>F17-G17</f>
        <v>-6100</v>
      </c>
      <c r="I17" s="290">
        <v>0</v>
      </c>
      <c r="J17" s="286">
        <f>H17*I17</f>
        <v>0</v>
      </c>
    </row>
    <row r="18" spans="1:10" x14ac:dyDescent="0.35">
      <c r="A18" s="3" t="s">
        <v>475</v>
      </c>
      <c r="B18" s="172" t="s">
        <v>276</v>
      </c>
      <c r="C18" s="3" t="s">
        <v>33</v>
      </c>
      <c r="D18" s="3" t="s">
        <v>475</v>
      </c>
      <c r="E18" s="282">
        <v>29770</v>
      </c>
      <c r="F18" s="283">
        <f>E18+E19</f>
        <v>33070</v>
      </c>
      <c r="G18" s="174">
        <v>35000</v>
      </c>
      <c r="H18" s="286">
        <f>F18-G18</f>
        <v>-1930</v>
      </c>
      <c r="I18" s="290">
        <v>0</v>
      </c>
      <c r="J18" s="286">
        <f>H18*I18</f>
        <v>0</v>
      </c>
    </row>
    <row r="19" spans="1:10" x14ac:dyDescent="0.35">
      <c r="A19" s="3" t="s">
        <v>475</v>
      </c>
      <c r="B19" s="172" t="s">
        <v>276</v>
      </c>
      <c r="C19" s="3" t="s">
        <v>182</v>
      </c>
      <c r="D19" s="3" t="s">
        <v>475</v>
      </c>
      <c r="E19" s="282">
        <v>3300</v>
      </c>
      <c r="F19" s="283"/>
      <c r="G19" s="174"/>
      <c r="H19" s="1"/>
      <c r="I19" s="1"/>
      <c r="J19" s="1"/>
    </row>
    <row r="20" spans="1:10" x14ac:dyDescent="0.35">
      <c r="A20" s="3" t="s">
        <v>479</v>
      </c>
      <c r="B20" s="172" t="s">
        <v>276</v>
      </c>
      <c r="C20" s="3" t="s">
        <v>33</v>
      </c>
      <c r="D20" s="3" t="s">
        <v>479</v>
      </c>
      <c r="E20" s="282">
        <v>23430</v>
      </c>
      <c r="F20" s="283">
        <f>E20+E21</f>
        <v>25080</v>
      </c>
      <c r="G20" s="174">
        <v>35000</v>
      </c>
      <c r="H20" s="286">
        <f>F20-G20</f>
        <v>-9920</v>
      </c>
      <c r="I20" s="290">
        <v>0</v>
      </c>
      <c r="J20" s="286">
        <f>H20*I20</f>
        <v>0</v>
      </c>
    </row>
    <row r="21" spans="1:10" x14ac:dyDescent="0.35">
      <c r="A21" s="3" t="s">
        <v>479</v>
      </c>
      <c r="B21" s="172" t="s">
        <v>276</v>
      </c>
      <c r="C21" s="3" t="s">
        <v>182</v>
      </c>
      <c r="D21" s="3" t="s">
        <v>479</v>
      </c>
      <c r="E21" s="282">
        <v>1650</v>
      </c>
      <c r="F21" s="283"/>
      <c r="G21" s="174"/>
      <c r="H21" s="1"/>
      <c r="I21" s="1"/>
      <c r="J21" s="1"/>
    </row>
    <row r="22" spans="1:10" x14ac:dyDescent="0.35">
      <c r="A22" s="3" t="s">
        <v>480</v>
      </c>
      <c r="B22" s="172" t="s">
        <v>276</v>
      </c>
      <c r="C22" s="3" t="s">
        <v>33</v>
      </c>
      <c r="D22" s="3" t="s">
        <v>480</v>
      </c>
      <c r="E22" s="282">
        <v>35240</v>
      </c>
      <c r="F22" s="283">
        <f>E22+E23</f>
        <v>38540</v>
      </c>
      <c r="G22" s="174">
        <v>35000</v>
      </c>
      <c r="H22" s="286">
        <f>F22-G22</f>
        <v>3540</v>
      </c>
      <c r="I22" s="290">
        <v>7.0000000000000007E-2</v>
      </c>
      <c r="J22" s="286">
        <f>H22*I22</f>
        <v>247.8</v>
      </c>
    </row>
    <row r="23" spans="1:10" x14ac:dyDescent="0.35">
      <c r="A23" s="3" t="s">
        <v>480</v>
      </c>
      <c r="B23" s="172" t="s">
        <v>276</v>
      </c>
      <c r="C23" s="3" t="s">
        <v>182</v>
      </c>
      <c r="D23" s="3" t="s">
        <v>480</v>
      </c>
      <c r="E23" s="282">
        <v>3300</v>
      </c>
      <c r="F23" s="283"/>
      <c r="G23" s="174"/>
      <c r="H23" s="1"/>
      <c r="I23" s="1"/>
      <c r="J23" s="1"/>
    </row>
    <row r="24" spans="1:10" x14ac:dyDescent="0.35">
      <c r="A24" s="3" t="s">
        <v>482</v>
      </c>
      <c r="B24" s="172" t="s">
        <v>276</v>
      </c>
      <c r="C24" s="3" t="s">
        <v>33</v>
      </c>
      <c r="D24" s="3" t="s">
        <v>482</v>
      </c>
      <c r="E24" s="282">
        <v>35820</v>
      </c>
      <c r="F24" s="283">
        <f>E24+E25</f>
        <v>39120</v>
      </c>
      <c r="G24" s="174">
        <v>35000</v>
      </c>
      <c r="H24" s="286">
        <f>F24-G24</f>
        <v>4120</v>
      </c>
      <c r="I24" s="290">
        <v>7.0000000000000007E-2</v>
      </c>
      <c r="J24" s="286">
        <f>H24*I24</f>
        <v>288.40000000000003</v>
      </c>
    </row>
    <row r="25" spans="1:10" x14ac:dyDescent="0.35">
      <c r="A25" s="3" t="s">
        <v>482</v>
      </c>
      <c r="B25" s="172" t="s">
        <v>276</v>
      </c>
      <c r="C25" s="3" t="s">
        <v>182</v>
      </c>
      <c r="D25" s="3" t="s">
        <v>482</v>
      </c>
      <c r="E25" s="282">
        <v>3300</v>
      </c>
      <c r="F25" s="283"/>
      <c r="G25" s="174"/>
      <c r="H25" s="1"/>
      <c r="I25" s="1"/>
      <c r="J25" s="1"/>
    </row>
    <row r="26" spans="1:10" x14ac:dyDescent="0.35">
      <c r="A26" s="3" t="s">
        <v>484</v>
      </c>
      <c r="B26" s="172" t="s">
        <v>276</v>
      </c>
      <c r="C26" s="3" t="s">
        <v>33</v>
      </c>
      <c r="D26" s="3" t="s">
        <v>484</v>
      </c>
      <c r="E26" s="282">
        <v>21800</v>
      </c>
      <c r="F26" s="283">
        <f>E26</f>
        <v>21800</v>
      </c>
      <c r="G26" s="174">
        <v>35000</v>
      </c>
      <c r="H26" s="286">
        <f>F26-G26</f>
        <v>-13200</v>
      </c>
      <c r="I26" s="290">
        <v>0</v>
      </c>
      <c r="J26" s="286">
        <f>H26*I26</f>
        <v>0</v>
      </c>
    </row>
    <row r="27" spans="1:10" x14ac:dyDescent="0.35">
      <c r="A27" s="3" t="s">
        <v>490</v>
      </c>
      <c r="B27" s="172" t="s">
        <v>276</v>
      </c>
      <c r="C27" s="3" t="s">
        <v>33</v>
      </c>
      <c r="D27" s="3" t="s">
        <v>490</v>
      </c>
      <c r="E27" s="282">
        <v>30630</v>
      </c>
      <c r="F27" s="283">
        <f>E27+E28</f>
        <v>33105</v>
      </c>
      <c r="G27" s="174">
        <v>35000</v>
      </c>
      <c r="H27" s="286">
        <f>F27-G27</f>
        <v>-1895</v>
      </c>
      <c r="I27" s="290">
        <v>0</v>
      </c>
      <c r="J27" s="286">
        <f>H27*I27</f>
        <v>0</v>
      </c>
    </row>
    <row r="28" spans="1:10" x14ac:dyDescent="0.35">
      <c r="A28" s="3" t="s">
        <v>490</v>
      </c>
      <c r="B28" s="172" t="s">
        <v>276</v>
      </c>
      <c r="C28" s="3" t="s">
        <v>182</v>
      </c>
      <c r="D28" s="3" t="s">
        <v>490</v>
      </c>
      <c r="E28" s="282">
        <v>2475</v>
      </c>
      <c r="F28" s="283"/>
      <c r="G28" s="174"/>
      <c r="H28" s="286"/>
      <c r="I28" s="290"/>
      <c r="J28" s="286"/>
    </row>
    <row r="29" spans="1:10" x14ac:dyDescent="0.35">
      <c r="A29" s="3" t="s">
        <v>492</v>
      </c>
      <c r="B29" s="172" t="s">
        <v>276</v>
      </c>
      <c r="C29" s="3" t="s">
        <v>33</v>
      </c>
      <c r="D29" s="3" t="s">
        <v>492</v>
      </c>
      <c r="E29" s="282">
        <v>31820</v>
      </c>
      <c r="F29" s="283">
        <f>E29+E30</f>
        <v>33470</v>
      </c>
      <c r="G29" s="174">
        <v>35000</v>
      </c>
      <c r="H29" s="286">
        <f>F29-G29</f>
        <v>-1530</v>
      </c>
      <c r="I29" s="290">
        <v>0</v>
      </c>
      <c r="J29" s="286">
        <f>H29*I29</f>
        <v>0</v>
      </c>
    </row>
    <row r="30" spans="1:10" x14ac:dyDescent="0.35">
      <c r="A30" s="3" t="s">
        <v>492</v>
      </c>
      <c r="B30" s="172" t="s">
        <v>276</v>
      </c>
      <c r="C30" s="3" t="s">
        <v>182</v>
      </c>
      <c r="D30" s="3" t="s">
        <v>492</v>
      </c>
      <c r="E30" s="282">
        <v>1650</v>
      </c>
      <c r="F30" s="283"/>
      <c r="G30" s="174"/>
      <c r="H30" s="286"/>
      <c r="I30" s="290"/>
      <c r="J30" s="286"/>
    </row>
    <row r="31" spans="1:10" x14ac:dyDescent="0.35">
      <c r="A31" s="3" t="s">
        <v>495</v>
      </c>
      <c r="B31" s="172" t="s">
        <v>276</v>
      </c>
      <c r="C31" s="3" t="s">
        <v>33</v>
      </c>
      <c r="D31" s="3" t="s">
        <v>495</v>
      </c>
      <c r="E31" s="282">
        <v>28790</v>
      </c>
      <c r="F31" s="283">
        <f>E31+E32</f>
        <v>32090</v>
      </c>
      <c r="G31" s="174">
        <v>35000</v>
      </c>
      <c r="H31" s="286">
        <f>F31-G31</f>
        <v>-2910</v>
      </c>
      <c r="I31" s="290">
        <v>0</v>
      </c>
      <c r="J31" s="286">
        <f>H31*I31</f>
        <v>0</v>
      </c>
    </row>
    <row r="32" spans="1:10" x14ac:dyDescent="0.35">
      <c r="A32" s="3" t="s">
        <v>495</v>
      </c>
      <c r="B32" s="172" t="s">
        <v>276</v>
      </c>
      <c r="C32" s="3" t="s">
        <v>182</v>
      </c>
      <c r="D32" s="3" t="s">
        <v>495</v>
      </c>
      <c r="E32" s="282">
        <v>3300</v>
      </c>
      <c r="F32" s="283"/>
      <c r="G32" s="174"/>
      <c r="H32" s="286"/>
      <c r="I32" s="290"/>
      <c r="J32" s="286"/>
    </row>
    <row r="33" spans="1:10" x14ac:dyDescent="0.35">
      <c r="A33" s="3" t="s">
        <v>498</v>
      </c>
      <c r="B33" s="172" t="s">
        <v>276</v>
      </c>
      <c r="C33" s="3" t="s">
        <v>33</v>
      </c>
      <c r="D33" s="3" t="s">
        <v>498</v>
      </c>
      <c r="E33" s="282">
        <v>40760</v>
      </c>
      <c r="F33" s="283">
        <f>E33+E34</f>
        <v>44060</v>
      </c>
      <c r="G33" s="174">
        <v>35000</v>
      </c>
      <c r="H33" s="286">
        <f>F33-G33</f>
        <v>9060</v>
      </c>
      <c r="I33" s="290">
        <v>7.0000000000000007E-2</v>
      </c>
      <c r="J33" s="286">
        <f>H33*I33</f>
        <v>634.20000000000005</v>
      </c>
    </row>
    <row r="34" spans="1:10" x14ac:dyDescent="0.35">
      <c r="A34" s="3" t="s">
        <v>498</v>
      </c>
      <c r="B34" s="172" t="s">
        <v>276</v>
      </c>
      <c r="C34" s="3" t="s">
        <v>182</v>
      </c>
      <c r="D34" s="3" t="s">
        <v>498</v>
      </c>
      <c r="E34" s="282">
        <v>3300</v>
      </c>
      <c r="F34" s="283"/>
      <c r="G34" s="174"/>
      <c r="H34" s="286"/>
      <c r="I34" s="290"/>
      <c r="J34" s="286"/>
    </row>
    <row r="35" spans="1:10" x14ac:dyDescent="0.35">
      <c r="A35" s="3" t="s">
        <v>500</v>
      </c>
      <c r="B35" s="172" t="s">
        <v>276</v>
      </c>
      <c r="C35" s="3" t="s">
        <v>33</v>
      </c>
      <c r="D35" s="3" t="s">
        <v>500</v>
      </c>
      <c r="E35" s="282">
        <v>34320</v>
      </c>
      <c r="F35" s="283">
        <f>E35+E36</f>
        <v>37620</v>
      </c>
      <c r="G35" s="174">
        <v>35000</v>
      </c>
      <c r="H35" s="286">
        <f>F35-G35</f>
        <v>2620</v>
      </c>
      <c r="I35" s="290">
        <v>7.0000000000000007E-2</v>
      </c>
      <c r="J35" s="286">
        <f>H35*I35</f>
        <v>183.4</v>
      </c>
    </row>
    <row r="36" spans="1:10" x14ac:dyDescent="0.35">
      <c r="A36" s="3" t="s">
        <v>500</v>
      </c>
      <c r="B36" s="172" t="s">
        <v>276</v>
      </c>
      <c r="C36" s="3" t="s">
        <v>182</v>
      </c>
      <c r="D36" s="3" t="s">
        <v>500</v>
      </c>
      <c r="E36" s="282">
        <v>3300</v>
      </c>
      <c r="F36" s="283"/>
      <c r="G36" s="174"/>
      <c r="H36" s="286"/>
      <c r="I36" s="290"/>
      <c r="J36" s="286"/>
    </row>
    <row r="37" spans="1:10" x14ac:dyDescent="0.35">
      <c r="A37" s="3" t="s">
        <v>502</v>
      </c>
      <c r="B37" s="172" t="s">
        <v>276</v>
      </c>
      <c r="C37" s="3" t="s">
        <v>33</v>
      </c>
      <c r="D37" s="3" t="s">
        <v>502</v>
      </c>
      <c r="E37" s="282">
        <v>25520</v>
      </c>
      <c r="F37" s="283">
        <f>E37</f>
        <v>25520</v>
      </c>
      <c r="G37" s="174">
        <v>35000</v>
      </c>
      <c r="H37" s="286">
        <f>F37-G37</f>
        <v>-9480</v>
      </c>
      <c r="I37" s="290">
        <v>0</v>
      </c>
      <c r="J37" s="286">
        <f>H37*I37</f>
        <v>0</v>
      </c>
    </row>
    <row r="38" spans="1:10" x14ac:dyDescent="0.35">
      <c r="A38" s="3" t="s">
        <v>507</v>
      </c>
      <c r="B38" s="172" t="s">
        <v>276</v>
      </c>
      <c r="C38" s="3" t="s">
        <v>33</v>
      </c>
      <c r="D38" s="3" t="s">
        <v>507</v>
      </c>
      <c r="E38" s="282">
        <v>29600</v>
      </c>
      <c r="F38" s="283">
        <f>E38+E39</f>
        <v>32900</v>
      </c>
      <c r="G38" s="174">
        <v>35000</v>
      </c>
      <c r="H38" s="286">
        <f>F38-G38</f>
        <v>-2100</v>
      </c>
      <c r="I38" s="290">
        <v>0</v>
      </c>
      <c r="J38" s="286">
        <f>H38*I38</f>
        <v>0</v>
      </c>
    </row>
    <row r="39" spans="1:10" x14ac:dyDescent="0.35">
      <c r="A39" s="3" t="s">
        <v>507</v>
      </c>
      <c r="B39" s="172" t="s">
        <v>276</v>
      </c>
      <c r="C39" s="3" t="s">
        <v>182</v>
      </c>
      <c r="D39" s="3" t="s">
        <v>507</v>
      </c>
      <c r="E39" s="282">
        <v>3300</v>
      </c>
      <c r="F39" s="283"/>
      <c r="G39" s="174"/>
      <c r="H39" s="1"/>
      <c r="I39" s="1"/>
      <c r="J39" s="1"/>
    </row>
    <row r="40" spans="1:10" x14ac:dyDescent="0.35">
      <c r="A40" s="3" t="s">
        <v>509</v>
      </c>
      <c r="B40" s="172" t="s">
        <v>276</v>
      </c>
      <c r="C40" s="3" t="s">
        <v>33</v>
      </c>
      <c r="D40" s="3" t="s">
        <v>509</v>
      </c>
      <c r="E40" s="282">
        <v>25790</v>
      </c>
      <c r="F40" s="283">
        <f>E40+E41</f>
        <v>27440</v>
      </c>
      <c r="G40" s="174">
        <v>35000</v>
      </c>
      <c r="H40" s="286">
        <f>F40-G40</f>
        <v>-7560</v>
      </c>
      <c r="I40" s="290">
        <v>0</v>
      </c>
      <c r="J40" s="286">
        <f>H40*I40</f>
        <v>0</v>
      </c>
    </row>
    <row r="41" spans="1:10" x14ac:dyDescent="0.35">
      <c r="A41" s="3" t="s">
        <v>509</v>
      </c>
      <c r="B41" s="172" t="s">
        <v>276</v>
      </c>
      <c r="C41" s="3" t="s">
        <v>182</v>
      </c>
      <c r="D41" s="3" t="s">
        <v>509</v>
      </c>
      <c r="E41" s="282">
        <v>1650</v>
      </c>
      <c r="F41" s="283"/>
      <c r="G41" s="174"/>
      <c r="H41" s="1"/>
      <c r="I41" s="1"/>
      <c r="J41" s="1"/>
    </row>
    <row r="42" spans="1:10" x14ac:dyDescent="0.35">
      <c r="A42" s="307" t="s">
        <v>510</v>
      </c>
      <c r="B42" s="172" t="s">
        <v>276</v>
      </c>
      <c r="C42" s="3" t="s">
        <v>33</v>
      </c>
      <c r="D42" s="3" t="s">
        <v>510</v>
      </c>
      <c r="E42" s="287">
        <v>25460</v>
      </c>
      <c r="F42" s="283">
        <f>E42</f>
        <v>25460</v>
      </c>
      <c r="G42" s="174">
        <v>35000</v>
      </c>
      <c r="H42" s="286">
        <f>F42-G42</f>
        <v>-9540</v>
      </c>
      <c r="I42" s="290">
        <v>0</v>
      </c>
      <c r="J42" s="286">
        <f>H42*I42</f>
        <v>0</v>
      </c>
    </row>
    <row r="43" spans="1:10" x14ac:dyDescent="0.35">
      <c r="A43" s="307" t="s">
        <v>513</v>
      </c>
      <c r="B43" s="172" t="s">
        <v>276</v>
      </c>
      <c r="C43" s="3" t="s">
        <v>33</v>
      </c>
      <c r="D43" s="3" t="s">
        <v>513</v>
      </c>
      <c r="E43" s="287">
        <v>34280</v>
      </c>
      <c r="F43" s="283">
        <f>E43+E44</f>
        <v>37580</v>
      </c>
      <c r="G43" s="174">
        <v>35000</v>
      </c>
      <c r="H43" s="286">
        <f>F43-G43</f>
        <v>2580</v>
      </c>
      <c r="I43" s="290">
        <v>7.0000000000000007E-2</v>
      </c>
      <c r="J43" s="286">
        <f>H43*I43</f>
        <v>180.60000000000002</v>
      </c>
    </row>
    <row r="44" spans="1:10" x14ac:dyDescent="0.35">
      <c r="A44" s="307" t="s">
        <v>513</v>
      </c>
      <c r="B44" s="172" t="s">
        <v>276</v>
      </c>
      <c r="C44" s="3" t="s">
        <v>182</v>
      </c>
      <c r="D44" s="3" t="s">
        <v>513</v>
      </c>
      <c r="E44" s="287">
        <v>3300</v>
      </c>
      <c r="F44" s="283"/>
      <c r="G44" s="174"/>
      <c r="H44" s="1"/>
      <c r="I44" s="1"/>
      <c r="J44" s="1"/>
    </row>
    <row r="45" spans="1:10" x14ac:dyDescent="0.35">
      <c r="A45" s="307" t="s">
        <v>515</v>
      </c>
      <c r="B45" s="172" t="s">
        <v>276</v>
      </c>
      <c r="C45" s="3" t="s">
        <v>33</v>
      </c>
      <c r="D45" s="3" t="s">
        <v>515</v>
      </c>
      <c r="E45" s="287">
        <v>34280</v>
      </c>
      <c r="F45" s="283">
        <f>E45+E46</f>
        <v>36755</v>
      </c>
      <c r="G45" s="174">
        <v>35000</v>
      </c>
      <c r="H45" s="286">
        <f>F45-G45</f>
        <v>1755</v>
      </c>
      <c r="I45" s="290">
        <v>7.0000000000000007E-2</v>
      </c>
      <c r="J45" s="286">
        <f>H45*I45</f>
        <v>122.85000000000001</v>
      </c>
    </row>
    <row r="46" spans="1:10" x14ac:dyDescent="0.35">
      <c r="A46" s="307" t="s">
        <v>515</v>
      </c>
      <c r="B46" s="172" t="s">
        <v>276</v>
      </c>
      <c r="C46" s="3" t="s">
        <v>182</v>
      </c>
      <c r="D46" s="3" t="s">
        <v>515</v>
      </c>
      <c r="E46" s="287">
        <v>2475</v>
      </c>
      <c r="F46" s="283"/>
      <c r="G46" s="174"/>
      <c r="H46" s="1"/>
      <c r="I46" s="1"/>
      <c r="J46" s="1"/>
    </row>
    <row r="47" spans="1:10" x14ac:dyDescent="0.35">
      <c r="A47" s="307" t="s">
        <v>521</v>
      </c>
      <c r="B47" s="172" t="s">
        <v>276</v>
      </c>
      <c r="C47" s="3" t="s">
        <v>33</v>
      </c>
      <c r="D47" s="3" t="s">
        <v>521</v>
      </c>
      <c r="E47" s="287">
        <v>26920</v>
      </c>
      <c r="F47" s="283">
        <f>E47+E48</f>
        <v>30220</v>
      </c>
      <c r="G47" s="174">
        <v>35000</v>
      </c>
      <c r="H47" s="286">
        <f>F47-G47</f>
        <v>-4780</v>
      </c>
      <c r="I47" s="290">
        <v>0</v>
      </c>
      <c r="J47" s="286">
        <f>H47*I47</f>
        <v>0</v>
      </c>
    </row>
    <row r="48" spans="1:10" x14ac:dyDescent="0.35">
      <c r="A48" s="307" t="s">
        <v>521</v>
      </c>
      <c r="B48" s="172" t="s">
        <v>276</v>
      </c>
      <c r="C48" s="3" t="s">
        <v>182</v>
      </c>
      <c r="D48" s="3" t="s">
        <v>521</v>
      </c>
      <c r="E48" s="287">
        <v>3300</v>
      </c>
      <c r="F48" s="283"/>
      <c r="G48" s="174"/>
      <c r="H48" s="1"/>
      <c r="I48" s="1"/>
      <c r="J48" s="1"/>
    </row>
    <row r="49" spans="1:11" x14ac:dyDescent="0.35">
      <c r="A49" s="306"/>
      <c r="B49" s="306"/>
      <c r="C49" s="3"/>
      <c r="D49" s="3"/>
      <c r="E49" s="287"/>
      <c r="F49" s="283"/>
      <c r="G49" s="174"/>
      <c r="H49" s="1"/>
      <c r="I49" s="1"/>
      <c r="J49" s="1"/>
    </row>
    <row r="50" spans="1:11" ht="15" thickBot="1" x14ac:dyDescent="0.4">
      <c r="E50" s="288">
        <f>SUM(E2:E48)</f>
        <v>863690</v>
      </c>
      <c r="F50" s="288">
        <f>SUM(F2:F48)</f>
        <v>863690</v>
      </c>
      <c r="H50" s="8"/>
      <c r="J50" s="288">
        <f>SUM(J2:J41)</f>
        <v>2186.4500000000003</v>
      </c>
    </row>
    <row r="52" spans="1:11" x14ac:dyDescent="0.35">
      <c r="A52" s="4" t="s">
        <v>10</v>
      </c>
      <c r="B52" s="4" t="s">
        <v>440</v>
      </c>
      <c r="C52" s="4" t="s">
        <v>33</v>
      </c>
      <c r="D52" s="4" t="s">
        <v>441</v>
      </c>
      <c r="E52" s="4" t="s">
        <v>442</v>
      </c>
      <c r="F52" s="4" t="s">
        <v>87</v>
      </c>
      <c r="G52" s="4" t="s">
        <v>443</v>
      </c>
      <c r="H52" s="4" t="s">
        <v>444</v>
      </c>
      <c r="I52" s="4" t="s">
        <v>445</v>
      </c>
      <c r="J52" s="4" t="s">
        <v>409</v>
      </c>
    </row>
    <row r="53" spans="1:11" x14ac:dyDescent="0.35">
      <c r="A53" s="3" t="s">
        <v>452</v>
      </c>
      <c r="B53" s="172" t="s">
        <v>454</v>
      </c>
      <c r="C53" s="3" t="s">
        <v>33</v>
      </c>
      <c r="D53" s="3" t="s">
        <v>452</v>
      </c>
      <c r="E53" s="287">
        <v>36950</v>
      </c>
      <c r="F53" s="291">
        <f>E53</f>
        <v>36950</v>
      </c>
      <c r="G53" s="285">
        <v>40000</v>
      </c>
      <c r="H53" s="8">
        <f>F53-G53</f>
        <v>-3050</v>
      </c>
      <c r="I53" s="289">
        <v>0</v>
      </c>
      <c r="J53" s="8">
        <f>H53*I53</f>
        <v>0</v>
      </c>
    </row>
    <row r="54" spans="1:11" x14ac:dyDescent="0.35">
      <c r="A54" s="3" t="s">
        <v>458</v>
      </c>
      <c r="B54" s="172" t="s">
        <v>386</v>
      </c>
      <c r="C54" s="3" t="s">
        <v>33</v>
      </c>
      <c r="D54" s="3" t="s">
        <v>458</v>
      </c>
      <c r="E54" s="287">
        <v>35220</v>
      </c>
      <c r="F54" s="291">
        <f>E54+E55</f>
        <v>38520</v>
      </c>
      <c r="G54" s="285">
        <v>40000</v>
      </c>
      <c r="H54" s="8">
        <f t="shared" ref="H54:H70" si="0">F54-G54</f>
        <v>-1480</v>
      </c>
      <c r="I54" s="289">
        <v>0</v>
      </c>
      <c r="J54" s="8">
        <f t="shared" ref="J54:J70" si="1">H54*I54</f>
        <v>0</v>
      </c>
    </row>
    <row r="55" spans="1:11" x14ac:dyDescent="0.35">
      <c r="A55" s="3" t="s">
        <v>458</v>
      </c>
      <c r="B55" s="172" t="s">
        <v>386</v>
      </c>
      <c r="C55" s="3" t="s">
        <v>182</v>
      </c>
      <c r="D55" s="3" t="s">
        <v>458</v>
      </c>
      <c r="E55" s="287">
        <v>3300</v>
      </c>
      <c r="F55" s="291"/>
      <c r="G55" s="285">
        <v>40000</v>
      </c>
      <c r="H55" s="8"/>
      <c r="I55" s="289">
        <v>0</v>
      </c>
      <c r="J55" s="8">
        <f t="shared" si="1"/>
        <v>0</v>
      </c>
    </row>
    <row r="56" spans="1:11" x14ac:dyDescent="0.35">
      <c r="A56" s="3" t="s">
        <v>461</v>
      </c>
      <c r="B56" s="172" t="s">
        <v>386</v>
      </c>
      <c r="C56" s="3" t="s">
        <v>33</v>
      </c>
      <c r="D56" s="3" t="s">
        <v>461</v>
      </c>
      <c r="E56" s="287">
        <v>31700</v>
      </c>
      <c r="F56" s="291">
        <f>E56+E57</f>
        <v>40700</v>
      </c>
      <c r="G56" s="285">
        <v>40000</v>
      </c>
      <c r="H56" s="8">
        <f t="shared" si="0"/>
        <v>700</v>
      </c>
      <c r="I56" s="289">
        <v>7.0000000000000007E-2</v>
      </c>
      <c r="J56" s="8">
        <f t="shared" si="1"/>
        <v>49.000000000000007</v>
      </c>
    </row>
    <row r="57" spans="1:11" x14ac:dyDescent="0.35">
      <c r="A57" s="3" t="s">
        <v>461</v>
      </c>
      <c r="B57" s="172" t="s">
        <v>386</v>
      </c>
      <c r="C57" s="3" t="s">
        <v>182</v>
      </c>
      <c r="D57" s="3" t="s">
        <v>461</v>
      </c>
      <c r="E57" s="287">
        <v>9000</v>
      </c>
      <c r="F57" s="291"/>
      <c r="G57" s="285">
        <v>40000</v>
      </c>
      <c r="H57" s="8"/>
      <c r="I57" s="289"/>
      <c r="J57" s="8">
        <f t="shared" si="1"/>
        <v>0</v>
      </c>
    </row>
    <row r="58" spans="1:11" x14ac:dyDescent="0.35">
      <c r="A58" s="3" t="s">
        <v>464</v>
      </c>
      <c r="B58" s="172" t="s">
        <v>386</v>
      </c>
      <c r="C58" s="3" t="s">
        <v>33</v>
      </c>
      <c r="D58" s="3" t="s">
        <v>464</v>
      </c>
      <c r="E58" s="287">
        <v>38030</v>
      </c>
      <c r="F58" s="258">
        <f>E58+E59</f>
        <v>56030</v>
      </c>
      <c r="G58" s="285">
        <v>40000</v>
      </c>
      <c r="H58" s="8">
        <f t="shared" si="0"/>
        <v>16030</v>
      </c>
      <c r="I58" s="289">
        <v>7.0000000000000007E-2</v>
      </c>
      <c r="J58" s="8">
        <f t="shared" si="1"/>
        <v>1122.1000000000001</v>
      </c>
    </row>
    <row r="59" spans="1:11" x14ac:dyDescent="0.35">
      <c r="A59" s="3" t="s">
        <v>464</v>
      </c>
      <c r="B59" s="172" t="s">
        <v>386</v>
      </c>
      <c r="C59" s="3" t="s">
        <v>182</v>
      </c>
      <c r="D59" s="3" t="s">
        <v>464</v>
      </c>
      <c r="E59" s="287">
        <v>18000</v>
      </c>
      <c r="F59" s="291"/>
      <c r="G59" s="285">
        <v>40000</v>
      </c>
      <c r="H59" s="8"/>
      <c r="I59" s="289"/>
      <c r="J59" s="8">
        <f t="shared" si="1"/>
        <v>0</v>
      </c>
    </row>
    <row r="60" spans="1:11" x14ac:dyDescent="0.35">
      <c r="A60" s="3" t="s">
        <v>466</v>
      </c>
      <c r="B60" s="172" t="s">
        <v>386</v>
      </c>
      <c r="C60" s="3" t="s">
        <v>33</v>
      </c>
      <c r="D60" s="3" t="s">
        <v>466</v>
      </c>
      <c r="E60" s="287">
        <v>24660</v>
      </c>
      <c r="F60" s="291">
        <f>E60+E61</f>
        <v>28785</v>
      </c>
      <c r="G60" s="285">
        <v>40000</v>
      </c>
      <c r="H60" s="8">
        <f t="shared" si="0"/>
        <v>-11215</v>
      </c>
      <c r="I60" s="289">
        <v>0</v>
      </c>
      <c r="J60" s="8">
        <f t="shared" si="1"/>
        <v>0</v>
      </c>
      <c r="K60" s="163">
        <f>J56+J58</f>
        <v>1171.1000000000001</v>
      </c>
    </row>
    <row r="61" spans="1:11" x14ac:dyDescent="0.35">
      <c r="A61" s="3" t="s">
        <v>466</v>
      </c>
      <c r="B61" s="172" t="s">
        <v>386</v>
      </c>
      <c r="C61" s="3" t="s">
        <v>182</v>
      </c>
      <c r="D61" s="3" t="s">
        <v>466</v>
      </c>
      <c r="E61" s="287">
        <v>4125</v>
      </c>
      <c r="F61" s="291"/>
      <c r="G61" s="285">
        <v>40000</v>
      </c>
      <c r="H61" s="8"/>
      <c r="J61" s="8">
        <f>H61*I60</f>
        <v>0</v>
      </c>
    </row>
    <row r="62" spans="1:11" x14ac:dyDescent="0.35">
      <c r="A62" s="3" t="s">
        <v>467</v>
      </c>
      <c r="B62" s="172" t="s">
        <v>386</v>
      </c>
      <c r="C62" s="3" t="s">
        <v>33</v>
      </c>
      <c r="D62" s="3" t="s">
        <v>467</v>
      </c>
      <c r="E62" s="287">
        <v>26160</v>
      </c>
      <c r="F62" s="291">
        <f>E62</f>
        <v>26160</v>
      </c>
      <c r="G62" s="285">
        <v>40000</v>
      </c>
      <c r="H62" s="8">
        <f t="shared" si="0"/>
        <v>-13840</v>
      </c>
      <c r="I62" s="289">
        <v>0</v>
      </c>
      <c r="J62" s="8">
        <f t="shared" si="1"/>
        <v>0</v>
      </c>
    </row>
    <row r="63" spans="1:11" x14ac:dyDescent="0.35">
      <c r="A63" s="3" t="s">
        <v>495</v>
      </c>
      <c r="B63" s="172" t="s">
        <v>386</v>
      </c>
      <c r="C63" s="3" t="s">
        <v>33</v>
      </c>
      <c r="D63" s="3" t="s">
        <v>495</v>
      </c>
      <c r="E63" s="287">
        <v>29450</v>
      </c>
      <c r="F63" s="291">
        <f>E63</f>
        <v>29450</v>
      </c>
      <c r="G63" s="285">
        <v>40000</v>
      </c>
      <c r="H63" s="8">
        <f t="shared" si="0"/>
        <v>-10550</v>
      </c>
      <c r="I63" s="289">
        <v>0</v>
      </c>
      <c r="J63" s="8">
        <f t="shared" si="1"/>
        <v>0</v>
      </c>
    </row>
    <row r="64" spans="1:11" x14ac:dyDescent="0.35">
      <c r="A64" s="3" t="s">
        <v>462</v>
      </c>
      <c r="B64" s="172" t="s">
        <v>463</v>
      </c>
      <c r="C64" s="3" t="s">
        <v>33</v>
      </c>
      <c r="D64" s="3" t="s">
        <v>462</v>
      </c>
      <c r="E64" s="287">
        <v>22920</v>
      </c>
      <c r="F64" s="291">
        <f>E64+E65</f>
        <v>32160</v>
      </c>
      <c r="G64" s="285">
        <v>40000</v>
      </c>
      <c r="H64" s="8">
        <f t="shared" si="0"/>
        <v>-7840</v>
      </c>
      <c r="I64" s="289">
        <v>0</v>
      </c>
      <c r="J64" s="8">
        <f t="shared" si="1"/>
        <v>0</v>
      </c>
    </row>
    <row r="65" spans="1:10" x14ac:dyDescent="0.35">
      <c r="A65" s="3" t="s">
        <v>462</v>
      </c>
      <c r="B65" s="172" t="s">
        <v>463</v>
      </c>
      <c r="C65" s="3" t="s">
        <v>182</v>
      </c>
      <c r="D65" s="3" t="s">
        <v>462</v>
      </c>
      <c r="E65" s="287">
        <v>9240</v>
      </c>
      <c r="F65" s="291"/>
      <c r="G65" s="285"/>
      <c r="H65" s="8"/>
      <c r="I65" s="289">
        <v>0</v>
      </c>
      <c r="J65" s="8">
        <f t="shared" si="1"/>
        <v>0</v>
      </c>
    </row>
    <row r="66" spans="1:10" x14ac:dyDescent="0.35">
      <c r="A66" s="3" t="s">
        <v>474</v>
      </c>
      <c r="B66" s="172" t="s">
        <v>463</v>
      </c>
      <c r="C66" s="3" t="s">
        <v>33</v>
      </c>
      <c r="D66" s="3" t="s">
        <v>474</v>
      </c>
      <c r="E66" s="287">
        <v>28440</v>
      </c>
      <c r="F66" s="291">
        <f>E66</f>
        <v>28440</v>
      </c>
      <c r="G66" s="285">
        <v>40000</v>
      </c>
      <c r="H66" s="8">
        <f t="shared" si="0"/>
        <v>-11560</v>
      </c>
      <c r="I66" s="289">
        <v>0</v>
      </c>
      <c r="J66" s="8">
        <f t="shared" si="1"/>
        <v>0</v>
      </c>
    </row>
    <row r="67" spans="1:10" x14ac:dyDescent="0.35">
      <c r="A67" s="3" t="s">
        <v>474</v>
      </c>
      <c r="B67" s="172" t="s">
        <v>463</v>
      </c>
      <c r="C67" s="3" t="s">
        <v>182</v>
      </c>
      <c r="D67" s="3" t="s">
        <v>474</v>
      </c>
      <c r="E67" s="287">
        <v>0</v>
      </c>
      <c r="F67" s="291"/>
      <c r="G67" s="285"/>
      <c r="H67" s="8"/>
      <c r="I67" s="289"/>
      <c r="J67" s="8">
        <f t="shared" si="1"/>
        <v>0</v>
      </c>
    </row>
    <row r="68" spans="1:10" x14ac:dyDescent="0.35">
      <c r="A68" s="3" t="s">
        <v>475</v>
      </c>
      <c r="B68" s="172" t="s">
        <v>463</v>
      </c>
      <c r="C68" s="3" t="s">
        <v>33</v>
      </c>
      <c r="D68" s="3" t="s">
        <v>475</v>
      </c>
      <c r="E68" s="287">
        <v>25550</v>
      </c>
      <c r="F68" s="291">
        <f>E68</f>
        <v>25550</v>
      </c>
      <c r="G68" s="285">
        <v>40000</v>
      </c>
      <c r="H68" s="8">
        <f t="shared" si="0"/>
        <v>-14450</v>
      </c>
      <c r="I68" s="289">
        <v>0</v>
      </c>
      <c r="J68" s="8">
        <f t="shared" si="1"/>
        <v>0</v>
      </c>
    </row>
    <row r="69" spans="1:10" x14ac:dyDescent="0.35">
      <c r="A69" s="3" t="s">
        <v>475</v>
      </c>
      <c r="B69" s="172" t="s">
        <v>463</v>
      </c>
      <c r="C69" s="3" t="s">
        <v>182</v>
      </c>
      <c r="D69" s="3" t="s">
        <v>475</v>
      </c>
      <c r="E69" s="287">
        <v>0</v>
      </c>
      <c r="F69" s="291"/>
      <c r="G69" s="285"/>
      <c r="H69" s="8">
        <f>F69-G69</f>
        <v>0</v>
      </c>
      <c r="I69" s="289"/>
      <c r="J69" s="8">
        <f>H69*I69</f>
        <v>0</v>
      </c>
    </row>
    <row r="70" spans="1:10" x14ac:dyDescent="0.35">
      <c r="A70" s="3" t="s">
        <v>479</v>
      </c>
      <c r="B70" s="172" t="s">
        <v>463</v>
      </c>
      <c r="C70" s="3" t="s">
        <v>33</v>
      </c>
      <c r="D70" s="3" t="s">
        <v>479</v>
      </c>
      <c r="E70" s="287">
        <v>23700</v>
      </c>
      <c r="F70" s="291">
        <f t="shared" ref="F70:F81" si="2">E70</f>
        <v>23700</v>
      </c>
      <c r="G70" s="285">
        <v>40000</v>
      </c>
      <c r="H70" s="8">
        <f t="shared" si="0"/>
        <v>-16300</v>
      </c>
      <c r="I70" s="289">
        <v>0</v>
      </c>
      <c r="J70" s="8">
        <f t="shared" si="1"/>
        <v>0</v>
      </c>
    </row>
    <row r="71" spans="1:10" x14ac:dyDescent="0.35">
      <c r="A71" s="3" t="s">
        <v>480</v>
      </c>
      <c r="B71" s="172" t="s">
        <v>463</v>
      </c>
      <c r="C71" s="3" t="s">
        <v>33</v>
      </c>
      <c r="D71" s="3" t="s">
        <v>480</v>
      </c>
      <c r="E71" s="287">
        <v>36140</v>
      </c>
      <c r="F71" s="291">
        <f t="shared" si="2"/>
        <v>36140</v>
      </c>
      <c r="G71" s="285">
        <v>40000</v>
      </c>
      <c r="H71" s="8">
        <f t="shared" ref="H71:H72" si="3">F71-G71</f>
        <v>-3860</v>
      </c>
      <c r="I71" s="289">
        <v>0</v>
      </c>
      <c r="J71" s="8">
        <f t="shared" ref="J71:J72" si="4">H71*I71</f>
        <v>0</v>
      </c>
    </row>
    <row r="72" spans="1:10" x14ac:dyDescent="0.35">
      <c r="A72" s="3" t="s">
        <v>482</v>
      </c>
      <c r="B72" s="172" t="s">
        <v>463</v>
      </c>
      <c r="C72" s="3" t="s">
        <v>33</v>
      </c>
      <c r="D72" s="3" t="s">
        <v>482</v>
      </c>
      <c r="E72" s="287">
        <v>34530</v>
      </c>
      <c r="F72" s="291">
        <f t="shared" si="2"/>
        <v>34530</v>
      </c>
      <c r="G72" s="285">
        <v>40000</v>
      </c>
      <c r="H72" s="8">
        <f t="shared" si="3"/>
        <v>-5470</v>
      </c>
      <c r="I72" s="289">
        <v>0</v>
      </c>
      <c r="J72" s="8">
        <f t="shared" si="4"/>
        <v>0</v>
      </c>
    </row>
    <row r="73" spans="1:10" x14ac:dyDescent="0.35">
      <c r="A73" s="3" t="s">
        <v>484</v>
      </c>
      <c r="B73" s="172" t="s">
        <v>463</v>
      </c>
      <c r="C73" s="3" t="s">
        <v>33</v>
      </c>
      <c r="D73" s="3" t="s">
        <v>484</v>
      </c>
      <c r="E73" s="287">
        <v>24810</v>
      </c>
      <c r="F73" s="291">
        <f t="shared" si="2"/>
        <v>24810</v>
      </c>
      <c r="G73" s="285">
        <v>40000</v>
      </c>
      <c r="H73" s="8">
        <f t="shared" ref="H73:H86" si="5">F73-G73</f>
        <v>-15190</v>
      </c>
      <c r="I73" s="289">
        <v>0</v>
      </c>
      <c r="J73" s="8">
        <f t="shared" ref="J73:J86" si="6">H73*I73</f>
        <v>0</v>
      </c>
    </row>
    <row r="74" spans="1:10" x14ac:dyDescent="0.35">
      <c r="A74" s="3" t="s">
        <v>490</v>
      </c>
      <c r="B74" s="172" t="s">
        <v>463</v>
      </c>
      <c r="C74" s="3" t="s">
        <v>33</v>
      </c>
      <c r="D74" s="3" t="s">
        <v>490</v>
      </c>
      <c r="E74" s="287">
        <v>27500</v>
      </c>
      <c r="F74" s="8">
        <f t="shared" si="2"/>
        <v>27500</v>
      </c>
      <c r="G74" s="285">
        <v>40000</v>
      </c>
      <c r="H74" s="8">
        <f t="shared" si="5"/>
        <v>-12500</v>
      </c>
      <c r="I74" s="289">
        <v>0</v>
      </c>
      <c r="J74" s="8">
        <f t="shared" si="6"/>
        <v>0</v>
      </c>
    </row>
    <row r="75" spans="1:10" x14ac:dyDescent="0.35">
      <c r="A75" s="3" t="s">
        <v>492</v>
      </c>
      <c r="B75" s="172" t="s">
        <v>463</v>
      </c>
      <c r="C75" s="3" t="s">
        <v>33</v>
      </c>
      <c r="D75" s="3" t="s">
        <v>492</v>
      </c>
      <c r="E75" s="287">
        <v>24910</v>
      </c>
      <c r="F75" s="8">
        <f t="shared" si="2"/>
        <v>24910</v>
      </c>
      <c r="G75" s="285">
        <v>40000</v>
      </c>
      <c r="H75" s="8">
        <f t="shared" si="5"/>
        <v>-15090</v>
      </c>
      <c r="I75" s="289">
        <v>0</v>
      </c>
      <c r="J75" s="8">
        <f t="shared" si="6"/>
        <v>0</v>
      </c>
    </row>
    <row r="76" spans="1:10" x14ac:dyDescent="0.35">
      <c r="A76" s="3" t="s">
        <v>498</v>
      </c>
      <c r="B76" s="172" t="s">
        <v>463</v>
      </c>
      <c r="C76" s="3" t="s">
        <v>33</v>
      </c>
      <c r="D76" s="3" t="s">
        <v>498</v>
      </c>
      <c r="E76" s="287">
        <v>38890</v>
      </c>
      <c r="F76" s="8">
        <f t="shared" si="2"/>
        <v>38890</v>
      </c>
      <c r="G76" s="285">
        <v>40000</v>
      </c>
      <c r="H76" s="8">
        <f t="shared" si="5"/>
        <v>-1110</v>
      </c>
      <c r="I76" s="289">
        <v>0</v>
      </c>
      <c r="J76" s="8">
        <f t="shared" si="6"/>
        <v>0</v>
      </c>
    </row>
    <row r="77" spans="1:10" x14ac:dyDescent="0.35">
      <c r="A77" s="3" t="s">
        <v>500</v>
      </c>
      <c r="B77" s="172" t="s">
        <v>463</v>
      </c>
      <c r="C77" s="3" t="s">
        <v>33</v>
      </c>
      <c r="D77" s="3" t="s">
        <v>500</v>
      </c>
      <c r="E77" s="287">
        <v>29740</v>
      </c>
      <c r="F77" s="8">
        <f t="shared" si="2"/>
        <v>29740</v>
      </c>
      <c r="G77" s="285">
        <v>40000</v>
      </c>
      <c r="H77" s="8">
        <f t="shared" si="5"/>
        <v>-10260</v>
      </c>
      <c r="I77" s="289">
        <v>0</v>
      </c>
      <c r="J77" s="8">
        <f t="shared" si="6"/>
        <v>0</v>
      </c>
    </row>
    <row r="78" spans="1:10" x14ac:dyDescent="0.35">
      <c r="A78" s="3" t="s">
        <v>502</v>
      </c>
      <c r="B78" s="172" t="s">
        <v>463</v>
      </c>
      <c r="C78" s="3" t="s">
        <v>33</v>
      </c>
      <c r="D78" s="3" t="s">
        <v>502</v>
      </c>
      <c r="E78" s="287">
        <v>28500</v>
      </c>
      <c r="F78" s="8">
        <f t="shared" si="2"/>
        <v>28500</v>
      </c>
      <c r="G78" s="285">
        <v>40000</v>
      </c>
      <c r="H78" s="8">
        <f t="shared" si="5"/>
        <v>-11500</v>
      </c>
      <c r="I78" s="289">
        <v>0</v>
      </c>
      <c r="J78" s="8">
        <f t="shared" si="6"/>
        <v>0</v>
      </c>
    </row>
    <row r="79" spans="1:10" x14ac:dyDescent="0.35">
      <c r="A79" s="3" t="s">
        <v>507</v>
      </c>
      <c r="B79" s="172" t="s">
        <v>463</v>
      </c>
      <c r="C79" s="3" t="s">
        <v>33</v>
      </c>
      <c r="D79" s="3" t="s">
        <v>507</v>
      </c>
      <c r="E79" s="287">
        <v>27360</v>
      </c>
      <c r="F79" s="8">
        <f t="shared" si="2"/>
        <v>27360</v>
      </c>
      <c r="G79" s="285">
        <v>40000</v>
      </c>
      <c r="H79" s="8">
        <f t="shared" si="5"/>
        <v>-12640</v>
      </c>
      <c r="I79" s="289">
        <v>0</v>
      </c>
      <c r="J79" s="8">
        <f t="shared" si="6"/>
        <v>0</v>
      </c>
    </row>
    <row r="80" spans="1:10" x14ac:dyDescent="0.35">
      <c r="A80" s="3" t="s">
        <v>509</v>
      </c>
      <c r="B80" s="172" t="s">
        <v>463</v>
      </c>
      <c r="C80" s="3" t="s">
        <v>33</v>
      </c>
      <c r="D80" s="3" t="s">
        <v>509</v>
      </c>
      <c r="E80" s="287">
        <v>20280</v>
      </c>
      <c r="F80" s="8">
        <f t="shared" si="2"/>
        <v>20280</v>
      </c>
      <c r="G80" s="285">
        <v>40000</v>
      </c>
      <c r="H80" s="8">
        <f t="shared" si="5"/>
        <v>-19720</v>
      </c>
      <c r="I80" s="289">
        <v>0</v>
      </c>
      <c r="J80" s="8">
        <f t="shared" si="6"/>
        <v>0</v>
      </c>
    </row>
    <row r="81" spans="1:11" x14ac:dyDescent="0.35">
      <c r="A81" s="3" t="s">
        <v>510</v>
      </c>
      <c r="B81" s="172" t="s">
        <v>463</v>
      </c>
      <c r="C81" s="3" t="s">
        <v>33</v>
      </c>
      <c r="D81" s="3" t="s">
        <v>510</v>
      </c>
      <c r="E81" s="287">
        <v>25700</v>
      </c>
      <c r="F81" s="8">
        <f t="shared" si="2"/>
        <v>25700</v>
      </c>
      <c r="G81" s="285">
        <v>40000</v>
      </c>
      <c r="H81" s="8">
        <f t="shared" si="5"/>
        <v>-14300</v>
      </c>
      <c r="I81" s="289">
        <v>0</v>
      </c>
      <c r="J81" s="8">
        <f t="shared" si="6"/>
        <v>0</v>
      </c>
    </row>
    <row r="82" spans="1:11" x14ac:dyDescent="0.35">
      <c r="A82" s="3" t="s">
        <v>513</v>
      </c>
      <c r="B82" s="172" t="s">
        <v>463</v>
      </c>
      <c r="C82" s="3" t="s">
        <v>33</v>
      </c>
      <c r="D82" s="3" t="s">
        <v>513</v>
      </c>
      <c r="E82" s="287">
        <v>29960</v>
      </c>
      <c r="F82" s="8">
        <f>E82+E83</f>
        <v>51560</v>
      </c>
      <c r="G82" s="285">
        <v>40000</v>
      </c>
      <c r="H82" s="8">
        <f t="shared" si="5"/>
        <v>11560</v>
      </c>
      <c r="I82" s="289">
        <v>7.0000000000000007E-2</v>
      </c>
      <c r="J82" s="8">
        <f t="shared" si="6"/>
        <v>809.2</v>
      </c>
      <c r="K82" s="163">
        <f>J82+J84+J86</f>
        <v>1536.5</v>
      </c>
    </row>
    <row r="83" spans="1:11" x14ac:dyDescent="0.35">
      <c r="A83" s="3" t="s">
        <v>513</v>
      </c>
      <c r="B83" s="172" t="s">
        <v>463</v>
      </c>
      <c r="C83" s="3" t="s">
        <v>182</v>
      </c>
      <c r="D83" s="3" t="s">
        <v>513</v>
      </c>
      <c r="E83" s="287">
        <v>21600</v>
      </c>
      <c r="H83" s="8">
        <f t="shared" si="5"/>
        <v>0</v>
      </c>
      <c r="I83" s="289"/>
      <c r="J83" s="8">
        <f t="shared" si="6"/>
        <v>0</v>
      </c>
    </row>
    <row r="84" spans="1:11" x14ac:dyDescent="0.35">
      <c r="A84" s="3" t="s">
        <v>515</v>
      </c>
      <c r="B84" s="172" t="s">
        <v>463</v>
      </c>
      <c r="C84" s="3" t="s">
        <v>33</v>
      </c>
      <c r="D84" s="3" t="s">
        <v>515</v>
      </c>
      <c r="E84" s="287">
        <v>24490</v>
      </c>
      <c r="F84" s="8">
        <f>E84+E85</f>
        <v>42490</v>
      </c>
      <c r="G84" s="285">
        <v>40000</v>
      </c>
      <c r="H84" s="8">
        <f t="shared" si="5"/>
        <v>2490</v>
      </c>
      <c r="I84" s="289">
        <v>7.0000000000000007E-2</v>
      </c>
      <c r="J84" s="8">
        <f t="shared" si="6"/>
        <v>174.3</v>
      </c>
    </row>
    <row r="85" spans="1:11" x14ac:dyDescent="0.35">
      <c r="A85" s="3" t="s">
        <v>520</v>
      </c>
      <c r="B85" s="172" t="s">
        <v>463</v>
      </c>
      <c r="C85" s="3" t="s">
        <v>182</v>
      </c>
      <c r="D85" s="3" t="s">
        <v>520</v>
      </c>
      <c r="E85" s="287">
        <v>18000</v>
      </c>
      <c r="H85" s="8">
        <f t="shared" si="5"/>
        <v>0</v>
      </c>
      <c r="I85" s="289"/>
      <c r="J85" s="8">
        <f t="shared" si="6"/>
        <v>0</v>
      </c>
    </row>
    <row r="86" spans="1:11" x14ac:dyDescent="0.35">
      <c r="A86" s="3" t="s">
        <v>521</v>
      </c>
      <c r="B86" s="172" t="s">
        <v>463</v>
      </c>
      <c r="C86" s="3" t="s">
        <v>33</v>
      </c>
      <c r="D86" s="3" t="s">
        <v>521</v>
      </c>
      <c r="E86" s="287">
        <v>29900</v>
      </c>
      <c r="F86" s="8">
        <f>E86+E87</f>
        <v>47900</v>
      </c>
      <c r="G86" s="285">
        <v>40000</v>
      </c>
      <c r="H86" s="8">
        <f t="shared" si="5"/>
        <v>7900</v>
      </c>
      <c r="I86" s="289">
        <v>7.0000000000000007E-2</v>
      </c>
      <c r="J86" s="8">
        <f t="shared" si="6"/>
        <v>553</v>
      </c>
    </row>
    <row r="87" spans="1:11" ht="15" thickBot="1" x14ac:dyDescent="0.4">
      <c r="A87" s="3" t="s">
        <v>521</v>
      </c>
      <c r="B87" s="172" t="s">
        <v>463</v>
      </c>
      <c r="C87" s="3" t="s">
        <v>182</v>
      </c>
      <c r="D87" s="3" t="s">
        <v>521</v>
      </c>
      <c r="E87" s="287">
        <v>18000</v>
      </c>
      <c r="J87" s="237">
        <f>SUM(J53:J86)</f>
        <v>2707.6000000000004</v>
      </c>
    </row>
    <row r="88" spans="1:11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Month on Month Numbers</vt:lpstr>
      <vt:lpstr>Profit and Loss Ac</vt:lpstr>
      <vt:lpstr>September Summary</vt:lpstr>
      <vt:lpstr>Production</vt:lpstr>
      <vt:lpstr>Packaging materials accounting</vt:lpstr>
      <vt:lpstr>Dispatch and Sales per day</vt:lpstr>
      <vt:lpstr>Closing stock product</vt:lpstr>
      <vt:lpstr>Closing stock inventory</vt:lpstr>
      <vt:lpstr>Staff Salaries</vt:lpstr>
      <vt:lpstr>Expenditure</vt:lpstr>
      <vt:lpstr>Fuel reconciliation</vt:lpstr>
      <vt:lpstr>September Deficits</vt:lpstr>
      <vt:lpstr>Sales commissions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Oradu-Oita</dc:creator>
  <cp:lastModifiedBy>Emma Oradu-Oita</cp:lastModifiedBy>
  <dcterms:created xsi:type="dcterms:W3CDTF">2024-08-20T08:38:32Z</dcterms:created>
  <dcterms:modified xsi:type="dcterms:W3CDTF">2025-10-06T19:01:19Z</dcterms:modified>
</cp:coreProperties>
</file>