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C5" i="4" l="1"/>
  <c r="D12" i="4" l="1"/>
  <c r="F2" i="4" l="1"/>
  <c r="B120" i="3" l="1"/>
  <c r="B119" i="3"/>
  <c r="B118" i="3"/>
  <c r="B117" i="3"/>
  <c r="B116" i="3"/>
  <c r="B76" i="3"/>
  <c r="B75" i="3"/>
  <c r="B74" i="3"/>
  <c r="B73" i="3"/>
  <c r="B72" i="3"/>
  <c r="A13" i="3" l="1"/>
  <c r="B32" i="3" l="1"/>
  <c r="B31" i="3"/>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<sst xmlns="http://schemas.openxmlformats.org/spreadsheetml/2006/main" count="268" uniqueCount="191">
  <si>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</si>
  <si>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</si>
  <si>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</si>
  <si>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</si>
  <si>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</si>
  <si>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</si>
  <si>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</si>
  <si>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</si>
  <si>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</si>
  <si>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</si>
  <si>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</si>
  <si>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</si>
  <si>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</si>
  <si>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</si>
  <si>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</si>
  <si>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</si>
  <si>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</si>
  <si>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</si>
  <si>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</si>
  <si>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</si>
  <si>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</si>
  <si>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</si>
  <si>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</si>
  <si>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</si>
  <si>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</si>
  <si>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</si>
  <si>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</si>
  <si>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</si>
  <si>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</si>
  <si>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</si>
  <si>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</si>
  <si>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</si>
  <si>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</si>
  <si>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</si>
  <si>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</si>
  <si>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</si>
  <si>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</si>
  <si>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</si>
  <si>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</si>
  <si>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</si>
  <si>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</si>
  <si>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</si>
  <si>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</si>
  <si>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</si>
  <si>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</si>
  <si>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</si>
  <si>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</si>
  <si>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</si>
  <si>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</si>
  <si>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</si>
  <si>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</si>
  <si>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</si>
  <si>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</si>
  <si>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</si>
  <si>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</si>
  <si>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</si>
  <si>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</si>
  <si>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</si>
  <si>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</si>
  <si>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</si>
  <si>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</si>
  <si>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</si>
  <si>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</si>
  <si>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</si>
  <si>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</si>
  <si>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</si>
  <si>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</si>
  <si>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</si>
  <si>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</si>
  <si>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</si>
  <si>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</si>
  <si>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</si>
  <si>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</si>
  <si>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</si>
  <si>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</si>
  <si>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</si>
  <si>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</si>
  <si>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</si>
  <si>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</si>
  <si>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</si>
  <si>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</si>
  <si>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</si>
  <si>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</si>
  <si>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</si>
  <si>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</si>
  <si>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</si>
  <si>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</si>
  <si>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</si>
  <si>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</si>
  <si>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</si>
  <si>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</si>
  <si>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</si>
  <si>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</si>
  <si>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</si>
  <si>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</si>
  <si>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</si>
  <si>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</si>
  <si>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</si>
  <si>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</si>
  <si>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</si>
  <si>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</si>
  <si>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</si>
  <si>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</si>
  <si>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</si>
  <si>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</si>
  <si>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</si>
  <si>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</si>
  <si>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</si>
  <si>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</si>
  <si>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</si>
  <si>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</si>
  <si>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</si>
  <si>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</si>
  <si>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</si>
  <si>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</si>
  <si>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</si>
  <si>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</si>
  <si>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</si>
  <si>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</si>
  <si>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</si>
  <si>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</si>
  <si>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</si>
  <si>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</si>
  <si>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</si>
  <si>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</si>
  <si>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</si>
  <si>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</si>
  <si>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</si>
  <si>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</si>
  <si>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</si>
  <si>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</si>
  <si>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</si>
  <si>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</si>
  <si>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デパコスチーク</t>
  </si>
  <si>
    <t>ランコム　クッションブラッシュスプティル</t>
  </si>
  <si>
    <t>アナスイ　ローズチークカラーN</t>
  </si>
  <si>
    <t>ジルスチュアート　ルーズブラッシュ</t>
  </si>
  <si>
    <t>発色</t>
  </si>
  <si>
    <t>持ち運びに便利</t>
  </si>
  <si>
    <t>崩れにくさ</t>
  </si>
  <si>
    <t>コスパ</t>
  </si>
  <si>
    <t>使いやすさ</t>
  </si>
  <si>
    <t>１つで5色入っている</t>
  </si>
  <si>
    <t>細かな粒子が肌を綺麗に見せてくれる</t>
  </si>
  <si>
    <t>ラベンダーカラー入りの303番は透明感も与えてくれる</t>
  </si>
  <si>
    <t>薄メイクの時は淡いカラーを、濃いメイクの時は濃いカラーを付けたり、混ぜてカラーを調整するなど、色んな使い方ができる。</t>
  </si>
  <si>
    <t>ケースがごつごつしている</t>
  </si>
  <si>
    <t>ブラシが別売り</t>
  </si>
  <si>
    <t>なかなかなくならないので、コスパは良いが、そっくりのキャンメイクのチークに比べると高く感じてしまう。</t>
  </si>
  <si>
    <t>5色あり色んなカラーが楽しめるが、メイク初心者には使い方が難しい</t>
  </si>
  <si>
    <t>1つのチークで色んなカラーを試したい方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</si>
  <si>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</si>
  <si>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アナスイのチークが見た目の可愛さに惹かれて、10代の頃に購入してからずっと使用しています。
発色が良く、長時間持つのでお気に入りです。
結構入っているし、パウダーなのでコスパもいいです。
今までプチプラのチークもデパコスのチークも色々試してきましたが、やっぱりアナスイのこちらのチークが一番好きです。
これからもリピートしたいと思います。</t>
  </si>
  <si>
    <t xml:space="preserve">アナスイのチークはお気に入りで、何度もリピートしています。
色んなカラーが入っているので、混ぜて使ったり色味を気分やメイクに合わせてコントロールできるので、とっても万能なチークです。
発色も良く、朝メイクして出かけても、塗り直さなくてもいいくらい長時間持ってくれます。
現在3色持っていますが、他のカラーも試してみようと思います。
</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</si>
  <si>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</si>
  <si>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http://www.cosme.net/product/product_id/10079258/reviews</t>
  </si>
  <si>
    <t>上品なデザイン</t>
  </si>
  <si>
    <t>艶感を出せる</t>
  </si>
  <si>
    <t>クッションチークなので、ポンポンするだけで使いやすい</t>
  </si>
  <si>
    <t>クッションチークなので、残量がわからない</t>
  </si>
  <si>
    <t>薄付きなので、しっかりチークを付けたい方には向かない</t>
  </si>
  <si>
    <t>コスパが悪い</t>
  </si>
  <si>
    <t>薄付きのクッションチークを求めている方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</si>
  <si>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</si>
  <si>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パッケージのデザインがとっても可愛く、クッションタイプは使いやすそうだったので、購入しました。
クッションチークは初めてだったのですが、とてもよかったです。
お風呂上りのように、じんわりとほっぺを染めてくれる感じで、とても気に入っています。
全く乾燥もしませんし、持ちもいいです。
使用感も気に入っています。
</t>
  </si>
  <si>
    <t>ファンデーションはパウダーを使わず、リキッドやクッションを使用しているので、パウダーチークだと使いにくく、チークもクッションタイプを使用したくて、購入しました。
パフでポンポンとチークを乗せるだけなので、パウダーチークを付けるときのように、ブラシの摩擦で肌を痛めることもなく、発色も馴染みやすい色合いでちょうどよかったです。</t>
  </si>
  <si>
    <t>40代女性</t>
  </si>
  <si>
    <t>http://www.cosme.net/product/product_id/10106658/reviews</t>
  </si>
  <si>
    <t>ジルスチュアート　ルースブラッシュ</t>
  </si>
  <si>
    <t>見た目が女の子らしく可愛い</t>
  </si>
  <si>
    <t>ポンポンもセットでついている</t>
  </si>
  <si>
    <t>プレゼントに喜ばれる</t>
  </si>
  <si>
    <t>ついているか不安になるほど薄付き</t>
  </si>
  <si>
    <t>ポンポンは可愛いが、持ち運びに不便</t>
  </si>
  <si>
    <t>大きさの割に量が少ない</t>
  </si>
  <si>
    <t>女子力アップの可愛らしいチークが欲しい方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</si>
  <si>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</si>
  <si>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プレゼントでいただきました。
ジルスチュアートのチークはほしかったけど、自分には少し高かったので、嬉しかったです。
見た目がとっても可愛くて、置いているだけでテンションが上がります。
ポンポンに付けたあと、手の甲に付けて調節してからほっぺに付けるようにしています。
発色が良い方ではないですが、ふわっとチークが乗る感じてナチュラルに仕上げてくれます。
</t>
  </si>
  <si>
    <t xml:space="preserve">とっても可愛い見た目に一目ぼれし、完全にパケ買いでした。
可愛すぎて正直発色や持ちなんてどうでもいいとまで思っていましたが、チークとしても優秀でした。
05番を使用していますが、パープル系の色味も入っているので、肌に透明感を与えてくれて、白く綺麗な肌に見せてくれます。
やさしいタッチでポンポンとすると、ふわっと可愛らしいほっぺにしてくれます。
</t>
  </si>
  <si>
    <t>http://www.cosme.net/product/product_id/10143283/reviews</t>
  </si>
  <si>
    <t>今回取り上げたアイテムは、「何を求めてる人」にピッタリだと思いますか？
具体的に3つ記入してください。</t>
  </si>
  <si>
    <t>艶感を出せるチークを求めている方</t>
  </si>
  <si>
    <t>一つで色んなカラーを楽しめるチークを求めている方</t>
  </si>
  <si>
    <t>チークとしての機能はもちろん、持っているだけで気分を上げてくれる可愛いデザインのチークを求めている方</t>
  </si>
  <si>
    <t>&lt;a target="_blank" href="//af.moshimo.com/af/c/click?a_id=988731&amp;amp;p_id=170&amp;amp;pc_id=185&amp;amp;pl_id=4062&amp;amp;url=https%3A%2F%2Fwww.amazon.co.jp%2F%25E3%2582%25A2%25E3%2583%258A%25E3%2582%25B9%25E3%2582%25A4-%25E3%2583%25AD%25E3%2583%25BC%25E3%2582%25BA-%25E3%2583%2581%25E3%2583%25BC%25E3%2582%25AF%25E3%2582%25AB%25E3%2583%25A9%25E3%2583%25BC-N-%25E3%2580%2590%25E4%25B8%25A6%25E8%25A1%258C%25E8%25BC%25B8%25E5%2585%25A5%25E5%2593%2581%25E3%2580%2591-301%2Fdp%2FB01H1CQUYY" rel="nofollow"&gt;&lt;img src="https://images-fe.ssl-images-amazon.com/images/I/51BHIcjETEL.jpg" alt="" style="border: none;" /&gt;&lt;br /&gt;アナスイ ローズ チークカラー N　【並行輸入品】 301&lt;/a&gt;&lt;img src="//i.moshimo.com/af/i/impression?a_id=988731&amp;amp;p_id=170&amp;amp;pc_id=185&amp;amp;pl_id=4062" alt="" width="1" height="1" style="border: 0px;" /&gt;</t>
  </si>
  <si>
    <t>&lt;a target="_blank" href="//af.moshimo.com/af/c/click?a_id=988729&amp;amp;p_id=54&amp;amp;pc_id=54&amp;amp;pl_id=616&amp;amp;url=https%3A%2F%2Fitem.rakuten.co.jp%2Fab-cos%2F4969527151137%2F&amp;amp;m=http%3A%2F%2Fm.rakuten.co.jp%2Fab-cos%2Fi%2F10000541%2F&amp;amp;r_v=g00sr1k3.9tq3e4c4.g00sr1k3.9tq3f010" rel="nofollow"&gt;&lt;img src="//thumbnail.image.rakuten.co.jp/@0_mall/ab-cos/cabinet/annasui/4969527151137.jpg?_ex=128x128" alt="" style="border: none;" /&gt;&lt;br /&gt;アナスイ ANNA SUI ローズチークカラーN #400[ パウダーチーク ]【定形外発送OK！】&lt;/a&gt;&lt;img src="//i.moshimo.com/af/i/impression?a_id=988729&amp;amp;p_id=54&amp;amp;pc_id=54&amp;amp;pl_id=616" alt="" width="1" height="1" style="border: 0px;" /&gt;</t>
  </si>
  <si>
    <t>&lt;a target="_blank" href="//af.moshimo.com/af/c/click?a_id=988731&amp;amp;p_id=170&amp;amp;pc_id=185&amp;amp;pl_id=4062&amp;amp;url=https%3A%2F%2Fwww.amazon.co.jp%2F%25E3%2583%25A9%25E3%2583%25B3%25E3%2582%25B3%25E3%2583%25A0-LANCOME-W-C-11420-%25E3%2582%25AF%25E3%2583%2583%25E3%2582%25B7%25E3%2583%25A7%25E3%2583%25B3%25E3%2583%2596%25E3%2583%25A9%25E3%2583%2583%25E3%2582%25B7%25E3%2583%25A5%25E3%2582%25B9%25E3%2583%2597%25E3%2583%2586%25E3%2582%25A3%25E3%2583%25AB-%25E3%2582%25B9%25E3%2583%2597%25E3%2583%25A9%25E3%2583%2583%25E3%2582%25B7%25E3%2583%25A5%25E3%2582%25B3%25E3%2583%25A9%25E3%2582%25A4%25E3%2583%25A6%2Fdp%2FB01GKONLX2" rel="nofollow"&gt;&lt;img src="https://images-fe.ssl-images-amazon.com/images/I/41vopIVj1xL.jpg" alt="" style="border: none;" /&gt;&lt;br /&gt;ランコム クッションブラッシュスプティル # 032 スプラッシュコライユ&lt;/a&gt;&lt;img src="//i.moshimo.com/af/i/impression?a_id=988731&amp;amp;p_id=170&amp;amp;pc_id=185&amp;amp;pl_id=4062" alt="" width="1" height="1" style="border: 0px;" /&gt;</t>
  </si>
  <si>
    <t>&lt;a target="_blank" href="//af.moshimo.com/af/c/click?a_id=988729&amp;amp;p_id=54&amp;amp;pc_id=54&amp;amp;pl_id=616&amp;amp;url=https%3A%2F%2Fitem.rakuten.co.jp%2Fnetcosme%2F4935421621984%2F&amp;amp;m=http%3A%2F%2Fm.rakuten.co.jp%2Fnetcosme%2Fi%2F10027329%2F&amp;amp;r_v=g00reej3.9tq3e2ef.g00reej3.9tq3fef0" rel="nofollow"&gt;&lt;img src="//thumbnail.image.rakuten.co.jp/@0_mall/netcosme/cabinet/lancome/4935421621984.jpg?_ex=128x128" alt="" style="border: none;" /&gt;&lt;br /&gt;ランコム LANCOMEクッション ブラッシュ スプティル #032 SPLASH CORAIL7g&lt;/a&gt;&lt;img src="//i.moshimo.com/af/i/impression?a_id=988729&amp;amp;p_id=54&amp;amp;pc_id=54&amp;amp;pl_id=616" alt="" width="1" height="1" style="border: 0px;" /&gt;</t>
  </si>
  <si>
    <t>&lt;a target="_blank" href="//af.moshimo.com/af/c/click?a_id=988731&amp;amp;p_id=170&amp;amp;pc_id=185&amp;amp;pl_id=4062&amp;amp;url=https%3A%2F%2Fwww.amazon.co.jp%2FJILL-STUART-%25E3%2580%2590%25E3%2582%25B8%25E3%2583%25AB%25E3%2582%25B9%25E3%2583%2581%25E3%2583%25A5%25E3%2582%25A2%25E3%2583%25BC%25E3%2583%2588%25E3%2580%2591%25E3%2583%25AB%25E3%2583%25BC%25E3%2582%25B9%25E3%2583%2596%25E3%2583%25A9%25E3%2583%2583%25E3%2582%25B7%25E3%2583%25A5-02-%25E3%2583%2595%25E3%2583%25A9%25E3%2583%2583%25E3%2583%2595%25E3%2582%25A3%25E3%2583%25BC%25E3%2583%2595%25E3%2583%25A9%25E3%2583%25AF%25E3%2583%25BC%2Fdp%2FB079QJ2CH6" rel="nofollow"&gt;&lt;img src="https://images-fe.ssl-images-amazon.com/images/I/41RF1L5NOWL.jpg" alt="" style="border: none;" /&gt;&lt;br /&gt;【ジルスチュアート】ルースブラッシュ #02 フラッフィーフラワー 5g&lt;/a&gt;&lt;img src="//i.moshimo.com/af/i/impression?a_id=988731&amp;amp;p_id=170&amp;amp;pc_id=185&amp;amp;pl_id=4062" alt="" width="1" height="1" style="border: 0px;" /&gt;</t>
  </si>
  <si>
    <t>&lt;a target="_blank" href="//af.moshimo.com/af/c/click?a_id=988729&amp;amp;p_id=54&amp;amp;pc_id=54&amp;amp;pl_id=616&amp;amp;url=https%3A%2F%2Fitem.rakuten.co.jp%2Fcosmediva%2F4971710271256%2F&amp;amp;m=http%3A%2F%2Fm.rakuten.co.jp%2Fcosmediva%2Fi%2F10002994%2F&amp;amp;r_v=g00snpo3.9tq3e2d6.g00snpo3.9tq3fc49" rel="nofollow"&gt;&lt;img src="//thumbnail.image.rakuten.co.jp/@0_gold/cosmediva/20180626_300off/4971710271256.jpg?_ex=128x128" alt="" style="border: none;" /&gt;&lt;br /&gt;●300円OFFクーポン●【送料無料】JILL STUART ジル スチュアート ルース ブラッシュ #04 saturday brunch 5g&lt;/a&gt;&lt;img src="//i.moshimo.com/af/i/impression?a_id=988729&amp;amp;p_id=54&amp;amp;pc_id=54&amp;amp;pl_id=616" alt="" width="1" height="1" style="border: 0px;" /&gt;</t>
  </si>
  <si>
    <t>デパコスチークはどれが人気？おすすめ3選を口コミから選ぶ！</t>
    <rPh sb="11" eb="13">
      <t>ニンキ</t>
    </rPh>
    <rPh sb="19" eb="20">
      <t>セン</t>
    </rPh>
    <rPh sb="21" eb="22">
      <t>クチ</t>
    </rPh>
    <rPh sb="26" eb="27">
      <t>エラ</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</si>
</sst>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143283/reviews" TargetMode="External"/><Relationship Id="rId2" Type="http://schemas.openxmlformats.org/officeDocument/2006/relationships/hyperlink" Target="http://www.cosme.net/product/product_id/10106658/reviews" TargetMode="External"/><Relationship Id="rId1" Type="http://schemas.openxmlformats.org/officeDocument/2006/relationships/hyperlink" Target="http://www.cosme.net/product/product_id/10079258/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abSelected="1" topLeftCell="B1" workbookViewId="0">
      <selection activeCell="C15" sqref="C15"/>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60.75" thickBot="1">
      <c r="A23" s="4" t="s">
        <v>27</v>
      </c>
      <c r="B23" s="41" t="s">
        <v>151</v>
      </c>
      <c r="C23" s="9" t="s">
        <v>152</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69"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77.25" thickBot="1">
      <c r="A36" s="4" t="s">
        <v>45</v>
      </c>
      <c r="B36" s="43"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70"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111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168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77.25" thickBot="1">
      <c r="A49" s="4" t="s">
        <v>64</v>
      </c>
      <c r="B49" s="49" t="s">
        <v>176</v>
      </c>
      <c r="C49" s="29"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1"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111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15" sqref="D1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15.75" thickBot="1">
      <c r="A4" s="33" t="s">
        <v>137</v>
      </c>
      <c r="B4" s="17">
        <v>3</v>
      </c>
      <c r="C4" s="17">
        <v>4</v>
      </c>
      <c r="D4" s="17">
        <v>3</v>
      </c>
      <c r="E4" s="3"/>
      <c r="F4" s="3"/>
      <c r="G4" s="3"/>
      <c r="H4" s="3"/>
      <c r="I4" s="3"/>
      <c r="J4" s="3"/>
      <c r="K4" s="3"/>
      <c r="L4" s="3"/>
      <c r="M4" s="3"/>
      <c r="N4" s="3"/>
      <c r="O4" s="3"/>
      <c r="P4" s="3"/>
      <c r="Q4" s="3"/>
      <c r="R4" s="3"/>
      <c r="S4" s="3"/>
      <c r="T4" s="3"/>
      <c r="U4" s="3"/>
      <c r="V4" s="3"/>
      <c r="W4" s="3"/>
      <c r="X4" s="3"/>
      <c r="Y4" s="3"/>
      <c r="Z4" s="3"/>
    </row>
    <row r="5" spans="1:26" ht="15.75" thickBot="1">
      <c r="A5" s="33" t="s">
        <v>138</v>
      </c>
      <c r="B5" s="17">
        <v>3</v>
      </c>
      <c r="C5" s="17">
        <v>2</v>
      </c>
      <c r="D5" s="17">
        <v>1</v>
      </c>
      <c r="E5" s="3"/>
      <c r="F5" s="3"/>
      <c r="G5" s="3"/>
      <c r="H5" s="3"/>
      <c r="I5" s="3"/>
      <c r="J5" s="3"/>
      <c r="K5" s="3"/>
      <c r="L5" s="3"/>
      <c r="M5" s="3"/>
      <c r="N5" s="3"/>
      <c r="O5" s="3"/>
      <c r="P5" s="3"/>
      <c r="Q5" s="3"/>
      <c r="R5" s="3"/>
      <c r="S5" s="3"/>
      <c r="T5" s="3"/>
      <c r="U5" s="3"/>
      <c r="V5" s="3"/>
      <c r="W5" s="3"/>
      <c r="X5" s="3"/>
      <c r="Y5" s="3"/>
      <c r="Z5" s="3"/>
    </row>
    <row r="6" spans="1:26" ht="15.75" thickBot="1">
      <c r="A6" s="33" t="s">
        <v>139</v>
      </c>
      <c r="B6" s="17">
        <v>3</v>
      </c>
      <c r="C6" s="17">
        <v>4</v>
      </c>
      <c r="D6" s="17">
        <v>3</v>
      </c>
      <c r="E6" s="3"/>
      <c r="F6" s="3"/>
      <c r="G6" s="3"/>
      <c r="H6" s="3"/>
      <c r="I6" s="3"/>
      <c r="J6" s="3"/>
      <c r="K6" s="3"/>
      <c r="L6" s="3"/>
      <c r="M6" s="3"/>
      <c r="N6" s="3"/>
      <c r="O6" s="3"/>
      <c r="P6" s="3"/>
      <c r="Q6" s="3"/>
      <c r="R6" s="3"/>
      <c r="S6" s="3"/>
      <c r="T6" s="3"/>
      <c r="U6" s="3"/>
      <c r="V6" s="3"/>
      <c r="W6" s="3"/>
      <c r="X6" s="3"/>
      <c r="Y6" s="3"/>
      <c r="Z6" s="3"/>
    </row>
    <row r="7" spans="1:26" ht="15.75" thickBot="1">
      <c r="A7" s="33" t="s">
        <v>140</v>
      </c>
      <c r="B7" s="17">
        <v>2</v>
      </c>
      <c r="C7" s="17">
        <v>5</v>
      </c>
      <c r="D7" s="17">
        <v>1</v>
      </c>
      <c r="E7" s="3"/>
      <c r="F7" s="3"/>
      <c r="G7" s="3"/>
      <c r="H7" s="3"/>
      <c r="I7" s="3"/>
      <c r="J7" s="3"/>
      <c r="K7" s="3"/>
      <c r="L7" s="3"/>
      <c r="M7" s="3"/>
      <c r="N7" s="3"/>
      <c r="O7" s="3"/>
      <c r="P7" s="3"/>
      <c r="Q7" s="3"/>
      <c r="R7" s="3"/>
      <c r="S7" s="3"/>
      <c r="T7" s="3"/>
      <c r="U7" s="3"/>
      <c r="V7" s="3"/>
      <c r="W7" s="3"/>
      <c r="X7" s="3"/>
      <c r="Y7" s="3"/>
      <c r="Z7" s="3"/>
    </row>
    <row r="8" spans="1:26" ht="15.75" thickBot="1">
      <c r="A8" s="33" t="s">
        <v>141</v>
      </c>
      <c r="B8" s="17">
        <v>5</v>
      </c>
      <c r="C8" s="17">
        <v>4</v>
      </c>
      <c r="D8" s="17">
        <v>2</v>
      </c>
      <c r="E8" s="3"/>
      <c r="F8" s="3"/>
      <c r="G8" s="3"/>
      <c r="H8" s="3"/>
      <c r="I8" s="3"/>
      <c r="J8" s="3"/>
      <c r="K8" s="3"/>
      <c r="L8" s="3"/>
      <c r="M8" s="3"/>
      <c r="N8" s="3"/>
      <c r="O8" s="3"/>
      <c r="P8" s="3"/>
      <c r="Q8" s="3"/>
      <c r="R8" s="3"/>
      <c r="S8" s="3"/>
      <c r="T8" s="3"/>
      <c r="U8" s="3"/>
      <c r="V8" s="3"/>
      <c r="W8" s="3"/>
      <c r="X8" s="3"/>
      <c r="Y8" s="3"/>
      <c r="Z8" s="3"/>
    </row>
    <row r="9" spans="1:26" ht="15" thickBot="1">
      <c r="A9" s="18" t="s">
        <v>68</v>
      </c>
      <c r="B9" s="19">
        <v>16</v>
      </c>
      <c r="C9" s="19">
        <v>19</v>
      </c>
      <c r="D9" s="19">
        <v>10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4" workbookViewId="0">
      <selection activeCell="I13" sqref="I13"/>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190</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https://images-fe.ssl-images-amazon.com/images/I/51BHIcjETEL.jpg</v>
      </c>
      <c r="D5" s="22" t="str">
        <f>アンケート!C13</f>
        <v>アナスイ　ローズチークカラーN</v>
      </c>
      <c r="E5" t="s">
        <v>122</v>
      </c>
    </row>
    <row r="6" spans="2:8">
      <c r="B6" s="23" t="s">
        <v>102</v>
      </c>
      <c r="C6" s="22" t="str">
        <f>IF(C24="","",SUBSTITUTE(MID(C24,FIND("src=",C24)+5,FIND("alt",C24)-FIND("src=",C24)-7),"amp;",""))</f>
        <v>https://images-fe.ssl-images-amazon.com/images/I/41vopIVj1xL.jpg</v>
      </c>
      <c r="D6" s="22" t="str">
        <f>アンケート!C28</f>
        <v>ランコム　クッションブラッシュスプティル</v>
      </c>
      <c r="E6" t="s">
        <v>122</v>
      </c>
    </row>
    <row r="7" spans="2:8">
      <c r="B7" s="23" t="s">
        <v>101</v>
      </c>
      <c r="C7" s="22" t="str">
        <f>IF(C26="","",SUBSTITUTE(MID(C26,FIND("src=",C26)+5,FIND("alt",C26)-FIND("src=",C26)-7),"amp;",""))</f>
        <v>https://images-fe.ssl-images-amazon.com/images/I/41RF1L5NOWL.jpg</v>
      </c>
      <c r="D7" s="22" t="str">
        <f>アンケート!C41</f>
        <v>ジルスチュアート　ルースブラッシュ</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http://www.cosme.net/product/product_id/10079258/reviews</v>
      </c>
      <c r="D12" s="62">
        <f>SQL!A11+1</f>
        <v>151</v>
      </c>
      <c r="E12" s="22" t="str">
        <f>アンケート!C25</f>
        <v>20代女性</v>
      </c>
      <c r="F12" s="22" t="str">
        <f>IF(ISERROR(FIND("女",E12)),"m","w")&amp;"_"&amp;LEFT(E12,2)&amp;"_"&amp;"2"</f>
        <v>w_20_2</v>
      </c>
    </row>
    <row r="13" spans="2:8">
      <c r="B13" s="67"/>
      <c r="C13" s="68"/>
      <c r="D13" s="63"/>
      <c r="E13" s="22" t="str">
        <f>アンケート!C26</f>
        <v>20代女性</v>
      </c>
      <c r="F13" s="22" t="str">
        <f>IF(ISERROR(FIND("女",E13)),"m","w")&amp;"_"&amp;LEFT(E13,2)&amp;"_"&amp;"1"</f>
        <v>w_20_1</v>
      </c>
    </row>
    <row r="14" spans="2:8">
      <c r="B14" s="66" t="s">
        <v>102</v>
      </c>
      <c r="C14" s="68" t="str">
        <f>アンケート!C40</f>
        <v>http://www.cosme.net/product/product_id/10106658/reviews</v>
      </c>
      <c r="D14" s="62">
        <f>IF(D12="","",D12+1)</f>
        <v>152</v>
      </c>
      <c r="E14" s="22" t="str">
        <f>アンケート!C38</f>
        <v>20代女性</v>
      </c>
      <c r="F14" s="22" t="str">
        <f>IF(ISERROR(FIND("女",E14)),"m","w")&amp;"_"&amp;LEFT(E14,2)&amp;"_"&amp;"2"</f>
        <v>w_20_2</v>
      </c>
    </row>
    <row r="15" spans="2:8">
      <c r="B15" s="67"/>
      <c r="C15" s="68"/>
      <c r="D15" s="63"/>
      <c r="E15" s="22" t="str">
        <f>アンケート!C39</f>
        <v>40代女性</v>
      </c>
      <c r="F15" s="22" t="str">
        <f>IF(ISERROR(FIND("女",E15)),"m","w")&amp;"_"&amp;LEFT(E15,2)&amp;"_"&amp;"1"</f>
        <v>w_40_1</v>
      </c>
    </row>
    <row r="16" spans="2:8">
      <c r="B16" s="66" t="s">
        <v>101</v>
      </c>
      <c r="C16" s="68" t="str">
        <f>アンケート!C53</f>
        <v>http://www.cosme.net/product/product_id/10143283/reviews</v>
      </c>
      <c r="D16" s="62">
        <f>IF(D14="","",D14+1)</f>
        <v>153</v>
      </c>
      <c r="E16" s="22" t="str">
        <f>アンケート!C51</f>
        <v>20代女性</v>
      </c>
      <c r="F16" s="22" t="str">
        <f>IF(ISERROR(FIND("女",E16)),"m","w")&amp;"_"&amp;LEFT(E16,2)&amp;"_"&amp;"2"</f>
        <v>w_20_2</v>
      </c>
    </row>
    <row r="17" spans="2:6">
      <c r="B17" s="67"/>
      <c r="C17" s="68"/>
      <c r="D17" s="63"/>
      <c r="E17" s="22" t="str">
        <f>アンケート!C52</f>
        <v>20代女性</v>
      </c>
      <c r="F17" s="22" t="str">
        <f t="shared" ref="F17" si="0">IF(ISERROR(FIND("女",E17)),"m","w")&amp;"_"&amp;LEFT(E17,2)&amp;"_"&amp;"1"</f>
        <v>w_20_1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184</v>
      </c>
      <c r="D22" s="65" t="str">
        <f t="shared" ref="D22:D27" si="1">IF(C22="","",SUBSTITUTE(MID(C22,FIND("href=",C22)+6,FIND("rel=",C22)-FIND("href=",C22)-8),"amp;",""))</f>
        <v>//af.moshimo.com/af/c/click?a_id=988731&amp;p_id=170&amp;pc_id=185&amp;pl_id=4062&amp;url=https%3A%2F%2Fwww.amazon.co.jp%2F%25E3%2582%25A2%25E3%2583%258A%25E3%2582%25B9%25E3%2582%25A4-%25E3%2583%25AD%25E3%2583%25BC%25E3%2582%25BA-%25E3%2583%2581%25E3%2583%25BC%25E3%2582%25AF%25E3%2582%25AB%25E3%2583%25A9%25E3%2583%25BC-N-%25E3%2580%2590%25E4%25B8%25A6%25E8%25A1%258C%25E8%25BC%25B8%25E5%2585%25A5%25E5%2593%2581%25E3%2580%2591-301%2Fdp%2FB01H1CQUYY</v>
      </c>
      <c r="E22" s="65"/>
      <c r="F22" s="22" t="str">
        <f>IF(ISERROR(FIND("amazon",C22)),IF(ISERROR(FIND("rakuten",C22)),"","楽天"),"Amazon")</f>
        <v>Amazon</v>
      </c>
    </row>
    <row r="23" spans="2:6">
      <c r="B23" s="64"/>
      <c r="C23" s="22" t="s">
        <v>185</v>
      </c>
      <c r="D23" s="65" t="str">
        <f t="shared" si="1"/>
        <v>//af.moshimo.com/af/c/click?a_id=988729&amp;p_id=54&amp;pc_id=54&amp;pl_id=616&amp;url=https%3A%2F%2Fitem.rakuten.co.jp%2Fab-cos%2F4969527151137%2F&amp;m=http%3A%2F%2Fm.rakuten.co.jp%2Fab-cos%2Fi%2F10000541%2F&amp;r_v=g00sr1k3.9tq3e4c4.g00sr1k3.9tq3f010</v>
      </c>
      <c r="E23" s="65"/>
      <c r="F23" s="22" t="str">
        <f t="shared" ref="F23:F27" si="2">IF(ISERROR(FIND("amazon",C23)),IF(ISERROR(FIND("rakuten",C23)),"","楽天"),"Amazon")</f>
        <v>楽天</v>
      </c>
    </row>
    <row r="24" spans="2:6">
      <c r="B24" s="64" t="s">
        <v>114</v>
      </c>
      <c r="C24" s="22" t="s">
        <v>186</v>
      </c>
      <c r="D24" s="65" t="str">
        <f t="shared" si="1"/>
        <v>//af.moshimo.com/af/c/click?a_id=988731&amp;p_id=170&amp;pc_id=185&amp;pl_id=4062&amp;url=https%3A%2F%2Fwww.amazon.co.jp%2F%25E3%2583%25A9%25E3%2583%25B3%25E3%2582%25B3%25E3%2583%25A0-LANCOME-W-C-11420-%25E3%2582%25AF%25E3%2583%2583%25E3%2582%25B7%25E3%2583%25A7%25E3%2583%25B3%25E3%2583%2596%25E3%2583%25A9%25E3%2583%2583%25E3%2582%25B7%25E3%2583%25A5%25E3%2582%25B9%25E3%2583%2597%25E3%2583%2586%25E3%2582%25A3%25E3%2583%25AB-%25E3%2582%25B9%25E3%2583%2597%25E3%2583%25A9%25E3%2583%2583%25E3%2582%25B7%25E3%2583%25A5%25E3%2582%25B3%25E3%2583%25A9%25E3%2582%25A4%25E3%2583%25A6%2Fdp%2FB01GKONLX2</v>
      </c>
      <c r="E24" s="65"/>
      <c r="F24" s="22" t="str">
        <f t="shared" si="2"/>
        <v>Amazon</v>
      </c>
    </row>
    <row r="25" spans="2:6">
      <c r="B25" s="64"/>
      <c r="C25" s="22" t="s">
        <v>187</v>
      </c>
      <c r="D25" s="65" t="str">
        <f t="shared" si="1"/>
        <v>//af.moshimo.com/af/c/click?a_id=988729&amp;p_id=54&amp;pc_id=54&amp;pl_id=616&amp;url=https%3A%2F%2Fitem.rakuten.co.jp%2Fnetcosme%2F4935421621984%2F&amp;m=http%3A%2F%2Fm.rakuten.co.jp%2Fnetcosme%2Fi%2F10027329%2F&amp;r_v=g00reej3.9tq3e2ef.g00reej3.9tq3fef0</v>
      </c>
      <c r="E25" s="65"/>
      <c r="F25" s="22" t="str">
        <f t="shared" si="2"/>
        <v>楽天</v>
      </c>
    </row>
    <row r="26" spans="2:6">
      <c r="B26" s="64" t="s">
        <v>115</v>
      </c>
      <c r="C26" s="22" t="s">
        <v>188</v>
      </c>
      <c r="D26" s="65" t="str">
        <f t="shared" si="1"/>
        <v>//af.moshimo.com/af/c/click?a_id=988731&amp;p_id=170&amp;pc_id=185&amp;pl_id=4062&amp;url=https%3A%2F%2Fwww.amazon.co.jp%2FJILL-STUART-%25E3%2580%2590%25E3%2582%25B8%25E3%2583%25AB%25E3%2582%25B9%25E3%2583%2581%25E3%2583%25A5%25E3%2582%25A2%25E3%2583%25BC%25E3%2583%2588%25E3%2580%2591%25E3%2583%25AB%25E3%2583%25BC%25E3%2582%25B9%25E3%2583%2596%25E3%2583%25A9%25E3%2583%2583%25E3%2582%25B7%25E3%2583%25A5-02-%25E3%2583%2595%25E3%2583%25A9%25E3%2583%2583%25E3%2583%2595%25E3%2582%25A3%25E3%2583%25BC%25E3%2583%2595%25E3%2583%25A9%25E3%2583%25AF%25E3%2583%25BC%2Fdp%2FB079QJ2CH6</v>
      </c>
      <c r="E26" s="65"/>
      <c r="F26" s="22" t="str">
        <f t="shared" si="2"/>
        <v>Amazon</v>
      </c>
    </row>
    <row r="27" spans="2:6">
      <c r="B27" s="64"/>
      <c r="C27" s="22" t="s">
        <v>189</v>
      </c>
      <c r="D27" s="65" t="str">
        <f t="shared" si="1"/>
        <v>//af.moshimo.com/af/c/click?a_id=988729&amp;p_id=54&amp;pc_id=54&amp;pl_id=616&amp;url=https%3A%2F%2Fitem.rakuten.co.jp%2Fcosmediva%2F4971710271256%2F&amp;m=http%3A%2F%2Fm.rakuten.co.jp%2Fcosmediva%2Fi%2F10002994%2F&amp;r_v=g00snpo3.9tq3e2d6.g00snpo3.9tq3fc49</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20" t="str">
        <f>CONCATENATE("&lt;h2&gt;",入力シート!C2,"&lt;/h2&gt;")</f>
        <v>&lt;h2&gt;デパコスチークはどれが人気？おすすめ3選を口コミから選ぶ！&lt;/h2&gt;</v>
      </c>
    </row>
    <row r="2" spans="1:1">
      <c r="A2" s="20" t="s">
        <v>86</v>
      </c>
    </row>
    <row r="3" spans="1:1">
      <c r="A3" s="21" t="s">
        <v>87</v>
      </c>
    </row>
    <row r="4" spans="1:1">
      <c r="A4" s="20" t="str">
        <f>CONCATENATE("&lt;li&gt;", アンケート!C54, "&lt;/li&gt;")</f>
        <v>&lt;li&gt;艶感を出せるチークを求めている方&lt;/li&gt;</v>
      </c>
    </row>
    <row r="5" spans="1:1">
      <c r="A5" s="20" t="str">
        <f>CONCATENATE("&lt;li&gt;", アンケート!C55, "&lt;/li&gt;")</f>
        <v>&lt;li&gt;一つで色んなカラーを楽しめるチークを求めている方&lt;/li&gt;</v>
      </c>
    </row>
    <row r="6" spans="1:1">
      <c r="A6" s="20" t="str">
        <f>CONCATENATE("&lt;li&gt;", アンケート!C56, "&lt;/li&gt;")</f>
        <v>&lt;li&gt;チークとしての機能はもちろん、持っているだけで気分を上げてくれる可愛いデザインのチークを求めている方&lt;/li&gt;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今回紹介する『デパコスチーク』は「価格と品質」どちらを重要視したのかをあらわした図です。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&lt;h2&gt;『デパコスチーク』 ランキング&lt;/h2&gt;</v>
      </c>
    </row>
    <row r="20" spans="1:2">
      <c r="A20" t="s">
        <v>91</v>
      </c>
    </row>
    <row r="22" spans="1:2">
      <c r="A22" t="str">
        <f>CONCATENATE("&lt;h3&gt;3位 ",アンケート!C41,"&lt;/h3&gt;")</f>
        <v>&lt;h3&gt;3位 ジルスチュアート　ルースブラッシュ&lt;/h3&gt;</v>
      </c>
    </row>
    <row r="23" spans="1:2">
      <c r="A23" t="s">
        <v>92</v>
      </c>
    </row>
    <row r="24" spans="1:2">
      <c r="A24" t="s">
        <v>69</v>
      </c>
    </row>
    <row r="25" spans="1:2">
      <c r="A25" t="str">
        <f>アンケート!C48</f>
        <v>女子力アップの可愛らしいチークが欲しい方</v>
      </c>
    </row>
    <row r="26" spans="1:2">
      <c r="A26" t="s">
        <v>70</v>
      </c>
    </row>
    <row r="27" spans="1:2">
      <c r="A27" s="6" t="str">
        <f>CONCATENATE("[tblStart num=5]", 入力シート!C7, "[/tblStart]")</f>
        <v>[tblStart num=5]https://images-fe.ssl-images-amazon.com/images/I/41RF1L5NOWL.jpg[/tblStart]</v>
      </c>
    </row>
    <row r="28" spans="1:2">
      <c r="A28" t="str">
        <f>CONCATENATE("[tdLevel type=", B28, "]", 比較表!A4, "[/tdLevel]")</f>
        <v>[tdLevel type=4]発色[/tdLevel]</v>
      </c>
      <c r="B28">
        <f>HLOOKUP(アンケート!$C$41,比較表!$B$3:$D$8,2)</f>
        <v>4</v>
      </c>
    </row>
    <row r="29" spans="1:2">
      <c r="A29" t="str">
        <f>CONCATENATE("[tdLevel type=", B29, "]", 比較表!A5, "[/tdLevel]")</f>
        <v>[tdLevel type=2]持ち運びに便利[/tdLevel]</v>
      </c>
      <c r="B29">
        <f>HLOOKUP(アンケート!$C$41,比較表!$B$3:$D$8,3)</f>
        <v>2</v>
      </c>
    </row>
    <row r="30" spans="1:2">
      <c r="A30" t="str">
        <f>CONCATENATE("[tdLevel type=", B30, "]", 比較表!A6, "[/tdLevel]")</f>
        <v>[tdLevel type=4]崩れにくさ[/tdLevel]</v>
      </c>
      <c r="B30">
        <f>HLOOKUP(アンケート!$C$41,比較表!$B$3:$D$8,4)</f>
        <v>4</v>
      </c>
    </row>
    <row r="31" spans="1:2">
      <c r="A31" t="str">
        <f>CONCATENATE("[tdLevel type=", B31, "]", 比較表!A7, "[/tdLevel]")</f>
        <v>[tdLevel type=5]コスパ[/tdLevel]</v>
      </c>
      <c r="B31">
        <f>HLOOKUP(アンケート!$C$41,比較表!$B$3:$D$8,5)</f>
        <v>5</v>
      </c>
    </row>
    <row r="32" spans="1:2">
      <c r="A32" t="str">
        <f>CONCATENATE("[tdLevel type=", B32, "]", 比較表!A8, "[/tdLevel]")</f>
        <v>[tdLevel type=4]使いやすさ[/tdLevel]</v>
      </c>
      <c r="B32">
        <f>HLOOKUP(アンケート!$C$41,比較表!$B$3:$D$8,6)</f>
        <v>4</v>
      </c>
    </row>
    <row r="33" spans="1:1">
      <c r="A33" t="s">
        <v>72</v>
      </c>
    </row>
    <row r="35" spans="1:1">
      <c r="A35" s="6" t="str">
        <f>CONCATENATE("[product_link id=",入力シート!D16,"][/product_link]")</f>
        <v>[product_link id=153][/product_link]</v>
      </c>
    </row>
    <row r="36" spans="1:1">
      <c r="A36" t="s">
        <v>93</v>
      </c>
    </row>
    <row r="37" spans="1:1">
      <c r="A37" t="s">
        <v>94</v>
      </c>
    </row>
    <row r="38" spans="1:1">
      <c r="A38" t="s">
        <v>95</v>
      </c>
    </row>
    <row r="39" spans="1:1">
      <c r="A39" t="s">
        <v>87</v>
      </c>
    </row>
    <row r="40" spans="1:1">
      <c r="A40" t="str">
        <f>CONCATENATE("&lt;li&gt;", アンケート!C42,"&lt;/li&gt;")</f>
        <v>&lt;li&gt;見た目が女の子らしく可愛い&lt;/li&gt;</v>
      </c>
    </row>
    <row r="41" spans="1:1">
      <c r="A41" t="str">
        <f>CONCATENATE("&lt;li&gt;", アンケート!C43,"&lt;/li&gt;")</f>
        <v>&lt;li&gt;ポンポンもセットでついている&lt;/li&gt;</v>
      </c>
    </row>
    <row r="42" spans="1:1">
      <c r="A42" t="str">
        <f>CONCATENATE("&lt;li&gt;", アンケート!C44,"&lt;/li&gt;")</f>
        <v>&lt;li&gt;プレゼントに喜ばれる&lt;/li&gt;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&lt;li&gt;ついているか不安になるほど薄付き&lt;/li&gt;</v>
      </c>
    </row>
    <row r="51" spans="1:1">
      <c r="A51" t="str">
        <f>CONCATENATE("&lt;li&gt;", アンケート!C46,"&lt;/li&gt;")</f>
        <v>&lt;li&gt;ポンポンは可愛いが、持ち運びに不便&lt;/li&gt;</v>
      </c>
    </row>
    <row r="52" spans="1:1">
      <c r="A52" t="str">
        <f>CONCATENATE("&lt;li&gt;", アンケート!C47,"&lt;/li&gt;")</f>
        <v>&lt;li&gt;大きさの割に量が少ない&lt;/li&gt;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プレゼントでいただきました。
ジルスチュアートのチークはほしかったけど、自分には少し高かったので、嬉しかったです。
見た目がとっても可愛くて、置いているだけでテンションが上がります。
ポンポンに付けたあと、手の甲に付けて調節してからほっぺに付けるようにしています。
発色が良い方ではないですが、ふわっとチークが乗る感じてナチュラルに仕上げてくれます。
</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とっても可愛い見た目に一目ぼれし、完全にパケ買いでした。
可愛すぎて正直発色や持ちなんてどうでもいいとまで思っていましたが、チークとしても優秀でした。
05番を使用していますが、パープル系の色味も入っているので、肌に透明感を与えてくれて、白く綺麗な肌に見せてくれます。
やさしいタッチでポンポンとすると、ふわっと可愛らしいほっぺにしてくれます。
</v>
      </c>
    </row>
    <row r="62" spans="1:1">
      <c r="A62" t="s">
        <v>104</v>
      </c>
    </row>
    <row r="63" spans="1:1">
      <c r="A63" t="s">
        <v>99</v>
      </c>
    </row>
    <row r="64" spans="1:1">
      <c r="A64" t="str">
        <f>CONCATENATE("[reviewLink id=","""", 入力シート!D16,"""][/reviewLink]")</f>
        <v>[reviewLink id="153"][/reviewLink]</v>
      </c>
    </row>
    <row r="66" spans="1:2">
      <c r="A66" t="str">
        <f>CONCATENATE("&lt;h3&gt;2位 ",アンケート!C28,"&lt;/h3&gt;")</f>
        <v>&lt;h3&gt;2位 ランコム　クッションブラッシュスプティル&lt;/h3&gt;</v>
      </c>
    </row>
    <row r="67" spans="1:2">
      <c r="A67" t="s">
        <v>92</v>
      </c>
    </row>
    <row r="68" spans="1:2">
      <c r="A68" t="s">
        <v>69</v>
      </c>
    </row>
    <row r="69" spans="1:2">
      <c r="A69" t="str">
        <f>アンケート!C35</f>
        <v>薄付きのクッションチークを求めている方</v>
      </c>
    </row>
    <row r="70" spans="1:2">
      <c r="A70" t="s">
        <v>70</v>
      </c>
    </row>
    <row r="71" spans="1:2">
      <c r="A71" s="6" t="str">
        <f>CONCATENATE("[tblStart num=5]", 入力シート!$C$6, "[/tblStart]")</f>
        <v>[tblStart num=5]https://images-fe.ssl-images-amazon.com/images/I/41vopIVj1xL.jpg[/tblStart]</v>
      </c>
    </row>
    <row r="72" spans="1:2">
      <c r="A72" t="str">
        <f>CONCATENATE("[tdLevel type=", B72, "]", 比較表!A4, "[/tdLevel]")</f>
        <v>[tdLevel type=3]発色[/tdLevel]</v>
      </c>
      <c r="B72">
        <f>HLOOKUP(アンケート!$C$28,比較表!$B$3:$D$8,2,FALSE)</f>
        <v>3</v>
      </c>
    </row>
    <row r="73" spans="1:2">
      <c r="A73" t="str">
        <f>CONCATENATE("[tdLevel type=", B73, "]", 比較表!A5, "[/tdLevel]")</f>
        <v>[tdLevel type=3]持ち運びに便利[/tdLevel]</v>
      </c>
      <c r="B73">
        <f>HLOOKUP(アンケート!$C$28,比較表!$B$3:$D$8,3,FALSE)</f>
        <v>3</v>
      </c>
    </row>
    <row r="74" spans="1:2">
      <c r="A74" t="str">
        <f>CONCATENATE("[tdLevel type=", B74, "]", 比較表!A6, "[/tdLevel]")</f>
        <v>[tdLevel type=3]崩れにくさ[/tdLevel]</v>
      </c>
      <c r="B74">
        <f>HLOOKUP(アンケート!$C$28,比較表!$B$3:$D$8,4,FALSE)</f>
        <v>3</v>
      </c>
    </row>
    <row r="75" spans="1:2">
      <c r="A75" t="str">
        <f>CONCATENATE("[tdLevel type=", B75, "]", 比較表!A7, "[/tdLevel]")</f>
        <v>[tdLevel type=2]コスパ[/tdLevel]</v>
      </c>
      <c r="B75">
        <f>HLOOKUP(アンケート!$C$28,比較表!$B$3:$D$8,5,FALSE)</f>
        <v>2</v>
      </c>
    </row>
    <row r="76" spans="1:2">
      <c r="A76" t="str">
        <f>CONCATENATE("[tdLevel type=", B76, "]", 比較表!A8, "[/tdLevel]")</f>
        <v>[tdLevel type=5]使いやすさ[/tdLevel]</v>
      </c>
      <c r="B76">
        <f>HLOOKUP(アンケート!$C$28,比較表!$B$3:$D$8,6,FALSE)</f>
        <v>5</v>
      </c>
    </row>
    <row r="77" spans="1:2">
      <c r="A77" t="s">
        <v>72</v>
      </c>
    </row>
    <row r="79" spans="1:2">
      <c r="A79" s="6" t="str">
        <f>CONCATENATE("[product_link id=",入力シート!D14,"][/product_link]")</f>
        <v>[product_link id=152][/product_link]</v>
      </c>
    </row>
    <row r="80" spans="1:2">
      <c r="A80" t="s">
        <v>93</v>
      </c>
    </row>
    <row r="81" spans="1:1">
      <c r="A81" t="s">
        <v>94</v>
      </c>
    </row>
    <row r="82" spans="1:1">
      <c r="A82" t="s">
        <v>95</v>
      </c>
    </row>
    <row r="83" spans="1:1">
      <c r="A83" t="s">
        <v>87</v>
      </c>
    </row>
    <row r="84" spans="1:1">
      <c r="A84" t="str">
        <f>CONCATENATE("&lt;li&gt;", アンケート!C29,"&lt;/li&gt;")</f>
        <v>&lt;li&gt;上品なデザイン&lt;/li&gt;</v>
      </c>
    </row>
    <row r="85" spans="1:1">
      <c r="A85" t="str">
        <f>CONCATENATE("&lt;li&gt;", アンケート!C30,"&lt;/li&gt;")</f>
        <v>&lt;li&gt;艶感を出せる&lt;/li&gt;</v>
      </c>
    </row>
    <row r="86" spans="1:1">
      <c r="A86" t="str">
        <f>CONCATENATE("&lt;li&gt;", アンケート!C31,"&lt;/li&gt;")</f>
        <v>&lt;li&gt;クッションチークなので、ポンポンするだけで使いやすい&lt;/li&gt;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&lt;li&gt;クッションチークなので、残量がわからない&lt;/li&gt;</v>
      </c>
    </row>
    <row r="95" spans="1:1">
      <c r="A95" t="str">
        <f>CONCATENATE("&lt;li&gt;", アンケート!C33,"&lt;/li&gt;")</f>
        <v>&lt;li&gt;薄付きなので、しっかりチークを付けたい方には向かない&lt;/li&gt;</v>
      </c>
    </row>
    <row r="96" spans="1:1">
      <c r="A96" t="str">
        <f>CONCATENATE("&lt;li&gt;", アンケート!C34,"&lt;/li&gt;")</f>
        <v>&lt;li&gt;コスパが悪い&lt;/li&gt;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パッケージのデザインがとっても可愛く、クッションタイプは使いやすそうだったので、購入しました。
クッションチークは初めてだったのですが、とてもよかったです。
お風呂上りのように、じんわりとほっぺを染めてくれる感じで、とても気に入っています。
全く乾燥もしませんし、持ちもいいです。
使用感も気に入っています。
</v>
      </c>
    </row>
    <row r="103" spans="1:1">
      <c r="A103" t="s">
        <v>104</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ファンデーションはパウダーを使わず、リキッドやクッションを使用しているので、パウダーチークだと使いにくく、チークもクッションタイプを使用したくて、購入しました。
パフでポンポンとチークを乗せるだけなので、パウダーチークを付けるときのように、ブラシの摩擦で肌を痛めることもなく、発色も馴染みやすい色合いでちょうどよかったです。</v>
      </c>
    </row>
    <row r="106" spans="1:1">
      <c r="A106" t="s">
        <v>104</v>
      </c>
    </row>
    <row r="107" spans="1:1">
      <c r="A107" t="s">
        <v>99</v>
      </c>
    </row>
    <row r="108" spans="1:1">
      <c r="A108" t="str">
        <f>CONCATENATE("[reviewLink id=","""", 入力シート!D14,"""][/reviewLink]")</f>
        <v>[reviewLink id="152"][/reviewLink]</v>
      </c>
    </row>
    <row r="110" spans="1:1">
      <c r="A110" t="str">
        <f>CONCATENATE("&lt;h3&gt;1位 ",アンケート!C13,"&lt;/h3&gt;")</f>
        <v>&lt;h3&gt;1位 アナスイ　ローズチークカラーN&lt;/h3&gt;</v>
      </c>
    </row>
    <row r="111" spans="1:1">
      <c r="A111" t="s">
        <v>92</v>
      </c>
    </row>
    <row r="112" spans="1:1">
      <c r="A112" t="s">
        <v>69</v>
      </c>
    </row>
    <row r="113" spans="1:2">
      <c r="A113" t="str">
        <f>アンケート!C22</f>
        <v>1つのチークで色んなカラーを試したい方</v>
      </c>
    </row>
    <row r="114" spans="1:2">
      <c r="A114" t="s">
        <v>70</v>
      </c>
    </row>
    <row r="115" spans="1:2" ht="27">
      <c r="A115" s="6" t="str">
        <f>CONCATENATE("[tblStart num=5]", 入力シート!C5, "[/tblStart]")</f>
        <v>[tblStart num=5]https://images-fe.ssl-images-amazon.com/images/I/51BHIcjETEL.jpg[/tblStart]</v>
      </c>
    </row>
    <row r="116" spans="1:2">
      <c r="A116" t="str">
        <f>CONCATENATE("[tdLevel type=", B116, "]", 比較表!A4, "[/tdLevel]")</f>
        <v>[tdLevel type=4]発色[/tdLevel]</v>
      </c>
      <c r="B116">
        <f>HLOOKUP(アンケート!$C$13,比較表!$B$3:$D$8,2,FALSE)</f>
        <v>4</v>
      </c>
    </row>
    <row r="117" spans="1:2">
      <c r="A117" t="str">
        <f>CONCATENATE("[tdLevel type=", B117, "]", 比較表!A5, "[/tdLevel]")</f>
        <v>[tdLevel type=2]持ち運びに便利[/tdLevel]</v>
      </c>
      <c r="B117">
        <f>HLOOKUP(アンケート!$C$13,比較表!$B$3:$D$8,3,FALSE)</f>
        <v>2</v>
      </c>
    </row>
    <row r="118" spans="1:2">
      <c r="A118" t="str">
        <f>CONCATENATE("[tdLevel type=", B118, "]", 比較表!A6, "[/tdLevel]")</f>
        <v>[tdLevel type=4]崩れにくさ[/tdLevel]</v>
      </c>
      <c r="B118">
        <f>HLOOKUP(アンケート!$C$13,比較表!$B$3:$D$8,4,FALSE)</f>
        <v>4</v>
      </c>
    </row>
    <row r="119" spans="1:2">
      <c r="A119" t="str">
        <f>CONCATENATE("[tdLevel type=", B119, "]", 比較表!A7, "[/tdLevel]")</f>
        <v>[tdLevel type=5]コスパ[/tdLevel]</v>
      </c>
      <c r="B119">
        <f>HLOOKUP(アンケート!$C$13,比較表!$B$3:$D$8,5,FALSE)</f>
        <v>5</v>
      </c>
    </row>
    <row r="120" spans="1:2">
      <c r="A120" t="str">
        <f>CONCATENATE("[tdLevel type=", B120, "]", 比較表!A8, "[/tdLevel]")</f>
        <v>[tdLevel type=4]使いやすさ[/tdLevel]</v>
      </c>
      <c r="B120">
        <f>HLOOKUP(アンケート!$C$13,比較表!$B$3:$D$8,6,FALSE)</f>
        <v>4</v>
      </c>
    </row>
    <row r="121" spans="1:2">
      <c r="A121" t="s">
        <v>72</v>
      </c>
    </row>
    <row r="123" spans="1:2">
      <c r="A123" s="6" t="str">
        <f>CONCATENATE("[product_link id=",入力シート!D12,"][/product_link]")</f>
        <v>[product_link id=151][/product_link]</v>
      </c>
    </row>
    <row r="124" spans="1:2">
      <c r="A124" t="s">
        <v>93</v>
      </c>
    </row>
    <row r="125" spans="1:2">
      <c r="A125" t="s">
        <v>94</v>
      </c>
    </row>
    <row r="126" spans="1:2">
      <c r="A126" t="s">
        <v>95</v>
      </c>
    </row>
    <row r="127" spans="1:2">
      <c r="A127" t="s">
        <v>87</v>
      </c>
    </row>
    <row r="128" spans="1:2">
      <c r="A128" t="str">
        <f>CONCATENATE("&lt;li&gt;", アンケート!C14,"&lt;/li&gt;")</f>
        <v>&lt;li&gt;１つで5色入っている&lt;/li&gt;</v>
      </c>
    </row>
    <row r="129" spans="1:1">
      <c r="A129" t="str">
        <f>CONCATENATE("&lt;li&gt;", アンケート!C15,"&lt;/li&gt;")</f>
        <v>&lt;li&gt;細かな粒子が肌を綺麗に見せてくれる&lt;/li&gt;</v>
      </c>
    </row>
    <row r="130" spans="1:1">
      <c r="A130" t="str">
        <f>CONCATENATE("&lt;li&gt;", アンケート!C16,"&lt;/li&gt;")</f>
        <v>&lt;li&gt;ラベンダーカラー入りの303番は透明感も与えてくれる&lt;/li&gt;</v>
      </c>
    </row>
    <row r="131" spans="1:1">
      <c r="A131" t="str">
        <f>CONCATENATE("&lt;li&gt;", アンケート!C17,"&lt;/li&gt;")</f>
        <v>&lt;li&gt;薄メイクの時は淡いカラーを、濃いメイクの時は濃いカラーを付けたり、混ぜてカラーを調整するなど、色んな使い方ができる。&lt;/li&gt;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&lt;li&gt;ケースがごつごつしている&lt;/li&gt;</v>
      </c>
    </row>
    <row r="140" spans="1:1">
      <c r="A140" t="str">
        <f>CONCATENATE("&lt;li&gt;", アンケート!C19,"&lt;/li&gt;")</f>
        <v>&lt;li&gt;ブラシが別売り&lt;/li&gt;</v>
      </c>
    </row>
    <row r="141" spans="1:1">
      <c r="A141" t="str">
        <f>CONCATENATE("&lt;li&gt;", アンケート!C20,"&lt;/li&gt;")</f>
        <v>&lt;li&gt;なかなかなくならないので、コスパは良いが、そっくりのキャンメイクのチークに比べると高く感じてしまう。&lt;/li&gt;</v>
      </c>
    </row>
    <row r="142" spans="1:1">
      <c r="A142" t="str">
        <f>CONCATENATE("&lt;li&gt;", アンケート!C21,"&lt;/li&gt;")</f>
        <v>&lt;li&gt;5色あり色んなカラーが楽しめるが、メイク初心者には使い方が難しい&lt;/li&gt;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アナスイのチークが見た目の可愛さに惹かれて、10代の頃に購入してからずっと使用しています。
発色が良く、長時間持つのでお気に入りです。
結構入っているし、パウダーなのでコスパもいいです。
今までプチプラのチークもデパコスのチークも色々試してきましたが、やっぱりアナスイのこちらのチークが一番好きです。
これからもリピートしたいと思います。</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アナスイのチークはお気に入りで、何度もリピートしています。
色んなカラーが入っているので、混ぜて使ったり色味を気分やメイクに合わせてコントロールできるので、とっても万能なチークです。
発色も良く、朝メイクして出かけても、塗り直さなくてもいいくらい長時間持ってくれます。
現在3色持っていますが、他のカラーも試してみようと思います。
</v>
      </c>
    </row>
    <row r="152" spans="1:1">
      <c r="A152" t="s">
        <v>104</v>
      </c>
    </row>
    <row r="153" spans="1:1">
      <c r="A153" t="s">
        <v>99</v>
      </c>
    </row>
    <row r="154" spans="1:1">
      <c r="A154" t="str">
        <f>CONCATENATE("[reviewLink id=","""", 入力シート!D12,"""][/reviewLink]")</f>
        <v>[reviewLink id="151"][/reviewLink]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(151,'//af.moshimo.com/af/c/click?a_id=988731&amp;p_id=170&amp;pc_id=185&amp;pl_id=4062&amp;url=https%3A%2F%2Fwww.amazon.co.jp%2F%25E3%2582%25A2%25E3%2583%258A%25E3%2582%25B9%25E3%2582%25A4-%25E3%2583%25AD%25E3%2583%25BC%25E3%2582%25BA-%25E3%2583%2581%25E3%2583%25BC%25E3%2582%25AF%25E3%2582%25AB%25E3%2583%25A9%25E3%2583%25BC-N-%25E3%2580%2590%25E4%25B8%25A6%25E8%25A1%258C%25E8%25BC%25B8%25E5%2585%25A5%25E5%2593%2581%25E3%2580%2591-301%2Fdp%2FB01H1CQUYY', '//af.moshimo.com/af/c/click?a_id=988729&amp;p_id=54&amp;pc_id=54&amp;pl_id=616&amp;url=https%3A%2F%2Fitem.rakuten.co.jp%2Fab-cos%2F4969527151137%2F&amp;m=http%3A%2F%2Fm.rakuten.co.jp%2Fab-cos%2Fi%2F10000541%2F&amp;r_v=g00sr1k3.9tq3e4c4.g00sr1k3.9tq3f010', 'http://www.cosme.net/product/product_id/10079258/reviews', 'https://images-fe.ssl-images-amazon.com/images/I/51BHIcjETEL.jpg', 'アナスイ　ローズチークカラーN'),</v>
      </c>
    </row>
    <row r="3" spans="1:1">
      <c r="A3" t="str">
        <f>"("&amp;入力シート!D14&amp;","&amp;"'"&amp;入力シート!D24&amp;"', '"&amp;入力シート!D25&amp;"', '"&amp;入力シート!C14&amp;"', '"&amp;入力シート!C6&amp;"', '"&amp;入力シート!D6&amp;"'),"</f>
        <v>(152,'//af.moshimo.com/af/c/click?a_id=988731&amp;p_id=170&amp;pc_id=185&amp;pl_id=4062&amp;url=https%3A%2F%2Fwww.amazon.co.jp%2F%25E3%2583%25A9%25E3%2583%25B3%25E3%2582%25B3%25E3%2583%25A0-LANCOME-W-C-11420-%25E3%2582%25AF%25E3%2583%2583%25E3%2582%25B7%25E3%2583%25A7%25E3%2583%25B3%25E3%2583%2596%25E3%2583%25A9%25E3%2583%2583%25E3%2582%25B7%25E3%2583%25A5%25E3%2582%25B9%25E3%2583%2597%25E3%2583%2586%25E3%2582%25A3%25E3%2583%25AB-%25E3%2582%25B9%25E3%2583%2597%25E3%2583%25A9%25E3%2583%2583%25E3%2582%25B7%25E3%2583%25A5%25E3%2582%25B3%25E3%2583%25A9%25E3%2582%25A4%25E3%2583%25A6%2Fdp%2FB01GKONLX2', '//af.moshimo.com/af/c/click?a_id=988729&amp;p_id=54&amp;pc_id=54&amp;pl_id=616&amp;url=https%3A%2F%2Fitem.rakuten.co.jp%2Fnetcosme%2F4935421621984%2F&amp;m=http%3A%2F%2Fm.rakuten.co.jp%2Fnetcosme%2Fi%2F10027329%2F&amp;r_v=g00reej3.9tq3e2ef.g00reej3.9tq3fef0', 'http://www.cosme.net/product/product_id/10106658/reviews', 'https://images-fe.ssl-images-amazon.com/images/I/41vopIVj1xL.jpg', 'ランコム　クッションブラッシュスプティル'),</v>
      </c>
    </row>
    <row r="4" spans="1:1">
      <c r="A4" t="str">
        <f>"("&amp;入力シート!D16&amp;","&amp;"'"&amp;入力シート!D26&amp;"', '"&amp;入力シート!D27&amp;"', '"&amp;入力シート!C16&amp;"', '"&amp;入力シート!C7&amp;"', '"&amp;入力シート!D7&amp;"');"</f>
        <v>(153,'//af.moshimo.com/af/c/click?a_id=988731&amp;p_id=170&amp;pc_id=185&amp;pl_id=4062&amp;url=https%3A%2F%2Fwww.amazon.co.jp%2FJILL-STUART-%25E3%2580%2590%25E3%2582%25B8%25E3%2583%25AB%25E3%2582%25B9%25E3%2583%2581%25E3%2583%25A5%25E3%2582%25A2%25E3%2583%25BC%25E3%2583%2588%25E3%2580%2591%25E3%2583%25AB%25E3%2583%25BC%25E3%2582%25B9%25E3%2583%2596%25E3%2583%25A9%25E3%2583%2583%25E3%2582%25B7%25E3%2583%25A5-02-%25E3%2583%2595%25E3%2583%25A9%25E3%2583%2583%25E3%2583%2595%25E3%2582%25A3%25E3%2583%25BC%25E3%2583%2595%25E3%2583%25A9%25E3%2583%25AF%25E3%2583%25BC%2Fdp%2FB079QJ2CH6', '//af.moshimo.com/af/c/click?a_id=988729&amp;p_id=54&amp;pc_id=54&amp;pl_id=616&amp;url=https%3A%2F%2Fitem.rakuten.co.jp%2Fcosmediva%2F4971710271256%2F&amp;m=http%3A%2F%2Fm.rakuten.co.jp%2Fcosmediva%2Fi%2F10002994%2F&amp;r_v=g00snpo3.9tq3e2d6.g00snpo3.9tq3fc49', 'http://www.cosme.net/product/product_id/10143283/reviews', 'https://images-fe.ssl-images-amazon.com/images/I/41RF1L5NOWL.jpg', 'ジルスチュアート　ルースブラッシュ');</v>
      </c>
    </row>
    <row r="9" spans="1:1">
      <c r="A9" s="36" t="s">
        <v>124</v>
      </c>
    </row>
    <row r="10" spans="1:1" ht="14.25" thickBot="1">
      <c r="A10" t="s">
        <v>123</v>
      </c>
    </row>
    <row r="11" spans="1:1" ht="14.25" thickBot="1">
      <c r="A11" s="40">
        <v>150</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2018-07-05T02:23:11Z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