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2"/>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D12" i="4" l="1"/>
  <c r="F2" i="4" l="1"/>
  <c r="B120" i="3" l="1"/>
  <c r="B119" i="3"/>
  <c r="B118" i="3"/>
  <c r="B117" i="3"/>
  <c r="B116" i="3"/>
  <c r="B76" i="3"/>
  <c r="B75" i="3"/>
  <c r="B74" i="3"/>
  <c r="B73" i="3"/>
  <c r="B72"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<sst xmlns="http://schemas.openxmlformats.org/spreadsheetml/2006/main" count="261" uniqueCount="183">
  <si>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</si>
  <si>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</si>
  <si>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</si>
  <si>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</si>
  <si>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</si>
  <si>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</si>
  <si>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</si>
  <si>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</si>
  <si>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</si>
  <si>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</si>
  <si>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</si>
  <si>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</si>
  <si>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</si>
  <si>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</si>
  <si>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</si>
  <si>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</si>
  <si>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</si>
  <si>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</si>
  <si>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</si>
  <si>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</si>
  <si>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</si>
  <si>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</si>
  <si>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</si>
  <si>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</si>
  <si>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</si>
  <si>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</si>
  <si>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</si>
  <si>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</si>
  <si>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</si>
  <si>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</si>
  <si>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</si>
  <si>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</si>
  <si>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</si>
  <si>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</si>
  <si>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</si>
  <si>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</si>
  <si>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</si>
  <si>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</si>
  <si>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</si>
  <si>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</si>
  <si>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</si>
  <si>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</si>
  <si>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</si>
  <si>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</si>
  <si>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</si>
  <si>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</si>
  <si>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</si>
  <si>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</si>
  <si>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</si>
  <si>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</si>
  <si>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</si>
  <si>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</si>
  <si>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</si>
  <si>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</si>
  <si>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</si>
  <si>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</si>
  <si>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</si>
  <si>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</si>
  <si>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</si>
  <si>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</si>
  <si>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</si>
  <si>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</si>
  <si>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</si>
  <si>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</si>
  <si>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</si>
  <si>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</si>
  <si>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</si>
  <si>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</si>
  <si>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</si>
  <si>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</si>
  <si>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</si>
  <si>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</si>
  <si>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</si>
  <si>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</si>
  <si>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</si>
  <si>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</si>
  <si>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</si>
  <si>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１位の商品のためになった（なる）口コミやレビューを２つ記入してください。</t>
  </si>
  <si>
    <t>上記の口コミは何十代の男性/女性ですか？
※不明な場合は、予想で構いません。</t>
  </si>
  <si>
    <t>参考にしたサイトのURLを記入してください。</t>
  </si>
  <si>
    <t>２位の商品のためになった（なる）口コミやレビューを２つ記入してください。</t>
  </si>
  <si>
    <t>上記の口コミは何十代の男性/女性ですか？ 
※不明な場合は、予想で構いません。</t>
  </si>
  <si>
    <t>３位の商品のためになった（なる）口コミやレビューを２つ記入してください。</t>
  </si>
  <si>
    <t>Q49</t>
  </si>
  <si>
    <t>Q50</t>
  </si>
  <si>
    <t>Q51</t>
  </si>
  <si>
    <t>Q52</t>
  </si>
  <si>
    <t>Q53</t>
  </si>
  <si>
    <t>このアンケートはどんな人に参考になると思いますか？
具体的に3つ記入してください。</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</si>
  <si>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</si>
  <si>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</si>
  <si>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</si>
  <si>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</si>
  <si>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</si>
  <si>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</si>
  <si>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</si>
  <si>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</si>
  <si>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</si>
  <si>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</si>
  <si>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</si>
  <si>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</si>
  <si>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</si>
  <si>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</si>
  <si>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</si>
  <si>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</si>
  <si>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</si>
  <si>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</si>
  <si>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</si>
  <si>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</si>
  <si>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</si>
  <si>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</si>
  <si>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</si>
  <si>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</si>
  <si>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</si>
  <si>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</si>
  <si>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</si>
  <si>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20代女性</t>
  </si>
  <si>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</si>
  <si>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</si>
  <si>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</si>
  <si>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</si>
  <si>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</si>
  <si>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</si>
  <si>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</si>
  <si>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</si>
  <si>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</si>
  <si>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</si>
  <si>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</si>
  <si>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</si>
  <si>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</si>
  <si>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</si>
  <si>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コンシーラー</t>
  </si>
  <si>
    <t>ザセム　カバーパーフェクション　アイディール　コンシーラー　デュオ</t>
  </si>
  <si>
    <t>イプサ　クリエイティブコンシーラー</t>
  </si>
  <si>
    <t>キャンメイク　カバー＆ストレッチコンシーラー</t>
  </si>
  <si>
    <t>カバー力</t>
  </si>
  <si>
    <t>付け心地がいいか</t>
  </si>
  <si>
    <t>塗った部分が乾燥しないか</t>
  </si>
  <si>
    <t>肌色に合ったカラー</t>
  </si>
  <si>
    <t>コスパの良さ</t>
  </si>
  <si>
    <t>カバー力がある</t>
  </si>
  <si>
    <t>伸びが良く使いやすい</t>
  </si>
  <si>
    <t>スティック・リキッドがセットになっているので、隠したい場所によって使い分けることができる</t>
  </si>
  <si>
    <t>コスパが良い</t>
  </si>
  <si>
    <t>韓国製ではないので肌に合わない人もいるかもしれない</t>
  </si>
  <si>
    <t>取り扱いのない都道府県が多く、ネットで購入するしかない人が多いため、実際に商品をみて購入することができない</t>
  </si>
  <si>
    <t>スティックタイプ・リキッドタイプ片方しか使用しない人にはもったいない</t>
  </si>
  <si>
    <t>大きいので、持ち歩きには不向き</t>
  </si>
  <si>
    <t>10代の人から年代問わずおすすめ</t>
  </si>
  <si>
    <t>薄い付なのにカバー力がある</t>
  </si>
  <si>
    <t>この安さでこのクオリティーは他にない</t>
  </si>
  <si>
    <t>http://www.cosme.net/product/product_id/10144050/top</t>
  </si>
  <si>
    <t>薄い色から濃い色まで１つで3色展開</t>
  </si>
  <si>
    <t>3色あるので、混ぜて自分のシミに合ったカラーを作ることができる</t>
  </si>
  <si>
    <t>ケーズが頑丈で傷つきにくい</t>
  </si>
  <si>
    <t>カバー力が悪くはないが良くもない</t>
  </si>
  <si>
    <t>値段が高い</t>
  </si>
  <si>
    <t>伸びが悪い</t>
  </si>
  <si>
    <t>自分のシミに合ったカラーのコンシーラーがなかなか見つからない方</t>
  </si>
  <si>
    <t>3色入りなので、自分のカラーを作ることができる</t>
  </si>
  <si>
    <t>毛穴を隠すことができる</t>
  </si>
  <si>
    <t>http://www.cosme.net/product/product_id/10035459/top</t>
  </si>
  <si>
    <t>低価格</t>
  </si>
  <si>
    <t>3色展開</t>
  </si>
  <si>
    <t>伸びが良い</t>
  </si>
  <si>
    <t>カバー力が少し劣る</t>
  </si>
  <si>
    <t>時間が経つとよれる</t>
  </si>
  <si>
    <t>一度開けると硬くなるので、使い切る前に硬くなり最後まで使用できない場合がある</t>
  </si>
  <si>
    <t>目立つシミのない若者</t>
  </si>
  <si>
    <t>クマも赤みも隠すことができる</t>
  </si>
  <si>
    <t>この値段でこのカバー力なら合格</t>
  </si>
  <si>
    <t>10代女性</t>
  </si>
  <si>
    <t>http://www.cosme.net/product/product_id/317222/reviews</t>
  </si>
  <si>
    <t>シミやクマに悩んでいる方</t>
  </si>
  <si>
    <t>自分に合ったカラーのコンシーラーを探している方</t>
  </si>
  <si>
    <t>コスパの良いコンシーラーを求めている方</t>
  </si>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</sst>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20">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69">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0" fillId="0" borderId="19" xfId="0" applyBorder="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osme.net/product/product_id/317222/reviews" TargetMode="External"/><Relationship Id="rId2" Type="http://schemas.openxmlformats.org/officeDocument/2006/relationships/hyperlink" Target="http://www.cosme.net/product/product_id/10035459/top" TargetMode="External"/><Relationship Id="rId1" Type="http://schemas.openxmlformats.org/officeDocument/2006/relationships/hyperlink" Target="http://www.cosme.net/product/product_id/10144050/top"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 workbookViewId="0">
      <selection activeCell="B1" sqref="A1:Z1028"/>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131</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0" t="s">
        <v>13</v>
      </c>
      <c r="C3" s="5" t="s">
        <v>132</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1"/>
      <c r="C4" s="7" t="s">
        <v>133</v>
      </c>
      <c r="D4" s="3"/>
      <c r="E4" s="3"/>
      <c r="F4" s="3"/>
      <c r="G4" s="3"/>
      <c r="H4" s="3"/>
      <c r="I4" s="3"/>
      <c r="J4" s="3"/>
      <c r="K4" s="3"/>
      <c r="L4" s="3"/>
      <c r="M4" s="3"/>
      <c r="N4" s="3"/>
      <c r="O4" s="3"/>
      <c r="P4" s="3"/>
      <c r="Q4" s="3"/>
      <c r="R4" s="3"/>
      <c r="S4" s="3"/>
      <c r="T4" s="3"/>
      <c r="U4" s="3"/>
      <c r="V4" s="3"/>
      <c r="W4" s="3"/>
      <c r="X4" s="3"/>
      <c r="Y4" s="3"/>
      <c r="Z4" s="3"/>
    </row>
    <row r="5" spans="1:26" ht="14.25" thickBot="1">
      <c r="A5" s="4" t="s">
        <v>7</v>
      </c>
      <c r="B5" s="42"/>
      <c r="C5" s="5" t="s">
        <v>134</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73</v>
      </c>
      <c r="C6" s="24">
        <v>7</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43" t="s">
        <v>74</v>
      </c>
      <c r="C7" s="7" t="s">
        <v>135</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44"/>
      <c r="C8" s="7" t="s">
        <v>136</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44"/>
      <c r="C9" s="7" t="s">
        <v>137</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44"/>
      <c r="C10" s="5" t="s">
        <v>138</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45"/>
      <c r="C11" s="5" t="s">
        <v>139</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8" t="s">
        <v>76</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132</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6" t="s">
        <v>28</v>
      </c>
      <c r="C14" s="3" t="s">
        <v>140</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47"/>
      <c r="C15" s="9" t="s">
        <v>141</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47"/>
      <c r="C16" s="9" t="s">
        <v>142</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8"/>
      <c r="C17" s="9" t="s">
        <v>143</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6" t="s">
        <v>33</v>
      </c>
      <c r="C18" s="9" t="s">
        <v>144</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47"/>
      <c r="C19" s="9" t="s">
        <v>145</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47"/>
      <c r="C20" s="3" t="s">
        <v>146</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8"/>
      <c r="C21" s="9" t="s">
        <v>147</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148</v>
      </c>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46" t="s">
        <v>77</v>
      </c>
      <c r="C23" s="9" t="s">
        <v>149</v>
      </c>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48"/>
      <c r="C24" s="9" t="s">
        <v>150</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6" t="s">
        <v>78</v>
      </c>
      <c r="C25" s="9" t="s">
        <v>116</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8"/>
      <c r="C26" s="9" t="s">
        <v>116</v>
      </c>
      <c r="D26" s="3"/>
      <c r="E26" s="3"/>
      <c r="F26" s="3"/>
      <c r="G26" s="3"/>
      <c r="H26" s="3"/>
      <c r="I26" s="3"/>
      <c r="J26" s="3"/>
      <c r="K26" s="3"/>
      <c r="L26" s="3"/>
      <c r="M26" s="3"/>
      <c r="N26" s="3"/>
      <c r="O26" s="3"/>
      <c r="P26" s="3"/>
      <c r="Q26" s="3"/>
      <c r="R26" s="3"/>
      <c r="S26" s="3"/>
      <c r="T26" s="3"/>
      <c r="U26" s="3"/>
      <c r="V26" s="3"/>
      <c r="W26" s="3"/>
      <c r="X26" s="3"/>
      <c r="Y26" s="3"/>
      <c r="Z26" s="3"/>
    </row>
    <row r="27" spans="1:26" ht="15" thickBot="1">
      <c r="A27" s="4" t="s">
        <v>32</v>
      </c>
      <c r="B27" s="26" t="s">
        <v>79</v>
      </c>
      <c r="C27" s="37" t="s">
        <v>151</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7" t="s">
        <v>133</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9" t="s">
        <v>42</v>
      </c>
      <c r="C29" s="27" t="s">
        <v>152</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50"/>
      <c r="C30" s="27" t="s">
        <v>153</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51"/>
      <c r="C31" s="27" t="s">
        <v>154</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9" t="s">
        <v>46</v>
      </c>
      <c r="C32" s="27" t="s">
        <v>155</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50"/>
      <c r="C33" s="27" t="s">
        <v>156</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51"/>
      <c r="C34" s="27" t="s">
        <v>157</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158</v>
      </c>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49" t="s">
        <v>80</v>
      </c>
      <c r="C36" s="27" t="s">
        <v>159</v>
      </c>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47</v>
      </c>
      <c r="B37" s="51"/>
      <c r="C37" s="27" t="s">
        <v>160</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9" t="s">
        <v>81</v>
      </c>
      <c r="C38" s="27" t="s">
        <v>116</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51"/>
      <c r="C39" s="27" t="s">
        <v>116</v>
      </c>
      <c r="D39" s="3"/>
      <c r="E39" s="3"/>
      <c r="F39" s="3"/>
      <c r="G39" s="3"/>
      <c r="H39" s="3"/>
      <c r="I39" s="3"/>
      <c r="J39" s="3"/>
      <c r="K39" s="3"/>
      <c r="L39" s="3"/>
      <c r="M39" s="3"/>
      <c r="N39" s="3"/>
      <c r="O39" s="3"/>
      <c r="P39" s="3"/>
      <c r="Q39" s="3"/>
      <c r="R39" s="3"/>
      <c r="S39" s="3"/>
      <c r="T39" s="3"/>
      <c r="U39" s="3"/>
      <c r="V39" s="3"/>
      <c r="W39" s="3"/>
      <c r="X39" s="3"/>
      <c r="Y39" s="3"/>
      <c r="Z39" s="3"/>
    </row>
    <row r="40" spans="1:26" ht="15" thickBot="1">
      <c r="A40" s="4" t="s">
        <v>51</v>
      </c>
      <c r="B40" s="28" t="s">
        <v>79</v>
      </c>
      <c r="C40" s="38" t="s">
        <v>161</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134</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52" t="s">
        <v>54</v>
      </c>
      <c r="C42" s="3" t="s">
        <v>162</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3"/>
      <c r="C43" s="29" t="s">
        <v>163</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4"/>
      <c r="C44" s="29" t="s">
        <v>164</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52" t="s">
        <v>58</v>
      </c>
      <c r="C45" s="29" t="s">
        <v>165</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3"/>
      <c r="C46" s="29" t="s">
        <v>166</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4"/>
      <c r="C47" s="29" t="s">
        <v>167</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168</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52" t="s">
        <v>82</v>
      </c>
      <c r="C49" s="29" t="s">
        <v>169</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83</v>
      </c>
      <c r="B50" s="54"/>
      <c r="C50" s="29" t="s">
        <v>170</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84</v>
      </c>
      <c r="B51" s="52" t="s">
        <v>81</v>
      </c>
      <c r="C51" s="29" t="s">
        <v>171</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85</v>
      </c>
      <c r="B52" s="54"/>
      <c r="C52" s="29" t="s">
        <v>171</v>
      </c>
      <c r="D52" s="3"/>
      <c r="E52" s="3"/>
      <c r="F52" s="3"/>
      <c r="G52" s="3"/>
      <c r="H52" s="3"/>
      <c r="I52" s="3"/>
      <c r="J52" s="3"/>
      <c r="K52" s="3"/>
      <c r="L52" s="3"/>
      <c r="M52" s="3"/>
      <c r="N52" s="3"/>
      <c r="O52" s="3"/>
      <c r="P52" s="3"/>
      <c r="Q52" s="3"/>
      <c r="R52" s="3"/>
      <c r="S52" s="3"/>
      <c r="T52" s="3"/>
      <c r="U52" s="3"/>
      <c r="V52" s="3"/>
      <c r="W52" s="3"/>
      <c r="X52" s="3"/>
      <c r="Y52" s="3"/>
      <c r="Z52" s="3"/>
    </row>
    <row r="53" spans="1:26" ht="15" thickBot="1">
      <c r="A53" s="4" t="s">
        <v>86</v>
      </c>
      <c r="B53" s="11" t="s">
        <v>79</v>
      </c>
      <c r="C53" s="39" t="s">
        <v>172</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87</v>
      </c>
      <c r="B54" s="40" t="s">
        <v>88</v>
      </c>
      <c r="C54" s="5" t="s">
        <v>173</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89</v>
      </c>
      <c r="B55" s="41"/>
      <c r="C55" s="7" t="s">
        <v>174</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90</v>
      </c>
      <c r="B56" s="42"/>
      <c r="C56" s="7" t="s">
        <v>175</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25:B26"/>
    <mergeCell ref="B29:B31"/>
    <mergeCell ref="B32:B34"/>
    <mergeCell ref="B36:B37"/>
    <mergeCell ref="B54:B56"/>
    <mergeCell ref="B38:B39"/>
    <mergeCell ref="B42:B44"/>
    <mergeCell ref="B45:B47"/>
    <mergeCell ref="B49:B50"/>
    <mergeCell ref="B51:B52"/>
    <mergeCell ref="B3:B5"/>
    <mergeCell ref="B7:B11"/>
    <mergeCell ref="B14:B17"/>
    <mergeCell ref="B18:B21"/>
    <mergeCell ref="B23:B24"/>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B9" sqref="B9"/>
    </sheetView>
  </sheetViews>
  <sheetFormatPr defaultRowHeight="13.5"/>
  <cols>
    <col min="1" max="1" width="23.75" customWidth="1"/>
    <col min="2" max="2" width="23.125" bestFit="1" customWidth="1"/>
    <col min="3" max="4" width="40.625" customWidth="1"/>
  </cols>
  <sheetData>
    <row r="1" spans="1:26" ht="88.5" customHeight="1" thickBot="1">
      <c r="A1" s="12" t="s">
        <v>65</v>
      </c>
      <c r="B1" s="55" t="s">
        <v>66</v>
      </c>
      <c r="C1" s="56"/>
      <c r="D1" s="57"/>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60.75" thickBot="1">
      <c r="A3" s="14" t="s">
        <v>67</v>
      </c>
      <c r="B3" s="15" t="s">
        <v>132</v>
      </c>
      <c r="C3" s="15" t="s">
        <v>133</v>
      </c>
      <c r="D3" s="16" t="s">
        <v>134</v>
      </c>
      <c r="E3" s="3"/>
      <c r="F3" s="3"/>
      <c r="G3" s="3"/>
      <c r="H3" s="3"/>
      <c r="I3" s="3"/>
      <c r="J3" s="3"/>
      <c r="K3" s="3"/>
      <c r="L3" s="3"/>
      <c r="M3" s="3"/>
      <c r="N3" s="3"/>
      <c r="O3" s="3"/>
      <c r="P3" s="3"/>
      <c r="Q3" s="3"/>
      <c r="R3" s="3"/>
      <c r="S3" s="3"/>
      <c r="T3" s="3"/>
      <c r="U3" s="3"/>
      <c r="V3" s="3"/>
      <c r="W3" s="3"/>
      <c r="X3" s="3"/>
      <c r="Y3" s="3"/>
      <c r="Z3" s="3"/>
    </row>
    <row r="4" spans="1:26" ht="15.75" thickBot="1">
      <c r="A4" s="33" t="s">
        <v>135</v>
      </c>
      <c r="B4" s="17">
        <v>5</v>
      </c>
      <c r="C4" s="17">
        <v>4</v>
      </c>
      <c r="D4" s="17">
        <v>2</v>
      </c>
      <c r="E4" s="3"/>
      <c r="F4" s="3"/>
      <c r="G4" s="3"/>
      <c r="H4" s="3"/>
      <c r="I4" s="3"/>
      <c r="J4" s="3"/>
      <c r="K4" s="3"/>
      <c r="L4" s="3"/>
      <c r="M4" s="3"/>
      <c r="N4" s="3"/>
      <c r="O4" s="3"/>
      <c r="P4" s="3"/>
      <c r="Q4" s="3"/>
      <c r="R4" s="3"/>
      <c r="S4" s="3"/>
      <c r="T4" s="3"/>
      <c r="U4" s="3"/>
      <c r="V4" s="3"/>
      <c r="W4" s="3"/>
      <c r="X4" s="3"/>
      <c r="Y4" s="3"/>
      <c r="Z4" s="3"/>
    </row>
    <row r="5" spans="1:26" ht="15.75" thickBot="1">
      <c r="A5" s="33" t="s">
        <v>136</v>
      </c>
      <c r="B5" s="17">
        <v>5</v>
      </c>
      <c r="C5" s="17">
        <v>3</v>
      </c>
      <c r="D5" s="17">
        <v>3</v>
      </c>
      <c r="E5" s="3"/>
      <c r="F5" s="3"/>
      <c r="G5" s="3"/>
      <c r="H5" s="3"/>
      <c r="I5" s="3"/>
      <c r="J5" s="3"/>
      <c r="K5" s="3"/>
      <c r="L5" s="3"/>
      <c r="M5" s="3"/>
      <c r="N5" s="3"/>
      <c r="O5" s="3"/>
      <c r="P5" s="3"/>
      <c r="Q5" s="3"/>
      <c r="R5" s="3"/>
      <c r="S5" s="3"/>
      <c r="T5" s="3"/>
      <c r="U5" s="3"/>
      <c r="V5" s="3"/>
      <c r="W5" s="3"/>
      <c r="X5" s="3"/>
      <c r="Y5" s="3"/>
      <c r="Z5" s="3"/>
    </row>
    <row r="6" spans="1:26" ht="30.75" thickBot="1">
      <c r="A6" s="33" t="s">
        <v>137</v>
      </c>
      <c r="B6" s="17">
        <v>4</v>
      </c>
      <c r="C6" s="17">
        <v>3</v>
      </c>
      <c r="D6" s="17">
        <v>3</v>
      </c>
      <c r="E6" s="3"/>
      <c r="F6" s="3"/>
      <c r="G6" s="3"/>
      <c r="H6" s="3"/>
      <c r="I6" s="3"/>
      <c r="J6" s="3"/>
      <c r="K6" s="3"/>
      <c r="L6" s="3"/>
      <c r="M6" s="3"/>
      <c r="N6" s="3"/>
      <c r="O6" s="3"/>
      <c r="P6" s="3"/>
      <c r="Q6" s="3"/>
      <c r="R6" s="3"/>
      <c r="S6" s="3"/>
      <c r="T6" s="3"/>
      <c r="U6" s="3"/>
      <c r="V6" s="3"/>
      <c r="W6" s="3"/>
      <c r="X6" s="3"/>
      <c r="Y6" s="3"/>
      <c r="Z6" s="3"/>
    </row>
    <row r="7" spans="1:26" ht="15.75" thickBot="1">
      <c r="A7" s="33" t="s">
        <v>138</v>
      </c>
      <c r="B7" s="17">
        <v>4</v>
      </c>
      <c r="C7" s="17">
        <v>5</v>
      </c>
      <c r="D7" s="17">
        <v>3</v>
      </c>
      <c r="E7" s="3"/>
      <c r="F7" s="3"/>
      <c r="G7" s="3"/>
      <c r="H7" s="3"/>
      <c r="I7" s="3"/>
      <c r="J7" s="3"/>
      <c r="K7" s="3"/>
      <c r="L7" s="3"/>
      <c r="M7" s="3"/>
      <c r="N7" s="3"/>
      <c r="O7" s="3"/>
      <c r="P7" s="3"/>
      <c r="Q7" s="3"/>
      <c r="R7" s="3"/>
      <c r="S7" s="3"/>
      <c r="T7" s="3"/>
      <c r="U7" s="3"/>
      <c r="V7" s="3"/>
      <c r="W7" s="3"/>
      <c r="X7" s="3"/>
      <c r="Y7" s="3"/>
      <c r="Z7" s="3"/>
    </row>
    <row r="8" spans="1:26" ht="15.75" thickBot="1">
      <c r="A8" s="33" t="s">
        <v>139</v>
      </c>
      <c r="B8" s="17">
        <v>5</v>
      </c>
      <c r="C8" s="17">
        <v>3</v>
      </c>
      <c r="D8" s="17">
        <v>5</v>
      </c>
      <c r="E8" s="3"/>
      <c r="F8" s="3"/>
      <c r="G8" s="3"/>
      <c r="H8" s="3"/>
      <c r="I8" s="3"/>
      <c r="J8" s="3"/>
      <c r="K8" s="3"/>
      <c r="L8" s="3"/>
      <c r="M8" s="3"/>
      <c r="N8" s="3"/>
      <c r="O8" s="3"/>
      <c r="P8" s="3"/>
      <c r="Q8" s="3"/>
      <c r="R8" s="3"/>
      <c r="S8" s="3"/>
      <c r="T8" s="3"/>
      <c r="U8" s="3"/>
      <c r="V8" s="3"/>
      <c r="W8" s="3"/>
      <c r="X8" s="3"/>
      <c r="Y8" s="3"/>
      <c r="Z8" s="3"/>
    </row>
    <row r="9" spans="1:26" ht="15" thickBot="1">
      <c r="A9" s="18" t="s">
        <v>68</v>
      </c>
      <c r="B9" s="19">
        <v>23</v>
      </c>
      <c r="C9" s="19">
        <v>18</v>
      </c>
      <c r="D9" s="19">
        <v>16</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tabSelected="1" workbookViewId="0">
      <selection activeCell="D12" sqref="D12:D13"/>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110</v>
      </c>
      <c r="C2" s="22"/>
      <c r="D2" s="31"/>
      <c r="F2">
        <f>LEN(C1)</f>
        <v>0</v>
      </c>
      <c r="G2" t="s">
        <v>179</v>
      </c>
    </row>
    <row r="3" spans="2:8">
      <c r="B3" s="34"/>
      <c r="C3" s="31"/>
      <c r="D3" s="31"/>
      <c r="H3" t="s">
        <v>180</v>
      </c>
    </row>
    <row r="4" spans="2:8">
      <c r="B4" s="23" t="s">
        <v>124</v>
      </c>
      <c r="C4" s="23" t="s">
        <v>125</v>
      </c>
      <c r="D4" s="23" t="s">
        <v>126</v>
      </c>
      <c r="H4" t="s">
        <v>181</v>
      </c>
    </row>
    <row r="5" spans="2:8">
      <c r="B5" s="23" t="s">
        <v>108</v>
      </c>
      <c r="C5" s="22" t="str">
        <f>IF(C22="","",SUBSTITUTE(MID(C22,FIND("src=",C22)+5,FIND("alt",C22)-FIND("src=",C22)-7),"amp;",""))</f>
        <v/>
      </c>
      <c r="D5" s="22" t="str">
        <f>アンケート!C13</f>
        <v>ザセム　カバーパーフェクション　アイディール　コンシーラー　デュオ</v>
      </c>
      <c r="E5" t="s">
        <v>127</v>
      </c>
    </row>
    <row r="6" spans="2:8">
      <c r="B6" s="23" t="s">
        <v>107</v>
      </c>
      <c r="C6" s="22" t="str">
        <f>IF(C24="","",SUBSTITUTE(MID(C24,FIND("src=",C24)+5,FIND("alt",C24)-FIND("src=",C24)-7),"amp;",""))</f>
        <v/>
      </c>
      <c r="D6" s="22" t="str">
        <f>アンケート!C28</f>
        <v>イプサ　クリエイティブコンシーラー</v>
      </c>
      <c r="E6" t="s">
        <v>127</v>
      </c>
    </row>
    <row r="7" spans="2:8">
      <c r="B7" s="23" t="s">
        <v>106</v>
      </c>
      <c r="C7" s="22" t="str">
        <f>IF(C26="","",SUBSTITUTE(MID(C26,FIND("src=",C26)+5,FIND("alt",C26)-FIND("src=",C26)-7),"amp;",""))</f>
        <v/>
      </c>
      <c r="D7" s="22" t="str">
        <f>アンケート!C41</f>
        <v>キャンメイク　カバー＆ストレッチコンシーラー</v>
      </c>
      <c r="E7" t="s">
        <v>127</v>
      </c>
    </row>
    <row r="10" spans="2:8">
      <c r="B10" s="61" t="s">
        <v>105</v>
      </c>
      <c r="C10" s="62"/>
      <c r="D10" s="62"/>
      <c r="E10" s="62"/>
      <c r="F10" s="63"/>
    </row>
    <row r="11" spans="2:8">
      <c r="B11" s="32" t="s">
        <v>111</v>
      </c>
      <c r="C11" s="32" t="s">
        <v>112</v>
      </c>
      <c r="D11" s="32" t="s">
        <v>113</v>
      </c>
      <c r="E11" s="32" t="s">
        <v>114</v>
      </c>
      <c r="F11" s="32" t="s">
        <v>115</v>
      </c>
    </row>
    <row r="12" spans="2:8">
      <c r="B12" s="58" t="s">
        <v>108</v>
      </c>
      <c r="C12" s="60" t="str">
        <f>アンケート!C27</f>
        <v>http://www.cosme.net/product/product_id/10144050/top</v>
      </c>
      <c r="D12" s="64">
        <f>SQL!A11+1</f>
        <v>2</v>
      </c>
      <c r="E12" s="22" t="str">
        <f>アンケート!C25</f>
        <v>20代女性</v>
      </c>
      <c r="F12" s="22" t="str">
        <f>IF(ISERROR(FIND("女",E12)),"m","w")&amp;"_"&amp;LEFT(E12,2)&amp;"_"&amp;"2"</f>
        <v>w_20_2</v>
      </c>
    </row>
    <row r="13" spans="2:8">
      <c r="B13" s="59"/>
      <c r="C13" s="60"/>
      <c r="D13" s="65"/>
      <c r="E13" s="22" t="str">
        <f>アンケート!C26</f>
        <v>20代女性</v>
      </c>
      <c r="F13" s="22" t="str">
        <f>IF(ISERROR(FIND("女",E13)),"m","w")&amp;"_"&amp;LEFT(E13,2)&amp;"_"&amp;"1"</f>
        <v>w_20_1</v>
      </c>
    </row>
    <row r="14" spans="2:8">
      <c r="B14" s="58" t="s">
        <v>107</v>
      </c>
      <c r="C14" s="60" t="str">
        <f>アンケート!C40</f>
        <v>http://www.cosme.net/product/product_id/10035459/top</v>
      </c>
      <c r="D14" s="64">
        <f>IF(D12="","",D12+1)</f>
        <v>3</v>
      </c>
      <c r="E14" s="22" t="str">
        <f>アンケート!C38</f>
        <v>20代女性</v>
      </c>
      <c r="F14" s="22" t="str">
        <f>IF(ISERROR(FIND("女",E14)),"m","w")&amp;"_"&amp;LEFT(E14,2)&amp;"_"&amp;"2"</f>
        <v>w_20_2</v>
      </c>
    </row>
    <row r="15" spans="2:8">
      <c r="B15" s="59"/>
      <c r="C15" s="60"/>
      <c r="D15" s="65"/>
      <c r="E15" s="22" t="str">
        <f>アンケート!C39</f>
        <v>20代女性</v>
      </c>
      <c r="F15" s="22" t="str">
        <f>IF(ISERROR(FIND("女",E15)),"m","w")&amp;"_"&amp;LEFT(E15,2)&amp;"_"&amp;"1"</f>
        <v>w_20_1</v>
      </c>
    </row>
    <row r="16" spans="2:8">
      <c r="B16" s="58" t="s">
        <v>106</v>
      </c>
      <c r="C16" s="60" t="str">
        <f>アンケート!C53</f>
        <v>http://www.cosme.net/product/product_id/317222/reviews</v>
      </c>
      <c r="D16" s="64">
        <f>IF(D14="","",D14+1)</f>
        <v>4</v>
      </c>
      <c r="E16" s="22" t="str">
        <f>アンケート!C51</f>
        <v>10代女性</v>
      </c>
      <c r="F16" s="22" t="str">
        <f>IF(ISERROR(FIND("女",E16)),"m","w")&amp;"_"&amp;LEFT(E16,2)&amp;"_"&amp;"2"</f>
        <v>w_10_2</v>
      </c>
    </row>
    <row r="17" spans="2:6">
      <c r="B17" s="59"/>
      <c r="C17" s="60"/>
      <c r="D17" s="65"/>
      <c r="E17" s="22" t="str">
        <f>アンケート!C52</f>
        <v>10代女性</v>
      </c>
      <c r="F17" s="22" t="str">
        <f t="shared" ref="F17" si="0">IF(ISERROR(FIND("女",E17)),"m","w")&amp;"_"&amp;LEFT(E17,2)&amp;"_"&amp;"1"</f>
        <v>w_10_1</v>
      </c>
    </row>
    <row r="18" spans="2:6">
      <c r="D18" s="31"/>
    </row>
    <row r="19" spans="2:6">
      <c r="D19" s="31"/>
    </row>
    <row r="20" spans="2:6">
      <c r="B20" s="66" t="s">
        <v>117</v>
      </c>
      <c r="C20" s="66"/>
      <c r="D20" s="66"/>
      <c r="E20" s="66"/>
      <c r="F20" s="66"/>
    </row>
    <row r="21" spans="2:6">
      <c r="B21" s="35" t="s">
        <v>124</v>
      </c>
      <c r="C21" s="35" t="s">
        <v>121</v>
      </c>
      <c r="D21" s="66" t="s">
        <v>122</v>
      </c>
      <c r="E21" s="66"/>
      <c r="F21" s="35" t="s">
        <v>123</v>
      </c>
    </row>
    <row r="22" spans="2:6">
      <c r="B22" s="66" t="s">
        <v>118</v>
      </c>
      <c r="C22" s="22"/>
      <c r="D22" s="67" t="str">
        <f t="shared" ref="D22:D27" si="1">IF(C22="","",SUBSTITUTE(MID(C22,FIND("href=",C22)+6,FIND("rel=",C22)-FIND("href=",C22)-8),"amp;",""))</f>
        <v/>
      </c>
      <c r="E22" s="67"/>
      <c r="F22" s="22" t="str">
        <f>IF(ISERROR(FIND("amazon",C22)),IF(ISERROR(FIND("rakuten",C22)),"","楽天"),"Amazon")</f>
        <v/>
      </c>
    </row>
    <row r="23" spans="2:6">
      <c r="B23" s="66"/>
      <c r="C23" s="22"/>
      <c r="D23" s="67" t="str">
        <f t="shared" si="1"/>
        <v/>
      </c>
      <c r="E23" s="67"/>
      <c r="F23" s="22" t="str">
        <f t="shared" ref="F23:F27" si="2">IF(ISERROR(FIND("amazon",C23)),IF(ISERROR(FIND("rakuten",C23)),"","楽天"),"Amazon")</f>
        <v/>
      </c>
    </row>
    <row r="24" spans="2:6">
      <c r="B24" s="66" t="s">
        <v>119</v>
      </c>
      <c r="C24" s="22"/>
      <c r="D24" s="67" t="str">
        <f t="shared" si="1"/>
        <v/>
      </c>
      <c r="E24" s="67"/>
      <c r="F24" s="22" t="str">
        <f t="shared" si="2"/>
        <v/>
      </c>
    </row>
    <row r="25" spans="2:6">
      <c r="B25" s="66"/>
      <c r="C25" s="22"/>
      <c r="D25" s="67" t="str">
        <f t="shared" si="1"/>
        <v/>
      </c>
      <c r="E25" s="67"/>
      <c r="F25" s="22" t="str">
        <f t="shared" si="2"/>
        <v/>
      </c>
    </row>
    <row r="26" spans="2:6">
      <c r="B26" s="66" t="s">
        <v>120</v>
      </c>
      <c r="C26" s="22"/>
      <c r="D26" s="67" t="str">
        <f t="shared" si="1"/>
        <v/>
      </c>
      <c r="E26" s="67"/>
      <c r="F26" s="22" t="str">
        <f t="shared" si="2"/>
        <v/>
      </c>
    </row>
    <row r="27" spans="2:6">
      <c r="B27" s="66"/>
      <c r="C27" s="22"/>
      <c r="D27" s="67" t="str">
        <f t="shared" si="1"/>
        <v/>
      </c>
      <c r="E27" s="67"/>
      <c r="F27" s="22" t="str">
        <f t="shared" si="2"/>
        <v/>
      </c>
    </row>
    <row r="28" spans="2:6">
      <c r="D28" s="31"/>
    </row>
    <row r="29" spans="2:6">
      <c r="D29" s="31"/>
    </row>
    <row r="30" spans="2:6">
      <c r="D30" s="31"/>
    </row>
    <row r="31" spans="2:6">
      <c r="D31" s="31"/>
    </row>
    <row r="32" spans="2:6">
      <c r="D32" s="31"/>
    </row>
  </sheetData>
  <mergeCells count="21">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 ref="B14:B15"/>
    <mergeCell ref="B12:B13"/>
    <mergeCell ref="C16:C17"/>
    <mergeCell ref="C14:C15"/>
    <mergeCell ref="C12:C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opLeftCell="A61" workbookViewId="0">
      <selection activeCell="C66" sqref="C66"/>
    </sheetView>
  </sheetViews>
  <sheetFormatPr defaultRowHeight="13.5"/>
  <cols>
    <col min="1" max="1" width="67.375" bestFit="1" customWidth="1"/>
  </cols>
  <sheetData>
    <row r="1" spans="1:1">
      <c r="A1" s="20" t="str">
        <f>CONCATENATE("&lt;h2&gt;",入力シート!C2,"&lt;/h2&gt;")</f>
        <v>&lt;h2&gt;&lt;/h2&gt;</v>
      </c>
    </row>
    <row r="2" spans="1:1">
      <c r="A2" s="20" t="s">
        <v>91</v>
      </c>
    </row>
    <row r="3" spans="1:1">
      <c r="A3" s="21" t="s">
        <v>92</v>
      </c>
    </row>
    <row r="4" spans="1:1">
      <c r="A4" s="20" t="str">
        <f>CONCATENATE("&lt;li&gt;", アンケート!C54, "&lt;/li&gt;")</f>
        <v>&lt;li&gt;シミやクマに悩んでいる方&lt;/li&gt;</v>
      </c>
    </row>
    <row r="5" spans="1:1">
      <c r="A5" s="20" t="str">
        <f>CONCATENATE("&lt;li&gt;", アンケート!C55, "&lt;/li&gt;")</f>
        <v>&lt;li&gt;自分に合ったカラーのコンシーラーを探している方&lt;/li&gt;</v>
      </c>
    </row>
    <row r="6" spans="1:1">
      <c r="A6" s="20" t="str">
        <f>CONCATENATE("&lt;li&gt;", アンケート!C56, "&lt;/li&gt;")</f>
        <v>&lt;li&gt;コスパの良いコンシーラーを求めている方&lt;/li&gt;</v>
      </c>
    </row>
    <row r="7" spans="1:1">
      <c r="A7" s="20" t="s">
        <v>93</v>
      </c>
    </row>
    <row r="8" spans="1:1">
      <c r="A8" s="20" t="s">
        <v>94</v>
      </c>
    </row>
    <row r="9" spans="1:1">
      <c r="A9" s="20"/>
    </row>
    <row r="10" spans="1:1">
      <c r="A10" s="20" t="s">
        <v>177</v>
      </c>
    </row>
    <row r="11" spans="1:1">
      <c r="A11" s="20" t="s">
        <v>95</v>
      </c>
    </row>
    <row r="12" spans="1:1">
      <c r="A12" s="20" t="str">
        <f>CONCATENATE("&lt;img src=","""http://shomty.com/wp-content/uploads/img/parts/positionMap/",アンケート!$C$6,".jpg", """ /&gt;")</f>
        <v>&lt;img src="http://shomty.com/wp-content/uploads/img/parts/positionMap/7.jpg" /&gt;</v>
      </c>
    </row>
    <row r="13" spans="1:1">
      <c r="A13" s="30" t="str">
        <f>CONCATENATE("今回紹介する『", アンケート!C2,"』は","「価格と品質」どちらを重要視したのかをあらわした図です。")</f>
        <v>今回紹介する『コンシーラー』は「価格と品質」どちらを重要視したのかをあらわした図です。</v>
      </c>
    </row>
    <row r="14" spans="1:1">
      <c r="A14" s="30"/>
    </row>
    <row r="15" spans="1:1">
      <c r="A15" s="30" t="s">
        <v>178</v>
      </c>
    </row>
    <row r="16" spans="1:1">
      <c r="A16" s="30" t="s">
        <v>176</v>
      </c>
    </row>
    <row r="17" spans="1:2">
      <c r="A17" s="20" t="s">
        <v>94</v>
      </c>
    </row>
    <row r="18" spans="1:2">
      <c r="A18" t="s">
        <v>71</v>
      </c>
    </row>
    <row r="19" spans="1:2">
      <c r="A19" t="str">
        <f>CONCATENATE("&lt;h2&gt;『",アンケート!C2,"』 ランキング&lt;/h2&gt;")</f>
        <v>&lt;h2&gt;『コンシーラー』 ランキング&lt;/h2&gt;</v>
      </c>
    </row>
    <row r="20" spans="1:2">
      <c r="A20" t="s">
        <v>96</v>
      </c>
    </row>
    <row r="22" spans="1:2">
      <c r="A22" t="str">
        <f>CONCATENATE("&lt;h3&gt;3位 ",アンケート!C41,"&lt;/h3&gt;")</f>
        <v>&lt;h3&gt;3位 キャンメイク　カバー＆ストレッチコンシーラー&lt;/h3&gt;</v>
      </c>
    </row>
    <row r="23" spans="1:2">
      <c r="A23" t="s">
        <v>97</v>
      </c>
    </row>
    <row r="24" spans="1:2">
      <c r="A24" t="s">
        <v>69</v>
      </c>
    </row>
    <row r="25" spans="1:2">
      <c r="A25" t="str">
        <f>アンケート!C48</f>
        <v>目立つシミのない若者</v>
      </c>
    </row>
    <row r="26" spans="1:2">
      <c r="A26" t="s">
        <v>70</v>
      </c>
    </row>
    <row r="27" spans="1:2">
      <c r="A27" s="6" t="str">
        <f>CONCATENATE("[tblStart num=5]", 入力シート!C7, "[/tblStart]")</f>
        <v>[tblStart num=5][/tblStart]</v>
      </c>
    </row>
    <row r="28" spans="1:2">
      <c r="A28" t="str">
        <f>CONCATENATE("[tdLevel type=", B28, "]", 比較表!A4, "[/tdLevel]")</f>
        <v>[tdLevel type=2]カバー力[/tdLevel]</v>
      </c>
      <c r="B28">
        <f>HLOOKUP(アンケート!$C$41,比較表!$B$3:$D$8,2)</f>
        <v>2</v>
      </c>
    </row>
    <row r="29" spans="1:2">
      <c r="A29" t="str">
        <f>CONCATENATE("[tdLevel type=", B29, "]", 比較表!A5, "[/tdLevel]")</f>
        <v>[tdLevel type=3]付け心地がいいか[/tdLevel]</v>
      </c>
      <c r="B29">
        <f>HLOOKUP(アンケート!$C$41,比較表!$B$3:$D$8,3)</f>
        <v>3</v>
      </c>
    </row>
    <row r="30" spans="1:2">
      <c r="A30" t="str">
        <f>CONCATENATE("[tdLevel type=", B30, "]", 比較表!A6, "[/tdLevel]")</f>
        <v>[tdLevel type=3]塗った部分が乾燥しないか[/tdLevel]</v>
      </c>
      <c r="B30">
        <f>HLOOKUP(アンケート!$C$41,比較表!$B$3:$D$8,4)</f>
        <v>3</v>
      </c>
    </row>
    <row r="31" spans="1:2">
      <c r="A31" t="str">
        <f>CONCATENATE("[tdLevel type=", B31, "]", 比較表!A7, "[/tdLevel]")</f>
        <v>[tdLevel type=3]肌色に合ったカラー[/tdLevel]</v>
      </c>
      <c r="B31">
        <f>HLOOKUP(アンケート!$C$41,比較表!$B$3:$D$8,5)</f>
        <v>3</v>
      </c>
    </row>
    <row r="32" spans="1:2">
      <c r="A32" t="str">
        <f>CONCATENATE("[tdLevel type=", B32, "]", 比較表!A8, "[/tdLevel]")</f>
        <v>[tdLevel type=5]コスパの良さ[/tdLevel]</v>
      </c>
      <c r="B32">
        <f>HLOOKUP(アンケート!$C$41,比較表!$B$3:$D$8,6)</f>
        <v>5</v>
      </c>
    </row>
    <row r="33" spans="1:1">
      <c r="A33" t="s">
        <v>72</v>
      </c>
    </row>
    <row r="35" spans="1:1">
      <c r="A35" s="6" t="str">
        <f>CONCATENATE("[product_link id=",入力シート!D16,"][/product_link]")</f>
        <v>[product_link id=4][/product_link]</v>
      </c>
    </row>
    <row r="36" spans="1:1">
      <c r="A36" t="s">
        <v>98</v>
      </c>
    </row>
    <row r="37" spans="1:1">
      <c r="A37" t="s">
        <v>99</v>
      </c>
    </row>
    <row r="38" spans="1:1">
      <c r="A38" t="s">
        <v>100</v>
      </c>
    </row>
    <row r="39" spans="1:1">
      <c r="A39" t="s">
        <v>92</v>
      </c>
    </row>
    <row r="40" spans="1:1">
      <c r="A40" t="str">
        <f>CONCATENATE("&lt;li&gt;", アンケート!C42,"&lt;/li&gt;")</f>
        <v>&lt;li&gt;低価格&lt;/li&gt;</v>
      </c>
    </row>
    <row r="41" spans="1:1">
      <c r="A41" t="str">
        <f>CONCATENATE("&lt;li&gt;", アンケート!C43,"&lt;/li&gt;")</f>
        <v>&lt;li&gt;3色展開&lt;/li&gt;</v>
      </c>
    </row>
    <row r="42" spans="1:1">
      <c r="A42" t="str">
        <f>CONCATENATE("&lt;li&gt;", アンケート!C44,"&lt;/li&gt;")</f>
        <v>&lt;li&gt;伸びが良い&lt;/li&gt;</v>
      </c>
    </row>
    <row r="43" spans="1:1">
      <c r="A43" t="s">
        <v>93</v>
      </c>
    </row>
    <row r="44" spans="1:1">
      <c r="A44" t="s">
        <v>94</v>
      </c>
    </row>
    <row r="45" spans="1:1">
      <c r="A45" t="s">
        <v>101</v>
      </c>
    </row>
    <row r="46" spans="1:1">
      <c r="A46" t="s">
        <v>102</v>
      </c>
    </row>
    <row r="47" spans="1:1">
      <c r="A47" t="s">
        <v>99</v>
      </c>
    </row>
    <row r="48" spans="1:1">
      <c r="A48" t="s">
        <v>103</v>
      </c>
    </row>
    <row r="49" spans="1:1">
      <c r="A49" t="s">
        <v>92</v>
      </c>
    </row>
    <row r="50" spans="1:1">
      <c r="A50" t="str">
        <f>CONCATENATE("&lt;li&gt;", アンケート!C45,"&lt;/li&gt;")</f>
        <v>&lt;li&gt;カバー力が少し劣る&lt;/li&gt;</v>
      </c>
    </row>
    <row r="51" spans="1:1">
      <c r="A51" t="str">
        <f>CONCATENATE("&lt;li&gt;", アンケート!C46,"&lt;/li&gt;")</f>
        <v>&lt;li&gt;時間が経つとよれる&lt;/li&gt;</v>
      </c>
    </row>
    <row r="52" spans="1:1">
      <c r="A52" t="str">
        <f>CONCATENATE("&lt;li&gt;", アンケート!C47,"&lt;/li&gt;")</f>
        <v>&lt;li&gt;一度開けると硬くなるので、使い切る前に硬くなり最後まで使用できない場合がある&lt;/li&gt;</v>
      </c>
    </row>
    <row r="53" spans="1:1">
      <c r="A53" t="s">
        <v>93</v>
      </c>
    </row>
    <row r="54" spans="1:1">
      <c r="A54" t="s">
        <v>94</v>
      </c>
    </row>
    <row r="55" spans="1:1">
      <c r="A55" t="s">
        <v>101</v>
      </c>
    </row>
    <row r="56" spans="1:1">
      <c r="A56" t="s">
        <v>182</v>
      </c>
    </row>
    <row r="57" spans="1:1">
      <c r="A57" t="str">
        <f>CONCATENATE("[voice icon=","""http://shomty.com/wp-content/uploads/img/parts/review/", 入力シート!F16, ".jpg", """ name=""", 入力シート!E16, """ type=""", "l", """]")</f>
        <v>[voice icon="http://shomty.com/wp-content/uploads/img/parts/review/w_10_2.jpg" name="10代女性" type="l"]</v>
      </c>
    </row>
    <row r="58" spans="1:1">
      <c r="A58" t="str">
        <f>アンケート!C49</f>
        <v>クマも赤みも隠すことができる</v>
      </c>
    </row>
    <row r="59" spans="1:1">
      <c r="A59" t="s">
        <v>109</v>
      </c>
    </row>
    <row r="60" spans="1:1">
      <c r="A60" t="str">
        <f>CONCATENATE("[voice icon=","""http://shomty.com/wp-content/uploads/img/parts/review/", 入力シート!F17, ".jpg", """ name=""", 入力シート!E17, """ type=""", "r", """]")</f>
        <v>[voice icon="http://shomty.com/wp-content/uploads/img/parts/review/w_10_1.jpg" name="10代女性" type="r"]</v>
      </c>
    </row>
    <row r="61" spans="1:1">
      <c r="A61" t="str">
        <f>アンケート!C50</f>
        <v>この値段でこのカバー力なら合格</v>
      </c>
    </row>
    <row r="62" spans="1:1">
      <c r="A62" t="s">
        <v>109</v>
      </c>
    </row>
    <row r="63" spans="1:1">
      <c r="A63" t="s">
        <v>104</v>
      </c>
    </row>
    <row r="64" spans="1:1">
      <c r="A64" t="str">
        <f>CONCATENATE("[reviewLink id=","""", 入力シート!D16,"""][/reviewLink]")</f>
        <v>[reviewLink id="4"][/reviewLink]</v>
      </c>
    </row>
    <row r="66" spans="1:2">
      <c r="A66" t="str">
        <f>CONCATENATE("&lt;h3&gt;2位 ",アンケート!C28,"&lt;/h3&gt;")</f>
        <v>&lt;h3&gt;2位 イプサ　クリエイティブコンシーラー&lt;/h3&gt;</v>
      </c>
    </row>
    <row r="67" spans="1:2">
      <c r="A67" t="s">
        <v>97</v>
      </c>
    </row>
    <row r="68" spans="1:2">
      <c r="A68" t="s">
        <v>69</v>
      </c>
    </row>
    <row r="69" spans="1:2">
      <c r="A69" t="str">
        <f>アンケート!C35</f>
        <v>自分のシミに合ったカラーのコンシーラーがなかなか見つからない方</v>
      </c>
    </row>
    <row r="70" spans="1:2">
      <c r="A70" t="s">
        <v>70</v>
      </c>
    </row>
    <row r="71" spans="1:2">
      <c r="A71" s="6" t="str">
        <f>CONCATENATE("[tblStart num=5]", 入力シート!$C$6, "[/tblStart]")</f>
        <v>[tblStart num=5][/tblStart]</v>
      </c>
    </row>
    <row r="72" spans="1:2">
      <c r="A72" t="str">
        <f>CONCATENATE("[tdLevel type=", B72, "]", 比較表!A4, "[/tdLevel]")</f>
        <v>[tdLevel type=4]カバー力[/tdLevel]</v>
      </c>
      <c r="B72">
        <f>HLOOKUP(アンケート!$C$28,比較表!$B$3:$D$8,2,FALSE)</f>
        <v>4</v>
      </c>
    </row>
    <row r="73" spans="1:2">
      <c r="A73" t="str">
        <f>CONCATENATE("[tdLevel type=", B73, "]", 比較表!A5, "[/tdLevel]")</f>
        <v>[tdLevel type=3]付け心地がいいか[/tdLevel]</v>
      </c>
      <c r="B73">
        <f>HLOOKUP(アンケート!$C$28,比較表!$B$3:$D$8,3,FALSE)</f>
        <v>3</v>
      </c>
    </row>
    <row r="74" spans="1:2">
      <c r="A74" t="str">
        <f>CONCATENATE("[tdLevel type=", B74, "]", 比較表!A6, "[/tdLevel]")</f>
        <v>[tdLevel type=3]塗った部分が乾燥しないか[/tdLevel]</v>
      </c>
      <c r="B74">
        <f>HLOOKUP(アンケート!$C$28,比較表!$B$3:$D$8,4,FALSE)</f>
        <v>3</v>
      </c>
    </row>
    <row r="75" spans="1:2">
      <c r="A75" t="str">
        <f>CONCATENATE("[tdLevel type=", B75, "]", 比較表!A7, "[/tdLevel]")</f>
        <v>[tdLevel type=5]肌色に合ったカラー[/tdLevel]</v>
      </c>
      <c r="B75">
        <f>HLOOKUP(アンケート!$C$28,比較表!$B$3:$D$8,5,FALSE)</f>
        <v>5</v>
      </c>
    </row>
    <row r="76" spans="1:2">
      <c r="A76" t="str">
        <f>CONCATENATE("[tdLevel type=", B76, "]", 比較表!A8, "[/tdLevel]")</f>
        <v>[tdLevel type=3]コスパの良さ[/tdLevel]</v>
      </c>
      <c r="B76">
        <f>HLOOKUP(アンケート!$C$28,比較表!$B$3:$D$8,6,FALSE)</f>
        <v>3</v>
      </c>
    </row>
    <row r="77" spans="1:2">
      <c r="A77" t="s">
        <v>72</v>
      </c>
    </row>
    <row r="79" spans="1:2">
      <c r="A79" s="6" t="str">
        <f>CONCATENATE("[product_link id=",入力シート!D14,"][/product_link]")</f>
        <v>[product_link id=3][/product_link]</v>
      </c>
    </row>
    <row r="80" spans="1:2">
      <c r="A80" t="s">
        <v>98</v>
      </c>
    </row>
    <row r="81" spans="1:1">
      <c r="A81" t="s">
        <v>99</v>
      </c>
    </row>
    <row r="82" spans="1:1">
      <c r="A82" t="s">
        <v>100</v>
      </c>
    </row>
    <row r="83" spans="1:1">
      <c r="A83" t="s">
        <v>92</v>
      </c>
    </row>
    <row r="84" spans="1:1">
      <c r="A84" t="str">
        <f>CONCATENATE("&lt;li&gt;", アンケート!C29,"&lt;/li&gt;")</f>
        <v>&lt;li&gt;薄い色から濃い色まで１つで3色展開&lt;/li&gt;</v>
      </c>
    </row>
    <row r="85" spans="1:1">
      <c r="A85" t="str">
        <f>CONCATENATE("&lt;li&gt;", アンケート!C30,"&lt;/li&gt;")</f>
        <v>&lt;li&gt;3色あるので、混ぜて自分のシミに合ったカラーを作ることができる&lt;/li&gt;</v>
      </c>
    </row>
    <row r="86" spans="1:1">
      <c r="A86" t="str">
        <f>CONCATENATE("&lt;li&gt;", アンケート!C31,"&lt;/li&gt;")</f>
        <v>&lt;li&gt;ケーズが頑丈で傷つきにくい&lt;/li&gt;</v>
      </c>
    </row>
    <row r="87" spans="1:1">
      <c r="A87" t="s">
        <v>93</v>
      </c>
    </row>
    <row r="88" spans="1:1">
      <c r="A88" t="s">
        <v>94</v>
      </c>
    </row>
    <row r="89" spans="1:1">
      <c r="A89" t="s">
        <v>101</v>
      </c>
    </row>
    <row r="90" spans="1:1">
      <c r="A90" t="s">
        <v>102</v>
      </c>
    </row>
    <row r="91" spans="1:1">
      <c r="A91" t="s">
        <v>99</v>
      </c>
    </row>
    <row r="92" spans="1:1">
      <c r="A92" t="s">
        <v>103</v>
      </c>
    </row>
    <row r="93" spans="1:1">
      <c r="A93" t="s">
        <v>92</v>
      </c>
    </row>
    <row r="94" spans="1:1">
      <c r="A94" t="str">
        <f>CONCATENATE("&lt;li&gt;", アンケート!C32,"&lt;/li&gt;")</f>
        <v>&lt;li&gt;カバー力が悪くはないが良くもない&lt;/li&gt;</v>
      </c>
    </row>
    <row r="95" spans="1:1">
      <c r="A95" t="str">
        <f>CONCATENATE("&lt;li&gt;", アンケート!C33,"&lt;/li&gt;")</f>
        <v>&lt;li&gt;値段が高い&lt;/li&gt;</v>
      </c>
    </row>
    <row r="96" spans="1:1">
      <c r="A96" t="str">
        <f>CONCATENATE("&lt;li&gt;", アンケート!C34,"&lt;/li&gt;")</f>
        <v>&lt;li&gt;伸びが悪い&lt;/li&gt;</v>
      </c>
    </row>
    <row r="97" spans="1:1">
      <c r="A97" t="s">
        <v>93</v>
      </c>
    </row>
    <row r="98" spans="1:1">
      <c r="A98" t="s">
        <v>94</v>
      </c>
    </row>
    <row r="99" spans="1:1">
      <c r="A99" t="s">
        <v>101</v>
      </c>
    </row>
    <row r="100" spans="1:1">
      <c r="A100" t="s">
        <v>182</v>
      </c>
    </row>
    <row r="101" spans="1:1">
      <c r="A101" t="str">
        <f>CONCATENATE("[voice icon=","""http://shomty.com/wp-content/uploads/img/parts/review/", 入力シート!F14, ".jpg", """ name=""", 入力シート!E14, """ type=""", "l", """]")</f>
        <v>[voice icon="http://shomty.com/wp-content/uploads/img/parts/review/w_20_2.jpg" name="20代女性" type="l"]</v>
      </c>
    </row>
    <row r="102" spans="1:1">
      <c r="A102" t="str">
        <f>アンケート!C36</f>
        <v>3色入りなので、自分のカラーを作ることができる</v>
      </c>
    </row>
    <row r="103" spans="1:1">
      <c r="A103" t="s">
        <v>109</v>
      </c>
    </row>
    <row r="104" spans="1:1">
      <c r="A104" t="str">
        <f>CONCATENATE("[voice icon=","""http://shomty.com/wp-content/uploads/img/parts/review/", 入力シート!F15, ".jpg", """ name=""", 入力シート!E15, """ type=""", "r", """]")</f>
        <v>[voice icon="http://shomty.com/wp-content/uploads/img/parts/review/w_20_1.jpg" name="20代女性" type="r"]</v>
      </c>
    </row>
    <row r="105" spans="1:1">
      <c r="A105" t="str">
        <f>アンケート!C37</f>
        <v>毛穴を隠すことができる</v>
      </c>
    </row>
    <row r="106" spans="1:1">
      <c r="A106" t="s">
        <v>109</v>
      </c>
    </row>
    <row r="107" spans="1:1">
      <c r="A107" t="s">
        <v>104</v>
      </c>
    </row>
    <row r="108" spans="1:1">
      <c r="A108" t="str">
        <f>CONCATENATE("[reviewLink id=","""", 入力シート!D14,"""][/reviewLink]")</f>
        <v>[reviewLink id="3"][/reviewLink]</v>
      </c>
    </row>
    <row r="110" spans="1:1">
      <c r="A110" t="str">
        <f>CONCATENATE("&lt;h3&gt;1位 ",アンケート!C13,"&lt;/h3&gt;")</f>
        <v>&lt;h3&gt;1位 ザセム　カバーパーフェクション　アイディール　コンシーラー　デュオ&lt;/h3&gt;</v>
      </c>
    </row>
    <row r="111" spans="1:1">
      <c r="A111" t="s">
        <v>97</v>
      </c>
    </row>
    <row r="112" spans="1:1">
      <c r="A112" t="s">
        <v>69</v>
      </c>
    </row>
    <row r="113" spans="1:2">
      <c r="A113" t="str">
        <f>アンケート!C22</f>
        <v>10代の人から年代問わずおすすめ</v>
      </c>
    </row>
    <row r="114" spans="1:2">
      <c r="A114" t="s">
        <v>70</v>
      </c>
    </row>
    <row r="115" spans="1:2">
      <c r="A115" s="6" t="str">
        <f>CONCATENATE("[tblStart num=5]", 入力シート!C5, "[/tblStart]")</f>
        <v>[tblStart num=5][/tblStart]</v>
      </c>
    </row>
    <row r="116" spans="1:2">
      <c r="A116" t="str">
        <f>CONCATENATE("[tdLevel type=", B116, "]", 比較表!A4, "[/tdLevel]")</f>
        <v>[tdLevel type=5]カバー力[/tdLevel]</v>
      </c>
      <c r="B116">
        <f>HLOOKUP(アンケート!$C$13,比較表!$B$3:$D$8,2,FALSE)</f>
        <v>5</v>
      </c>
    </row>
    <row r="117" spans="1:2">
      <c r="A117" t="str">
        <f>CONCATENATE("[tdLevel type=", B117, "]", 比較表!A5, "[/tdLevel]")</f>
        <v>[tdLevel type=5]付け心地がいいか[/tdLevel]</v>
      </c>
      <c r="B117">
        <f>HLOOKUP(アンケート!$C$13,比較表!$B$3:$D$8,3,FALSE)</f>
        <v>5</v>
      </c>
    </row>
    <row r="118" spans="1:2">
      <c r="A118" t="str">
        <f>CONCATENATE("[tdLevel type=", B118, "]", 比較表!A6, "[/tdLevel]")</f>
        <v>[tdLevel type=4]塗った部分が乾燥しないか[/tdLevel]</v>
      </c>
      <c r="B118">
        <f>HLOOKUP(アンケート!$C$13,比較表!$B$3:$D$8,4,FALSE)</f>
        <v>4</v>
      </c>
    </row>
    <row r="119" spans="1:2">
      <c r="A119" t="str">
        <f>CONCATENATE("[tdLevel type=", B119, "]", 比較表!A7, "[/tdLevel]")</f>
        <v>[tdLevel type=4]肌色に合ったカラー[/tdLevel]</v>
      </c>
      <c r="B119">
        <f>HLOOKUP(アンケート!$C$13,比較表!$B$3:$D$8,5,FALSE)</f>
        <v>4</v>
      </c>
    </row>
    <row r="120" spans="1:2">
      <c r="A120" t="str">
        <f>CONCATENATE("[tdLevel type=", B120, "]", 比較表!A8, "[/tdLevel]")</f>
        <v>[tdLevel type=5]コスパの良さ[/tdLevel]</v>
      </c>
      <c r="B120">
        <f>HLOOKUP(アンケート!$C$13,比較表!$B$3:$D$8,6,FALSE)</f>
        <v>5</v>
      </c>
    </row>
    <row r="121" spans="1:2">
      <c r="A121" t="s">
        <v>72</v>
      </c>
    </row>
    <row r="123" spans="1:2">
      <c r="A123" s="6" t="str">
        <f>CONCATENATE("[product_link id=",入力シート!D12,"][/product_link]")</f>
        <v>[product_link id=2][/product_link]</v>
      </c>
    </row>
    <row r="124" spans="1:2">
      <c r="A124" t="s">
        <v>98</v>
      </c>
    </row>
    <row r="125" spans="1:2">
      <c r="A125" t="s">
        <v>99</v>
      </c>
    </row>
    <row r="126" spans="1:2">
      <c r="A126" t="s">
        <v>100</v>
      </c>
    </row>
    <row r="127" spans="1:2">
      <c r="A127" t="s">
        <v>92</v>
      </c>
    </row>
    <row r="128" spans="1:2">
      <c r="A128" t="str">
        <f>CONCATENATE("&lt;li&gt;", アンケート!C14,"&lt;/li&gt;")</f>
        <v>&lt;li&gt;カバー力がある&lt;/li&gt;</v>
      </c>
    </row>
    <row r="129" spans="1:1">
      <c r="A129" t="str">
        <f>CONCATENATE("&lt;li&gt;", アンケート!C15,"&lt;/li&gt;")</f>
        <v>&lt;li&gt;伸びが良く使いやすい&lt;/li&gt;</v>
      </c>
    </row>
    <row r="130" spans="1:1">
      <c r="A130" t="str">
        <f>CONCATENATE("&lt;li&gt;", アンケート!C16,"&lt;/li&gt;")</f>
        <v>&lt;li&gt;スティック・リキッドがセットになっているので、隠したい場所によって使い分けることができる&lt;/li&gt;</v>
      </c>
    </row>
    <row r="131" spans="1:1">
      <c r="A131" t="str">
        <f>CONCATENATE("&lt;li&gt;", アンケート!C17,"&lt;/li&gt;")</f>
        <v>&lt;li&gt;コスパが良い&lt;/li&gt;</v>
      </c>
    </row>
    <row r="132" spans="1:1">
      <c r="A132" t="s">
        <v>93</v>
      </c>
    </row>
    <row r="133" spans="1:1">
      <c r="A133" t="s">
        <v>94</v>
      </c>
    </row>
    <row r="134" spans="1:1">
      <c r="A134" t="s">
        <v>101</v>
      </c>
    </row>
    <row r="135" spans="1:1">
      <c r="A135" t="s">
        <v>102</v>
      </c>
    </row>
    <row r="136" spans="1:1">
      <c r="A136" t="s">
        <v>99</v>
      </c>
    </row>
    <row r="137" spans="1:1">
      <c r="A137" t="s">
        <v>103</v>
      </c>
    </row>
    <row r="138" spans="1:1">
      <c r="A138" t="s">
        <v>92</v>
      </c>
    </row>
    <row r="139" spans="1:1">
      <c r="A139" t="str">
        <f>CONCATENATE("&lt;li&gt;", アンケート!C18,"&lt;/li&gt;")</f>
        <v>&lt;li&gt;韓国製ではないので肌に合わない人もいるかもしれない&lt;/li&gt;</v>
      </c>
    </row>
    <row r="140" spans="1:1">
      <c r="A140" t="str">
        <f>CONCATENATE("&lt;li&gt;", アンケート!C19,"&lt;/li&gt;")</f>
        <v>&lt;li&gt;取り扱いのない都道府県が多く、ネットで購入するしかない人が多いため、実際に商品をみて購入することができない&lt;/li&gt;</v>
      </c>
    </row>
    <row r="141" spans="1:1">
      <c r="A141" t="str">
        <f>CONCATENATE("&lt;li&gt;", アンケート!C20,"&lt;/li&gt;")</f>
        <v>&lt;li&gt;スティックタイプ・リキッドタイプ片方しか使用しない人にはもったいない&lt;/li&gt;</v>
      </c>
    </row>
    <row r="142" spans="1:1">
      <c r="A142" t="str">
        <f>CONCATENATE("&lt;li&gt;", アンケート!C21,"&lt;/li&gt;")</f>
        <v>&lt;li&gt;大きいので、持ち歩きには不向き&lt;/li&gt;</v>
      </c>
    </row>
    <row r="143" spans="1:1">
      <c r="A143" t="s">
        <v>93</v>
      </c>
    </row>
    <row r="144" spans="1:1">
      <c r="A144" t="s">
        <v>94</v>
      </c>
    </row>
    <row r="145" spans="1:1">
      <c r="A145" t="s">
        <v>101</v>
      </c>
    </row>
    <row r="146" spans="1:1">
      <c r="A146" t="s">
        <v>182</v>
      </c>
    </row>
    <row r="147" spans="1:1">
      <c r="A147" t="str">
        <f>CONCATENATE("[voice icon=","""http://shomty.com/wp-content/uploads/img/parts/review/", 入力シート!F12, ".jpg", """ name=""", 入力シート!E12, """ type=""", "l", """]")</f>
        <v>[voice icon="http://shomty.com/wp-content/uploads/img/parts/review/w_20_2.jpg" name="20代女性" type="l"]</v>
      </c>
    </row>
    <row r="148" spans="1:1">
      <c r="A148" t="str">
        <f>アンケート!C23</f>
        <v>薄い付なのにカバー力がある</v>
      </c>
    </row>
    <row r="149" spans="1:1">
      <c r="A149" t="s">
        <v>109</v>
      </c>
    </row>
    <row r="150" spans="1:1">
      <c r="A150" t="str">
        <f>CONCATENATE("[voice icon=","""http://shomty.com/wp-content/uploads/img/parts/review/", 入力シート!F13, ".jpg", """ name=""", 入力シート!E13, """ type=""", "r", """]")</f>
        <v>[voice icon="http://shomty.com/wp-content/uploads/img/parts/review/w_20_1.jpg" name="20代女性" type="r"]</v>
      </c>
    </row>
    <row r="151" spans="1:1">
      <c r="A151" t="str">
        <f>アンケート!C24</f>
        <v>この安さでこのクオリティーは他にない</v>
      </c>
    </row>
    <row r="152" spans="1:1">
      <c r="A152" t="s">
        <v>109</v>
      </c>
    </row>
    <row r="153" spans="1:1">
      <c r="A153" t="s">
        <v>104</v>
      </c>
    </row>
    <row r="154" spans="1:1">
      <c r="A154" t="str">
        <f>CONCATENATE("[reviewLink id=","""", 入力シート!D12,"""][/reviewLink]")</f>
        <v>[reviewLink id="2"][/reviewLink]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K25" sqref="K24:K25"/>
    </sheetView>
  </sheetViews>
  <sheetFormatPr defaultRowHeight="13.5"/>
  <sheetData>
    <row r="1" spans="1:1">
      <c r="A1" t="s">
        <v>130</v>
      </c>
    </row>
    <row r="2" spans="1:1">
      <c r="A2" t="str">
        <f>"("&amp;入力シート!D12&amp;","&amp;"'"&amp;入力シート!D22&amp;"', '"&amp;入力シート!D23&amp;"', '"&amp;入力シート!C12&amp;"', '"&amp;入力シート!C5&amp;"', '"&amp;入力シート!D5&amp;"'),"</f>
        <v>(2,'', '', 'http://www.cosme.net/product/product_id/10144050/top', '', 'ザセム　カバーパーフェクション　アイディール　コンシーラー　デュオ'),</v>
      </c>
    </row>
    <row r="3" spans="1:1">
      <c r="A3" t="str">
        <f>"("&amp;入力シート!D14&amp;","&amp;"'"&amp;入力シート!D24&amp;"', '"&amp;入力シート!D25&amp;"', '"&amp;入力シート!C14&amp;"', '"&amp;入力シート!C6&amp;"', '"&amp;入力シート!D6&amp;"'),"</f>
        <v>(3,'', '', 'http://www.cosme.net/product/product_id/10035459/top', '', 'イプサ　クリエイティブコンシーラー'),</v>
      </c>
    </row>
    <row r="4" spans="1:1">
      <c r="A4" t="str">
        <f>"("&amp;入力シート!D16&amp;","&amp;"'"&amp;入力シート!D26&amp;"', '"&amp;入力シート!D27&amp;"', '"&amp;入力シート!C16&amp;"', '"&amp;入力シート!C7&amp;"', '"&amp;入力シート!D7&amp;"');"</f>
        <v>(4,'', '', 'http://www.cosme.net/product/product_id/317222/reviews', '', 'キャンメイク　カバー＆ストレッチコンシーラー');</v>
      </c>
    </row>
    <row r="9" spans="1:1">
      <c r="A9" s="36" t="s">
        <v>129</v>
      </c>
    </row>
    <row r="10" spans="1:1" ht="14.25" thickBot="1">
      <c r="A10" t="s">
        <v>128</v>
      </c>
    </row>
    <row r="11" spans="1:1" ht="14.25" thickBot="1">
      <c r="A11" s="68">
        <v>1</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2018-06-09T02:17:37Z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