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<sst xmlns="http://schemas.openxmlformats.org/spreadsheetml/2006/main" count="267" uniqueCount="192">
  <si>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</si>
  <si>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</si>
  <si>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</si>
  <si>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</si>
  <si>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</si>
  <si>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</si>
  <si>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</si>
  <si>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</si>
  <si>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</si>
  <si>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</si>
  <si>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</si>
  <si>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</si>
  <si>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</si>
  <si>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</si>
  <si>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</si>
  <si>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</si>
  <si>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</si>
  <si>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</si>
  <si>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</si>
  <si>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</si>
  <si>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</si>
  <si>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</si>
  <si>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</si>
  <si>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</si>
  <si>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</si>
  <si>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</si>
  <si>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</si>
  <si>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</si>
  <si>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</si>
  <si>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</si>
  <si>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</si>
  <si>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</si>
  <si>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</si>
  <si>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</si>
  <si>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</si>
  <si>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</si>
  <si>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</si>
  <si>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</si>
  <si>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</si>
  <si>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</si>
  <si>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</si>
  <si>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</si>
  <si>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</si>
  <si>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</si>
  <si>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</si>
  <si>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</si>
  <si>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</si>
  <si>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</si>
  <si>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</si>
  <si>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</si>
  <si>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</si>
  <si>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</si>
  <si>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</si>
  <si>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</si>
  <si>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</si>
  <si>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</si>
  <si>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</si>
  <si>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</si>
  <si>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</si>
  <si>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</si>
  <si>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</si>
  <si>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</si>
  <si>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</si>
  <si>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</si>
  <si>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</si>
  <si>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</si>
  <si>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</si>
  <si>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</si>
  <si>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</si>
  <si>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</si>
  <si>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</si>
  <si>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</si>
  <si>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</si>
  <si>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</si>
  <si>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</si>
  <si>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</si>
  <si>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</si>
  <si>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</si>
  <si>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</si>
  <si>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</si>
  <si>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</si>
  <si>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</si>
  <si>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</si>
  <si>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</si>
  <si>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</si>
  <si>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</si>
  <si>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</si>
  <si>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</si>
  <si>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</si>
  <si>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</si>
  <si>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</si>
  <si>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</si>
  <si>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</si>
  <si>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</si>
  <si>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</si>
  <si>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</si>
  <si>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</si>
  <si>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</si>
  <si>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</si>
  <si>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</si>
  <si>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</si>
  <si>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</si>
  <si>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</si>
  <si>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</si>
  <si>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</si>
  <si>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</si>
  <si>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</si>
  <si>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</si>
  <si>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</si>
  <si>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</si>
  <si>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</si>
  <si>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</si>
  <si>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</si>
  <si>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</si>
  <si>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</si>
  <si>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</si>
  <si>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</si>
  <si>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</si>
  <si>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</si>
  <si>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</si>
  <si>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</si>
  <si>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</si>
  <si>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</si>
  <si>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</si>
  <si>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</si>
  <si>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</si>
  <si>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</si>
  <si>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</si>
  <si>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</si>
  <si>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</si>
  <si>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</si>
  <si>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</si>
  <si>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</si>
  <si>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</si>
  <si>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</si>
  <si>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</si>
  <si>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制汗グッズ（デオドラント）</t>
  </si>
  <si>
    <t>デオナチュレ ソフトストーンW</t>
  </si>
  <si>
    <t>エージーデオ24 デオドラントスティックEX</t>
  </si>
  <si>
    <t>リフレア デオドラント クリームバークール</t>
  </si>
  <si>
    <t>消臭効果</t>
  </si>
  <si>
    <t>持続性</t>
  </si>
  <si>
    <t>価格</t>
  </si>
  <si>
    <t>塗ったあとのサラサラ感</t>
  </si>
  <si>
    <t>塗りやすさ</t>
  </si>
  <si>
    <t>消臭効果が強い</t>
  </si>
  <si>
    <t>清涼感のある付け心地</t>
  </si>
  <si>
    <t>良心的な価格</t>
  </si>
  <si>
    <t>べたつかず、塗ったあとすぐからサラサラしている</t>
  </si>
  <si>
    <t>洋服に白くつくことがある</t>
  </si>
  <si>
    <t>最後の方、スティックに残った部分を使い切れない</t>
  </si>
  <si>
    <t>ミントの香りに好き嫌いが分かれる（無臭タイプもあり）</t>
  </si>
  <si>
    <t>脇汗を抑えるという効果は△</t>
  </si>
  <si>
    <t>脇の匂いに悩んでいる方</t>
  </si>
  <si>
    <t>長年、年間を通して脇の匂いに悩んでいました。色々ためしましたが、肌への刺激が少なく効果も感じられるデオナチュレが一番自分にも合っています！</t>
  </si>
  <si>
    <t>忙しい朝にも、ロールタイプでさっとぬれるので簡単です！朝ぬったら夜まで効果が続いています。</t>
  </si>
  <si>
    <t>30代　女性</t>
  </si>
  <si>
    <t>20代　女性</t>
  </si>
  <si>
    <t>http://deonatulle.com/</t>
  </si>
  <si>
    <t>適度な柔らかさで塗りやすい</t>
  </si>
  <si>
    <t>消臭効果が長持ちする</t>
  </si>
  <si>
    <t>脇汗が減る</t>
  </si>
  <si>
    <t>洋服につくと染みになることがある</t>
  </si>
  <si>
    <t>柔らかいテクスチャなので、減りが早い</t>
  </si>
  <si>
    <t>風呂場で洗うときに、落ちにくいことがある</t>
  </si>
  <si>
    <t>脇汗を抑える効果も期待したい人</t>
  </si>
  <si>
    <t>夏の汗染みに悩んでいましたが、こちらを買ってから、汗・においともに悩まなくなりました。</t>
  </si>
  <si>
    <t>スプレータイプを愛用していましたが、一度こっちを使ってからはこの商品の虜です！消臭効果がかなり気に入っています。</t>
  </si>
  <si>
    <t>10代　女性</t>
  </si>
  <si>
    <t>https://www.shiseido.co.jp/ag/stick/</t>
  </si>
  <si>
    <t>肌に優しい</t>
  </si>
  <si>
    <t>清涼感があり夏場は気持ちが良い</t>
  </si>
  <si>
    <t>小学生高学年から使える</t>
  </si>
  <si>
    <t>塗ったあと肌に白く残りやすい</t>
  </si>
  <si>
    <t>消臭効果が弱め</t>
  </si>
  <si>
    <t>べたっとした感じがする</t>
  </si>
  <si>
    <t>安全性を重視したい人、肌が弱い人</t>
  </si>
  <si>
    <t>娘用に安全性の高いものを…と思い、こちらを購入。さっと塗れるので、子どもでも簡単に使えて便利です。</t>
  </si>
  <si>
    <t>毎日使うものだから、安全性にこだわったものを選びました！消臭効果もあり、気に入っています！</t>
  </si>
  <si>
    <t>40代　女性</t>
  </si>
  <si>
    <t>http://jp.rohto.com/refrea/cream-bar/</t>
  </si>
  <si>
    <t>脇の匂いに悩んでいるひと</t>
  </si>
  <si>
    <t>デオドラント商品が多すぎて、何がよいかわからなくなっている人</t>
  </si>
  <si>
    <t>肌にやさしい制汗グッズを探している人</t>
  </si>
  <si>
    <t>&lt;a target="_blank" href="//af.moshimo.com/af/c/click?a_id=988731&amp;amp;p_id=170&amp;amp;pc_id=185&amp;amp;pl_id=4062&amp;amp;url=https%3A%2F%2Fwww.amazon.co.jp%2F%25E3%2583%2587%25E3%2582%25AA%25E3%2583%258A%25E3%2583%2581%25E3%2583%25A5%25E3%2583%25AC-BU20X04538-%25E3%2582%25BD%25E3%2583%2595%25E3%2583%2588%25E3%2582%25B9%25E3%2583%2588%25E3%2583%25BC%25E3%2583%25B3W-20g%2Fdp%2FB000RLWF7S" rel="nofollow"&gt;&lt;img src="https://images-fe.ssl-images-amazon.com/images/I/41UJfGw7srL.jpg" alt="" style="border: none;" /&gt;&lt;br /&gt;デオナチュレ ソフトストーンW 20g&lt;/a&gt;&lt;img src="//i.moshimo.com/af/i/impression?a_id=988731&amp;amp;p_id=170&amp;amp;pc_id=185&amp;amp;pl_id=4062" alt="" width="1" height="1" style="border: 0px;" /&gt;</t>
  </si>
  <si>
    <t>&lt;a target="_blank" href="//af.moshimo.com/af/c/click?a_id=988729&amp;amp;p_id=54&amp;amp;pc_id=54&amp;amp;pl_id=616&amp;amp;url=https%3A%2F%2Fitem.rakuten.co.jp%2Fa-price%2F4971825007849%2F&amp;amp;m=http%3A%2F%2Fm.rakuten.co.jp%2Fa-price%2Fi%2F10488201%2F&amp;amp;r_v=g00qn683.9tq3e3e4.g00qn683.9tq3f916" rel="nofollow"&gt;&lt;img src="//thumbnail.image.rakuten.co.jp/@0_mall/a-price/cabinet/image/148/4971825007849.jpg?_ex=128x128" alt="" style="border: none;" /&gt;&lt;br /&gt;シービック デオナチュレ ソフトストーンW&lt;/a&gt;&lt;img src="//i.moshimo.com/af/i/impression?a_id=988729&amp;amp;p_id=54&amp;amp;pc_id=54&amp;amp;pl_id=616" alt="" width="1" height="1" style="border: 0px;" /&gt;</t>
  </si>
  <si>
    <t>&lt;a target="_blank" href="//af.moshimo.com/af/c/click?a_id=988731&amp;amp;p_id=170&amp;amp;pc_id=185&amp;amp;pl_id=4062&amp;amp;url=https%3A%2F%2Fwww.amazon.co.jp%2F%25E3%2582%25A8%25E3%2583%25BC%25E3%2582%25B8%25E3%2583%25BC%25E3%2583%2587%25E3%2582%25AA24-%25E3%2583%2587%25E3%2582%25AA%25E3%2583%2589%25E3%2583%25A9%25E3%2583%25B3%25E3%2583%2588%25E3%2582%25B9%25E3%2583%2586%25E3%2582%25A3%25E3%2583%2583%25E3%2582%25AFEX-%25E7%2584%25A1%25E9%25A6%2599%25E6%2596%2599-20g-%25E5%258C%25BB%25E8%2596%25AC%25E9%2583%25A8%25E5%25A4%2596%25E5%2593%2581%2Fdp%2FB079H3DCKF" rel="nofollow"&gt;&lt;img src="https://images-fe.ssl-images-amazon.com/images/I/31DT37OViZL.jpg" alt="" style="border: none;" /&gt;&lt;br /&gt;エージーデオ24 デオドラントスティックEX 無香料 20g (医薬部外品)&lt;/a&gt;&lt;img src="//i.moshimo.com/af/i/impression?a_id=988731&amp;amp;p_id=170&amp;amp;pc_id=185&amp;amp;pl_id=4062" alt="" width="1" height="1" style="border: 0px;" /&gt;</t>
  </si>
  <si>
    <t>&lt;a target="_blank" href="//af.moshimo.com/af/c/click?a_id=988729&amp;amp;p_id=54&amp;amp;pc_id=54&amp;amp;pl_id=616&amp;amp;url=https%3A%2F%2Fitem.rakuten.co.jp%2Ftsuruha%2F10117938%2F&amp;amp;m=http%3A%2F%2Fm.rakuten.co.jp%2Ftsuruha%2Fi%2F10057349%2F&amp;amp;r_v=g00rbnv3.9tq3e334.g00rbnv3.9tq3fcba" rel="nofollow"&gt;&lt;img src="//thumbnail.image.rakuten.co.jp/@0_mall/tsuruha/cabinet/shouhin49/4901872461011.jpg?_ex=128x128" alt="" style="border: none;" /&gt;&lt;br /&gt;資生堂　Agデオ24　エージーデオ24　デオドラントスティックEX　無香料　(20g)　制汗剤　【医薬部外品】&lt;/a&gt;&lt;img src="//i.moshimo.com/af/i/impression?a_id=988729&amp;amp;p_id=54&amp;amp;pc_id=54&amp;amp;pl_id=616" alt="" width="1" height="1" style="border: 0px;" /&gt;</t>
  </si>
  <si>
    <t>&lt;a target="_blank" href="//af.moshimo.com/af/c/click?a_id=988731&amp;amp;p_id=170&amp;amp;pc_id=185&amp;amp;pl_id=4062&amp;amp;url=https%3A%2F%2Fwww.amazon.co.jp%2F%25E3%2583%25AA%25E3%2583%2595%25E3%2583%25AC%25E3%2582%25A2-%25E3%2583%2587%25E3%2582%25AA%25E3%2583%2589%25E3%2583%25A9%25E3%2583%25B3%25E3%2583%2588%25E3%2582%25AF%25E3%2583%25AA%25E3%2583%25BC%25E3%2583%25A0-%25E3%2583%2590%25E3%2583%25BC-20g-%25E3%2580%2590%25E5%258C%25BB%25E8%2596%25AC%25E9%2583%25A8%25E5%25A4%2596%25E5%2593%2581%25E3%2580%2591%2Fdp%2FB079FFWLRN" rel="nofollow"&gt;&lt;img src="https://images-fe.ssl-images-amazon.com/images/I/51Ol7udS4CL.jpg" alt="" style="border: none;" /&gt;&lt;br /&gt;リフレア デオドラントクリーム (バー) 20g 【医薬部外品】&lt;/a&gt;&lt;img src="//i.moshimo.com/af/i/impression?a_id=988731&amp;amp;p_id=170&amp;amp;pc_id=185&amp;amp;pl_id=4062" alt="" width="1" height="1" style="border: 0px;" /&gt;</t>
  </si>
  <si>
    <t>&lt;a target="_blank" href="//af.moshimo.com/af/c/click?a_id=988729&amp;amp;p_id=54&amp;amp;pc_id=54&amp;amp;pl_id=616&amp;amp;url=https%3A%2F%2Fitem.rakuten.co.jp%2Fbiccamera%2F4987241157860%2F&amp;amp;m=http%3A%2F%2Fm.rakuten.co.jp%2Fbiccamera%2Fi%2F11881414%2F&amp;amp;r_v=g00r7ld3.9tq3e20f.g00r7ld3.9tq3f0be" rel="nofollow"&gt;&lt;img src="//thumbnail.image.rakuten.co.jp/@0_mall/biccamera/cabinet/product/3172/00000004544453_a01.jpg?_ex=128x128" alt="" style="border: none;" /&gt;&lt;br /&gt;ロート製薬　ROHTO メンソレータム リフレア デオドラントクリームバー （20g） 〔デオドラント〕&lt;/a&gt;&lt;img src="//i.moshimo.com/af/i/impression?a_id=988729&amp;amp;p_id=54&amp;amp;pc_id=54&amp;amp;pl_id=616" alt="" width="1" height="1" style="border: 0px;" /&gt;</t>
  </si>
  <si>
    <r>
      <rPr>
        <sz val="9"/>
        <color rgb="FF000000"/>
        <rFont val="ＭＳ Ｐゴシック"/>
        <family val="3"/>
        <charset val="128"/>
      </rPr>
      <t>リフレア</t>
    </r>
    <r>
      <rPr>
        <sz val="9"/>
        <color rgb="FF000000"/>
        <rFont val="Arial"/>
        <family val="2"/>
      </rPr>
      <t xml:space="preserve"> </t>
    </r>
    <r>
      <rPr>
        <sz val="9"/>
        <color rgb="FF000000"/>
        <rFont val="ＭＳ Ｐゴシック"/>
        <family val="3"/>
        <charset val="128"/>
      </rPr>
      <t>デオドラント</t>
    </r>
    <r>
      <rPr>
        <sz val="9"/>
        <color rgb="FF000000"/>
        <rFont val="Arial"/>
        <family val="2"/>
      </rPr>
      <t xml:space="preserve"> </t>
    </r>
    <r>
      <rPr>
        <sz val="9"/>
        <color rgb="FF000000"/>
        <rFont val="ＭＳ Ｐゴシック"/>
        <family val="3"/>
        <charset val="128"/>
      </rPr>
      <t>クリームバークール</t>
    </r>
    <phoneticPr fontId="1"/>
  </si>
  <si>
    <t>ワキガ対策にデオドラント！効果・塗りやすさ抜群のおすすめ3選！</t>
    <rPh sb="3" eb="5">
      <t>タイサク</t>
    </rPh>
    <rPh sb="16" eb="17">
      <t>ヌ</t>
    </rPh>
    <rPh sb="21" eb="23">
      <t>バツグン</t>
    </rPh>
    <rPh sb="29" eb="30">
      <t>セン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</si>
</sst>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9"/>
      <color rgb="FF000000"/>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0">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5" fillId="0" borderId="3" xfId="0" applyFont="1" applyBorder="1" applyAlignment="1">
      <alignment wrapText="1"/>
    </xf>
    <xf numFmtId="0" fontId="6" fillId="0" borderId="12" xfId="0" applyFont="1" applyBorder="1" applyAlignment="1">
      <alignment horizontal="center" wrapText="1"/>
    </xf>
    <xf numFmtId="0" fontId="7" fillId="5" borderId="4" xfId="0" applyFont="1" applyFill="1" applyBorder="1" applyAlignment="1">
      <alignment horizontal="center" wrapText="1"/>
    </xf>
    <xf numFmtId="0" fontId="8" fillId="5" borderId="5" xfId="0" applyFont="1" applyFill="1" applyBorder="1" applyAlignment="1">
      <alignment wrapText="1"/>
    </xf>
    <xf numFmtId="0" fontId="8" fillId="5" borderId="12" xfId="0" applyFont="1" applyFill="1" applyBorder="1">
      <alignment vertical="center"/>
    </xf>
    <xf numFmtId="0" fontId="9" fillId="0" borderId="5" xfId="0" applyFont="1" applyBorder="1" applyAlignment="1">
      <alignment horizontal="right" wrapText="1"/>
    </xf>
    <xf numFmtId="0" fontId="7" fillId="0" borderId="3" xfId="0" applyFont="1" applyBorder="1" applyAlignment="1">
      <alignment wrapText="1"/>
    </xf>
    <xf numFmtId="0" fontId="7" fillId="0" borderId="3" xfId="0" applyFont="1" applyBorder="1" applyAlignment="1">
      <alignment horizontal="right" wrapText="1"/>
    </xf>
    <xf numFmtId="0" fontId="10" fillId="0" borderId="0" xfId="0" applyFont="1">
      <alignment vertical="center"/>
    </xf>
    <xf numFmtId="0" fontId="11"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3"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4"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5" fillId="0" borderId="0" xfId="0" applyFont="1">
      <alignment vertical="center"/>
    </xf>
    <xf numFmtId="0" fontId="12" fillId="4" borderId="5" xfId="1" applyFill="1" applyBorder="1" applyAlignment="1">
      <alignment wrapText="1"/>
    </xf>
    <xf numFmtId="0" fontId="12" fillId="5" borderId="5" xfId="1" applyFill="1" applyBorder="1" applyAlignment="1">
      <alignment wrapText="1"/>
    </xf>
    <xf numFmtId="0" fontId="12"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0" borderId="5" xfId="0" applyFont="1" applyBorder="1" applyAlignment="1">
      <alignment wrapText="1"/>
    </xf>
    <xf numFmtId="0" fontId="4" fillId="4" borderId="12" xfId="0" applyFont="1" applyFill="1" applyBorder="1">
      <alignment vertical="center"/>
    </xf>
    <xf numFmtId="0" fontId="3" fillId="5" borderId="12" xfId="0" applyFont="1" applyFill="1" applyBorder="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jp.rohto.com/refrea/cream-bar/" TargetMode="External"/><Relationship Id="rId2" Type="http://schemas.openxmlformats.org/officeDocument/2006/relationships/hyperlink" Target="https://www.shiseido.co.jp/ag/stick/" TargetMode="External"/><Relationship Id="rId1" Type="http://schemas.openxmlformats.org/officeDocument/2006/relationships/hyperlink" Target="http://deonatulle.com/"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31" workbookViewId="0">
      <selection activeCell="C10" sqref="C10"/>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136</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9" t="s">
        <v>13</v>
      </c>
      <c r="C3" s="5" t="s">
        <v>137</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0"/>
      <c r="C4" s="7" t="s">
        <v>138</v>
      </c>
      <c r="D4" s="3"/>
      <c r="E4" s="3"/>
      <c r="F4" s="3"/>
      <c r="G4" s="3"/>
      <c r="H4" s="3"/>
      <c r="I4" s="3"/>
      <c r="J4" s="3"/>
      <c r="K4" s="3"/>
      <c r="L4" s="3"/>
      <c r="M4" s="3"/>
      <c r="N4" s="3"/>
      <c r="O4" s="3"/>
      <c r="P4" s="3"/>
      <c r="Q4" s="3"/>
      <c r="R4" s="3"/>
      <c r="S4" s="3"/>
      <c r="T4" s="3"/>
      <c r="U4" s="3"/>
      <c r="V4" s="3"/>
      <c r="W4" s="3"/>
      <c r="X4" s="3"/>
      <c r="Y4" s="3"/>
      <c r="Z4" s="3"/>
    </row>
    <row r="5" spans="1:26" ht="14.25" thickBot="1">
      <c r="A5" s="4" t="s">
        <v>7</v>
      </c>
      <c r="B5" s="41"/>
      <c r="C5" s="5" t="s">
        <v>190</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73</v>
      </c>
      <c r="C6" s="23">
        <v>9</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42" t="s">
        <v>74</v>
      </c>
      <c r="C7" s="7" t="s">
        <v>140</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43"/>
      <c r="C8" s="7" t="s">
        <v>141</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43"/>
      <c r="C9" s="7" t="s">
        <v>142</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43"/>
      <c r="C10" s="5" t="s">
        <v>143</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4"/>
      <c r="C11" s="5" t="s">
        <v>144</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67"/>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8" t="s">
        <v>26</v>
      </c>
      <c r="C13" s="8" t="s">
        <v>137</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5" t="s">
        <v>28</v>
      </c>
      <c r="C14" s="8" t="s">
        <v>145</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6"/>
      <c r="C15" s="8" t="s">
        <v>146</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6"/>
      <c r="C16" s="8" t="s">
        <v>147</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7"/>
      <c r="C17" s="8" t="s">
        <v>148</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5" t="s">
        <v>33</v>
      </c>
      <c r="C18" s="8" t="s">
        <v>149</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6"/>
      <c r="C19" s="8" t="s">
        <v>150</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6"/>
      <c r="C20" s="8" t="s">
        <v>151</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7"/>
      <c r="C21" s="8" t="s">
        <v>152</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8" t="s">
        <v>38</v>
      </c>
      <c r="C22" s="8" t="s">
        <v>153</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5" t="s">
        <v>76</v>
      </c>
      <c r="C23" s="68" t="s">
        <v>154</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7"/>
      <c r="C24" s="8" t="s">
        <v>155</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5" t="s">
        <v>77</v>
      </c>
      <c r="C25" s="8" t="s">
        <v>156</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7"/>
      <c r="C26" s="8" t="s">
        <v>157</v>
      </c>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5" t="s">
        <v>78</v>
      </c>
      <c r="C27" s="36" t="s">
        <v>158</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9" t="s">
        <v>40</v>
      </c>
      <c r="C28" s="26" t="s">
        <v>138</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8" t="s">
        <v>42</v>
      </c>
      <c r="C29" s="26" t="s">
        <v>159</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9"/>
      <c r="C30" s="26" t="s">
        <v>160</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0"/>
      <c r="C31" s="26" t="s">
        <v>161</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8" t="s">
        <v>46</v>
      </c>
      <c r="C32" s="26" t="s">
        <v>162</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9"/>
      <c r="C33" s="26" t="s">
        <v>163</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0"/>
      <c r="C34" s="26" t="s">
        <v>164</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9" t="s">
        <v>50</v>
      </c>
      <c r="C35" s="26" t="s">
        <v>165</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8" t="s">
        <v>79</v>
      </c>
      <c r="C36" s="26" t="s">
        <v>166</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50"/>
      <c r="C37" s="69" t="s">
        <v>167</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8" t="s">
        <v>80</v>
      </c>
      <c r="C38" s="26" t="s">
        <v>157</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0"/>
      <c r="C39" s="26" t="s">
        <v>168</v>
      </c>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7" t="s">
        <v>78</v>
      </c>
      <c r="C40" s="37" t="s">
        <v>169</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0" t="s">
        <v>52</v>
      </c>
      <c r="C41" s="28" t="s">
        <v>139</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1" t="s">
        <v>54</v>
      </c>
      <c r="C42" s="28" t="s">
        <v>170</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2"/>
      <c r="C43" s="28" t="s">
        <v>171</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3"/>
      <c r="C44" s="28" t="s">
        <v>172</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1" t="s">
        <v>58</v>
      </c>
      <c r="C45" s="28" t="s">
        <v>173</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2"/>
      <c r="C46" s="28" t="s">
        <v>174</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3"/>
      <c r="C47" s="28" t="s">
        <v>175</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0" t="s">
        <v>62</v>
      </c>
      <c r="C48" s="28" t="s">
        <v>176</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1" t="s">
        <v>81</v>
      </c>
      <c r="C49" s="28" t="s">
        <v>177</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82</v>
      </c>
      <c r="B50" s="53"/>
      <c r="C50" s="28"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83</v>
      </c>
      <c r="B51" s="51" t="s">
        <v>80</v>
      </c>
      <c r="C51" s="28" t="s">
        <v>179</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84</v>
      </c>
      <c r="B52" s="53"/>
      <c r="C52" s="28" t="s">
        <v>156</v>
      </c>
      <c r="D52" s="3"/>
      <c r="E52" s="3"/>
      <c r="F52" s="3"/>
      <c r="G52" s="3"/>
      <c r="H52" s="3"/>
      <c r="I52" s="3"/>
      <c r="J52" s="3"/>
      <c r="K52" s="3"/>
      <c r="L52" s="3"/>
      <c r="M52" s="3"/>
      <c r="N52" s="3"/>
      <c r="O52" s="3"/>
      <c r="P52" s="3"/>
      <c r="Q52" s="3"/>
      <c r="R52" s="3"/>
      <c r="S52" s="3"/>
      <c r="T52" s="3"/>
      <c r="U52" s="3"/>
      <c r="V52" s="3"/>
      <c r="W52" s="3"/>
      <c r="X52" s="3"/>
      <c r="Y52" s="3"/>
      <c r="Z52" s="3"/>
    </row>
    <row r="53" spans="1:26" ht="15" thickBot="1">
      <c r="A53" s="4" t="s">
        <v>85</v>
      </c>
      <c r="B53" s="10" t="s">
        <v>78</v>
      </c>
      <c r="C53" s="38" t="s">
        <v>180</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86</v>
      </c>
      <c r="B54" s="39" t="s">
        <v>87</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88</v>
      </c>
      <c r="B55" s="40"/>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89</v>
      </c>
      <c r="B56" s="41"/>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4" sqref="C14"/>
    </sheetView>
  </sheetViews>
  <sheetFormatPr defaultRowHeight="13.5"/>
  <cols>
    <col min="1" max="1" width="23.75" customWidth="1"/>
    <col min="2" max="2" width="23.125" bestFit="1" customWidth="1"/>
    <col min="3" max="4" width="40.625" customWidth="1"/>
  </cols>
  <sheetData>
    <row r="1" spans="1:26" ht="88.5" customHeight="1" thickBot="1">
      <c r="A1" s="11" t="s">
        <v>65</v>
      </c>
      <c r="B1" s="54" t="s">
        <v>66</v>
      </c>
      <c r="C1" s="55"/>
      <c r="D1" s="56"/>
      <c r="E1" s="3"/>
      <c r="F1" s="3"/>
      <c r="G1" s="3"/>
      <c r="H1" s="3"/>
      <c r="I1" s="3"/>
      <c r="J1" s="3"/>
      <c r="K1" s="3"/>
      <c r="L1" s="3"/>
      <c r="M1" s="3"/>
      <c r="N1" s="3"/>
      <c r="O1" s="3"/>
      <c r="P1" s="3"/>
      <c r="Q1" s="3"/>
      <c r="R1" s="3"/>
      <c r="S1" s="3"/>
      <c r="T1" s="3"/>
      <c r="U1" s="3"/>
      <c r="V1" s="3"/>
      <c r="W1" s="3"/>
      <c r="X1" s="3"/>
      <c r="Y1" s="3"/>
      <c r="Z1" s="3"/>
    </row>
    <row r="2" spans="1:26" ht="18.75" thickBot="1">
      <c r="A2" s="12"/>
      <c r="B2" s="12"/>
      <c r="C2" s="12"/>
      <c r="D2" s="12"/>
      <c r="E2" s="3"/>
      <c r="F2" s="3"/>
      <c r="G2" s="3"/>
      <c r="H2" s="3"/>
      <c r="I2" s="3"/>
      <c r="J2" s="3"/>
      <c r="K2" s="3"/>
      <c r="L2" s="3"/>
      <c r="M2" s="3"/>
      <c r="N2" s="3"/>
      <c r="O2" s="3"/>
      <c r="P2" s="3"/>
      <c r="Q2" s="3"/>
      <c r="R2" s="3"/>
      <c r="S2" s="3"/>
      <c r="T2" s="3"/>
      <c r="U2" s="3"/>
      <c r="V2" s="3"/>
      <c r="W2" s="3"/>
      <c r="X2" s="3"/>
      <c r="Y2" s="3"/>
      <c r="Z2" s="3"/>
    </row>
    <row r="3" spans="1:26" ht="30.75" thickBot="1">
      <c r="A3" s="13" t="s">
        <v>67</v>
      </c>
      <c r="B3" s="14" t="s">
        <v>137</v>
      </c>
      <c r="C3" s="14" t="s">
        <v>138</v>
      </c>
      <c r="D3" s="15" t="s">
        <v>139</v>
      </c>
      <c r="E3" s="3"/>
      <c r="F3" s="3"/>
      <c r="G3" s="3"/>
      <c r="H3" s="3"/>
      <c r="I3" s="3"/>
      <c r="J3" s="3"/>
      <c r="K3" s="3"/>
      <c r="L3" s="3"/>
      <c r="M3" s="3"/>
      <c r="N3" s="3"/>
      <c r="O3" s="3"/>
      <c r="P3" s="3"/>
      <c r="Q3" s="3"/>
      <c r="R3" s="3"/>
      <c r="S3" s="3"/>
      <c r="T3" s="3"/>
      <c r="U3" s="3"/>
      <c r="V3" s="3"/>
      <c r="W3" s="3"/>
      <c r="X3" s="3"/>
      <c r="Y3" s="3"/>
      <c r="Z3" s="3"/>
    </row>
    <row r="4" spans="1:26" ht="15.75" thickBot="1">
      <c r="A4" s="32" t="s">
        <v>140</v>
      </c>
      <c r="B4" s="16">
        <v>5</v>
      </c>
      <c r="C4" s="16">
        <v>5</v>
      </c>
      <c r="D4" s="16">
        <v>4</v>
      </c>
      <c r="E4" s="3"/>
      <c r="F4" s="3"/>
      <c r="G4" s="3"/>
      <c r="H4" s="3"/>
      <c r="I4" s="3"/>
      <c r="J4" s="3"/>
      <c r="K4" s="3"/>
      <c r="L4" s="3"/>
      <c r="M4" s="3"/>
      <c r="N4" s="3"/>
      <c r="O4" s="3"/>
      <c r="P4" s="3"/>
      <c r="Q4" s="3"/>
      <c r="R4" s="3"/>
      <c r="S4" s="3"/>
      <c r="T4" s="3"/>
      <c r="U4" s="3"/>
      <c r="V4" s="3"/>
      <c r="W4" s="3"/>
      <c r="X4" s="3"/>
      <c r="Y4" s="3"/>
      <c r="Z4" s="3"/>
    </row>
    <row r="5" spans="1:26" ht="15.75" thickBot="1">
      <c r="A5" s="32" t="s">
        <v>141</v>
      </c>
      <c r="B5" s="16">
        <v>5</v>
      </c>
      <c r="C5" s="16">
        <v>5</v>
      </c>
      <c r="D5" s="16">
        <v>3</v>
      </c>
      <c r="E5" s="3"/>
      <c r="F5" s="3"/>
      <c r="G5" s="3"/>
      <c r="H5" s="3"/>
      <c r="I5" s="3"/>
      <c r="J5" s="3"/>
      <c r="K5" s="3"/>
      <c r="L5" s="3"/>
      <c r="M5" s="3"/>
      <c r="N5" s="3"/>
      <c r="O5" s="3"/>
      <c r="P5" s="3"/>
      <c r="Q5" s="3"/>
      <c r="R5" s="3"/>
      <c r="S5" s="3"/>
      <c r="T5" s="3"/>
      <c r="U5" s="3"/>
      <c r="V5" s="3"/>
      <c r="W5" s="3"/>
      <c r="X5" s="3"/>
      <c r="Y5" s="3"/>
      <c r="Z5" s="3"/>
    </row>
    <row r="6" spans="1:26" ht="15.75" thickBot="1">
      <c r="A6" s="32" t="s">
        <v>142</v>
      </c>
      <c r="B6" s="16">
        <v>4</v>
      </c>
      <c r="C6" s="16">
        <v>3</v>
      </c>
      <c r="D6" s="16">
        <v>4</v>
      </c>
      <c r="E6" s="3"/>
      <c r="F6" s="3"/>
      <c r="G6" s="3"/>
      <c r="H6" s="3"/>
      <c r="I6" s="3"/>
      <c r="J6" s="3"/>
      <c r="K6" s="3"/>
      <c r="L6" s="3"/>
      <c r="M6" s="3"/>
      <c r="N6" s="3"/>
      <c r="O6" s="3"/>
      <c r="P6" s="3"/>
      <c r="Q6" s="3"/>
      <c r="R6" s="3"/>
      <c r="S6" s="3"/>
      <c r="T6" s="3"/>
      <c r="U6" s="3"/>
      <c r="V6" s="3"/>
      <c r="W6" s="3"/>
      <c r="X6" s="3"/>
      <c r="Y6" s="3"/>
      <c r="Z6" s="3"/>
    </row>
    <row r="7" spans="1:26" ht="30.75" thickBot="1">
      <c r="A7" s="32" t="s">
        <v>143</v>
      </c>
      <c r="B7" s="16">
        <v>5</v>
      </c>
      <c r="C7" s="16">
        <v>4</v>
      </c>
      <c r="D7" s="16">
        <v>2</v>
      </c>
      <c r="E7" s="3"/>
      <c r="F7" s="3"/>
      <c r="G7" s="3"/>
      <c r="H7" s="3"/>
      <c r="I7" s="3"/>
      <c r="J7" s="3"/>
      <c r="K7" s="3"/>
      <c r="L7" s="3"/>
      <c r="M7" s="3"/>
      <c r="N7" s="3"/>
      <c r="O7" s="3"/>
      <c r="P7" s="3"/>
      <c r="Q7" s="3"/>
      <c r="R7" s="3"/>
      <c r="S7" s="3"/>
      <c r="T7" s="3"/>
      <c r="U7" s="3"/>
      <c r="V7" s="3"/>
      <c r="W7" s="3"/>
      <c r="X7" s="3"/>
      <c r="Y7" s="3"/>
      <c r="Z7" s="3"/>
    </row>
    <row r="8" spans="1:26" ht="15.75" thickBot="1">
      <c r="A8" s="32" t="s">
        <v>144</v>
      </c>
      <c r="B8" s="16">
        <v>5</v>
      </c>
      <c r="C8" s="16">
        <v>3</v>
      </c>
      <c r="D8" s="16">
        <v>4</v>
      </c>
      <c r="E8" s="3"/>
      <c r="F8" s="3"/>
      <c r="G8" s="3"/>
      <c r="H8" s="3"/>
      <c r="I8" s="3"/>
      <c r="J8" s="3"/>
      <c r="K8" s="3"/>
      <c r="L8" s="3"/>
      <c r="M8" s="3"/>
      <c r="N8" s="3"/>
      <c r="O8" s="3"/>
      <c r="P8" s="3"/>
      <c r="Q8" s="3"/>
      <c r="R8" s="3"/>
      <c r="S8" s="3"/>
      <c r="T8" s="3"/>
      <c r="U8" s="3"/>
      <c r="V8" s="3"/>
      <c r="W8" s="3"/>
      <c r="X8" s="3"/>
      <c r="Y8" s="3"/>
      <c r="Z8" s="3"/>
    </row>
    <row r="9" spans="1:26" ht="15" thickBot="1">
      <c r="A9" s="17" t="s">
        <v>68</v>
      </c>
      <c r="B9" s="18">
        <v>24</v>
      </c>
      <c r="C9" s="18">
        <v>20</v>
      </c>
      <c r="D9" s="18">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D14" sqref="D14:D15"/>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109</v>
      </c>
      <c r="C2" s="21" t="s">
        <v>191</v>
      </c>
      <c r="D2" s="30"/>
      <c r="F2">
        <f>LEN(C1)</f>
        <v>0</v>
      </c>
      <c r="G2" t="s">
        <v>132</v>
      </c>
    </row>
    <row r="3" spans="2:8">
      <c r="B3" s="33"/>
      <c r="C3" s="30"/>
      <c r="D3" s="30"/>
      <c r="H3" t="s">
        <v>133</v>
      </c>
    </row>
    <row r="4" spans="2:8">
      <c r="B4" s="22" t="s">
        <v>122</v>
      </c>
      <c r="C4" s="22" t="s">
        <v>123</v>
      </c>
      <c r="D4" s="22" t="s">
        <v>124</v>
      </c>
      <c r="H4" t="s">
        <v>134</v>
      </c>
    </row>
    <row r="5" spans="2:8">
      <c r="B5" s="22" t="s">
        <v>107</v>
      </c>
      <c r="C5" s="21" t="str">
        <f>IF(C22="","",SUBSTITUTE(MID(C22,FIND("src=",C22)+5,FIND("alt",C22)-FIND("src=",C22)-7),"amp;",""))</f>
        <v>https://images-fe.ssl-images-amazon.com/images/I/41UJfGw7srL.jpg</v>
      </c>
      <c r="D5" s="21" t="str">
        <f>アンケート!C13</f>
        <v>デオナチュレ ソフトストーンW</v>
      </c>
      <c r="E5" t="s">
        <v>125</v>
      </c>
    </row>
    <row r="6" spans="2:8">
      <c r="B6" s="22" t="s">
        <v>106</v>
      </c>
      <c r="C6" s="21" t="str">
        <f>IF(C24="","",SUBSTITUTE(MID(C24,FIND("src=",C24)+5,FIND("alt",C24)-FIND("src=",C24)-7),"amp;",""))</f>
        <v>https://images-fe.ssl-images-amazon.com/images/I/31DT37OViZL.jpg</v>
      </c>
      <c r="D6" s="21" t="str">
        <f>アンケート!C28</f>
        <v>エージーデオ24 デオドラントスティックEX</v>
      </c>
      <c r="E6" t="s">
        <v>125</v>
      </c>
    </row>
    <row r="7" spans="2:8">
      <c r="B7" s="22" t="s">
        <v>105</v>
      </c>
      <c r="C7" s="21" t="str">
        <f>IF(C26="","",SUBSTITUTE(MID(C26,FIND("src=",C26)+5,FIND("alt",C26)-FIND("src=",C26)-7),"amp;",""))</f>
        <v>https://images-fe.ssl-images-amazon.com/images/I/51Ol7udS4CL.jpg</v>
      </c>
      <c r="D7" s="21" t="str">
        <f>アンケート!C41</f>
        <v>リフレア デオドラント クリームバークール</v>
      </c>
      <c r="E7" t="s">
        <v>125</v>
      </c>
    </row>
    <row r="10" spans="2:8">
      <c r="B10" s="60" t="s">
        <v>104</v>
      </c>
      <c r="C10" s="61"/>
      <c r="D10" s="61"/>
      <c r="E10" s="61"/>
      <c r="F10" s="62"/>
    </row>
    <row r="11" spans="2:8">
      <c r="B11" s="31" t="s">
        <v>110</v>
      </c>
      <c r="C11" s="31" t="s">
        <v>111</v>
      </c>
      <c r="D11" s="31" t="s">
        <v>112</v>
      </c>
      <c r="E11" s="31" t="s">
        <v>113</v>
      </c>
      <c r="F11" s="31" t="s">
        <v>114</v>
      </c>
    </row>
    <row r="12" spans="2:8">
      <c r="B12" s="57" t="s">
        <v>107</v>
      </c>
      <c r="C12" s="59" t="str">
        <f>アンケート!C27</f>
        <v>http://deonatulle.com/</v>
      </c>
      <c r="D12" s="63">
        <v>109</v>
      </c>
      <c r="E12" s="21" t="str">
        <f>アンケート!C25</f>
        <v>30代　女性</v>
      </c>
      <c r="F12" s="21" t="str">
        <f>IF(ISERROR(FIND("女",E12)),"m","w")&amp;"_"&amp;LEFT(E12,2)&amp;"_"&amp;"2"</f>
        <v>w_30_2</v>
      </c>
    </row>
    <row r="13" spans="2:8">
      <c r="B13" s="58"/>
      <c r="C13" s="59"/>
      <c r="D13" s="64"/>
      <c r="E13" s="21" t="str">
        <f>アンケート!C26</f>
        <v>20代　女性</v>
      </c>
      <c r="F13" s="21" t="str">
        <f>IF(ISERROR(FIND("女",E13)),"m","w")&amp;"_"&amp;LEFT(E13,2)&amp;"_"&amp;"1"</f>
        <v>w_20_1</v>
      </c>
    </row>
    <row r="14" spans="2:8">
      <c r="B14" s="57" t="s">
        <v>106</v>
      </c>
      <c r="C14" s="59" t="str">
        <f>アンケート!C40</f>
        <v>https://www.shiseido.co.jp/ag/stick/</v>
      </c>
      <c r="D14" s="63">
        <f>IF(D12="","",D12+1)</f>
        <v>110</v>
      </c>
      <c r="E14" s="21" t="str">
        <f>アンケート!C38</f>
        <v>20代　女性</v>
      </c>
      <c r="F14" s="21" t="str">
        <f>IF(ISERROR(FIND("女",E14)),"m","w")&amp;"_"&amp;LEFT(E14,2)&amp;"_"&amp;"2"</f>
        <v>w_20_2</v>
      </c>
    </row>
    <row r="15" spans="2:8">
      <c r="B15" s="58"/>
      <c r="C15" s="59"/>
      <c r="D15" s="64"/>
      <c r="E15" s="21" t="str">
        <f>アンケート!C39</f>
        <v>10代　女性</v>
      </c>
      <c r="F15" s="21" t="str">
        <f>IF(ISERROR(FIND("女",E15)),"m","w")&amp;"_"&amp;LEFT(E15,2)&amp;"_"&amp;"1"</f>
        <v>w_10_1</v>
      </c>
    </row>
    <row r="16" spans="2:8">
      <c r="B16" s="57" t="s">
        <v>105</v>
      </c>
      <c r="C16" s="59" t="str">
        <f>アンケート!C53</f>
        <v>http://jp.rohto.com/refrea/cream-bar/</v>
      </c>
      <c r="D16" s="63">
        <f>IF(D14="","",D14+1)</f>
        <v>111</v>
      </c>
      <c r="E16" s="21" t="str">
        <f>アンケート!C51</f>
        <v>40代　女性</v>
      </c>
      <c r="F16" s="21" t="str">
        <f>IF(ISERROR(FIND("女",E16)),"m","w")&amp;"_"&amp;LEFT(E16,2)&amp;"_"&amp;"2"</f>
        <v>w_40_2</v>
      </c>
    </row>
    <row r="17" spans="2:6">
      <c r="B17" s="58"/>
      <c r="C17" s="59"/>
      <c r="D17" s="64"/>
      <c r="E17" s="21" t="str">
        <f>アンケート!C52</f>
        <v>30代　女性</v>
      </c>
      <c r="F17" s="21" t="str">
        <f t="shared" ref="F17" si="0">IF(ISERROR(FIND("女",E17)),"m","w")&amp;"_"&amp;LEFT(E17,2)&amp;"_"&amp;"1"</f>
        <v>w_30_1</v>
      </c>
    </row>
    <row r="18" spans="2:6">
      <c r="D18" s="30"/>
    </row>
    <row r="19" spans="2:6">
      <c r="D19" s="30"/>
    </row>
    <row r="20" spans="2:6">
      <c r="B20" s="65" t="s">
        <v>115</v>
      </c>
      <c r="C20" s="65"/>
      <c r="D20" s="65"/>
      <c r="E20" s="65"/>
      <c r="F20" s="65"/>
    </row>
    <row r="21" spans="2:6">
      <c r="B21" s="34" t="s">
        <v>122</v>
      </c>
      <c r="C21" s="34" t="s">
        <v>119</v>
      </c>
      <c r="D21" s="65" t="s">
        <v>120</v>
      </c>
      <c r="E21" s="65"/>
      <c r="F21" s="34" t="s">
        <v>121</v>
      </c>
    </row>
    <row r="22" spans="2:6">
      <c r="B22" s="65" t="s">
        <v>116</v>
      </c>
      <c r="C22" s="21" t="s">
        <v>184</v>
      </c>
      <c r="D22" s="66" t="str">
        <f t="shared" ref="D22:D27" si="1">IF(C22="","",SUBSTITUTE(MID(C22,FIND("href=",C22)+6,FIND("rel=",C22)-FIND("href=",C22)-8),"amp;",""))</f>
        <v>//af.moshimo.com/af/c/click?a_id=988731&amp;p_id=170&amp;pc_id=185&amp;pl_id=4062&amp;url=https%3A%2F%2Fwww.amazon.co.jp%2F%25E3%2583%2587%25E3%2582%25AA%25E3%2583%258A%25E3%2583%2581%25E3%2583%25A5%25E3%2583%25AC-BU20X04538-%25E3%2582%25BD%25E3%2583%2595%25E3%2583%2588%25E3%2582%25B9%25E3%2583%2588%25E3%2583%25BC%25E3%2583%25B3W-20g%2Fdp%2FB000RLWF7S</v>
      </c>
      <c r="E22" s="66"/>
      <c r="F22" s="21" t="str">
        <f>IF(ISERROR(FIND("amazon",C22)),IF(ISERROR(FIND("rakuten",C22)),"","楽天"),"Amazon")</f>
        <v>Amazon</v>
      </c>
    </row>
    <row r="23" spans="2:6">
      <c r="B23" s="65"/>
      <c r="C23" s="21" t="s">
        <v>185</v>
      </c>
      <c r="D23" s="66" t="str">
        <f t="shared" si="1"/>
        <v>//af.moshimo.com/af/c/click?a_id=988729&amp;p_id=54&amp;pc_id=54&amp;pl_id=616&amp;url=https%3A%2F%2Fitem.rakuten.co.jp%2Fa-price%2F4971825007849%2F&amp;m=http%3A%2F%2Fm.rakuten.co.jp%2Fa-price%2Fi%2F10488201%2F&amp;r_v=g00qn683.9tq3e3e4.g00qn683.9tq3f916</v>
      </c>
      <c r="E23" s="66"/>
      <c r="F23" s="21" t="str">
        <f t="shared" ref="F23:F27" si="2">IF(ISERROR(FIND("amazon",C23)),IF(ISERROR(FIND("rakuten",C23)),"","楽天"),"Amazon")</f>
        <v>楽天</v>
      </c>
    </row>
    <row r="24" spans="2:6">
      <c r="B24" s="65" t="s">
        <v>117</v>
      </c>
      <c r="C24" s="21" t="s">
        <v>186</v>
      </c>
      <c r="D24" s="66" t="str">
        <f t="shared" si="1"/>
        <v>//af.moshimo.com/af/c/click?a_id=988731&amp;p_id=170&amp;pc_id=185&amp;pl_id=4062&amp;url=https%3A%2F%2Fwww.amazon.co.jp%2F%25E3%2582%25A8%25E3%2583%25BC%25E3%2582%25B8%25E3%2583%25BC%25E3%2583%2587%25E3%2582%25AA24-%25E3%2583%2587%25E3%2582%25AA%25E3%2583%2589%25E3%2583%25A9%25E3%2583%25B3%25E3%2583%2588%25E3%2582%25B9%25E3%2583%2586%25E3%2582%25A3%25E3%2583%2583%25E3%2582%25AFEX-%25E7%2584%25A1%25E9%25A6%2599%25E6%2596%2599-20g-%25E5%258C%25BB%25E8%2596%25AC%25E9%2583%25A8%25E5%25A4%2596%25E5%2593%2581%2Fdp%2FB079H3DCKF</v>
      </c>
      <c r="E24" s="66"/>
      <c r="F24" s="21" t="str">
        <f t="shared" si="2"/>
        <v>Amazon</v>
      </c>
    </row>
    <row r="25" spans="2:6">
      <c r="B25" s="65"/>
      <c r="C25" s="21" t="s">
        <v>187</v>
      </c>
      <c r="D25" s="66" t="str">
        <f t="shared" si="1"/>
        <v>//af.moshimo.com/af/c/click?a_id=988729&amp;p_id=54&amp;pc_id=54&amp;pl_id=616&amp;url=https%3A%2F%2Fitem.rakuten.co.jp%2Ftsuruha%2F10117938%2F&amp;m=http%3A%2F%2Fm.rakuten.co.jp%2Ftsuruha%2Fi%2F10057349%2F&amp;r_v=g00rbnv3.9tq3e334.g00rbnv3.9tq3fcba</v>
      </c>
      <c r="E25" s="66"/>
      <c r="F25" s="21" t="str">
        <f t="shared" si="2"/>
        <v>楽天</v>
      </c>
    </row>
    <row r="26" spans="2:6">
      <c r="B26" s="65" t="s">
        <v>118</v>
      </c>
      <c r="C26" s="21" t="s">
        <v>188</v>
      </c>
      <c r="D26" s="66" t="str">
        <f t="shared" si="1"/>
        <v>//af.moshimo.com/af/c/click?a_id=988731&amp;p_id=170&amp;pc_id=185&amp;pl_id=4062&amp;url=https%3A%2F%2Fwww.amazon.co.jp%2F%25E3%2583%25AA%25E3%2583%2595%25E3%2583%25AC%25E3%2582%25A2-%25E3%2583%2587%25E3%2582%25AA%25E3%2583%2589%25E3%2583%25A9%25E3%2583%25B3%25E3%2583%2588%25E3%2582%25AF%25E3%2583%25AA%25E3%2583%25BC%25E3%2583%25A0-%25E3%2583%2590%25E3%2583%25BC-20g-%25E3%2580%2590%25E5%258C%25BB%25E8%2596%25AC%25E9%2583%25A8%25E5%25A4%2596%25E5%2593%2581%25E3%2580%2591%2Fdp%2FB079FFWLRN</v>
      </c>
      <c r="E26" s="66"/>
      <c r="F26" s="21" t="str">
        <f t="shared" si="2"/>
        <v>Amazon</v>
      </c>
    </row>
    <row r="27" spans="2:6">
      <c r="B27" s="65"/>
      <c r="C27" s="21" t="s">
        <v>189</v>
      </c>
      <c r="D27" s="66" t="str">
        <f t="shared" si="1"/>
        <v>//af.moshimo.com/af/c/click?a_id=988729&amp;p_id=54&amp;pc_id=54&amp;pl_id=616&amp;url=https%3A%2F%2Fitem.rakuten.co.jp%2Fbiccamera%2F4987241157860%2F&amp;m=http%3A%2F%2Fm.rakuten.co.jp%2Fbiccamera%2Fi%2F11881414%2F&amp;r_v=g00r7ld3.9tq3e20f.g00r7ld3.9tq3f0be</v>
      </c>
      <c r="E27" s="66"/>
      <c r="F27" s="21" t="str">
        <f t="shared" si="2"/>
        <v>楽天</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55" workbookViewId="0">
      <selection activeCell="A55" sqref="A1:A1048576"/>
    </sheetView>
  </sheetViews>
  <sheetFormatPr defaultRowHeight="13.5"/>
  <cols>
    <col min="1" max="1" width="67.375" bestFit="1" customWidth="1"/>
  </cols>
  <sheetData>
    <row r="1" spans="1:1">
      <c r="A1" s="19" t="str">
        <f>CONCATENATE("&lt;h2&gt;",入力シート!C2,"&lt;/h2&gt;")</f>
        <v>&lt;h2&gt;ワキガ対策にデオドラント！効果・塗りやすさ抜群のおすすめ3選！&lt;/h2&gt;</v>
      </c>
    </row>
    <row r="2" spans="1:1">
      <c r="A2" s="19" t="s">
        <v>90</v>
      </c>
    </row>
    <row r="3" spans="1:1">
      <c r="A3" s="20" t="s">
        <v>91</v>
      </c>
    </row>
    <row r="4" spans="1:1">
      <c r="A4" s="19" t="str">
        <f>CONCATENATE("&lt;li&gt;", アンケート!C54, "&lt;/li&gt;")</f>
        <v>&lt;li&gt;脇の匂いに悩んでいるひと&lt;/li&gt;</v>
      </c>
    </row>
    <row r="5" spans="1:1">
      <c r="A5" s="19" t="str">
        <f>CONCATENATE("&lt;li&gt;", アンケート!C55, "&lt;/li&gt;")</f>
        <v>&lt;li&gt;デオドラント商品が多すぎて、何がよいかわからなくなっている人&lt;/li&gt;</v>
      </c>
    </row>
    <row r="6" spans="1:1">
      <c r="A6" s="19" t="str">
        <f>CONCATENATE("&lt;li&gt;", アンケート!C56, "&lt;/li&gt;")</f>
        <v>&lt;li&gt;肌にやさしい制汗グッズを探している人&lt;/li&gt;</v>
      </c>
    </row>
    <row r="7" spans="1:1">
      <c r="A7" s="19" t="s">
        <v>92</v>
      </c>
    </row>
    <row r="8" spans="1:1">
      <c r="A8" s="19" t="s">
        <v>93</v>
      </c>
    </row>
    <row r="9" spans="1:1">
      <c r="A9" s="19"/>
    </row>
    <row r="10" spans="1:1">
      <c r="A10" s="19" t="s">
        <v>130</v>
      </c>
    </row>
    <row r="11" spans="1:1">
      <c r="A11" s="19" t="s">
        <v>94</v>
      </c>
    </row>
    <row r="12" spans="1:1">
      <c r="A12" s="19" t="str">
        <f>CONCATENATE("&lt;img src=","""http://shomty.com/wp-content/uploads/img/parts/positionMap/",アンケート!$C$6,".jpg", """ /&gt;")</f>
        <v>&lt;img src="http://shomty.com/wp-content/uploads/img/parts/positionMap/9.jpg" /&gt;</v>
      </c>
    </row>
    <row r="13" spans="1:1">
      <c r="A13" s="29" t="str">
        <f>CONCATENATE("今回紹介する『", アンケート!C2,"』は","「価格と品質」どちらを重要視したのかをあらわした図です。")</f>
        <v>今回紹介する『制汗グッズ（デオドラント）』は「価格と品質」どちらを重要視したのかをあらわした図です。</v>
      </c>
    </row>
    <row r="14" spans="1:1">
      <c r="A14" s="29"/>
    </row>
    <row r="15" spans="1:1">
      <c r="A15" s="29" t="s">
        <v>131</v>
      </c>
    </row>
    <row r="16" spans="1:1">
      <c r="A16" s="29" t="s">
        <v>129</v>
      </c>
    </row>
    <row r="17" spans="1:2">
      <c r="A17" s="19" t="s">
        <v>93</v>
      </c>
    </row>
    <row r="18" spans="1:2">
      <c r="A18" t="s">
        <v>71</v>
      </c>
    </row>
    <row r="19" spans="1:2">
      <c r="A19" t="str">
        <f>CONCATENATE("&lt;h2&gt;『",アンケート!C2,"』 ランキング&lt;/h2&gt;")</f>
        <v>&lt;h2&gt;『制汗グッズ（デオドラント）』 ランキング&lt;/h2&gt;</v>
      </c>
    </row>
    <row r="20" spans="1:2">
      <c r="A20" t="s">
        <v>95</v>
      </c>
    </row>
    <row r="22" spans="1:2">
      <c r="A22" t="str">
        <f>CONCATENATE("&lt;h3&gt;3位 ",アンケート!C41,"&lt;/h3&gt;")</f>
        <v>&lt;h3&gt;3位 リフレア デオドラント クリームバークール&lt;/h3&gt;</v>
      </c>
    </row>
    <row r="23" spans="1:2">
      <c r="A23" t="s">
        <v>96</v>
      </c>
    </row>
    <row r="24" spans="1:2">
      <c r="A24" t="s">
        <v>69</v>
      </c>
    </row>
    <row r="25" spans="1:2">
      <c r="A25" t="str">
        <f>アンケート!C48</f>
        <v>安全性を重視したい人、肌が弱い人</v>
      </c>
    </row>
    <row r="26" spans="1:2">
      <c r="A26" t="s">
        <v>70</v>
      </c>
    </row>
    <row r="27" spans="1:2">
      <c r="A27" s="6" t="str">
        <f>CONCATENATE("[tblStart num=5]", 入力シート!C7, "[/tblStart]")</f>
        <v>[tblStart num=5]https://images-fe.ssl-images-amazon.com/images/I/51Ol7udS4CL.jpg[/tblStart]</v>
      </c>
    </row>
    <row r="28" spans="1:2">
      <c r="A28" t="str">
        <f>CONCATENATE("[tdLevel type=", B28, "]", 比較表!A4, "[/tdLevel]")</f>
        <v>[tdLevel type=4]消臭効果[/tdLevel]</v>
      </c>
      <c r="B28">
        <f>HLOOKUP(アンケート!$C$41,比較表!$B$3:$D$8,2)</f>
        <v>4</v>
      </c>
    </row>
    <row r="29" spans="1:2">
      <c r="A29" t="str">
        <f>CONCATENATE("[tdLevel type=", B29, "]", 比較表!A5, "[/tdLevel]")</f>
        <v>[tdLevel type=3]持続性[/tdLevel]</v>
      </c>
      <c r="B29">
        <f>HLOOKUP(アンケート!$C$41,比較表!$B$3:$D$8,3)</f>
        <v>3</v>
      </c>
    </row>
    <row r="30" spans="1:2">
      <c r="A30" t="str">
        <f>CONCATENATE("[tdLevel type=", B30, "]", 比較表!A6, "[/tdLevel]")</f>
        <v>[tdLevel type=4]価格[/tdLevel]</v>
      </c>
      <c r="B30">
        <f>HLOOKUP(アンケート!$C$41,比較表!$B$3:$D$8,4)</f>
        <v>4</v>
      </c>
    </row>
    <row r="31" spans="1:2">
      <c r="A31" t="str">
        <f>CONCATENATE("[tdLevel type=", B31, "]", 比較表!A7, "[/tdLevel]")</f>
        <v>[tdLevel type=2]塗ったあとのサラサラ感[/tdLevel]</v>
      </c>
      <c r="B31">
        <f>HLOOKUP(アンケート!$C$41,比較表!$B$3:$D$8,5)</f>
        <v>2</v>
      </c>
    </row>
    <row r="32" spans="1:2">
      <c r="A32" t="str">
        <f>CONCATENATE("[tdLevel type=", B32, "]", 比較表!A8, "[/tdLevel]")</f>
        <v>[tdLevel type=4]塗りやすさ[/tdLevel]</v>
      </c>
      <c r="B32">
        <f>HLOOKUP(アンケート!$C$41,比較表!$B$3:$D$8,6)</f>
        <v>4</v>
      </c>
    </row>
    <row r="33" spans="1:1">
      <c r="A33" t="s">
        <v>72</v>
      </c>
    </row>
    <row r="35" spans="1:1">
      <c r="A35" s="6" t="str">
        <f>CONCATENATE("[product_link id=",入力シート!D16,"][/product_link]")</f>
        <v>[product_link id=111][/product_link]</v>
      </c>
    </row>
    <row r="36" spans="1:1">
      <c r="A36" t="s">
        <v>97</v>
      </c>
    </row>
    <row r="37" spans="1:1">
      <c r="A37" t="s">
        <v>98</v>
      </c>
    </row>
    <row r="38" spans="1:1">
      <c r="A38" t="s">
        <v>99</v>
      </c>
    </row>
    <row r="39" spans="1:1">
      <c r="A39" t="s">
        <v>91</v>
      </c>
    </row>
    <row r="40" spans="1:1">
      <c r="A40" t="str">
        <f>CONCATENATE("&lt;li&gt;", アンケート!C42,"&lt;/li&gt;")</f>
        <v>&lt;li&gt;肌に優しい&lt;/li&gt;</v>
      </c>
    </row>
    <row r="41" spans="1:1">
      <c r="A41" t="str">
        <f>CONCATENATE("&lt;li&gt;", アンケート!C43,"&lt;/li&gt;")</f>
        <v>&lt;li&gt;清涼感があり夏場は気持ちが良い&lt;/li&gt;</v>
      </c>
    </row>
    <row r="42" spans="1:1">
      <c r="A42" t="str">
        <f>CONCATENATE("&lt;li&gt;", アンケート!C44,"&lt;/li&gt;")</f>
        <v>&lt;li&gt;小学生高学年から使える&lt;/li&gt;</v>
      </c>
    </row>
    <row r="43" spans="1:1">
      <c r="A43" t="s">
        <v>92</v>
      </c>
    </row>
    <row r="44" spans="1:1">
      <c r="A44" t="s">
        <v>93</v>
      </c>
    </row>
    <row r="45" spans="1:1">
      <c r="A45" t="s">
        <v>100</v>
      </c>
    </row>
    <row r="46" spans="1:1">
      <c r="A46" t="s">
        <v>101</v>
      </c>
    </row>
    <row r="47" spans="1:1">
      <c r="A47" t="s">
        <v>98</v>
      </c>
    </row>
    <row r="48" spans="1:1">
      <c r="A48" t="s">
        <v>102</v>
      </c>
    </row>
    <row r="49" spans="1:1">
      <c r="A49" t="s">
        <v>91</v>
      </c>
    </row>
    <row r="50" spans="1:1">
      <c r="A50" t="str">
        <f>CONCATENATE("&lt;li&gt;", アンケート!C45,"&lt;/li&gt;")</f>
        <v>&lt;li&gt;塗ったあと肌に白く残りやすい&lt;/li&gt;</v>
      </c>
    </row>
    <row r="51" spans="1:1">
      <c r="A51" t="str">
        <f>CONCATENATE("&lt;li&gt;", アンケート!C46,"&lt;/li&gt;")</f>
        <v>&lt;li&gt;消臭効果が弱め&lt;/li&gt;</v>
      </c>
    </row>
    <row r="52" spans="1:1">
      <c r="A52" t="str">
        <f>CONCATENATE("&lt;li&gt;", アンケート!C47,"&lt;/li&gt;")</f>
        <v>&lt;li&gt;べたっとした感じがする&lt;/li&gt;</v>
      </c>
    </row>
    <row r="53" spans="1:1">
      <c r="A53" t="s">
        <v>92</v>
      </c>
    </row>
    <row r="54" spans="1:1">
      <c r="A54" t="s">
        <v>93</v>
      </c>
    </row>
    <row r="55" spans="1:1">
      <c r="A55" t="s">
        <v>100</v>
      </c>
    </row>
    <row r="56" spans="1:1">
      <c r="A56" t="s">
        <v>135</v>
      </c>
    </row>
    <row r="57" spans="1:1">
      <c r="A57" t="str">
        <f>CONCATENATE("[voice icon=","""http://shomty.com/wp-content/uploads/img/parts/review/", 入力シート!F16, ".jpg", """ name=""", 入力シート!E16, """ type=""", "l", """]")</f>
        <v>[voice icon="http://shomty.com/wp-content/uploads/img/parts/review/w_40_2.jpg" name="40代　女性" type="l"]</v>
      </c>
    </row>
    <row r="58" spans="1:1">
      <c r="A58" t="str">
        <f>アンケート!C49</f>
        <v>娘用に安全性の高いものを…と思い、こちらを購入。さっと塗れるので、子どもでも簡単に使えて便利です。</v>
      </c>
    </row>
    <row r="59" spans="1:1">
      <c r="A59" t="s">
        <v>108</v>
      </c>
    </row>
    <row r="60" spans="1:1">
      <c r="A60" t="str">
        <f>CONCATENATE("[voice icon=","""http://shomty.com/wp-content/uploads/img/parts/review/", 入力シート!F17, ".jpg", """ name=""", 入力シート!E17, """ type=""", "r", """]")</f>
        <v>[voice icon="http://shomty.com/wp-content/uploads/img/parts/review/w_30_1.jpg" name="30代　女性" type="r"]</v>
      </c>
    </row>
    <row r="61" spans="1:1">
      <c r="A61" t="str">
        <f>アンケート!C50</f>
        <v>毎日使うものだから、安全性にこだわったものを選びました！消臭効果もあり、気に入っています！</v>
      </c>
    </row>
    <row r="62" spans="1:1">
      <c r="A62" t="s">
        <v>108</v>
      </c>
    </row>
    <row r="63" spans="1:1">
      <c r="A63" t="s">
        <v>103</v>
      </c>
    </row>
    <row r="64" spans="1:1">
      <c r="A64" t="str">
        <f>CONCATENATE("[reviewLink id=","""", 入力シート!D16,"""][/reviewLink]")</f>
        <v>[reviewLink id="111"][/reviewLink]</v>
      </c>
    </row>
    <row r="66" spans="1:2">
      <c r="A66" t="str">
        <f>CONCATENATE("&lt;h3&gt;2位 ",アンケート!C28,"&lt;/h3&gt;")</f>
        <v>&lt;h3&gt;2位 エージーデオ24 デオドラントスティックEX&lt;/h3&gt;</v>
      </c>
    </row>
    <row r="67" spans="1:2">
      <c r="A67" t="s">
        <v>96</v>
      </c>
    </row>
    <row r="68" spans="1:2">
      <c r="A68" t="s">
        <v>69</v>
      </c>
    </row>
    <row r="69" spans="1:2">
      <c r="A69" t="str">
        <f>アンケート!C35</f>
        <v>脇汗を抑える効果も期待したい人</v>
      </c>
    </row>
    <row r="70" spans="1:2">
      <c r="A70" t="s">
        <v>70</v>
      </c>
    </row>
    <row r="71" spans="1:2">
      <c r="A71" s="6" t="str">
        <f>CONCATENATE("[tblStart num=5]", 入力シート!$C$6, "[/tblStart]")</f>
        <v>[tblStart num=5]https://images-fe.ssl-images-amazon.com/images/I/31DT37OViZL.jpg[/tblStart]</v>
      </c>
    </row>
    <row r="72" spans="1:2">
      <c r="A72" t="str">
        <f>CONCATENATE("[tdLevel type=", B72, "]", 比較表!A4, "[/tdLevel]")</f>
        <v>[tdLevel type=5]消臭効果[/tdLevel]</v>
      </c>
      <c r="B72">
        <f>HLOOKUP(アンケート!$C$28,比較表!$B$3:$D$8,2,FALSE)</f>
        <v>5</v>
      </c>
    </row>
    <row r="73" spans="1:2">
      <c r="A73" t="str">
        <f>CONCATENATE("[tdLevel type=", B73, "]", 比較表!A5, "[/tdLevel]")</f>
        <v>[tdLevel type=5]持続性[/tdLevel]</v>
      </c>
      <c r="B73">
        <f>HLOOKUP(アンケート!$C$28,比較表!$B$3:$D$8,3,FALSE)</f>
        <v>5</v>
      </c>
    </row>
    <row r="74" spans="1:2">
      <c r="A74" t="str">
        <f>CONCATENATE("[tdLevel type=", B74, "]", 比較表!A6, "[/tdLevel]")</f>
        <v>[tdLevel type=3]価格[/tdLevel]</v>
      </c>
      <c r="B74">
        <f>HLOOKUP(アンケート!$C$28,比較表!$B$3:$D$8,4,FALSE)</f>
        <v>3</v>
      </c>
    </row>
    <row r="75" spans="1:2">
      <c r="A75" t="str">
        <f>CONCATENATE("[tdLevel type=", B75, "]", 比較表!A7, "[/tdLevel]")</f>
        <v>[tdLevel type=4]塗ったあとのサラサラ感[/tdLevel]</v>
      </c>
      <c r="B75">
        <f>HLOOKUP(アンケート!$C$28,比較表!$B$3:$D$8,5,FALSE)</f>
        <v>4</v>
      </c>
    </row>
    <row r="76" spans="1:2">
      <c r="A76" t="str">
        <f>CONCATENATE("[tdLevel type=", B76, "]", 比較表!A8, "[/tdLevel]")</f>
        <v>[tdLevel type=3]塗りやすさ[/tdLevel]</v>
      </c>
      <c r="B76">
        <f>HLOOKUP(アンケート!$C$28,比較表!$B$3:$D$8,6,FALSE)</f>
        <v>3</v>
      </c>
    </row>
    <row r="77" spans="1:2">
      <c r="A77" t="s">
        <v>72</v>
      </c>
    </row>
    <row r="79" spans="1:2">
      <c r="A79" s="6" t="str">
        <f>CONCATENATE("[product_link id=",入力シート!D14,"][/product_link]")</f>
        <v>[product_link id=110][/product_link]</v>
      </c>
    </row>
    <row r="80" spans="1:2">
      <c r="A80" t="s">
        <v>97</v>
      </c>
    </row>
    <row r="81" spans="1:1">
      <c r="A81" t="s">
        <v>98</v>
      </c>
    </row>
    <row r="82" spans="1:1">
      <c r="A82" t="s">
        <v>99</v>
      </c>
    </row>
    <row r="83" spans="1:1">
      <c r="A83" t="s">
        <v>91</v>
      </c>
    </row>
    <row r="84" spans="1:1">
      <c r="A84" t="str">
        <f>CONCATENATE("&lt;li&gt;", アンケート!C29,"&lt;/li&gt;")</f>
        <v>&lt;li&gt;適度な柔らかさで塗りやすい&lt;/li&gt;</v>
      </c>
    </row>
    <row r="85" spans="1:1">
      <c r="A85" t="str">
        <f>CONCATENATE("&lt;li&gt;", アンケート!C30,"&lt;/li&gt;")</f>
        <v>&lt;li&gt;消臭効果が長持ちする&lt;/li&gt;</v>
      </c>
    </row>
    <row r="86" spans="1:1">
      <c r="A86" t="str">
        <f>CONCATENATE("&lt;li&gt;", アンケート!C31,"&lt;/li&gt;")</f>
        <v>&lt;li&gt;脇汗が減る&lt;/li&gt;</v>
      </c>
    </row>
    <row r="87" spans="1:1">
      <c r="A87" t="s">
        <v>92</v>
      </c>
    </row>
    <row r="88" spans="1:1">
      <c r="A88" t="s">
        <v>93</v>
      </c>
    </row>
    <row r="89" spans="1:1">
      <c r="A89" t="s">
        <v>100</v>
      </c>
    </row>
    <row r="90" spans="1:1">
      <c r="A90" t="s">
        <v>101</v>
      </c>
    </row>
    <row r="91" spans="1:1">
      <c r="A91" t="s">
        <v>98</v>
      </c>
    </row>
    <row r="92" spans="1:1">
      <c r="A92" t="s">
        <v>102</v>
      </c>
    </row>
    <row r="93" spans="1:1">
      <c r="A93" t="s">
        <v>91</v>
      </c>
    </row>
    <row r="94" spans="1:1">
      <c r="A94" t="str">
        <f>CONCATENATE("&lt;li&gt;", アンケート!C32,"&lt;/li&gt;")</f>
        <v>&lt;li&gt;洋服につくと染みになることがある&lt;/li&gt;</v>
      </c>
    </row>
    <row r="95" spans="1:1">
      <c r="A95" t="str">
        <f>CONCATENATE("&lt;li&gt;", アンケート!C33,"&lt;/li&gt;")</f>
        <v>&lt;li&gt;柔らかいテクスチャなので、減りが早い&lt;/li&gt;</v>
      </c>
    </row>
    <row r="96" spans="1:1">
      <c r="A96" t="str">
        <f>CONCATENATE("&lt;li&gt;", アンケート!C34,"&lt;/li&gt;")</f>
        <v>&lt;li&gt;風呂場で洗うときに、落ちにくいことがある&lt;/li&gt;</v>
      </c>
    </row>
    <row r="97" spans="1:1">
      <c r="A97" t="s">
        <v>92</v>
      </c>
    </row>
    <row r="98" spans="1:1">
      <c r="A98" t="s">
        <v>93</v>
      </c>
    </row>
    <row r="99" spans="1:1">
      <c r="A99" t="s">
        <v>100</v>
      </c>
    </row>
    <row r="100" spans="1:1">
      <c r="A100" t="s">
        <v>135</v>
      </c>
    </row>
    <row r="101" spans="1:1">
      <c r="A101" t="str">
        <f>CONCATENATE("[voice icon=","""http://shomty.com/wp-content/uploads/img/parts/review/", 入力シート!F14, ".jpg", """ name=""", 入力シート!E14, """ type=""", "l", """]")</f>
        <v>[voice icon="http://shomty.com/wp-content/uploads/img/parts/review/w_20_2.jpg" name="20代　女性" type="l"]</v>
      </c>
    </row>
    <row r="102" spans="1:1">
      <c r="A102" t="str">
        <f>アンケート!C36</f>
        <v>夏の汗染みに悩んでいましたが、こちらを買ってから、汗・においともに悩まなくなりました。</v>
      </c>
    </row>
    <row r="103" spans="1:1">
      <c r="A103" t="s">
        <v>108</v>
      </c>
    </row>
    <row r="104" spans="1:1">
      <c r="A104" t="str">
        <f>CONCATENATE("[voice icon=","""http://shomty.com/wp-content/uploads/img/parts/review/", 入力シート!F15, ".jpg", """ name=""", 入力シート!E15, """ type=""", "r", """]")</f>
        <v>[voice icon="http://shomty.com/wp-content/uploads/img/parts/review/w_10_1.jpg" name="10代　女性" type="r"]</v>
      </c>
    </row>
    <row r="105" spans="1:1">
      <c r="A105" t="str">
        <f>アンケート!C37</f>
        <v>スプレータイプを愛用していましたが、一度こっちを使ってからはこの商品の虜です！消臭効果がかなり気に入っています。</v>
      </c>
    </row>
    <row r="106" spans="1:1">
      <c r="A106" t="s">
        <v>108</v>
      </c>
    </row>
    <row r="107" spans="1:1">
      <c r="A107" t="s">
        <v>103</v>
      </c>
    </row>
    <row r="108" spans="1:1">
      <c r="A108" t="str">
        <f>CONCATENATE("[reviewLink id=","""", 入力シート!D14,"""][/reviewLink]")</f>
        <v>[reviewLink id="110"][/reviewLink]</v>
      </c>
    </row>
    <row r="110" spans="1:1">
      <c r="A110" t="str">
        <f>CONCATENATE("&lt;h3&gt;1位 ",アンケート!C13,"&lt;/h3&gt;")</f>
        <v>&lt;h3&gt;1位 デオナチュレ ソフトストーンW&lt;/h3&gt;</v>
      </c>
    </row>
    <row r="111" spans="1:1">
      <c r="A111" t="s">
        <v>96</v>
      </c>
    </row>
    <row r="112" spans="1:1">
      <c r="A112" t="s">
        <v>69</v>
      </c>
    </row>
    <row r="113" spans="1:2">
      <c r="A113" t="str">
        <f>アンケート!C22</f>
        <v>脇の匂いに悩んでいる方</v>
      </c>
    </row>
    <row r="114" spans="1:2">
      <c r="A114" t="s">
        <v>70</v>
      </c>
    </row>
    <row r="115" spans="1:2" ht="27">
      <c r="A115" s="6" t="str">
        <f>CONCATENATE("[tblStart num=5]", 入力シート!C5, "[/tblStart]")</f>
        <v>[tblStart num=5]https://images-fe.ssl-images-amazon.com/images/I/41UJfGw7srL.jpg[/tblStart]</v>
      </c>
    </row>
    <row r="116" spans="1:2">
      <c r="A116" t="str">
        <f>CONCATENATE("[tdLevel type=", B116, "]", 比較表!A4, "[/tdLevel]")</f>
        <v>[tdLevel type=5]消臭効果[/tdLevel]</v>
      </c>
      <c r="B116">
        <f>HLOOKUP(アンケート!$C$13,比較表!$B$3:$D$8,2,FALSE)</f>
        <v>5</v>
      </c>
    </row>
    <row r="117" spans="1:2">
      <c r="A117" t="str">
        <f>CONCATENATE("[tdLevel type=", B117, "]", 比較表!A5, "[/tdLevel]")</f>
        <v>[tdLevel type=5]持続性[/tdLevel]</v>
      </c>
      <c r="B117">
        <f>HLOOKUP(アンケート!$C$13,比較表!$B$3:$D$8,3,FALSE)</f>
        <v>5</v>
      </c>
    </row>
    <row r="118" spans="1:2">
      <c r="A118" t="str">
        <f>CONCATENATE("[tdLevel type=", B118, "]", 比較表!A6, "[/tdLevel]")</f>
        <v>[tdLevel type=4]価格[/tdLevel]</v>
      </c>
      <c r="B118">
        <f>HLOOKUP(アンケート!$C$13,比較表!$B$3:$D$8,4,FALSE)</f>
        <v>4</v>
      </c>
    </row>
    <row r="119" spans="1:2">
      <c r="A119" t="str">
        <f>CONCATENATE("[tdLevel type=", B119, "]", 比較表!A7, "[/tdLevel]")</f>
        <v>[tdLevel type=5]塗ったあとのサラサラ感[/tdLevel]</v>
      </c>
      <c r="B119">
        <f>HLOOKUP(アンケート!$C$13,比較表!$B$3:$D$8,5,FALSE)</f>
        <v>5</v>
      </c>
    </row>
    <row r="120" spans="1:2">
      <c r="A120" t="str">
        <f>CONCATENATE("[tdLevel type=", B120, "]", 比較表!A8, "[/tdLevel]")</f>
        <v>[tdLevel type=5]塗りやすさ[/tdLevel]</v>
      </c>
      <c r="B120">
        <f>HLOOKUP(アンケート!$C$13,比較表!$B$3:$D$8,6,FALSE)</f>
        <v>5</v>
      </c>
    </row>
    <row r="121" spans="1:2">
      <c r="A121" t="s">
        <v>72</v>
      </c>
    </row>
    <row r="123" spans="1:2">
      <c r="A123" s="6" t="str">
        <f>CONCATENATE("[product_link id=",入力シート!D12,"][/product_link]")</f>
        <v>[product_link id=109][/product_link]</v>
      </c>
    </row>
    <row r="124" spans="1:2">
      <c r="A124" t="s">
        <v>97</v>
      </c>
    </row>
    <row r="125" spans="1:2">
      <c r="A125" t="s">
        <v>98</v>
      </c>
    </row>
    <row r="126" spans="1:2">
      <c r="A126" t="s">
        <v>99</v>
      </c>
    </row>
    <row r="127" spans="1:2">
      <c r="A127" t="s">
        <v>91</v>
      </c>
    </row>
    <row r="128" spans="1:2">
      <c r="A128" t="str">
        <f>CONCATENATE("&lt;li&gt;", アンケート!C14,"&lt;/li&gt;")</f>
        <v>&lt;li&gt;消臭効果が強い&lt;/li&gt;</v>
      </c>
    </row>
    <row r="129" spans="1:1">
      <c r="A129" t="str">
        <f>CONCATENATE("&lt;li&gt;", アンケート!C15,"&lt;/li&gt;")</f>
        <v>&lt;li&gt;清涼感のある付け心地&lt;/li&gt;</v>
      </c>
    </row>
    <row r="130" spans="1:1">
      <c r="A130" t="str">
        <f>CONCATENATE("&lt;li&gt;", アンケート!C16,"&lt;/li&gt;")</f>
        <v>&lt;li&gt;良心的な価格&lt;/li&gt;</v>
      </c>
    </row>
    <row r="131" spans="1:1">
      <c r="A131" t="str">
        <f>CONCATENATE("&lt;li&gt;", アンケート!C17,"&lt;/li&gt;")</f>
        <v>&lt;li&gt;べたつかず、塗ったあとすぐからサラサラしている&lt;/li&gt;</v>
      </c>
    </row>
    <row r="132" spans="1:1">
      <c r="A132" t="s">
        <v>92</v>
      </c>
    </row>
    <row r="133" spans="1:1">
      <c r="A133" t="s">
        <v>93</v>
      </c>
    </row>
    <row r="134" spans="1:1">
      <c r="A134" t="s">
        <v>100</v>
      </c>
    </row>
    <row r="135" spans="1:1">
      <c r="A135" t="s">
        <v>101</v>
      </c>
    </row>
    <row r="136" spans="1:1">
      <c r="A136" t="s">
        <v>98</v>
      </c>
    </row>
    <row r="137" spans="1:1">
      <c r="A137" t="s">
        <v>102</v>
      </c>
    </row>
    <row r="138" spans="1:1">
      <c r="A138" t="s">
        <v>91</v>
      </c>
    </row>
    <row r="139" spans="1:1">
      <c r="A139" t="str">
        <f>CONCATENATE("&lt;li&gt;", アンケート!C18,"&lt;/li&gt;")</f>
        <v>&lt;li&gt;洋服に白くつくことがある&lt;/li&gt;</v>
      </c>
    </row>
    <row r="140" spans="1:1">
      <c r="A140" t="str">
        <f>CONCATENATE("&lt;li&gt;", アンケート!C19,"&lt;/li&gt;")</f>
        <v>&lt;li&gt;最後の方、スティックに残った部分を使い切れない&lt;/li&gt;</v>
      </c>
    </row>
    <row r="141" spans="1:1">
      <c r="A141" t="str">
        <f>CONCATENATE("&lt;li&gt;", アンケート!C20,"&lt;/li&gt;")</f>
        <v>&lt;li&gt;ミントの香りに好き嫌いが分かれる（無臭タイプもあり）&lt;/li&gt;</v>
      </c>
    </row>
    <row r="142" spans="1:1">
      <c r="A142" t="str">
        <f>CONCATENATE("&lt;li&gt;", アンケート!C21,"&lt;/li&gt;")</f>
        <v>&lt;li&gt;脇汗を抑えるという効果は△&lt;/li&gt;</v>
      </c>
    </row>
    <row r="143" spans="1:1">
      <c r="A143" t="s">
        <v>92</v>
      </c>
    </row>
    <row r="144" spans="1:1">
      <c r="A144" t="s">
        <v>93</v>
      </c>
    </row>
    <row r="145" spans="1:1">
      <c r="A145" t="s">
        <v>100</v>
      </c>
    </row>
    <row r="146" spans="1:1">
      <c r="A146" t="s">
        <v>135</v>
      </c>
    </row>
    <row r="147" spans="1:1">
      <c r="A147" t="str">
        <f>CONCATENATE("[voice icon=","""http://shomty.com/wp-content/uploads/img/parts/review/", 入力シート!F12, ".jpg", """ name=""", 入力シート!E12, """ type=""", "l", """]")</f>
        <v>[voice icon="http://shomty.com/wp-content/uploads/img/parts/review/w_30_2.jpg" name="30代　女性" type="l"]</v>
      </c>
    </row>
    <row r="148" spans="1:1">
      <c r="A148" t="str">
        <f>アンケート!C23</f>
        <v>長年、年間を通して脇の匂いに悩んでいました。色々ためしましたが、肌への刺激が少なく効果も感じられるデオナチュレが一番自分にも合っています！</v>
      </c>
    </row>
    <row r="149" spans="1:1">
      <c r="A149" t="s">
        <v>108</v>
      </c>
    </row>
    <row r="150" spans="1:1">
      <c r="A150" t="str">
        <f>CONCATENATE("[voice icon=","""http://shomty.com/wp-content/uploads/img/parts/review/", 入力シート!F13, ".jpg", """ name=""", 入力シート!E13, """ type=""", "r", """]")</f>
        <v>[voice icon="http://shomty.com/wp-content/uploads/img/parts/review/w_20_1.jpg" name="20代　女性" type="r"]</v>
      </c>
    </row>
    <row r="151" spans="1:1">
      <c r="A151" t="str">
        <f>アンケート!C24</f>
        <v>忙しい朝にも、ロールタイプでさっとぬれるので簡単です！朝ぬったら夜まで効果が続いています。</v>
      </c>
    </row>
    <row r="152" spans="1:1">
      <c r="A152" t="s">
        <v>108</v>
      </c>
    </row>
    <row r="153" spans="1:1">
      <c r="A153" t="s">
        <v>103</v>
      </c>
    </row>
    <row r="154" spans="1:1">
      <c r="A154" t="str">
        <f>CONCATENATE("[reviewLink id=","""", 入力シート!D12,"""][/reviewLink]")</f>
        <v>[reviewLink id="109"][/reviewLink]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4"/>
    </sheetView>
  </sheetViews>
  <sheetFormatPr defaultRowHeight="13.5"/>
  <sheetData>
    <row r="1" spans="1:1">
      <c r="A1" t="s">
        <v>128</v>
      </c>
    </row>
    <row r="2" spans="1:1">
      <c r="A2" t="str">
        <f>"("&amp;入力シート!D12&amp;","&amp;"'"&amp;入力シート!D22&amp;"', '"&amp;入力シート!D23&amp;"', '"&amp;入力シート!C12&amp;"', '"&amp;入力シート!C5&amp;"', '"&amp;入力シート!D5&amp;"'),"</f>
        <v>(109,'//af.moshimo.com/af/c/click?a_id=988731&amp;p_id=170&amp;pc_id=185&amp;pl_id=4062&amp;url=https%3A%2F%2Fwww.amazon.co.jp%2F%25E3%2583%2587%25E3%2582%25AA%25E3%2583%258A%25E3%2583%2581%25E3%2583%25A5%25E3%2583%25AC-BU20X04538-%25E3%2582%25BD%25E3%2583%2595%25E3%2583%2588%25E3%2582%25B9%25E3%2583%2588%25E3%2583%25BC%25E3%2583%25B3W-20g%2Fdp%2FB000RLWF7S', '//af.moshimo.com/af/c/click?a_id=988729&amp;p_id=54&amp;pc_id=54&amp;pl_id=616&amp;url=https%3A%2F%2Fitem.rakuten.co.jp%2Fa-price%2F4971825007849%2F&amp;m=http%3A%2F%2Fm.rakuten.co.jp%2Fa-price%2Fi%2F10488201%2F&amp;r_v=g00qn683.9tq3e3e4.g00qn683.9tq3f916', 'http://deonatulle.com/', 'https://images-fe.ssl-images-amazon.com/images/I/41UJfGw7srL.jpg', 'デオナチュレ ソフトストーンW'),</v>
      </c>
    </row>
    <row r="3" spans="1:1">
      <c r="A3" t="str">
        <f>"("&amp;入力シート!D14&amp;","&amp;"'"&amp;入力シート!D24&amp;"', '"&amp;入力シート!D25&amp;"', '"&amp;入力シート!C14&amp;"', '"&amp;入力シート!C6&amp;"', '"&amp;入力シート!D6&amp;"'),"</f>
        <v>(110,'//af.moshimo.com/af/c/click?a_id=988731&amp;p_id=170&amp;pc_id=185&amp;pl_id=4062&amp;url=https%3A%2F%2Fwww.amazon.co.jp%2F%25E3%2582%25A8%25E3%2583%25BC%25E3%2582%25B8%25E3%2583%25BC%25E3%2583%2587%25E3%2582%25AA24-%25E3%2583%2587%25E3%2582%25AA%25E3%2583%2589%25E3%2583%25A9%25E3%2583%25B3%25E3%2583%2588%25E3%2582%25B9%25E3%2583%2586%25E3%2582%25A3%25E3%2583%2583%25E3%2582%25AFEX-%25E7%2584%25A1%25E9%25A6%2599%25E6%2596%2599-20g-%25E5%258C%25BB%25E8%2596%25AC%25E9%2583%25A8%25E5%25A4%2596%25E5%2593%2581%2Fdp%2FB079H3DCKF', '//af.moshimo.com/af/c/click?a_id=988729&amp;p_id=54&amp;pc_id=54&amp;pl_id=616&amp;url=https%3A%2F%2Fitem.rakuten.co.jp%2Ftsuruha%2F10117938%2F&amp;m=http%3A%2F%2Fm.rakuten.co.jp%2Ftsuruha%2Fi%2F10057349%2F&amp;r_v=g00rbnv3.9tq3e334.g00rbnv3.9tq3fcba', 'https://www.shiseido.co.jp/ag/stick/', 'https://images-fe.ssl-images-amazon.com/images/I/31DT37OViZL.jpg', 'エージーデオ24 デオドラントスティックEX'),</v>
      </c>
    </row>
    <row r="4" spans="1:1">
      <c r="A4" t="str">
        <f>"("&amp;入力シート!D16&amp;","&amp;"'"&amp;入力シート!D26&amp;"', '"&amp;入力シート!D27&amp;"', '"&amp;入力シート!C16&amp;"', '"&amp;入力シート!C7&amp;"', '"&amp;入力シート!D7&amp;"');"</f>
        <v>(111,'//af.moshimo.com/af/c/click?a_id=988731&amp;p_id=170&amp;pc_id=185&amp;pl_id=4062&amp;url=https%3A%2F%2Fwww.amazon.co.jp%2F%25E3%2583%25AA%25E3%2583%2595%25E3%2583%25AC%25E3%2582%25A2-%25E3%2583%2587%25E3%2582%25AA%25E3%2583%2589%25E3%2583%25A9%25E3%2583%25B3%25E3%2583%2588%25E3%2582%25AF%25E3%2583%25AA%25E3%2583%25BC%25E3%2583%25A0-%25E3%2583%2590%25E3%2583%25BC-20g-%25E3%2580%2590%25E5%258C%25BB%25E8%2596%25AC%25E9%2583%25A8%25E5%25A4%2596%25E5%2593%2581%25E3%2580%2591%2Fdp%2FB079FFWLRN', '//af.moshimo.com/af/c/click?a_id=988729&amp;p_id=54&amp;pc_id=54&amp;pl_id=616&amp;url=https%3A%2F%2Fitem.rakuten.co.jp%2Fbiccamera%2F4987241157860%2F&amp;m=http%3A%2F%2Fm.rakuten.co.jp%2Fbiccamera%2Fi%2F11881414%2F&amp;r_v=g00r7ld3.9tq3e20f.g00r7ld3.9tq3f0be', 'http://jp.rohto.com/refrea/cream-bar/', 'https://images-fe.ssl-images-amazon.com/images/I/51Ol7udS4CL.jpg', 'リフレア デオドラント クリームバークール');</v>
      </c>
    </row>
    <row r="9" spans="1:1">
      <c r="A9" s="35" t="s">
        <v>127</v>
      </c>
    </row>
    <row r="10" spans="1:1">
      <c r="A10" t="s">
        <v>126</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2018-06-09T01:54:15Z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