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72" i="3" l="1"/>
  <c r="B73" i="3"/>
  <c r="B74" i="3"/>
  <c r="F2" i="4" l="1"/>
  <c r="B120" i="3" l="1"/>
  <c r="B119" i="3"/>
  <c r="B118" i="3"/>
  <c r="B117" i="3"/>
  <c r="B116" i="3"/>
  <c r="B76" i="3"/>
  <c r="B75"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<sst xmlns="http://schemas.openxmlformats.org/spreadsheetml/2006/main" count="268" uniqueCount="194">
  <si>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</si>
  <si>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</si>
  <si>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</si>
  <si>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</si>
  <si>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</si>
  <si>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</si>
  <si>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</si>
  <si>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</si>
  <si>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</si>
  <si>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</si>
  <si>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</si>
  <si>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</si>
  <si>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</si>
  <si>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</si>
  <si>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</si>
  <si>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</si>
  <si>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</si>
  <si>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</si>
  <si>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</si>
  <si>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</si>
  <si>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</si>
  <si>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</si>
  <si>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</si>
  <si>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</si>
  <si>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</si>
  <si>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</si>
  <si>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</si>
  <si>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</si>
  <si>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</si>
  <si>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</si>
  <si>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</si>
  <si>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</si>
  <si>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</si>
  <si>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</si>
  <si>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</si>
  <si>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</si>
  <si>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</si>
  <si>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</si>
  <si>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</si>
  <si>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</si>
  <si>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</si>
  <si>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</si>
  <si>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</si>
  <si>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</si>
  <si>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</si>
  <si>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</si>
  <si>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</si>
  <si>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</si>
  <si>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</si>
  <si>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</si>
  <si>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</si>
  <si>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</si>
  <si>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</si>
  <si>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</si>
  <si>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</si>
  <si>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</si>
  <si>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</si>
  <si>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</si>
  <si>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</si>
  <si>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</si>
  <si>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</si>
  <si>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</si>
  <si>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</si>
  <si>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</si>
  <si>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</si>
  <si>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</si>
  <si>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</si>
  <si>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</si>
  <si>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</si>
  <si>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</si>
  <si>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</si>
  <si>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</si>
  <si>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</si>
  <si>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</si>
  <si>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</si>
  <si>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</si>
  <si>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</si>
  <si>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</si>
  <si>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</si>
  <si>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</si>
  <si>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</si>
  <si>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</si>
  <si>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</si>
  <si>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</si>
  <si>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</si>
  <si>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</si>
  <si>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</si>
  <si>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</si>
  <si>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</si>
  <si>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</si>
  <si>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</si>
  <si>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</si>
  <si>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</si>
  <si>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</si>
  <si>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</si>
  <si>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</si>
  <si>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</si>
  <si>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</si>
  <si>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</si>
  <si>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</si>
  <si>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</si>
  <si>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</si>
  <si>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</si>
  <si>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</si>
  <si>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</si>
  <si>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</si>
  <si>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</si>
  <si>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</si>
  <si>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</si>
  <si>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</si>
  <si>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</si>
  <si>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</si>
  <si>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</si>
  <si>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</si>
  <si>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</si>
  <si>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</si>
  <si>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</si>
  <si>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</si>
  <si>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</si>
  <si>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</si>
  <si>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</si>
  <si>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</si>
  <si>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</si>
  <si>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</si>
  <si>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</si>
  <si>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</si>
  <si>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</si>
  <si>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</si>
  <si>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</si>
  <si>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</si>
  <si>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</si>
  <si>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</si>
  <si>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</si>
  <si>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毛穴ケアアイテム</t>
  </si>
  <si>
    <t>ビオレ　毛穴すっきりパック</t>
  </si>
  <si>
    <t>アルジタル　グリーンペースト</t>
  </si>
  <si>
    <t>ビオレ　おうちdeエステ　肌をなめらかにするマッサージ洗顔ジェル</t>
  </si>
  <si>
    <t>毛穴の黒ずみが取れる</t>
  </si>
  <si>
    <t>肌に負担がない</t>
  </si>
  <si>
    <t>使用後の乾燥</t>
  </si>
  <si>
    <t>コスパ</t>
  </si>
  <si>
    <t>使用感</t>
  </si>
  <si>
    <t>コスパがいい</t>
  </si>
  <si>
    <t>黒ずみだけでなく角栓も取れる</t>
  </si>
  <si>
    <t>ジェルなのでマッサージしやすい</t>
  </si>
  <si>
    <t>人によっては刺激がありひりひりする場合がある</t>
  </si>
  <si>
    <t>洗顔だが泡立たないので洗えているか不安になる</t>
  </si>
  <si>
    <t>洗い終えた後のぬめりが簡単には取れない</t>
  </si>
  <si>
    <t>黒ずみ・角栓の取れ具合は、毛穴パックには劣る</t>
  </si>
  <si>
    <t>コスパの良い毛穴・角栓ケアできるアイテムをお探しの方</t>
  </si>
  <si>
    <r>
      <t xml:space="preserve">１位の商品のためになった（なる）口コミやレビューを２つ記入してください。
</t>
    </r>
    <r>
      <rPr>
        <sz val="9"/>
        <color rgb="FFFF0000"/>
        <rFont val="Arial"/>
        <family val="2"/>
      </rPr>
      <t>※短文すぎない（150文字～300文字程度）口コミをお願いします。</t>
    </r>
  </si>
  <si>
    <t xml:space="preserve">姉がこちらを使用していて、すごく良いと言っていたので試しに使用してみました。
正直あまり期待していなかったのですが、今までゴワゴワざらついていて悩んでいた肌が、気持ちいいほどつるつるになり感動しました。
毛穴の汚れも取れているのを実感できて嬉しいです。
現在リピート3本目ですが、これからもリピートしたいと思います。
</t>
  </si>
  <si>
    <t xml:space="preserve">プチプラな毛穴ケア商品の中で、一番効果がありました。
こちらの商品を使用すると肌がつるつるすべすべになるので、朝使用するとメイクのノリも良くなります。
鼻をくるくるとマッサージすると、毛穴の黒ずみが解消されるので、とても気に入っています。
洗顔と毛穴ケア両方が１つでできるし、価格も安いのでコスパもいいです。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</si>
  <si>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</si>
  <si>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</si>
  <si>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http://www.cosme.net/product/product_id/10137486/reviews</t>
  </si>
  <si>
    <t>毛穴の黒ずみが解消できる</t>
  </si>
  <si>
    <t>肌がワントーン明るくなる</t>
  </si>
  <si>
    <t>小さいサイズもあるので、初めての方も手軽に試せる・旅行など持ち運びにも便利</t>
  </si>
  <si>
    <t>スクラブがざらざらしているので、肌の弱い方は刺激があるかもしれない</t>
  </si>
  <si>
    <t>取り扱い店舗が限られている</t>
  </si>
  <si>
    <t>全顔にしようすると減りが早い</t>
  </si>
  <si>
    <t>効果のあるクレイパックを探している方</t>
  </si>
  <si>
    <r>
      <t xml:space="preserve">２位の商品のためになった（なる）口コミやレビューを２つ記入してください。
</t>
    </r>
    <r>
      <rPr>
        <sz val="9"/>
        <color rgb="FFFF0000"/>
        <rFont val="Arial"/>
        <family val="2"/>
      </rPr>
      <t>※短文すぎない（150文字～300文字程度）口コミをお願いします。</t>
    </r>
  </si>
  <si>
    <t xml:space="preserve">クレイパックが毛穴ケアに効果があるとSNSで知ってから、どの商品がいいのか調べてみたところ、こちらが評判が良かったので購入しました。
週に１～２回使用していますが、気に入っていた顎や鼻のざらざらが全く気にならなくなりました。
毛穴の黒ずみにもとっても効果があります。
現在グリーンクレイペーストを使用し始めて2年が経ちましたが、これからも使用しようと思います。
</t>
  </si>
  <si>
    <t xml:space="preserve">クレイパックに興味はあったものの、初めてだったのでお値段的にもお手頃なこちらの一番小さいサイズを購入してみました。
こちらで毛穴の黒ずみが気になる鼻や顎をマッサージした後、3分ほど顔全体に塗ってパックしています。
そのあといつものフェイスパックをして眠ると、翌日の肌の調子がとてもよく感動しました。
次は大きいサイズを購入しようと思います。
</t>
  </si>
  <si>
    <t>３0代女性</t>
  </si>
  <si>
    <t>http://www.cosme.net/product/product_id/2932699/reviews</t>
  </si>
  <si>
    <t>気持ちいいほど・毛穴の黒ずみ・角栓が取れる</t>
  </si>
  <si>
    <t>ドラッグストア・コンビニにも売っているので手に入れやすい</t>
  </si>
  <si>
    <t>即効性がある</t>
  </si>
  <si>
    <t>肌を痛めてしまう</t>
  </si>
  <si>
    <t>使用後はすぐに肌を冷やし引き締めないと毛穴が逆に開いてしまう</t>
  </si>
  <si>
    <t>シートを剥がす時に皮も剥がれてしまう場合がある</t>
  </si>
  <si>
    <t>毛穴汚れをすぐに解消したい方</t>
  </si>
  <si>
    <r>
      <t xml:space="preserve">３位の商品のためになった（なる）口コミやレビューを２つ記入してください。
</t>
    </r>
    <r>
      <rPr>
        <sz val="9"/>
        <color rgb="FFFF0000"/>
        <rFont val="Arial"/>
        <family val="2"/>
      </rPr>
      <t>※短文すぎない（150文字～300文字程度）口コミをお願いします。</t>
    </r>
  </si>
  <si>
    <t xml:space="preserve">毛穴の黒ずみが酷くすっぴんは酷い状態でした。
しかし毛穴パックを使用すると、気持ちいいくらい毛穴の黒ずみ・角栓が取れます。
クレイパックなど塗って洗い流すタイプだと毛穴の汚れがどれくらいとれたのかわかりづらいですが、毛穴パックは剥がすとシートに角栓がたくさんついているので、どれくらいとれたのかわかりやすいです。
</t>
  </si>
  <si>
    <t>頻繁に使用するのは肌を痛めてしまいよくないと思うので、毛穴汚れが気になっていた時にだけ使用しています。
オロナインを塗ってしばらく置いてから洗い流し毛穴パックをすると、普通に使用するよりもごっそり角栓が取れるのでやみつきになります。
もう10年以上定期的に使用していますが、これからもリピートしたいと思います。</t>
  </si>
  <si>
    <t>http://www.cosme.net/product/product_id/3280/reviews</t>
  </si>
  <si>
    <t>今回取り上げたアイテムは、「何を求めてる人」にピッタリだと思いますか？
具体的に3つ記入してください。</t>
  </si>
  <si>
    <t>毛穴の黒ずみ・角栓をすぐに取りたい方</t>
  </si>
  <si>
    <t>コスパの良い毛穴ケアできるアイテムを探している方</t>
  </si>
  <si>
    <t>クレイパックを手軽に使用してみたい方</t>
  </si>
  <si>
    <t>&lt;a target="_blank" href="//af.moshimo.com/af/c/click?a_id=988731&amp;amp;p_id=170&amp;amp;pc_id=185&amp;amp;pl_id=4062&amp;amp;url=https%3A%2F%2Fwww.amazon.co.jp%2F%25E3%2583%2593%25E3%2582%25AA%25E3%2583%25AC-%25E3%2581%258A%25E3%2581%2586%25E3%2581%25A1de%25E3%2582%25A8%25E3%2582%25B9%25E3%2583%2586-%25E6%25B4%2597%25E9%25A1%2594%25E3%2582%25B8%25E3%2582%25A7%25E3%2583%25AB-%25E3%2581%25AA%25E3%2582%2581%25E3%2582%2589%25E3%2581%258B%2Fdp%2FB0759HMBJK" rel="nofollow"&gt;&lt;img src="https://images-fe.ssl-images-amazon.com/images/I/31D1SmMYTQL.jpg" alt="" style="border: none;" /&gt;&lt;br /&gt;ビオレ おうちdeエステ 洗顔ジェル なめらか&lt;/a&gt;&lt;img src="//i.moshimo.com/af/i/impression?a_id=988731&amp;amp;p_id=170&amp;amp;pc_id=185&amp;amp;pl_id=4062" alt="" width="1" height="1" style="border: 0px;" /&gt;</t>
  </si>
  <si>
    <t>&lt;a target="_blank" href="//af.moshimo.com/af/c/click?a_id=988729&amp;amp;p_id=54&amp;amp;pc_id=54&amp;amp;pl_id=616&amp;amp;url=https%3A%2F%2Fitem.rakuten.co.jp%2Frakuten24%2Fe522702h%2F&amp;amp;m=http%3A%2F%2Fm.rakuten.co.jp%2Frakuten24%2Fi%2F10623228%2F&amp;amp;r_v=g00r1363.9tq3e1d4.g00r1363.9tq3fe1c" rel="nofollow"&gt;&lt;img src="//thumbnail.image.rakuten.co.jp/@0_mall/rakuten24/cabinet/e5227/e522702h_l.jpg?_ex=128x128" alt="" style="border: none;" /&gt;&lt;br /&gt;ビオレ おうちdeエステ 肌をなめらかにするマッサージ洗顔ジェル 150g&lt;/a&gt;&lt;img src="//i.moshimo.com/af/i/impression?a_id=988729&amp;amp;p_id=54&amp;amp;pc_id=54&amp;amp;pl_id=616" alt="" width="1" height="1" style="border: 0px;" /&gt;</t>
  </si>
  <si>
    <t>&lt;a target="_blank" href="//af.moshimo.com/af/c/click?a_id=988731&amp;amp;p_id=170&amp;amp;pc_id=185&amp;amp;pl_id=4062&amp;amp;url=https%3A%2F%2Fwww.amazon.co.jp%2F%25E3%2582%25A2%25E3%2583%25AB%25E3%2582%25B8%25E3%2582%25BF%25E3%2583%25AB-ARGITAL-%25E3%2582%25B0%25E3%2583%25AA%25E3%2583%25BC%25E3%2583%25B3%25E3%2582%25AF%25E3%2583%25AC%25E3%2582%25A4%25E3%2583%259A%25E3%2583%25BC%25E3%2582%25B9%25E3%2583%2588-50mL%2Fdp%2FB00BERT1NK" rel="nofollow"&gt;&lt;img src="https://images-fe.ssl-images-amazon.com/images/I/31jA7bkaj6L.jpg" alt="" style="border: none;" /&gt;&lt;br /&gt;アルジタル グリーンクレイペースト 50mL&lt;/a&gt;&lt;img src="//i.moshimo.com/af/i/impression?a_id=988731&amp;amp;p_id=170&amp;amp;pc_id=185&amp;amp;pl_id=4062" alt="" width="1" height="1" style="border: 0px;" /&gt;</t>
  </si>
  <si>
    <t>&lt;a target="_blank" href="//af.moshimo.com/af/c/click?a_id=988729&amp;amp;p_id=54&amp;amp;pc_id=54&amp;amp;pl_id=616&amp;amp;url=https%3A%2F%2Fitem.rakuten.co.jp%2Faimere%2Fa0180001%2F&amp;amp;m=http%3A%2F%2Fm.rakuten.co.jp%2Faimere%2Fi%2F10002970%2F&amp;amp;r_v=g00q5in3.9tq3e50c.g00q5in3.9tq3f2f8" rel="nofollow"&gt;&lt;img src="//thumbnail.image.rakuten.co.jp/@0_mall/aimere/cabinet/02716961/ishizawakenkyuusho/03510071/imgrc0069736525.jpg?_ex=128x128" alt="" style="border: none;" /&gt;&lt;br /&gt;アルジタル グリーンクレイペースト 250ml クレイパック ARGITAL フェイスパック&lt;/a&gt;&lt;img src="//i.moshimo.com/af/i/impression?a_id=988729&amp;amp;p_id=54&amp;amp;pc_id=54&amp;amp;pl_id=616" alt="" width="1" height="1" style="border: 0px;" /&gt;</t>
  </si>
  <si>
    <t>&lt;a target="_blank" href="//af.moshimo.com/af/c/click?a_id=988731&amp;amp;p_id=170&amp;amp;pc_id=185&amp;amp;pl_id=4062&amp;amp;url=https%3A%2F%2Fwww.amazon.co.jp%2F%25E3%2583%2593%25E3%2582%25AA%25E3%2583%25AC-%25E3%2583%2593%25E3%2582%25AA%25E3%2583%25AC%25E6%25AF%259B%25E7%25A9%25B4%25E3%2581%2599%25E3%2581%25A3%25E3%2581%258D%25E3%2582%258A%25E3%2583%2591%25E3%2583%2583%25E3%2582%25AF-%25E9%25BC%25BB%25E7%2594%25A8-%25E7%2599%25BD%25E8%2589%25B2%25E3%2582%25BF%25E3%2582%25A4%25E3%2583%2597-10%25E6%259E%259A%2Fdp%2FB00YQU7CVU" rel="nofollow"&gt;&lt;img src="https://images-fe.ssl-images-amazon.com/images/I/41I4YZ2M6LL.jpg" alt="" style="border: none;" /&gt;&lt;br /&gt;ビオレ毛穴すっきりパック 鼻用 白色タイプ 10枚&lt;/a&gt;&lt;img src="//i.moshimo.com/af/i/impression?a_id=988731&amp;amp;p_id=170&amp;amp;pc_id=185&amp;amp;pl_id=4062" alt="" width="1" height="1" style="border: 0px;" /&gt;</t>
  </si>
  <si>
    <t>&lt;a target="_blank" href="//af.moshimo.com/af/c/click?a_id=988729&amp;amp;p_id=54&amp;amp;pc_id=54&amp;amp;pl_id=616&amp;amp;url=https%3A%2F%2Fitem.rakuten.co.jp%2Fsoukai%2F4901301200211%2F&amp;amp;m=http%3A%2F%2Fm.rakuten.co.jp%2Fsoukai%2Fi%2F10054786%2F&amp;amp;r_v=g00psrh3.9tq3ed4a.g00psrh3.9tq3f383" rel="nofollow"&gt;&lt;img src="//thumbnail.image.rakuten.co.jp/@0_mall/soukai/cabinet/11/4901301200211.jpg?_ex=128x128" alt="" style="border: none;" /&gt;&lt;br /&gt;ビオレ 毛穴すっきりパック 鼻用(10枚入)【kao1610T】【ビオレ】&lt;/a&gt;&lt;img src="//i.moshimo.com/af/i/impression?a_id=988729&amp;amp;p_id=54&amp;amp;pc_id=54&amp;amp;pl_id=616" alt="" width="1" height="1" style="border: 0px;" /&gt;</t>
  </si>
  <si>
    <t>毛穴ケアにはこれがおすすめ商品！人気ランキングTOP3選</t>
    <rPh sb="0" eb="2">
      <t>ケアナ</t>
    </rPh>
    <rPh sb="13" eb="15">
      <t>ショウヒン</t>
    </rPh>
    <rPh sb="16" eb="18">
      <t>ニンキ</t>
    </rPh>
    <rPh sb="27" eb="28">
      <t>セン</t>
    </rPh>
    <phoneticPr fontId="1"/>
  </si>
  <si>
    <r>
      <rPr>
        <sz val="9"/>
        <color rgb="FF000000"/>
        <rFont val="ＭＳ Ｐゴシック"/>
        <family val="3"/>
        <charset val="128"/>
      </rPr>
      <t>ビオレ　おうち</t>
    </r>
    <r>
      <rPr>
        <sz val="9"/>
        <color rgb="FF000000"/>
        <rFont val="Arial"/>
        <family val="2"/>
      </rPr>
      <t>de</t>
    </r>
    <r>
      <rPr>
        <sz val="9"/>
        <color rgb="FF000000"/>
        <rFont val="ＭＳ Ｐゴシック"/>
        <family val="3"/>
        <charset val="128"/>
      </rPr>
      <t>エステ　肌をなめらかにするマッサージ洗顔ジェル</t>
    </r>
    <phoneticPr fontId="1"/>
  </si>
  <si>
    <r>
      <rPr>
        <b/>
        <sz val="11"/>
        <color rgb="FF38761D"/>
        <rFont val="ＭＳ Ｐゴシック"/>
        <family val="3"/>
        <charset val="128"/>
      </rPr>
      <t>ビオレ　おうち</t>
    </r>
    <r>
      <rPr>
        <b/>
        <sz val="11"/>
        <color rgb="FF38761D"/>
        <rFont val="Arial"/>
        <family val="2"/>
      </rPr>
      <t>de</t>
    </r>
    <r>
      <rPr>
        <b/>
        <sz val="11"/>
        <color rgb="FF38761D"/>
        <rFont val="ＭＳ Ｐゴシック"/>
        <family val="3"/>
        <charset val="128"/>
      </rPr>
      <t>エステ　肌をなめらかにするマッサージ洗顔ジェル</t>
    </r>
    <phoneticPr fontId="1"/>
  </si>
  <si>
    <t>アルジタル　グリーンクレイペースト</t>
    <phoneticPr fontId="1"/>
  </si>
  <si>
    <t>アルジタル　グリーンクレイペースト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</si>
</sst>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
      <b/>
      <sz val="11"/>
      <color rgb="FF38761D"/>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3">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4" fillId="5" borderId="5" xfId="0" applyFont="1" applyFill="1" applyBorder="1" applyAlignment="1">
      <alignment wrapText="1"/>
    </xf>
    <xf numFmtId="0" fontId="18" fillId="5"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3280/reviews" TargetMode="External"/><Relationship Id="rId2" Type="http://schemas.openxmlformats.org/officeDocument/2006/relationships/hyperlink" Target="http://www.cosme.net/product/product_id/2932699/reviews" TargetMode="External"/><Relationship Id="rId1" Type="http://schemas.openxmlformats.org/officeDocument/2006/relationships/hyperlink" Target="http://www.cosme.net/product/product_id/10137486/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7" workbookViewId="0">
      <selection activeCell="C28" sqref="C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190</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137</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6" t="s">
        <v>150</v>
      </c>
      <c r="C23" s="68" t="s">
        <v>151</v>
      </c>
      <c r="D23" s="3"/>
      <c r="E23" s="3"/>
      <c r="F23" s="3"/>
      <c r="G23" s="3"/>
      <c r="H23" s="3"/>
      <c r="I23" s="3"/>
      <c r="J23" s="3"/>
      <c r="K23" s="3"/>
      <c r="L23" s="3"/>
      <c r="M23" s="3"/>
      <c r="N23" s="3"/>
      <c r="O23" s="3"/>
      <c r="P23" s="3"/>
      <c r="Q23" s="3"/>
      <c r="R23" s="3"/>
      <c r="S23" s="3"/>
      <c r="T23" s="3"/>
      <c r="U23" s="3"/>
      <c r="V23" s="3"/>
      <c r="W23" s="3"/>
      <c r="X23" s="3"/>
      <c r="Y23" s="3"/>
      <c r="Z23" s="3"/>
    </row>
    <row r="24" spans="1:26" ht="60.75" thickBot="1">
      <c r="A24" s="4" t="s">
        <v>29</v>
      </c>
      <c r="B24" s="48"/>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71" t="s">
        <v>192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3"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163</v>
      </c>
      <c r="C36" s="69"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1"/>
      <c r="C37" s="69"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78</v>
      </c>
      <c r="C38" s="27"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175</v>
      </c>
      <c r="C49" s="70"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4"/>
      <c r="C50" s="70"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52"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4"/>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0"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1"/>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2"/>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0" sqref="C10"/>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72" t="s">
        <v>193</v>
      </c>
      <c r="D3" s="16" t="s">
        <v>191</v>
      </c>
      <c r="E3" s="3"/>
      <c r="F3" s="3"/>
      <c r="G3" s="3"/>
      <c r="H3" s="3"/>
      <c r="I3" s="3"/>
      <c r="J3" s="3"/>
      <c r="K3" s="3"/>
      <c r="L3" s="3"/>
      <c r="M3" s="3"/>
      <c r="N3" s="3"/>
      <c r="O3" s="3"/>
      <c r="P3" s="3"/>
      <c r="Q3" s="3"/>
      <c r="R3" s="3"/>
      <c r="S3" s="3"/>
      <c r="T3" s="3"/>
      <c r="U3" s="3"/>
      <c r="V3" s="3"/>
      <c r="W3" s="3"/>
      <c r="X3" s="3"/>
      <c r="Y3" s="3"/>
      <c r="Z3" s="3"/>
    </row>
    <row r="4" spans="1:26" ht="15.75" thickBot="1">
      <c r="A4" s="33" t="s">
        <v>137</v>
      </c>
      <c r="B4" s="17">
        <v>5</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138</v>
      </c>
      <c r="B5" s="17">
        <v>1</v>
      </c>
      <c r="C5" s="17">
        <v>3</v>
      </c>
      <c r="D5" s="17">
        <v>3</v>
      </c>
      <c r="E5" s="3"/>
      <c r="F5" s="3"/>
      <c r="G5" s="3"/>
      <c r="H5" s="3"/>
      <c r="I5" s="3"/>
      <c r="J5" s="3"/>
      <c r="K5" s="3"/>
      <c r="L5" s="3"/>
      <c r="M5" s="3"/>
      <c r="N5" s="3"/>
      <c r="O5" s="3"/>
      <c r="P5" s="3"/>
      <c r="Q5" s="3"/>
      <c r="R5" s="3"/>
      <c r="S5" s="3"/>
      <c r="T5" s="3"/>
      <c r="U5" s="3"/>
      <c r="V5" s="3"/>
      <c r="W5" s="3"/>
      <c r="X5" s="3"/>
      <c r="Y5" s="3"/>
      <c r="Z5" s="3"/>
    </row>
    <row r="6" spans="1:26" ht="15.75" thickBot="1">
      <c r="A6" s="33" t="s">
        <v>139</v>
      </c>
      <c r="B6" s="17">
        <v>1</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140</v>
      </c>
      <c r="B7" s="17">
        <v>2</v>
      </c>
      <c r="C7" s="17">
        <v>3</v>
      </c>
      <c r="D7" s="17">
        <v>4</v>
      </c>
      <c r="E7" s="3"/>
      <c r="F7" s="3"/>
      <c r="G7" s="3"/>
      <c r="H7" s="3"/>
      <c r="I7" s="3"/>
      <c r="J7" s="3"/>
      <c r="K7" s="3"/>
      <c r="L7" s="3"/>
      <c r="M7" s="3"/>
      <c r="N7" s="3"/>
      <c r="O7" s="3"/>
      <c r="P7" s="3"/>
      <c r="Q7" s="3"/>
      <c r="R7" s="3"/>
      <c r="S7" s="3"/>
      <c r="T7" s="3"/>
      <c r="U7" s="3"/>
      <c r="V7" s="3"/>
      <c r="W7" s="3"/>
      <c r="X7" s="3"/>
      <c r="Y7" s="3"/>
      <c r="Z7" s="3"/>
    </row>
    <row r="8" spans="1:26" ht="15.75" thickBot="1">
      <c r="A8" s="33" t="s">
        <v>141</v>
      </c>
      <c r="B8" s="17">
        <v>3</v>
      </c>
      <c r="C8" s="17">
        <v>3</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12</v>
      </c>
      <c r="C9" s="19">
        <v>16</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20" sqref="H2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https://images-fe.ssl-images-amazon.com/images/I/31D1SmMYTQL.jpg</v>
      </c>
      <c r="D5" s="22" t="str">
        <f>アンケート!C13</f>
        <v>ビオレ　おうちdeエステ　肌をなめらかにするマッサージ洗顔ジェル</v>
      </c>
      <c r="E5" t="s">
        <v>122</v>
      </c>
    </row>
    <row r="6" spans="2:8">
      <c r="B6" s="23" t="s">
        <v>102</v>
      </c>
      <c r="C6" s="22" t="str">
        <f>IF(C24="","",SUBSTITUTE(MID(C24,FIND("src=",C24)+5,FIND("alt",C24)-FIND("src=",C24)-7),"amp;",""))</f>
        <v>https://images-fe.ssl-images-amazon.com/images/I/31jA7bkaj6L.jpg</v>
      </c>
      <c r="D6" s="22" t="str">
        <f>アンケート!C28</f>
        <v>アルジタル　グリーンクレイペースト</v>
      </c>
      <c r="E6" t="s">
        <v>122</v>
      </c>
    </row>
    <row r="7" spans="2:8">
      <c r="B7" s="23" t="s">
        <v>101</v>
      </c>
      <c r="C7" s="22" t="str">
        <f>IF(C26="","",SUBSTITUTE(MID(C26,FIND("src=",C26)+5,FIND("alt",C26)-FIND("src=",C26)-7),"amp;",""))</f>
        <v>https://images-fe.ssl-images-amazon.com/images/I/41I4YZ2M6LL.jpg</v>
      </c>
      <c r="D7" s="22" t="str">
        <f>アンケート!C41</f>
        <v>ビオレ　毛穴すっきりパック</v>
      </c>
      <c r="E7" t="s">
        <v>122</v>
      </c>
    </row>
    <row r="10" spans="2:8">
      <c r="B10" s="61" t="s">
        <v>100</v>
      </c>
      <c r="C10" s="62"/>
      <c r="D10" s="62"/>
      <c r="E10" s="62"/>
      <c r="F10" s="63"/>
    </row>
    <row r="11" spans="2:8">
      <c r="B11" s="32" t="s">
        <v>106</v>
      </c>
      <c r="C11" s="32" t="s">
        <v>107</v>
      </c>
      <c r="D11" s="32" t="s">
        <v>108</v>
      </c>
      <c r="E11" s="32" t="s">
        <v>109</v>
      </c>
      <c r="F11" s="32" t="s">
        <v>110</v>
      </c>
    </row>
    <row r="12" spans="2:8">
      <c r="B12" s="58" t="s">
        <v>103</v>
      </c>
      <c r="C12" s="60" t="str">
        <f>アンケート!C27</f>
        <v>http://www.cosme.net/product/product_id/10137486/reviews</v>
      </c>
      <c r="D12" s="64">
        <v>103</v>
      </c>
      <c r="E12" s="22" t="str">
        <f>アンケート!C25</f>
        <v>30代女性</v>
      </c>
      <c r="F12" s="22" t="str">
        <f>IF(ISERROR(FIND("女",E12)),"m","w")&amp;"_"&amp;LEFT(E12,2)&amp;"_"&amp;"2"</f>
        <v>w_30_2</v>
      </c>
    </row>
    <row r="13" spans="2:8">
      <c r="B13" s="59"/>
      <c r="C13" s="60"/>
      <c r="D13" s="65"/>
      <c r="E13" s="22" t="str">
        <f>アンケート!C26</f>
        <v>20代女性</v>
      </c>
      <c r="F13" s="22" t="str">
        <f>IF(ISERROR(FIND("女",E13)),"m","w")&amp;"_"&amp;LEFT(E13,2)&amp;"_"&amp;"1"</f>
        <v>w_20_1</v>
      </c>
    </row>
    <row r="14" spans="2:8">
      <c r="B14" s="58" t="s">
        <v>102</v>
      </c>
      <c r="C14" s="60" t="str">
        <f>アンケート!C40</f>
        <v>http://www.cosme.net/product/product_id/2932699/reviews</v>
      </c>
      <c r="D14" s="64">
        <f>IF(D12="","",D12+1)</f>
        <v>104</v>
      </c>
      <c r="E14" s="22" t="str">
        <f>アンケート!C38</f>
        <v>３0代女性</v>
      </c>
      <c r="F14" s="22" t="str">
        <f>IF(ISERROR(FIND("女",E14)),"m","w")&amp;"_"&amp;LEFT(E14,2)&amp;"_"&amp;"2"</f>
        <v>w_３0_2</v>
      </c>
    </row>
    <row r="15" spans="2:8">
      <c r="B15" s="59"/>
      <c r="C15" s="60"/>
      <c r="D15" s="65"/>
      <c r="E15" s="22" t="str">
        <f>アンケート!C39</f>
        <v>30代女性</v>
      </c>
      <c r="F15" s="22" t="str">
        <f>IF(ISERROR(FIND("女",E15)),"m","w")&amp;"_"&amp;LEFT(E15,2)&amp;"_"&amp;"1"</f>
        <v>w_30_1</v>
      </c>
    </row>
    <row r="16" spans="2:8">
      <c r="B16" s="58" t="s">
        <v>101</v>
      </c>
      <c r="C16" s="60" t="str">
        <f>アンケート!C53</f>
        <v>http://www.cosme.net/product/product_id/3280/reviews</v>
      </c>
      <c r="D16" s="64">
        <f>IF(D14="","",D14+1)</f>
        <v>105</v>
      </c>
      <c r="E16" s="22" t="str">
        <f>アンケート!C51</f>
        <v>20代女性</v>
      </c>
      <c r="F16" s="22" t="str">
        <f>IF(ISERROR(FIND("女",E16)),"m","w")&amp;"_"&amp;LEFT(E16,2)&amp;"_"&amp;"2"</f>
        <v>w_20_2</v>
      </c>
    </row>
    <row r="17" spans="2:6">
      <c r="B17" s="59"/>
      <c r="C17" s="60"/>
      <c r="D17" s="65"/>
      <c r="E17" s="22" t="str">
        <f>アンケート!C52</f>
        <v>30代女性</v>
      </c>
      <c r="F17" s="22" t="str">
        <f t="shared" ref="F17" si="0">IF(ISERROR(FIND("女",E17)),"m","w")&amp;"_"&amp;LEFT(E17,2)&amp;"_"&amp;"1"</f>
        <v>w_30_1</v>
      </c>
    </row>
    <row r="18" spans="2:6">
      <c r="D18" s="31"/>
    </row>
    <row r="19" spans="2:6">
      <c r="D19" s="31"/>
    </row>
    <row r="20" spans="2:6">
      <c r="B20" s="66" t="s">
        <v>112</v>
      </c>
      <c r="C20" s="66"/>
      <c r="D20" s="66"/>
      <c r="E20" s="66"/>
      <c r="F20" s="66"/>
    </row>
    <row r="21" spans="2:6">
      <c r="B21" s="35" t="s">
        <v>119</v>
      </c>
      <c r="C21" s="35" t="s">
        <v>116</v>
      </c>
      <c r="D21" s="66" t="s">
        <v>117</v>
      </c>
      <c r="E21" s="66"/>
      <c r="F21" s="35" t="s">
        <v>118</v>
      </c>
    </row>
    <row r="22" spans="2:6">
      <c r="B22" s="66" t="s">
        <v>113</v>
      </c>
      <c r="C22" s="22" t="s">
        <v>183</v>
      </c>
      <c r="D22" s="67" t="str">
        <f t="shared" ref="D22:D27" si="1">IF(C22="","",SUBSTITUTE(MID(C22,FIND("href=",C22)+6,FIND("rel=",C22)-FIND("href=",C22)-8),"amp;",""))</f>
        <v>//af.moshimo.com/af/c/click?a_id=988731&amp;p_id=170&amp;pc_id=185&amp;pl_id=4062&amp;url=https%3A%2F%2Fwww.amazon.co.jp%2F%25E3%2583%2593%25E3%2582%25AA%25E3%2583%25AC-%25E3%2581%258A%25E3%2581%2586%25E3%2581%25A1de%25E3%2582%25A8%25E3%2582%25B9%25E3%2583%2586-%25E6%25B4%2597%25E9%25A1%2594%25E3%2582%25B8%25E3%2582%25A7%25E3%2583%25AB-%25E3%2581%25AA%25E3%2582%2581%25E3%2582%2589%25E3%2581%258B%2Fdp%2FB0759HMBJK</v>
      </c>
      <c r="E22" s="67"/>
      <c r="F22" s="22" t="str">
        <f>IF(ISERROR(FIND("amazon",C22)),IF(ISERROR(FIND("rakuten",C22)),"","楽天"),"Amazon")</f>
        <v>Amazon</v>
      </c>
    </row>
    <row r="23" spans="2:6">
      <c r="B23" s="66"/>
      <c r="C23" s="22" t="s">
        <v>184</v>
      </c>
      <c r="D23" s="67" t="str">
        <f t="shared" si="1"/>
        <v>//af.moshimo.com/af/c/click?a_id=988729&amp;p_id=54&amp;pc_id=54&amp;pl_id=616&amp;url=https%3A%2F%2Fitem.rakuten.co.jp%2Frakuten24%2Fe522702h%2F&amp;m=http%3A%2F%2Fm.rakuten.co.jp%2Frakuten24%2Fi%2F10623228%2F&amp;r_v=g00r1363.9tq3e1d4.g00r1363.9tq3fe1c</v>
      </c>
      <c r="E23" s="67"/>
      <c r="F23" s="22" t="str">
        <f t="shared" ref="F23:F27" si="2">IF(ISERROR(FIND("amazon",C23)),IF(ISERROR(FIND("rakuten",C23)),"","楽天"),"Amazon")</f>
        <v>楽天</v>
      </c>
    </row>
    <row r="24" spans="2:6">
      <c r="B24" s="66" t="s">
        <v>114</v>
      </c>
      <c r="C24" s="22" t="s">
        <v>185</v>
      </c>
      <c r="D24" s="67" t="str">
        <f t="shared" si="1"/>
        <v>//af.moshimo.com/af/c/click?a_id=988731&amp;p_id=170&amp;pc_id=185&amp;pl_id=4062&amp;url=https%3A%2F%2Fwww.amazon.co.jp%2F%25E3%2582%25A2%25E3%2583%25AB%25E3%2582%25B8%25E3%2582%25BF%25E3%2583%25AB-ARGITAL-%25E3%2582%25B0%25E3%2583%25AA%25E3%2583%25BC%25E3%2583%25B3%25E3%2582%25AF%25E3%2583%25AC%25E3%2582%25A4%25E3%2583%259A%25E3%2583%25BC%25E3%2582%25B9%25E3%2583%2588-50mL%2Fdp%2FB00BERT1NK</v>
      </c>
      <c r="E24" s="67"/>
      <c r="F24" s="22" t="str">
        <f t="shared" si="2"/>
        <v>Amazon</v>
      </c>
    </row>
    <row r="25" spans="2:6">
      <c r="B25" s="66"/>
      <c r="C25" s="22" t="s">
        <v>186</v>
      </c>
      <c r="D25" s="67" t="str">
        <f t="shared" si="1"/>
        <v>//af.moshimo.com/af/c/click?a_id=988729&amp;p_id=54&amp;pc_id=54&amp;pl_id=616&amp;url=https%3A%2F%2Fitem.rakuten.co.jp%2Faimere%2Fa0180001%2F&amp;m=http%3A%2F%2Fm.rakuten.co.jp%2Faimere%2Fi%2F10002970%2F&amp;r_v=g00q5in3.9tq3e50c.g00q5in3.9tq3f2f8</v>
      </c>
      <c r="E25" s="67"/>
      <c r="F25" s="22" t="str">
        <f t="shared" si="2"/>
        <v>楽天</v>
      </c>
    </row>
    <row r="26" spans="2:6">
      <c r="B26" s="66" t="s">
        <v>115</v>
      </c>
      <c r="C26" s="22" t="s">
        <v>187</v>
      </c>
      <c r="D26" s="67" t="str">
        <f t="shared" si="1"/>
        <v>//af.moshimo.com/af/c/click?a_id=988731&amp;p_id=170&amp;pc_id=185&amp;pl_id=4062&amp;url=https%3A%2F%2Fwww.amazon.co.jp%2F%25E3%2583%2593%25E3%2582%25AA%25E3%2583%25AC-%25E3%2583%2593%25E3%2582%25AA%25E3%2583%25AC%25E6%25AF%259B%25E7%25A9%25B4%25E3%2581%2599%25E3%2581%25A3%25E3%2581%258D%25E3%2582%258A%25E3%2583%2591%25E3%2583%2583%25E3%2582%25AF-%25E9%25BC%25BB%25E7%2594%25A8-%25E7%2599%25BD%25E8%2589%25B2%25E3%2582%25BF%25E3%2582%25A4%25E3%2583%2597-10%25E6%259E%259A%2Fdp%2FB00YQU7CVU</v>
      </c>
      <c r="E26" s="67"/>
      <c r="F26" s="22" t="str">
        <f t="shared" si="2"/>
        <v>Amazon</v>
      </c>
    </row>
    <row r="27" spans="2:6">
      <c r="B27" s="66"/>
      <c r="C27" s="22" t="s">
        <v>188</v>
      </c>
      <c r="D27" s="67" t="str">
        <f t="shared" si="1"/>
        <v>//af.moshimo.com/af/c/click?a_id=988729&amp;p_id=54&amp;pc_id=54&amp;pl_id=616&amp;url=https%3A%2F%2Fitem.rakuten.co.jp%2Fsoukai%2F4901301200211%2F&amp;m=http%3A%2F%2Fm.rakuten.co.jp%2Fsoukai%2Fi%2F10054786%2F&amp;r_v=g00psrh3.9tq3ed4a.g00psrh3.9tq3f383</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&lt;h2&gt;毛穴ケアにはこれがおすすめ商品！人気ランキングTOP3選&lt;/h2&gt;</v>
      </c>
    </row>
    <row r="2" spans="1:1">
      <c r="A2" s="20" t="s">
        <v>86</v>
      </c>
    </row>
    <row r="3" spans="1:1">
      <c r="A3" s="21" t="s">
        <v>87</v>
      </c>
    </row>
    <row r="4" spans="1:1">
      <c r="A4" s="20" t="str">
        <f>CONCATENATE("&lt;li&gt;", アンケート!C54, "&lt;/li&gt;")</f>
        <v>&lt;li&gt;毛穴の黒ずみ・角栓をすぐに取りたい方&lt;/li&gt;</v>
      </c>
    </row>
    <row r="5" spans="1:1">
      <c r="A5" s="20" t="str">
        <f>CONCATENATE("&lt;li&gt;", アンケート!C55, "&lt;/li&gt;")</f>
        <v>&lt;li&gt;コスパの良い毛穴ケアできるアイテムを探している方&lt;/li&gt;</v>
      </c>
    </row>
    <row r="6" spans="1:1">
      <c r="A6" s="20" t="str">
        <f>CONCATENATE("&lt;li&gt;", アンケート!C56, "&lt;/li&gt;")</f>
        <v>&lt;li&gt;クレイパックを手軽に使用してみたい方&lt;/li&gt;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今回紹介する『毛穴ケアアイテム』は「価格と品質」どちらを重要視したのかをあらわした図です。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&lt;h2&gt;『毛穴ケアアイテム』 ランキング&lt;/h2&gt;</v>
      </c>
    </row>
    <row r="20" spans="1:2">
      <c r="A20" t="s">
        <v>91</v>
      </c>
    </row>
    <row r="22" spans="1:2">
      <c r="A22" t="str">
        <f>CONCATENATE("&lt;h3&gt;3位 ",アンケート!C41,"&lt;/h3&gt;")</f>
        <v>&lt;h3&gt;3位 ビオレ　毛穴すっきりパック&lt;/h3&gt;</v>
      </c>
    </row>
    <row r="23" spans="1:2">
      <c r="A23" t="s">
        <v>92</v>
      </c>
    </row>
    <row r="24" spans="1:2">
      <c r="A24" t="s">
        <v>69</v>
      </c>
    </row>
    <row r="25" spans="1:2">
      <c r="A25" t="str">
        <f>アンケート!C48</f>
        <v>毛穴汚れをすぐに解消したい方</v>
      </c>
    </row>
    <row r="26" spans="1:2">
      <c r="A26" t="s">
        <v>70</v>
      </c>
    </row>
    <row r="27" spans="1:2">
      <c r="A27" s="6" t="str">
        <f>CONCATENATE("[tblStart num=5]", 入力シート!C7, "[/tblStart]")</f>
        <v>[tblStart num=5]https://images-fe.ssl-images-amazon.com/images/I/41I4YZ2M6LL.jpg[/tblStart]</v>
      </c>
    </row>
    <row r="28" spans="1:2">
      <c r="A28" t="str">
        <f>CONCATENATE("[tdLevel type=", B28, "]", 比較表!A4, "[/tdLevel]")</f>
        <v>[tdLevel type=4]毛穴の黒ずみが取れる[/tdLevel]</v>
      </c>
      <c r="B28">
        <f>HLOOKUP(アンケート!$C$41,比較表!$B$3:$D$8,2)</f>
        <v>4</v>
      </c>
    </row>
    <row r="29" spans="1:2">
      <c r="A29" t="str">
        <f>CONCATENATE("[tdLevel type=", B29, "]", 比較表!A5, "[/tdLevel]")</f>
        <v>[tdLevel type=3]肌に負担がない[/tdLevel]</v>
      </c>
      <c r="B29">
        <f>HLOOKUP(アンケート!$C$41,比較表!$B$3:$D$8,3)</f>
        <v>3</v>
      </c>
    </row>
    <row r="30" spans="1:2">
      <c r="A30" t="str">
        <f>CONCATENATE("[tdLevel type=", B30, "]", 比較表!A6, "[/tdLevel]")</f>
        <v>[tdLevel type=3]使用後の乾燥[/tdLevel]</v>
      </c>
      <c r="B30">
        <f>HLOOKUP(アンケート!$C$41,比較表!$B$3:$D$8,4)</f>
        <v>3</v>
      </c>
    </row>
    <row r="31" spans="1:2">
      <c r="A31" t="str">
        <f>CONCATENATE("[tdLevel type=", B31, "]", 比較表!A7, "[/tdLevel]")</f>
        <v>[tdLevel type=4]コスパ[/tdLevel]</v>
      </c>
      <c r="B31">
        <f>HLOOKUP(アンケート!$C$41,比較表!$B$3:$D$8,5)</f>
        <v>4</v>
      </c>
    </row>
    <row r="32" spans="1:2">
      <c r="A32" t="str">
        <f>CONCATENATE("[tdLevel type=", B32, "]", 比較表!A8, "[/tdLevel]")</f>
        <v>[tdLevel type=4]使用感[/tdLevel]</v>
      </c>
      <c r="B32">
        <f>HLOOKUP(アンケート!$C$41,比較表!$B$3:$D$8,6)</f>
        <v>4</v>
      </c>
    </row>
    <row r="33" spans="1:1">
      <c r="A33" t="s">
        <v>72</v>
      </c>
    </row>
    <row r="35" spans="1:1">
      <c r="A35" s="6" t="str">
        <f>CONCATENATE("[product_link id=",入力シート!D16,"][/product_link]")</f>
        <v>[product_link id=105][/product_link]</v>
      </c>
    </row>
    <row r="36" spans="1:1">
      <c r="A36" t="s">
        <v>93</v>
      </c>
    </row>
    <row r="37" spans="1:1">
      <c r="A37" t="s">
        <v>94</v>
      </c>
    </row>
    <row r="38" spans="1:1">
      <c r="A38" t="s">
        <v>95</v>
      </c>
    </row>
    <row r="39" spans="1:1">
      <c r="A39" t="s">
        <v>87</v>
      </c>
    </row>
    <row r="40" spans="1:1">
      <c r="A40" t="str">
        <f>CONCATENATE("&lt;li&gt;", アンケート!C42,"&lt;/li&gt;")</f>
        <v>&lt;li&gt;気持ちいいほど・毛穴の黒ずみ・角栓が取れる&lt;/li&gt;</v>
      </c>
    </row>
    <row r="41" spans="1:1">
      <c r="A41" t="str">
        <f>CONCATENATE("&lt;li&gt;", アンケート!C43,"&lt;/li&gt;")</f>
        <v>&lt;li&gt;ドラッグストア・コンビニにも売っているので手に入れやすい&lt;/li&gt;</v>
      </c>
    </row>
    <row r="42" spans="1:1">
      <c r="A42" t="str">
        <f>CONCATENATE("&lt;li&gt;", アンケート!C44,"&lt;/li&gt;")</f>
        <v>&lt;li&gt;即効性がある&lt;/li&gt;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&lt;li&gt;肌を痛めてしまう&lt;/li&gt;</v>
      </c>
    </row>
    <row r="51" spans="1:1">
      <c r="A51" t="str">
        <f>CONCATENATE("&lt;li&gt;", アンケート!C46,"&lt;/li&gt;")</f>
        <v>&lt;li&gt;使用後はすぐに肌を冷やし引き締めないと毛穴が逆に開いてしまう&lt;/li&gt;</v>
      </c>
    </row>
    <row r="52" spans="1:1">
      <c r="A52" t="str">
        <f>CONCATENATE("&lt;li&gt;", アンケート!C47,"&lt;/li&gt;")</f>
        <v>&lt;li&gt;シートを剥がす時に皮も剥がれてしまう場合がある&lt;/li&gt;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毛穴の黒ずみが酷くすっぴんは酷い状態でした。
しかし毛穴パックを使用すると、気持ちいいくらい毛穴の黒ずみ・角栓が取れます。
クレイパックなど塗って洗い流すタイプだと毛穴の汚れがどれくらいとれたのかわかりづらいですが、毛穴パックは剥がすとシートに角栓がたくさんついているので、どれくらいとれたのかわかりやすいで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頻繁に使用するのは肌を痛めてしまいよくないと思うので、毛穴汚れが気になっていた時にだけ使用しています。
オロナインを塗ってしばらく置いてから洗い流し毛穴パックをすると、普通に使用するよりもごっそり角栓が取れるのでやみつきになります。
もう10年以上定期的に使用していますが、これからもリピートしたいと思います。</v>
      </c>
    </row>
    <row r="62" spans="1:1">
      <c r="A62" t="s">
        <v>104</v>
      </c>
    </row>
    <row r="63" spans="1:1">
      <c r="A63" t="s">
        <v>99</v>
      </c>
    </row>
    <row r="64" spans="1:1">
      <c r="A64" t="str">
        <f>CONCATENATE("[reviewLink id=","""", 入力シート!D16,"""][/reviewLink]")</f>
        <v>[reviewLink id="105"][/reviewLink]</v>
      </c>
    </row>
    <row r="66" spans="1:2">
      <c r="A66" t="str">
        <f>CONCATENATE("&lt;h3&gt;2位 ",アンケート!C28,"&lt;/h3&gt;")</f>
        <v>&lt;h3&gt;2位 アルジタル　グリーンクレイペースト&lt;/h3&gt;</v>
      </c>
    </row>
    <row r="67" spans="1:2">
      <c r="A67" t="s">
        <v>92</v>
      </c>
    </row>
    <row r="68" spans="1:2">
      <c r="A68" t="s">
        <v>69</v>
      </c>
    </row>
    <row r="69" spans="1:2">
      <c r="A69" t="str">
        <f>アンケート!C35</f>
        <v>効果のあるクレイパックを探している方</v>
      </c>
    </row>
    <row r="70" spans="1:2">
      <c r="A70" t="s">
        <v>70</v>
      </c>
    </row>
    <row r="71" spans="1:2">
      <c r="A71" s="6" t="str">
        <f>CONCATENATE("[tblStart num=5]", 入力シート!$C$6, "[/tblStart]")</f>
        <v>[tblStart num=5]https://images-fe.ssl-images-amazon.com/images/I/31jA7bkaj6L.jpg[/tblStart]</v>
      </c>
    </row>
    <row r="72" spans="1:2">
      <c r="A72" t="str">
        <f>CONCATENATE("[tdLevel type=", B72, "]", 比較表!A4, "[/tdLevel]")</f>
        <v>[tdLevel type=4]毛穴の黒ずみが取れる[/tdLevel]</v>
      </c>
      <c r="B72">
        <f>HLOOKUP(アンケート!$C$28,比較表!$B$3:$D$8,2,TRUE)</f>
        <v>4</v>
      </c>
    </row>
    <row r="73" spans="1:2">
      <c r="A73" t="str">
        <f>CONCATENATE("[tdLevel type=", B73, "]", 比較表!A5, "[/tdLevel]")</f>
        <v>[tdLevel type=3]肌に負担がない[/tdLevel]</v>
      </c>
      <c r="B73">
        <f>HLOOKUP(アンケート!$C$28,比較表!$B$3:$D$8,3,FALSE)</f>
        <v>3</v>
      </c>
    </row>
    <row r="74" spans="1:2">
      <c r="A74" t="str">
        <f>CONCATENATE("[tdLevel type=", B74, "]", 比較表!A6, "[/tdLevel]")</f>
        <v>[tdLevel type=3]使用後の乾燥[/tdLevel]</v>
      </c>
      <c r="B74">
        <f>HLOOKUP(アンケート!$C$28,比較表!$B$3:$D$8,4,FALSE)</f>
        <v>3</v>
      </c>
    </row>
    <row r="75" spans="1:2">
      <c r="A75" t="str">
        <f>CONCATENATE("[tdLevel type=", B75, "]", 比較表!A7, "[/tdLevel]")</f>
        <v>[tdLevel type=3]コスパ[/tdLevel]</v>
      </c>
      <c r="B75">
        <f>HLOOKUP(アンケート!$C$28,比較表!$B$3:$D$8,5,FALSE)</f>
        <v>3</v>
      </c>
    </row>
    <row r="76" spans="1:2">
      <c r="A76" t="str">
        <f>CONCATENATE("[tdLevel type=", B76, "]", 比較表!A8, "[/tdLevel]")</f>
        <v>[tdLevel type=3]使用感[/tdLevel]</v>
      </c>
      <c r="B76">
        <f>HLOOKUP(アンケート!$C$28,比較表!$B$3:$D$8,6,FALSE)</f>
        <v>3</v>
      </c>
    </row>
    <row r="77" spans="1:2">
      <c r="A77" t="s">
        <v>72</v>
      </c>
    </row>
    <row r="79" spans="1:2">
      <c r="A79" s="6" t="str">
        <f>CONCATENATE("[product_link id=",入力シート!D14,"][/product_link]")</f>
        <v>[product_link id=104][/product_link]</v>
      </c>
    </row>
    <row r="80" spans="1:2">
      <c r="A80" t="s">
        <v>93</v>
      </c>
    </row>
    <row r="81" spans="1:1">
      <c r="A81" t="s">
        <v>94</v>
      </c>
    </row>
    <row r="82" spans="1:1">
      <c r="A82" t="s">
        <v>95</v>
      </c>
    </row>
    <row r="83" spans="1:1">
      <c r="A83" t="s">
        <v>87</v>
      </c>
    </row>
    <row r="84" spans="1:1">
      <c r="A84" t="str">
        <f>CONCATENATE("&lt;li&gt;", アンケート!C29,"&lt;/li&gt;")</f>
        <v>&lt;li&gt;毛穴の黒ずみが解消できる&lt;/li&gt;</v>
      </c>
    </row>
    <row r="85" spans="1:1">
      <c r="A85" t="str">
        <f>CONCATENATE("&lt;li&gt;", アンケート!C30,"&lt;/li&gt;")</f>
        <v>&lt;li&gt;肌がワントーン明るくなる&lt;/li&gt;</v>
      </c>
    </row>
    <row r="86" spans="1:1">
      <c r="A86" t="str">
        <f>CONCATENATE("&lt;li&gt;", アンケート!C31,"&lt;/li&gt;")</f>
        <v>&lt;li&gt;小さいサイズもあるので、初めての方も手軽に試せる・旅行など持ち運びにも便利&lt;/li&gt;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&lt;li&gt;スクラブがざらざらしているので、肌の弱い方は刺激があるかもしれない&lt;/li&gt;</v>
      </c>
    </row>
    <row r="95" spans="1:1">
      <c r="A95" t="str">
        <f>CONCATENATE("&lt;li&gt;", アンケート!C33,"&lt;/li&gt;")</f>
        <v>&lt;li&gt;取り扱い店舗が限られている&lt;/li&gt;</v>
      </c>
    </row>
    <row r="96" spans="1:1">
      <c r="A96" t="str">
        <f>CONCATENATE("&lt;li&gt;", アンケート!C34,"&lt;/li&gt;")</f>
        <v>&lt;li&gt;全顔にしようすると減りが早い&lt;/li&gt;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icon="http://shomty.com/wp-content/uploads/img/parts/review/w_３0_2.jpg" name="３0代女性" type="l"]</v>
      </c>
    </row>
    <row r="102" spans="1:1">
      <c r="A102" t="str">
        <f>アンケート!C36</f>
        <v xml:space="preserve">クレイパックが毛穴ケアに効果があるとSNSで知ってから、どの商品がいいのか調べてみたところ、こちらが評判が良かったので購入しました。
週に１～２回使用していますが、気に入っていた顎や鼻のざらざらが全く気にならなくなりました。
毛穴の黒ずみにもとっても効果があります。
現在グリーンクレイペーストを使用し始めて2年が経ちましたが、これからも使用しようと思います。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クレイパックに興味はあったものの、初めてだったのでお値段的にもお手頃なこちらの一番小さいサイズを購入してみました。
こちらで毛穴の黒ずみが気になる鼻や顎をマッサージした後、3分ほど顔全体に塗ってパックしています。
そのあといつものフェイスパックをして眠ると、翌日の肌の調子がとてもよく感動しました。
次は大きいサイズを購入しようと思います。
</v>
      </c>
    </row>
    <row r="106" spans="1:1">
      <c r="A106" t="s">
        <v>104</v>
      </c>
    </row>
    <row r="107" spans="1:1">
      <c r="A107" t="s">
        <v>99</v>
      </c>
    </row>
    <row r="108" spans="1:1">
      <c r="A108" t="str">
        <f>CONCATENATE("[reviewLink id=","""", 入力シート!D14,"""][/reviewLink]")</f>
        <v>[reviewLink id="104"][/reviewLink]</v>
      </c>
    </row>
    <row r="110" spans="1:1">
      <c r="A110" t="str">
        <f>CONCATENATE("&lt;h3&gt;1位 ",アンケート!C13,"&lt;/h3&gt;")</f>
        <v>&lt;h3&gt;1位 ビオレ　おうちdeエステ　肌をなめらかにするマッサージ洗顔ジェル&lt;/h3&gt;</v>
      </c>
    </row>
    <row r="111" spans="1:1">
      <c r="A111" t="s">
        <v>92</v>
      </c>
    </row>
    <row r="112" spans="1:1">
      <c r="A112" t="s">
        <v>69</v>
      </c>
    </row>
    <row r="113" spans="1:2">
      <c r="A113" t="str">
        <f>アンケート!C22</f>
        <v>コスパの良い毛穴・角栓ケアできるアイテムをお探しの方</v>
      </c>
    </row>
    <row r="114" spans="1:2">
      <c r="A114" t="s">
        <v>70</v>
      </c>
    </row>
    <row r="115" spans="1:2" ht="27">
      <c r="A115" s="6" t="str">
        <f>CONCATENATE("[tblStart num=5]", 入力シート!C5, "[/tblStart]")</f>
        <v>[tblStart num=5]https://images-fe.ssl-images-amazon.com/images/I/31D1SmMYTQL.jpg[/tblStart]</v>
      </c>
    </row>
    <row r="116" spans="1:2">
      <c r="A116" t="str">
        <f>CONCATENATE("[tdLevel type=", B116, "]", 比較表!A4, "[/tdLevel]")</f>
        <v>[tdLevel type=4]毛穴の黒ずみが取れる[/tdLevel]</v>
      </c>
      <c r="B116">
        <f>HLOOKUP(アンケート!$C$13,比較表!$B$3:$D$8,2,FALSE)</f>
        <v>4</v>
      </c>
    </row>
    <row r="117" spans="1:2">
      <c r="A117" t="str">
        <f>CONCATENATE("[tdLevel type=", B117, "]", 比較表!A5, "[/tdLevel]")</f>
        <v>[tdLevel type=3]肌に負担がない[/tdLevel]</v>
      </c>
      <c r="B117">
        <f>HLOOKUP(アンケート!$C$13,比較表!$B$3:$D$8,3,FALSE)</f>
        <v>3</v>
      </c>
    </row>
    <row r="118" spans="1:2">
      <c r="A118" t="str">
        <f>CONCATENATE("[tdLevel type=", B118, "]", 比較表!A6, "[/tdLevel]")</f>
        <v>[tdLevel type=3]使用後の乾燥[/tdLevel]</v>
      </c>
      <c r="B118">
        <f>HLOOKUP(アンケート!$C$13,比較表!$B$3:$D$8,4,FALSE)</f>
        <v>3</v>
      </c>
    </row>
    <row r="119" spans="1:2">
      <c r="A119" t="str">
        <f>CONCATENATE("[tdLevel type=", B119, "]", 比較表!A7, "[/tdLevel]")</f>
        <v>[tdLevel type=4]コスパ[/tdLevel]</v>
      </c>
      <c r="B119">
        <f>HLOOKUP(アンケート!$C$13,比較表!$B$3:$D$8,5,FALSE)</f>
        <v>4</v>
      </c>
    </row>
    <row r="120" spans="1:2">
      <c r="A120" t="str">
        <f>CONCATENATE("[tdLevel type=", B120, "]", 比較表!A8, "[/tdLevel]")</f>
        <v>[tdLevel type=4]使用感[/tdLevel]</v>
      </c>
      <c r="B120">
        <f>HLOOKUP(アンケート!$C$13,比較表!$B$3:$D$8,6,FALSE)</f>
        <v>4</v>
      </c>
    </row>
    <row r="121" spans="1:2">
      <c r="A121" t="s">
        <v>72</v>
      </c>
    </row>
    <row r="123" spans="1:2">
      <c r="A123" s="6" t="str">
        <f>CONCATENATE("[product_link id=",入力シート!D12,"][/product_link]")</f>
        <v>[product_link id=103][/product_link]</v>
      </c>
    </row>
    <row r="124" spans="1:2">
      <c r="A124" t="s">
        <v>93</v>
      </c>
    </row>
    <row r="125" spans="1:2">
      <c r="A125" t="s">
        <v>94</v>
      </c>
    </row>
    <row r="126" spans="1:2">
      <c r="A126" t="s">
        <v>95</v>
      </c>
    </row>
    <row r="127" spans="1:2">
      <c r="A127" t="s">
        <v>87</v>
      </c>
    </row>
    <row r="128" spans="1:2">
      <c r="A128" t="str">
        <f>CONCATENATE("&lt;li&gt;", アンケート!C14,"&lt;/li&gt;")</f>
        <v>&lt;li&gt;毛穴の黒ずみが取れる&lt;/li&gt;</v>
      </c>
    </row>
    <row r="129" spans="1:1">
      <c r="A129" t="str">
        <f>CONCATENATE("&lt;li&gt;", アンケート!C15,"&lt;/li&gt;")</f>
        <v>&lt;li&gt;コスパがいい&lt;/li&gt;</v>
      </c>
    </row>
    <row r="130" spans="1:1">
      <c r="A130" t="str">
        <f>CONCATENATE("&lt;li&gt;", アンケート!C16,"&lt;/li&gt;")</f>
        <v>&lt;li&gt;黒ずみだけでなく角栓も取れる&lt;/li&gt;</v>
      </c>
    </row>
    <row r="131" spans="1:1">
      <c r="A131" t="str">
        <f>CONCATENATE("&lt;li&gt;", アンケート!C17,"&lt;/li&gt;")</f>
        <v>&lt;li&gt;ジェルなのでマッサージしやすい&lt;/li&gt;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&lt;li&gt;人によっては刺激がありひりひりする場合がある&lt;/li&gt;</v>
      </c>
    </row>
    <row r="140" spans="1:1">
      <c r="A140" t="str">
        <f>CONCATENATE("&lt;li&gt;", アンケート!C19,"&lt;/li&gt;")</f>
        <v>&lt;li&gt;洗顔だが泡立たないので洗えているか不安になる&lt;/li&gt;</v>
      </c>
    </row>
    <row r="141" spans="1:1">
      <c r="A141" t="str">
        <f>CONCATENATE("&lt;li&gt;", アンケート!C20,"&lt;/li&gt;")</f>
        <v>&lt;li&gt;洗い終えた後のぬめりが簡単には取れない&lt;/li&gt;</v>
      </c>
    </row>
    <row r="142" spans="1:1">
      <c r="A142" t="str">
        <f>CONCATENATE("&lt;li&gt;", アンケート!C21,"&lt;/li&gt;")</f>
        <v>&lt;li&gt;黒ずみ・角栓の取れ具合は、毛穴パックには劣る&lt;/li&gt;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姉がこちらを使用していて、すごく良いと言っていたので試しに使用してみました。
正直あまり期待していなかったのですが、今までゴワゴワざらついていて悩んでいた肌が、気持ちいいほどつるつるになり感動しました。
毛穴の汚れも取れているのを実感できて嬉しいです。
現在リピート3本目ですが、これからもリピートしたいと思います。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プチプラな毛穴ケア商品の中で、一番効果がありました。
こちらの商品を使用すると肌がつるつるすべすべになるので、朝使用するとメイクのノリも良くなります。
鼻をくるくるとマッサージすると、毛穴の黒ずみが解消されるので、とても気に入っています。
洗顔と毛穴ケア両方が１つでできるし、価格も安いのでコスパもいいです。
</v>
      </c>
    </row>
    <row r="152" spans="1:1">
      <c r="A152" t="s">
        <v>104</v>
      </c>
    </row>
    <row r="153" spans="1:1">
      <c r="A153" t="s">
        <v>99</v>
      </c>
    </row>
    <row r="154" spans="1:1">
      <c r="A154" t="str">
        <f>CONCATENATE("[reviewLink id=","""", 入力シート!D12,"""][/reviewLink]")</f>
        <v>[reviewLink id="103"][/reviewLink]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(103,'//af.moshimo.com/af/c/click?a_id=988731&amp;p_id=170&amp;pc_id=185&amp;pl_id=4062&amp;url=https%3A%2F%2Fwww.amazon.co.jp%2F%25E3%2583%2593%25E3%2582%25AA%25E3%2583%25AC-%25E3%2581%258A%25E3%2581%2586%25E3%2581%25A1de%25E3%2582%25A8%25E3%2582%25B9%25E3%2583%2586-%25E6%25B4%2597%25E9%25A1%2594%25E3%2582%25B8%25E3%2582%25A7%25E3%2583%25AB-%25E3%2581%25AA%25E3%2582%2581%25E3%2582%2589%25E3%2581%258B%2Fdp%2FB0759HMBJK', '//af.moshimo.com/af/c/click?a_id=988729&amp;p_id=54&amp;pc_id=54&amp;pl_id=616&amp;url=https%3A%2F%2Fitem.rakuten.co.jp%2Frakuten24%2Fe522702h%2F&amp;m=http%3A%2F%2Fm.rakuten.co.jp%2Frakuten24%2Fi%2F10623228%2F&amp;r_v=g00r1363.9tq3e1d4.g00r1363.9tq3fe1c', 'http://www.cosme.net/product/product_id/10137486/reviews', 'https://images-fe.ssl-images-amazon.com/images/I/31D1SmMYTQL.jpg', 'ビオレ　おうちdeエステ　肌をなめらかにするマッサージ洗顔ジェル'),</v>
      </c>
    </row>
    <row r="3" spans="1:1">
      <c r="A3" t="str">
        <f>"("&amp;入力シート!D14&amp;","&amp;"'"&amp;入力シート!D24&amp;"', '"&amp;入力シート!D25&amp;"', '"&amp;入力シート!C14&amp;"', '"&amp;入力シート!C6&amp;"', '"&amp;入力シート!D6&amp;"'),"</f>
        <v>(104,'//af.moshimo.com/af/c/click?a_id=988731&amp;p_id=170&amp;pc_id=185&amp;pl_id=4062&amp;url=https%3A%2F%2Fwww.amazon.co.jp%2F%25E3%2582%25A2%25E3%2583%25AB%25E3%2582%25B8%25E3%2582%25BF%25E3%2583%25AB-ARGITAL-%25E3%2582%25B0%25E3%2583%25AA%25E3%2583%25BC%25E3%2583%25B3%25E3%2582%25AF%25E3%2583%25AC%25E3%2582%25A4%25E3%2583%259A%25E3%2583%25BC%25E3%2582%25B9%25E3%2583%2588-50mL%2Fdp%2FB00BERT1NK', '//af.moshimo.com/af/c/click?a_id=988729&amp;p_id=54&amp;pc_id=54&amp;pl_id=616&amp;url=https%3A%2F%2Fitem.rakuten.co.jp%2Faimere%2Fa0180001%2F&amp;m=http%3A%2F%2Fm.rakuten.co.jp%2Faimere%2Fi%2F10002970%2F&amp;r_v=g00q5in3.9tq3e50c.g00q5in3.9tq3f2f8', 'http://www.cosme.net/product/product_id/2932699/reviews', 'https://images-fe.ssl-images-amazon.com/images/I/31jA7bkaj6L.jpg', 'アルジタル　グリーンクレイペースト'),</v>
      </c>
    </row>
    <row r="4" spans="1:1">
      <c r="A4" t="str">
        <f>"("&amp;入力シート!D16&amp;","&amp;"'"&amp;入力シート!D26&amp;"', '"&amp;入力シート!D27&amp;"', '"&amp;入力シート!C16&amp;"', '"&amp;入力シート!C7&amp;"', '"&amp;入力シート!D7&amp;"');"</f>
        <v>(105,'//af.moshimo.com/af/c/click?a_id=988731&amp;p_id=170&amp;pc_id=185&amp;pl_id=4062&amp;url=https%3A%2F%2Fwww.amazon.co.jp%2F%25E3%2583%2593%25E3%2582%25AA%25E3%2583%25AC-%25E3%2583%2593%25E3%2582%25AA%25E3%2583%25AC%25E6%25AF%259B%25E7%25A9%25B4%25E3%2581%2599%25E3%2581%25A3%25E3%2581%258D%25E3%2582%258A%25E3%2583%2591%25E3%2583%2583%25E3%2582%25AF-%25E9%25BC%25BB%25E7%2594%25A8-%25E7%2599%25BD%25E8%2589%25B2%25E3%2582%25BF%25E3%2582%25A4%25E3%2583%2597-10%25E6%259E%259A%2Fdp%2FB00YQU7CVU', '//af.moshimo.com/af/c/click?a_id=988729&amp;p_id=54&amp;pc_id=54&amp;pl_id=616&amp;url=https%3A%2F%2Fitem.rakuten.co.jp%2Fsoukai%2F4901301200211%2F&amp;m=http%3A%2F%2Fm.rakuten.co.jp%2Fsoukai%2Fi%2F10054786%2F&amp;r_v=g00psrh3.9tq3ed4a.g00psrh3.9tq3f383', 'http://www.cosme.net/product/product_id/3280/reviews', 'https://images-fe.ssl-images-amazon.com/images/I/41I4YZ2M6LL.jpg', 'ビオレ　毛穴すっきりパック');</v>
      </c>
    </row>
    <row r="9" spans="1:1">
      <c r="A9" s="36" t="s">
        <v>124</v>
      </c>
    </row>
    <row r="10" spans="1:1">
      <c r="A10" t="s">
        <v>123</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2018-06-02T02:54:28Z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