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<sst xmlns="http://schemas.openxmlformats.org/spreadsheetml/2006/main" count="268" uniqueCount="193">
  <si>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</si>
  <si>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</si>
  <si>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</si>
  <si>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</si>
  <si>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</si>
  <si>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</si>
  <si>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</si>
  <si>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</si>
  <si>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</si>
  <si>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</si>
  <si>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</si>
  <si>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</si>
  <si>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</si>
  <si>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</si>
  <si>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</si>
  <si>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</si>
  <si>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</si>
  <si>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</si>
  <si>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</si>
  <si>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</si>
  <si>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</si>
  <si>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</si>
  <si>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</si>
  <si>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</si>
  <si>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</si>
  <si>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</si>
  <si>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</si>
  <si>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</si>
  <si>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</si>
  <si>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</si>
  <si>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</si>
  <si>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</si>
  <si>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</si>
  <si>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</si>
  <si>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</si>
  <si>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</si>
  <si>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</si>
  <si>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</si>
  <si>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</si>
  <si>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</si>
  <si>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</si>
  <si>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</si>
  <si>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</si>
  <si>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</si>
  <si>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</si>
  <si>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</si>
  <si>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</si>
  <si>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</si>
  <si>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</si>
  <si>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</si>
  <si>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</si>
  <si>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</si>
  <si>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</si>
  <si>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</si>
  <si>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</si>
  <si>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</si>
  <si>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</si>
  <si>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</si>
  <si>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</si>
  <si>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</si>
  <si>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</si>
  <si>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</si>
  <si>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</si>
  <si>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</si>
  <si>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</si>
  <si>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</si>
  <si>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</si>
  <si>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</si>
  <si>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</si>
  <si>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</si>
  <si>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</si>
  <si>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</si>
  <si>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</si>
  <si>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</si>
  <si>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</si>
  <si>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</si>
  <si>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</si>
  <si>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</si>
  <si>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</si>
  <si>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</si>
  <si>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</si>
  <si>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</si>
  <si>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</si>
  <si>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</si>
  <si>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</si>
  <si>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</si>
  <si>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</si>
  <si>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</si>
  <si>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</si>
  <si>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</si>
  <si>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</si>
  <si>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</si>
  <si>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</si>
  <si>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</si>
  <si>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</si>
  <si>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</si>
  <si>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</si>
  <si>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</si>
  <si>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</si>
  <si>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</si>
  <si>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</si>
  <si>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</si>
  <si>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</si>
  <si>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</si>
  <si>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</si>
  <si>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</si>
  <si>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</si>
  <si>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</si>
  <si>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</si>
  <si>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</si>
  <si>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</si>
  <si>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</si>
  <si>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</si>
  <si>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</si>
  <si>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</si>
  <si>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</si>
  <si>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</si>
  <si>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</si>
  <si>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</si>
  <si>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</si>
  <si>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</si>
  <si>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</si>
  <si>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</si>
  <si>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</si>
  <si>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</si>
  <si>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</si>
  <si>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</si>
  <si>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</si>
  <si>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</si>
  <si>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</si>
  <si>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</si>
  <si>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</si>
  <si>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</si>
  <si>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色づきリップクリーム</t>
  </si>
  <si>
    <t>MAJOLICA　リップエッセンスバーム</t>
  </si>
  <si>
    <t>ニベア　ナチュラルカラーリップ</t>
  </si>
  <si>
    <t>メイベリン　リップクリーム</t>
  </si>
  <si>
    <t>発色がしっかりできるか</t>
  </si>
  <si>
    <t>手ごろな価格であるか</t>
  </si>
  <si>
    <t>保湿力があるのか</t>
  </si>
  <si>
    <t>安心して利用できるのか</t>
  </si>
  <si>
    <t>落ちやすくないのか</t>
  </si>
  <si>
    <t>しっかり発色</t>
  </si>
  <si>
    <t>色のバリエーションが多い</t>
  </si>
  <si>
    <t>よく知られているブランドだから安心できる</t>
  </si>
  <si>
    <t>しっかり保湿</t>
  </si>
  <si>
    <t>落ちやすい</t>
  </si>
  <si>
    <t>思っていた色と違うことがある</t>
  </si>
  <si>
    <t>逆に発色がよすぎて普段使いができないことも</t>
  </si>
  <si>
    <t>オールシーズンには向かない色合い</t>
  </si>
  <si>
    <t>色づきリップに発色を求める人</t>
  </si>
  <si>
    <r>
      <t xml:space="preserve">１位の商品のためになった（なる）口コミやレビューを２つ記入してください。
</t>
    </r>
    <r>
      <rPr>
        <sz val="9"/>
        <color rgb="FFFF0000"/>
        <rFont val="Arial"/>
        <family val="2"/>
      </rPr>
      <t>※短文すぎない（100文字程度）口コミをお願いします。</t>
    </r>
  </si>
  <si>
    <r>
      <t>口紅</t>
    </r>
    <r>
      <rPr>
        <sz val="9"/>
        <color rgb="FF000000"/>
        <rFont val="Arial"/>
        <family val="2"/>
      </rPr>
      <t>や</t>
    </r>
    <r>
      <rPr>
        <u/>
        <sz val="9"/>
        <color rgb="FF0066CC"/>
        <rFont val="Arial"/>
        <family val="2"/>
      </rPr>
      <t>グロス</t>
    </r>
    <r>
      <rPr>
        <sz val="9"/>
        <color rgb="FF000000"/>
        <rFont val="Arial"/>
        <family val="2"/>
      </rPr>
      <t>は、ほぼ炎症を起こしてしまうので、カラーリップは有難いです。スルっとした塗り心地で</t>
    </r>
    <r>
      <rPr>
        <u/>
        <sz val="9"/>
        <color rgb="FF0066CC"/>
        <rFont val="Arial"/>
        <family val="2"/>
      </rPr>
      <t>ツヤ</t>
    </r>
    <r>
      <rPr>
        <sz val="9"/>
        <color rgb="FF000000"/>
        <rFont val="Arial"/>
        <family val="2"/>
      </rPr>
      <t>が出て、保湿力もわりと持続性があると感じました。スモーキーピンクを使用していますが、抑えた色味の大人な雰囲気が気に入っています。季節を問わず使えそうな色ですね。ポーチ用と自宅用に常備しています。</t>
    </r>
  </si>
  <si>
    <t>色があまりつかないんじゃないかなとあまり期待しないで購入してみました。ですが使ってみたら綺麗な色がちゃんとついてくれました！保湿効果もバッチリでお気に入りの商品です！何本もリピしそうです♪</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</si>
  <si>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</si>
  <si>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http://www.cosme.net/product/product_id/10115724/review/506830603</t>
  </si>
  <si>
    <t>保湿力抜群</t>
  </si>
  <si>
    <t>かわいいパッケージ</t>
  </si>
  <si>
    <t>自然な色づき</t>
  </si>
  <si>
    <t>少し高い</t>
  </si>
  <si>
    <t>色づきが自然すぎて色のつき方がわからない</t>
  </si>
  <si>
    <t>すこしべたつく</t>
  </si>
  <si>
    <t>保湿力を重視したい人</t>
  </si>
  <si>
    <r>
      <t xml:space="preserve">２位の商品のためになった（なる）口コミやレビューを２つ記入してください。
</t>
    </r>
    <r>
      <rPr>
        <sz val="9"/>
        <color rgb="FFFF0000"/>
        <rFont val="Arial"/>
        <family val="2"/>
      </rPr>
      <t>※短文すぎない（100文字程度）口コミをお願いします。</t>
    </r>
  </si>
  <si>
    <t>下地として使っています！もともとの唇の色が濃いのが気になってたんですけどこれを塗るともとの色を抑えてくれるので口紅の色が綺麗にのります！塗ると溶ける感じです。パールも少し入っています。</t>
  </si>
  <si>
    <t>ベビーティントを使用しました。スルスルと塗れるのに長時間うるおいが続くように感じます。かと言って髪がへばりつくようなベタベタ感も0です。色はほぼ付かないので保湿用として使っています。パケも可愛くていいと思いました！リピします！</t>
  </si>
  <si>
    <t>http://www.cosme.net/product/product_id/10106916/review/506166871</t>
  </si>
  <si>
    <t>発色がいい</t>
  </si>
  <si>
    <t>爽やかな香り</t>
  </si>
  <si>
    <t>するする塗ることができる</t>
  </si>
  <si>
    <t>潤いが足りない</t>
  </si>
  <si>
    <t>透明感はない</t>
  </si>
  <si>
    <t>しっかりとした発色を求めている人</t>
  </si>
  <si>
    <r>
      <t xml:space="preserve">３位の商品のためになった（なる）口コミやレビューを２つ記入してください。
</t>
    </r>
    <r>
      <rPr>
        <sz val="9"/>
        <color rgb="FFFF0000"/>
        <rFont val="Arial"/>
        <family val="2"/>
      </rPr>
      <t>※短文すぎない（100文字程度）口コミをお願いします。</t>
    </r>
  </si>
  <si>
    <t>メイベリンのリップは、いつもどれも可愛くて、よく買っていたんですけど、これはとってもスリムなので、口角などにも塗りやすいところが好きです。</t>
  </si>
  <si>
    <t>色付きリップが欲しくて、メイベリンのリップクリームを購入しました！しっかり発色してくれるので、ナチュラルメイクの時はこれだけでもいいかなって思います(*^^*)また、ミントのいい香りして使いやすいので、リピする予定です</t>
  </si>
  <si>
    <t>今回取り上げたアイテムは、「何を求めてる人」にピッタリだと思いますか？
具体的に3つ記入してください。</t>
  </si>
  <si>
    <t>自分に合ったリップクリームを見つけられていない人</t>
  </si>
  <si>
    <t>目的に沿ってリップクリームを選びたい人</t>
  </si>
  <si>
    <t>保湿と発色を両立したい人</t>
  </si>
  <si>
    <r>
      <t>20</t>
    </r>
    <r>
      <rPr>
        <sz val="10"/>
        <color theme="1"/>
        <rFont val="ＭＳ Ｐゴシック"/>
        <family val="3"/>
        <charset val="128"/>
      </rPr>
      <t>代　女性</t>
    </r>
    <phoneticPr fontId="1"/>
  </si>
  <si>
    <r>
      <t>20</t>
    </r>
    <r>
      <rPr>
        <sz val="10"/>
        <color theme="1"/>
        <rFont val="ＭＳ Ｐゴシック"/>
        <family val="3"/>
        <charset val="128"/>
      </rPr>
      <t>代女性</t>
    </r>
    <phoneticPr fontId="1"/>
  </si>
  <si>
    <r>
      <t>30</t>
    </r>
    <r>
      <rPr>
        <sz val="9"/>
        <color rgb="FF000000"/>
        <rFont val="ＭＳ Ｐゴシック"/>
        <family val="3"/>
        <charset val="128"/>
      </rPr>
      <t>代　女性</t>
    </r>
    <phoneticPr fontId="1"/>
  </si>
  <si>
    <r>
      <t>20</t>
    </r>
    <r>
      <rPr>
        <sz val="9"/>
        <color rgb="FF000000"/>
        <rFont val="ＭＳ Ｐゴシック"/>
        <family val="3"/>
        <charset val="128"/>
      </rPr>
      <t>代　女性</t>
    </r>
    <phoneticPr fontId="1"/>
  </si>
  <si>
    <t>&lt;a target="_blank" href="//af.moshimo.com/af/c/click?a_id=988731&amp;amp;p_id=170&amp;amp;pc_id=185&amp;amp;pl_id=4062&amp;amp;url=https%3A%2F%2Fwww.amazon.co.jp%2F%25E3%2583%259E%25E3%2582%25B8%25E3%2583%25A7%25E3%2583%25AA%25E3%2582%25AB-%25E3%2583%259E%25E3%2582%25B8%25E3%2583%25A7%25E3%2583%25AB%25E3%2582%25AB-%25E3%2583%25AA%25E3%2583%2583%25E3%2583%2597%25E3%2582%25A8%25E3%2583%2583%25E3%2582%25BB%25E3%2583%25B3%25E3%2582%25B9%25E3%2583%2590%25E3%2583%25BC%25E3%2583%25A0-%25E3%2583%2599%25E3%2583%2593%25E3%2583%25BC%25E3%2583%2586%25E3%2582%25A3%25E3%2583%25B3%25E3%2583%2588-3-5g%2Fdp%2FB01BWNZVCA" rel="nofollow"&gt;&lt;img src="https://images-fe.ssl-images-amazon.com/images/I/31UyVXl81nL.jpg" alt="" style="border: none;" /&gt;&lt;br /&gt;マジョリカ マジョルカ リップエッセンスバーム ベビーティント 3.5g&lt;/a&gt;&lt;img src="//i.moshimo.com/af/i/impression?a_id=988731&amp;amp;p_id=170&amp;amp;pc_id=185&amp;amp;pl_id=4062" alt="" width="1" height="1" style="border: 0px;" /&gt;</t>
  </si>
  <si>
    <t>&lt;a target="_blank" href="//af.moshimo.com/af/c/click?a_id=988731&amp;amp;p_id=170&amp;amp;pc_id=185&amp;amp;pl_id=4062&amp;amp;url=https%3A%2F%2Fwww.amazon.co.jp%2F%25E3%2583%258B%25E3%2583%2599%25E3%2582%25A2-%25E3%2583%25AA%25E3%2583%2583%25E3%2583%2581%25E3%2582%25B1%25E3%2582%25A2-%25E3%2582%25AB%25E3%2583%25A9%25E3%2583%25BC%25E3%2583%25AA%25E3%2583%2583%25E3%2583%2597-%25E3%2582%25B7%25E3%2582%25A2%25E3%2583%25BC%25E3%2583%25AC%25E3%2583%2583%25E3%2583%2589-2g%2Fdp%2FB01GVBFIT4" rel="nofollow"&gt;&lt;img src="https://images-fe.ssl-images-amazon.com/images/I/31uVZYzOdFL.jpg" alt="" style="border: none;" /&gt;&lt;br /&gt;ニベア リッチケア&amp;amp;カラーリップ シアーレッド 2g&lt;/a&gt;&lt;img src="//i.moshimo.com/af/i/impression?a_id=988731&amp;amp;p_id=170&amp;amp;pc_id=185&amp;amp;pl_id=4062" alt="" width="1" height="1" style="border: 0px;" /&gt;</t>
  </si>
  <si>
    <t>&lt;a target="_blank" href="//af.moshimo.com/af/c/click?a_id=988729&amp;amp;p_id=54&amp;amp;pc_id=54&amp;amp;pl_id=616&amp;amp;url=https%3A%2F%2Fitem.rakuten.co.jp%2Fpupuhima%2Fbea-12159-4901301325914%2F&amp;amp;m=http%3A%2F%2Fm.rakuten.co.jp%2Fpupuhima%2Fi%2F10042779%2F&amp;amp;r_v=g00q9fk3.9tq3e393.g00q9fk3.9tq3fbc6" rel="nofollow"&gt;&lt;img src="//thumbnail.image.rakuten.co.jp/@0_mall/pupuhima/cabinet/goq002/23519_1.jpg?_ex=128x128" alt="" style="border: none;" /&gt;&lt;br /&gt;☆メール便・送料無料☆ ニベア リッチケア＆カラーリップ スモーキーローズ 2.0g 花王　代引き不可 送料無料 メール便&lt;/a&gt;&lt;img src="//i.moshimo.com/af/i/impression?a_id=988729&amp;amp;p_id=54&amp;amp;pc_id=54&amp;amp;pl_id=616" alt="" width="1" height="1" style="border: 0px;" /&gt;</t>
  </si>
  <si>
    <t>&lt;a target="_blank" href="//af.moshimo.com/af/c/click?a_id=988729&amp;amp;p_id=54&amp;amp;pc_id=54&amp;amp;pl_id=616&amp;amp;url=https%3A%2F%2Fitem.rakuten.co.jp%2Fblanc-lapin%2Fsmjli0100001%2F&amp;amp;m=http%3A%2F%2Fm.rakuten.co.jp%2Fblanc-lapin%2Fi%2F10127000%2F&amp;amp;r_v=g00r2fj3.9tq3eafc.g00r2fj3.9tq3f141" rel="nofollow"&gt;&lt;img src="//thumbnail.image.rakuten.co.jp/@0_mall/blanc-lapin/cabinet/item/smj/smjli0100001.jpg?_ex=128x128" alt="" style="border: none;" /&gt;&lt;br /&gt;資生堂/マジョリカ マジョルカ MAJOLICA MAJORCA リップエッセンスバーム #ベビーティント 3.5g [048557]【メール便可】&lt;/a&gt;&lt;img src="//i.moshimo.com/af/i/impression?a_id=988729&amp;amp;p_id=54&amp;amp;pc_id=54&amp;amp;pl_id=616" alt="" width="1" height="1" style="border: 0px;" /&gt;</t>
  </si>
  <si>
    <t>メイベリン　リップクリーム</t>
    <phoneticPr fontId="1"/>
  </si>
  <si>
    <t>https://www.cosme.net/product/product_id/10047853/top</t>
    <phoneticPr fontId="1"/>
  </si>
  <si>
    <t>&lt;a target="_blank" href="//af.moshimo.com/af/c/click?a_id=988731&amp;amp;p_id=170&amp;amp;pc_id=185&amp;amp;pl_id=4062&amp;amp;url=https%3A%2F%2Fwww.amazon.co.jp%2F%25E3%2583%25A1%25E3%2582%25A4%25E3%2583%2599%25E3%2583%25AA%25E3%2583%25B3-%25E3%2583%25AA%25E3%2583%2583%25E3%2583%2597%25E3%2582%25AF%25E3%2583%25AA%25E3%2583%25BC%25E3%2583%25A0-%25E3%2583%25A9%25E3%2583%2596%25E3%2582%25BA-%25E3%2583%2596%25E3%2583%25A9%25E3%2582%25A4%25E3%2583%2588-%25E3%2583%2591%25E3%2583%2583%25E3%2582%25B7%25E3%2583%25A7%25E3%2583%25B3%2Fdp%2FB01L1C1JKA" rel="nofollow"&gt;&lt;img src="https://images-fe.ssl-images-amazon.com/images/I/41LcogINEJL.jpg" alt="" style="border: none;" /&gt;&lt;br /&gt;メイベリン リップクリーム ラブズ カラー ブライト 06 パッション レッド&lt;/a&gt;&lt;img src="//i.moshimo.com/af/i/impression?a_id=988731&amp;amp;p_id=170&amp;amp;pc_id=185&amp;amp;pl_id=4062" alt="" width="1" height="1" style="border: 0px;" /&gt;</t>
  </si>
  <si>
    <t>&lt;a target="_blank" href="//af.moshimo.com/af/c/click?a_id=988729&amp;amp;p_id=54&amp;amp;pc_id=54&amp;amp;pl_id=616&amp;amp;url=https%3A%2F%2Fitem.rakuten.co.jp%2Fsoukai%2F6902395449751%2F&amp;amp;m=http%3A%2F%2Fm.rakuten.co.jp%2Fsoukai%2Fi%2F10755080%2F&amp;amp;r_v=g00psrh3.9tq3ed4a.g00psrh3.9tq3f383" rel="nofollow"&gt;&lt;img src="//thumbnail.image.rakuten.co.jp/@0_mall/soukai/cabinet/51/6902395449751.jpg?_ex=128x128" alt="" style="border: none;" /&gt;&lt;br /&gt;メイベリン リップクリーム カラー 06 パッション レッド(1.9g)【メイベリン】&lt;/a&gt;&lt;img src="//i.moshimo.com/af/i/impression?a_id=988729&amp;amp;p_id=54&amp;amp;pc_id=54&amp;amp;pl_id=616" alt="" width="1" height="1" style="border: 0px;" /&gt;</t>
  </si>
  <si>
    <t>色つきリップおすすめ3選！自然な発色はこれ？人気ベスト３</t>
    <rPh sb="0" eb="1">
      <t>イロ</t>
    </rPh>
    <rPh sb="11" eb="12">
      <t>セン</t>
    </rPh>
    <rPh sb="13" eb="15">
      <t>シゼン</t>
    </rPh>
    <rPh sb="16" eb="18">
      <t>ハッショク</t>
    </rPh>
    <rPh sb="22" eb="24">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</si>
</sst>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u/>
      <sz val="9"/>
      <color rgb="FF0066CC"/>
      <name val="Arial"/>
      <family val="2"/>
    </font>
    <font>
      <b/>
      <sz val="9"/>
      <color rgb="FFB00000"/>
      <name val="Arial"/>
      <family val="2"/>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5">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17" fillId="4" borderId="12" xfId="0" applyFont="1" applyFill="1" applyBorder="1">
      <alignment vertical="center"/>
    </xf>
    <xf numFmtId="0" fontId="4" fillId="4" borderId="12" xfId="0" applyFont="1" applyFill="1" applyBorder="1">
      <alignment vertical="center"/>
    </xf>
    <xf numFmtId="0" fontId="3" fillId="5" borderId="12" xfId="0" applyFont="1" applyFill="1" applyBorder="1">
      <alignment vertical="center"/>
    </xf>
    <xf numFmtId="0" fontId="3" fillId="6" borderId="12" xfId="0" applyFont="1" applyFill="1" applyBorder="1">
      <alignment vertical="center"/>
    </xf>
    <xf numFmtId="0" fontId="18" fillId="0" borderId="5" xfId="0" applyFont="1" applyBorder="1" applyAlignment="1">
      <alignment horizontal="right" wrapText="1"/>
    </xf>
    <xf numFmtId="0" fontId="14" fillId="6"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47853/top" TargetMode="External"/><Relationship Id="rId2" Type="http://schemas.openxmlformats.org/officeDocument/2006/relationships/hyperlink" Target="http://www.cosme.net/product/product_id/10106916/review/506166871" TargetMode="External"/><Relationship Id="rId1" Type="http://schemas.openxmlformats.org/officeDocument/2006/relationships/hyperlink" Target="http://www.cosme.net/product/product_id/10115724/review/506830603"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60" sqref="C6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2</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151</v>
      </c>
      <c r="C23" s="69" t="s">
        <v>152</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70"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182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183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5"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163</v>
      </c>
      <c r="C36" s="71"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1"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180</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180</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74" t="s">
        <v>188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146</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173</v>
      </c>
      <c r="C49" s="72"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2"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181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189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176</v>
      </c>
      <c r="C54" s="5" t="s">
        <v>177</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178</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179</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3" sqref="C13"/>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30.75" thickBot="1">
      <c r="A4" s="33" t="s">
        <v>137</v>
      </c>
      <c r="B4" s="17">
        <v>1</v>
      </c>
      <c r="C4" s="73">
        <v>3</v>
      </c>
      <c r="D4" s="17">
        <v>5</v>
      </c>
      <c r="E4" s="3"/>
      <c r="F4" s="3"/>
      <c r="G4" s="3"/>
      <c r="H4" s="3"/>
      <c r="I4" s="3"/>
      <c r="J4" s="3"/>
      <c r="K4" s="3"/>
      <c r="L4" s="3"/>
      <c r="M4" s="3"/>
      <c r="N4" s="3"/>
      <c r="O4" s="3"/>
      <c r="P4" s="3"/>
      <c r="Q4" s="3"/>
      <c r="R4" s="3"/>
      <c r="S4" s="3"/>
      <c r="T4" s="3"/>
      <c r="U4" s="3"/>
      <c r="V4" s="3"/>
      <c r="W4" s="3"/>
      <c r="X4" s="3"/>
      <c r="Y4" s="3"/>
      <c r="Z4" s="3"/>
    </row>
    <row r="5" spans="1:26" ht="15.75" thickBot="1">
      <c r="A5" s="33" t="s">
        <v>138</v>
      </c>
      <c r="B5" s="17">
        <v>2</v>
      </c>
      <c r="C5" s="17">
        <v>3</v>
      </c>
      <c r="D5" s="17">
        <v>4</v>
      </c>
      <c r="E5" s="3"/>
      <c r="F5" s="3"/>
      <c r="G5" s="3"/>
      <c r="H5" s="3"/>
      <c r="I5" s="3"/>
      <c r="J5" s="3"/>
      <c r="K5" s="3"/>
      <c r="L5" s="3"/>
      <c r="M5" s="3"/>
      <c r="N5" s="3"/>
      <c r="O5" s="3"/>
      <c r="P5" s="3"/>
      <c r="Q5" s="3"/>
      <c r="R5" s="3"/>
      <c r="S5" s="3"/>
      <c r="T5" s="3"/>
      <c r="U5" s="3"/>
      <c r="V5" s="3"/>
      <c r="W5" s="3"/>
      <c r="X5" s="3"/>
      <c r="Y5" s="3"/>
      <c r="Z5" s="3"/>
    </row>
    <row r="6" spans="1:26" ht="15.75" thickBot="1">
      <c r="A6" s="33" t="s">
        <v>139</v>
      </c>
      <c r="B6" s="17">
        <v>5</v>
      </c>
      <c r="C6" s="17">
        <v>5</v>
      </c>
      <c r="D6" s="17">
        <v>1</v>
      </c>
      <c r="E6" s="3"/>
      <c r="F6" s="3"/>
      <c r="G6" s="3"/>
      <c r="H6" s="3"/>
      <c r="I6" s="3"/>
      <c r="J6" s="3"/>
      <c r="K6" s="3"/>
      <c r="L6" s="3"/>
      <c r="M6" s="3"/>
      <c r="N6" s="3"/>
      <c r="O6" s="3"/>
      <c r="P6" s="3"/>
      <c r="Q6" s="3"/>
      <c r="R6" s="3"/>
      <c r="S6" s="3"/>
      <c r="T6" s="3"/>
      <c r="U6" s="3"/>
      <c r="V6" s="3"/>
      <c r="W6" s="3"/>
      <c r="X6" s="3"/>
      <c r="Y6" s="3"/>
      <c r="Z6" s="3"/>
    </row>
    <row r="7" spans="1:26" ht="30.75" thickBot="1">
      <c r="A7" s="33" t="s">
        <v>140</v>
      </c>
      <c r="B7" s="73">
        <v>4</v>
      </c>
      <c r="C7" s="17">
        <v>5</v>
      </c>
      <c r="D7" s="17">
        <v>2</v>
      </c>
      <c r="E7" s="3"/>
      <c r="F7" s="3"/>
      <c r="G7" s="3"/>
      <c r="H7" s="3"/>
      <c r="I7" s="3"/>
      <c r="J7" s="3"/>
      <c r="K7" s="3"/>
      <c r="L7" s="3"/>
      <c r="M7" s="3"/>
      <c r="N7" s="3"/>
      <c r="O7" s="3"/>
      <c r="P7" s="3"/>
      <c r="Q7" s="3"/>
      <c r="R7" s="3"/>
      <c r="S7" s="3"/>
      <c r="T7" s="3"/>
      <c r="U7" s="3"/>
      <c r="V7" s="3"/>
      <c r="W7" s="3"/>
      <c r="X7" s="3"/>
      <c r="Y7" s="3"/>
      <c r="Z7" s="3"/>
    </row>
    <row r="8" spans="1:26" ht="15.75" thickBot="1">
      <c r="A8" s="33" t="s">
        <v>141</v>
      </c>
      <c r="B8" s="73">
        <v>3</v>
      </c>
      <c r="C8" s="73">
        <v>3</v>
      </c>
      <c r="D8" s="17">
        <v>1</v>
      </c>
      <c r="E8" s="3"/>
      <c r="F8" s="3"/>
      <c r="G8" s="3"/>
      <c r="H8" s="3"/>
      <c r="I8" s="3"/>
      <c r="J8" s="3"/>
      <c r="K8" s="3"/>
      <c r="L8" s="3"/>
      <c r="M8" s="3"/>
      <c r="N8" s="3"/>
      <c r="O8" s="3"/>
      <c r="P8" s="3"/>
      <c r="Q8" s="3"/>
      <c r="R8" s="3"/>
      <c r="S8" s="3"/>
      <c r="T8" s="3"/>
      <c r="U8" s="3"/>
      <c r="V8" s="3"/>
      <c r="W8" s="3"/>
      <c r="X8" s="3"/>
      <c r="Y8" s="3"/>
      <c r="Z8" s="3"/>
    </row>
    <row r="9" spans="1:26" ht="15" thickBot="1">
      <c r="A9" s="18" t="s">
        <v>68</v>
      </c>
      <c r="B9" s="19">
        <v>0</v>
      </c>
      <c r="C9" s="19">
        <v>0</v>
      </c>
      <c r="D9" s="19">
        <v>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G22" sqref="G2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192</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https://images-fe.ssl-images-amazon.com/images/I/31uVZYzOdFL.jpg</v>
      </c>
      <c r="D5" s="22" t="str">
        <f>アンケート!C13</f>
        <v>ニベア　ナチュラルカラーリップ</v>
      </c>
      <c r="E5" t="s">
        <v>122</v>
      </c>
    </row>
    <row r="6" spans="2:8">
      <c r="B6" s="23" t="s">
        <v>102</v>
      </c>
      <c r="C6" s="22" t="str">
        <f>IF(C24="","",SUBSTITUTE(MID(C24,FIND("src=",C24)+5,FIND("alt",C24)-FIND("src=",C24)-7),"amp;",""))</f>
        <v>https://images-fe.ssl-images-amazon.com/images/I/31UyVXl81nL.jpg</v>
      </c>
      <c r="D6" s="22" t="str">
        <f>アンケート!C28</f>
        <v>MAJOLICA　リップエッセンスバーム</v>
      </c>
      <c r="E6" t="s">
        <v>122</v>
      </c>
    </row>
    <row r="7" spans="2:8">
      <c r="B7" s="23" t="s">
        <v>101</v>
      </c>
      <c r="C7" s="22" t="str">
        <f>IF(C26="","",SUBSTITUTE(MID(C26,FIND("src=",C26)+5,FIND("alt",C26)-FIND("src=",C26)-7),"amp;",""))</f>
        <v>https://images-fe.ssl-images-amazon.com/images/I/41LcogINEJL.jpg</v>
      </c>
      <c r="D7" s="22" t="str">
        <f>アンケート!C41</f>
        <v>メイベリン　リップクリーム</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http://www.cosme.net/product/product_id/10115724/review/506830603</v>
      </c>
      <c r="D12" s="62">
        <f>SQL!A11+1</f>
        <v>148</v>
      </c>
      <c r="E12" s="22" t="str">
        <f>アンケート!C25</f>
        <v>30代　女性</v>
      </c>
      <c r="F12" s="22" t="str">
        <f>IF(ISERROR(FIND("女",E12)),"m","w")&amp;"_"&amp;LEFT(E12,2)&amp;"_"&amp;"2"</f>
        <v>w_30_2</v>
      </c>
    </row>
    <row r="13" spans="2:8">
      <c r="B13" s="67"/>
      <c r="C13" s="68"/>
      <c r="D13" s="63"/>
      <c r="E13" s="22" t="str">
        <f>アンケート!C26</f>
        <v>20代　女性</v>
      </c>
      <c r="F13" s="22" t="str">
        <f>IF(ISERROR(FIND("女",E13)),"m","w")&amp;"_"&amp;LEFT(E13,2)&amp;"_"&amp;"1"</f>
        <v>w_20_1</v>
      </c>
    </row>
    <row r="14" spans="2:8">
      <c r="B14" s="66" t="s">
        <v>102</v>
      </c>
      <c r="C14" s="68" t="str">
        <f>アンケート!C40</f>
        <v>http://www.cosme.net/product/product_id/10106916/review/506166871</v>
      </c>
      <c r="D14" s="62">
        <f>IF(D12="","",D12+1)</f>
        <v>149</v>
      </c>
      <c r="E14" s="22" t="str">
        <f>アンケート!C38</f>
        <v>20代　女性</v>
      </c>
      <c r="F14" s="22" t="str">
        <f>IF(ISERROR(FIND("女",E14)),"m","w")&amp;"_"&amp;LEFT(E14,2)&amp;"_"&amp;"2"</f>
        <v>w_20_2</v>
      </c>
    </row>
    <row r="15" spans="2:8">
      <c r="B15" s="67"/>
      <c r="C15" s="68"/>
      <c r="D15" s="63"/>
      <c r="E15" s="22" t="str">
        <f>アンケート!C39</f>
        <v>20代　女性</v>
      </c>
      <c r="F15" s="22" t="str">
        <f>IF(ISERROR(FIND("女",E15)),"m","w")&amp;"_"&amp;LEFT(E15,2)&amp;"_"&amp;"1"</f>
        <v>w_20_1</v>
      </c>
    </row>
    <row r="16" spans="2:8">
      <c r="B16" s="66" t="s">
        <v>101</v>
      </c>
      <c r="C16" s="68" t="str">
        <f>アンケート!C53</f>
        <v>https://www.cosme.net/product/product_id/10047853/top</v>
      </c>
      <c r="D16" s="62">
        <f>IF(D14="","",D14+1)</f>
        <v>150</v>
      </c>
      <c r="E16" s="22" t="str">
        <f>アンケート!C51</f>
        <v>20代女性</v>
      </c>
      <c r="F16" s="22" t="str">
        <f>IF(ISERROR(FIND("女",E16)),"m","w")&amp;"_"&amp;LEFT(E16,2)&amp;"_"&amp;"2"</f>
        <v>w_20_2</v>
      </c>
    </row>
    <row r="17" spans="2:6">
      <c r="B17" s="67"/>
      <c r="C17" s="68"/>
      <c r="D17" s="63"/>
      <c r="E17" s="22" t="str">
        <f>アンケート!C52</f>
        <v>20代女性</v>
      </c>
      <c r="F17" s="22" t="str">
        <f t="shared" ref="F17" si="0">IF(ISERROR(FIND("女",E17)),"m","w")&amp;"_"&amp;LEFT(E17,2)&amp;"_"&amp;"1"</f>
        <v>w_20_1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185</v>
      </c>
      <c r="D22" s="65" t="str">
        <f t="shared" ref="D22:D27" si="1">IF(C22="","",SUBSTITUTE(MID(C22,FIND("href=",C22)+6,FIND("rel=",C22)-FIND("href=",C22)-8),"amp;",""))</f>
        <v>//af.moshimo.com/af/c/click?a_id=988731&amp;p_id=170&amp;pc_id=185&amp;pl_id=4062&amp;url=https%3A%2F%2Fwww.amazon.co.jp%2F%25E3%2583%258B%25E3%2583%2599%25E3%2582%25A2-%25E3%2583%25AA%25E3%2583%2583%25E3%2583%2581%25E3%2582%25B1%25E3%2582%25A2-%25E3%2582%25AB%25E3%2583%25A9%25E3%2583%25BC%25E3%2583%25AA%25E3%2583%2583%25E3%2583%2597-%25E3%2582%25B7%25E3%2582%25A2%25E3%2583%25BC%25E3%2583%25AC%25E3%2583%2583%25E3%2583%2589-2g%2Fdp%2FB01GVBFIT4</v>
      </c>
      <c r="E22" s="65"/>
      <c r="F22" s="22" t="str">
        <f>IF(ISERROR(FIND("amazon",C22)),IF(ISERROR(FIND("rakuten",C22)),"","楽天"),"Amazon")</f>
        <v>Amazon</v>
      </c>
    </row>
    <row r="23" spans="2:6">
      <c r="B23" s="64"/>
      <c r="C23" s="22" t="s">
        <v>186</v>
      </c>
      <c r="D23" s="65" t="str">
        <f t="shared" si="1"/>
        <v>//af.moshimo.com/af/c/click?a_id=988729&amp;p_id=54&amp;pc_id=54&amp;pl_id=616&amp;url=https%3A%2F%2Fitem.rakuten.co.jp%2Fpupuhima%2Fbea-12159-4901301325914%2F&amp;m=http%3A%2F%2Fm.rakuten.co.jp%2Fpupuhima%2Fi%2F10042779%2F&amp;r_v=g00q9fk3.9tq3e393.g00q9fk3.9tq3fbc6</v>
      </c>
      <c r="E23" s="65"/>
      <c r="F23" s="22" t="str">
        <f t="shared" ref="F23:F27" si="2">IF(ISERROR(FIND("amazon",C23)),IF(ISERROR(FIND("rakuten",C23)),"","楽天"),"Amazon")</f>
        <v>楽天</v>
      </c>
    </row>
    <row r="24" spans="2:6">
      <c r="B24" s="64" t="s">
        <v>114</v>
      </c>
      <c r="C24" s="22" t="s">
        <v>184</v>
      </c>
      <c r="D24" s="65" t="str">
        <f t="shared" si="1"/>
        <v>//af.moshimo.com/af/c/click?a_id=988731&amp;p_id=170&amp;pc_id=185&amp;pl_id=4062&amp;url=https%3A%2F%2Fwww.amazon.co.jp%2F%25E3%2583%259E%25E3%2582%25B8%25E3%2583%25A7%25E3%2583%25AA%25E3%2582%25AB-%25E3%2583%259E%25E3%2582%25B8%25E3%2583%25A7%25E3%2583%25AB%25E3%2582%25AB-%25E3%2583%25AA%25E3%2583%2583%25E3%2583%2597%25E3%2582%25A8%25E3%2583%2583%25E3%2582%25BB%25E3%2583%25B3%25E3%2582%25B9%25E3%2583%2590%25E3%2583%25BC%25E3%2583%25A0-%25E3%2583%2599%25E3%2583%2593%25E3%2583%25BC%25E3%2583%2586%25E3%2582%25A3%25E3%2583%25B3%25E3%2583%2588-3-5g%2Fdp%2FB01BWNZVCA</v>
      </c>
      <c r="E24" s="65"/>
      <c r="F24" s="22" t="str">
        <f t="shared" si="2"/>
        <v>Amazon</v>
      </c>
    </row>
    <row r="25" spans="2:6">
      <c r="B25" s="64"/>
      <c r="C25" s="22" t="s">
        <v>187</v>
      </c>
      <c r="D25" s="65" t="str">
        <f t="shared" si="1"/>
        <v>//af.moshimo.com/af/c/click?a_id=988729&amp;p_id=54&amp;pc_id=54&amp;pl_id=616&amp;url=https%3A%2F%2Fitem.rakuten.co.jp%2Fblanc-lapin%2Fsmjli0100001%2F&amp;m=http%3A%2F%2Fm.rakuten.co.jp%2Fblanc-lapin%2Fi%2F10127000%2F&amp;r_v=g00r2fj3.9tq3eafc.g00r2fj3.9tq3f141</v>
      </c>
      <c r="E25" s="65"/>
      <c r="F25" s="22" t="str">
        <f t="shared" si="2"/>
        <v>楽天</v>
      </c>
    </row>
    <row r="26" spans="2:6">
      <c r="B26" s="64" t="s">
        <v>115</v>
      </c>
      <c r="C26" s="22" t="s">
        <v>190</v>
      </c>
      <c r="D26" s="65" t="str">
        <f t="shared" si="1"/>
        <v>//af.moshimo.com/af/c/click?a_id=988731&amp;p_id=170&amp;pc_id=185&amp;pl_id=4062&amp;url=https%3A%2F%2Fwww.amazon.co.jp%2F%25E3%2583%25A1%25E3%2582%25A4%25E3%2583%2599%25E3%2583%25AA%25E3%2583%25B3-%25E3%2583%25AA%25E3%2583%2583%25E3%2583%2597%25E3%2582%25AF%25E3%2583%25AA%25E3%2583%25BC%25E3%2583%25A0-%25E3%2583%25A9%25E3%2583%2596%25E3%2582%25BA-%25E3%2583%2596%25E3%2583%25A9%25E3%2582%25A4%25E3%2583%2588-%25E3%2583%2591%25E3%2583%2583%25E3%2582%25B7%25E3%2583%25A7%25E3%2583%25B3%2Fdp%2FB01L1C1JKA</v>
      </c>
      <c r="E26" s="65"/>
      <c r="F26" s="22" t="str">
        <f t="shared" si="2"/>
        <v>Amazon</v>
      </c>
    </row>
    <row r="27" spans="2:6">
      <c r="B27" s="64"/>
      <c r="C27" s="22" t="s">
        <v>191</v>
      </c>
      <c r="D27" s="65" t="str">
        <f t="shared" si="1"/>
        <v>//af.moshimo.com/af/c/click?a_id=988729&amp;p_id=54&amp;pc_id=54&amp;pl_id=616&amp;url=https%3A%2F%2Fitem.rakuten.co.jp%2Fsoukai%2F6902395449751%2F&amp;m=http%3A%2F%2Fm.rakuten.co.jp%2Fsoukai%2Fi%2F10755080%2F&amp;r_v=g00psrh3.9tq3ed4a.g00psrh3.9tq3f383</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20" t="str">
        <f>CONCATENATE("&lt;h2&gt;",入力シート!C2,"&lt;/h2&gt;")</f>
        <v>&lt;h2&gt;色つきリップおすすめ3選！自然な発色はこれ？人気ベスト３&lt;/h2&gt;</v>
      </c>
    </row>
    <row r="2" spans="1:1">
      <c r="A2" s="20" t="s">
        <v>86</v>
      </c>
    </row>
    <row r="3" spans="1:1">
      <c r="A3" s="21" t="s">
        <v>87</v>
      </c>
    </row>
    <row r="4" spans="1:1">
      <c r="A4" s="20" t="str">
        <f>CONCATENATE("&lt;li&gt;", アンケート!C54, "&lt;/li&gt;")</f>
        <v>&lt;li&gt;自分に合ったリップクリームを見つけられていない人&lt;/li&gt;</v>
      </c>
    </row>
    <row r="5" spans="1:1">
      <c r="A5" s="20" t="str">
        <f>CONCATENATE("&lt;li&gt;", アンケート!C55, "&lt;/li&gt;")</f>
        <v>&lt;li&gt;目的に沿ってリップクリームを選びたい人&lt;/li&gt;</v>
      </c>
    </row>
    <row r="6" spans="1:1">
      <c r="A6" s="20" t="str">
        <f>CONCATENATE("&lt;li&gt;", アンケート!C56, "&lt;/li&gt;")</f>
        <v>&lt;li&gt;保湿と発色を両立したい人&lt;/li&gt;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src="http://shomty.com/wp-content/uploads/img/parts/positionMap/2.jpg" /&gt;</v>
      </c>
    </row>
    <row r="13" spans="1:1">
      <c r="A13" s="30" t="str">
        <f>CONCATENATE("今回紹介する『", アンケート!C2,"』は","「価格と品質」どちらを重要視したのかをあらわした図です。")</f>
        <v>今回紹介する『色づきリップクリーム』は「価格と品質」どちらを重要視したのかをあらわした図です。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&lt;h2&gt;『色づきリップクリーム』 ランキング&lt;/h2&gt;</v>
      </c>
    </row>
    <row r="20" spans="1:2">
      <c r="A20" t="s">
        <v>91</v>
      </c>
    </row>
    <row r="22" spans="1:2">
      <c r="A22" t="str">
        <f>CONCATENATE("&lt;h3&gt;3位 ",アンケート!C41,"&lt;/h3&gt;")</f>
        <v>&lt;h3&gt;3位 メイベリン　リップクリーム&lt;/h3&gt;</v>
      </c>
    </row>
    <row r="23" spans="1:2">
      <c r="A23" t="s">
        <v>92</v>
      </c>
    </row>
    <row r="24" spans="1:2">
      <c r="A24" t="s">
        <v>69</v>
      </c>
    </row>
    <row r="25" spans="1:2">
      <c r="A25" t="str">
        <f>アンケート!C48</f>
        <v>しっかりとした発色を求めている人</v>
      </c>
    </row>
    <row r="26" spans="1:2">
      <c r="A26" t="s">
        <v>70</v>
      </c>
    </row>
    <row r="27" spans="1:2">
      <c r="A27" s="6" t="str">
        <f>CONCATENATE("[tblStart num=5]", 入力シート!C7, "[/tblStart]")</f>
        <v>[tblStart num=5]https://images-fe.ssl-images-amazon.com/images/I/41LcogINEJL.jpg[/tblStart]</v>
      </c>
    </row>
    <row r="28" spans="1:2">
      <c r="A28" t="str">
        <f>CONCATENATE("[tdLevel type=", B28, "]", 比較表!A4, "[/tdLevel]")</f>
        <v>[tdLevel type=5]発色がしっかりできるか[/tdLevel]</v>
      </c>
      <c r="B28">
        <f>HLOOKUP(アンケート!$C$41,比較表!$B$3:$D$8,2)</f>
        <v>5</v>
      </c>
    </row>
    <row r="29" spans="1:2">
      <c r="A29" t="str">
        <f>CONCATENATE("[tdLevel type=", B29, "]", 比較表!A5, "[/tdLevel]")</f>
        <v>[tdLevel type=4]手ごろな価格であるか[/tdLevel]</v>
      </c>
      <c r="B29">
        <f>HLOOKUP(アンケート!$C$41,比較表!$B$3:$D$8,3)</f>
        <v>4</v>
      </c>
    </row>
    <row r="30" spans="1:2">
      <c r="A30" t="str">
        <f>CONCATENATE("[tdLevel type=", B30, "]", 比較表!A6, "[/tdLevel]")</f>
        <v>[tdLevel type=1]保湿力があるのか[/tdLevel]</v>
      </c>
      <c r="B30">
        <f>HLOOKUP(アンケート!$C$41,比較表!$B$3:$D$8,4)</f>
        <v>1</v>
      </c>
    </row>
    <row r="31" spans="1:2">
      <c r="A31" t="str">
        <f>CONCATENATE("[tdLevel type=", B31, "]", 比較表!A7, "[/tdLevel]")</f>
        <v>[tdLevel type=2]安心して利用できるのか[/tdLevel]</v>
      </c>
      <c r="B31">
        <f>HLOOKUP(アンケート!$C$41,比較表!$B$3:$D$8,5)</f>
        <v>2</v>
      </c>
    </row>
    <row r="32" spans="1:2">
      <c r="A32" t="str">
        <f>CONCATENATE("[tdLevel type=", B32, "]", 比較表!A8, "[/tdLevel]")</f>
        <v>[tdLevel type=1]落ちやすくないのか[/tdLevel]</v>
      </c>
      <c r="B32">
        <f>HLOOKUP(アンケート!$C$41,比較表!$B$3:$D$8,6)</f>
        <v>1</v>
      </c>
    </row>
    <row r="33" spans="1:1">
      <c r="A33" t="s">
        <v>72</v>
      </c>
    </row>
    <row r="35" spans="1:1">
      <c r="A35" s="6" t="str">
        <f>CONCATENATE("[product_link id=",入力シート!D16,"][/product_link]")</f>
        <v>[product_link id=150][/product_link]</v>
      </c>
    </row>
    <row r="36" spans="1:1">
      <c r="A36" t="s">
        <v>93</v>
      </c>
    </row>
    <row r="37" spans="1:1">
      <c r="A37" t="s">
        <v>94</v>
      </c>
    </row>
    <row r="38" spans="1:1">
      <c r="A38" t="s">
        <v>95</v>
      </c>
    </row>
    <row r="39" spans="1:1">
      <c r="A39" t="s">
        <v>87</v>
      </c>
    </row>
    <row r="40" spans="1:1">
      <c r="A40" t="str">
        <f>CONCATENATE("&lt;li&gt;", アンケート!C42,"&lt;/li&gt;")</f>
        <v>&lt;li&gt;発色がいい&lt;/li&gt;</v>
      </c>
    </row>
    <row r="41" spans="1:1">
      <c r="A41" t="str">
        <f>CONCATENATE("&lt;li&gt;", アンケート!C43,"&lt;/li&gt;")</f>
        <v>&lt;li&gt;爽やかな香り&lt;/li&gt;</v>
      </c>
    </row>
    <row r="42" spans="1:1">
      <c r="A42" t="str">
        <f>CONCATENATE("&lt;li&gt;", アンケート!C44,"&lt;/li&gt;")</f>
        <v>&lt;li&gt;するする塗ることができる&lt;/li&gt;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&lt;li&gt;落ちやすい&lt;/li&gt;</v>
      </c>
    </row>
    <row r="51" spans="1:1">
      <c r="A51" t="str">
        <f>CONCATENATE("&lt;li&gt;", アンケート!C46,"&lt;/li&gt;")</f>
        <v>&lt;li&gt;潤いが足りない&lt;/li&gt;</v>
      </c>
    </row>
    <row r="52" spans="1:1">
      <c r="A52" t="str">
        <f>CONCATENATE("&lt;li&gt;", アンケート!C47,"&lt;/li&gt;")</f>
        <v>&lt;li&gt;透明感はない&lt;/li&gt;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メイベリンのリップは、いつもどれも可愛くて、よく買っていたんですけど、これはとってもスリムなので、口角などにも塗りやすいところが好きです。</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色付きリップが欲しくて、メイベリンのリップクリームを購入しました！しっかり発色してくれるので、ナチュラルメイクの時はこれだけでもいいかなって思います(*^^*)また、ミントのいい香りして使いやすいので、リピする予定です</v>
      </c>
    </row>
    <row r="62" spans="1:1">
      <c r="A62" t="s">
        <v>104</v>
      </c>
    </row>
    <row r="63" spans="1:1">
      <c r="A63" t="s">
        <v>99</v>
      </c>
    </row>
    <row r="64" spans="1:1">
      <c r="A64" t="str">
        <f>CONCATENATE("[reviewLink id=","""", 入力シート!D16,"""][/reviewLink]")</f>
        <v>[reviewLink id="150"][/reviewLink]</v>
      </c>
    </row>
    <row r="66" spans="1:2">
      <c r="A66" t="str">
        <f>CONCATENATE("&lt;h3&gt;2位 ",アンケート!C28,"&lt;/h3&gt;")</f>
        <v>&lt;h3&gt;2位 MAJOLICA　リップエッセンスバーム&lt;/h3&gt;</v>
      </c>
    </row>
    <row r="67" spans="1:2">
      <c r="A67" t="s">
        <v>92</v>
      </c>
    </row>
    <row r="68" spans="1:2">
      <c r="A68" t="s">
        <v>69</v>
      </c>
    </row>
    <row r="69" spans="1:2">
      <c r="A69" t="str">
        <f>アンケート!C35</f>
        <v>保湿力を重視したい人</v>
      </c>
    </row>
    <row r="70" spans="1:2">
      <c r="A70" t="s">
        <v>70</v>
      </c>
    </row>
    <row r="71" spans="1:2">
      <c r="A71" s="6" t="str">
        <f>CONCATENATE("[tblStart num=5]", 入力シート!$C$6, "[/tblStart]")</f>
        <v>[tblStart num=5]https://images-fe.ssl-images-amazon.com/images/I/31UyVXl81nL.jpg[/tblStart]</v>
      </c>
    </row>
    <row r="72" spans="1:2">
      <c r="A72" t="str">
        <f>CONCATENATE("[tdLevel type=", B72, "]", 比較表!A4, "[/tdLevel]")</f>
        <v>[tdLevel type=1]発色がしっかりできるか[/tdLevel]</v>
      </c>
      <c r="B72">
        <f>HLOOKUP(アンケート!$C$28,比較表!$B$3:$D$8,2,FALSE)</f>
        <v>1</v>
      </c>
    </row>
    <row r="73" spans="1:2">
      <c r="A73" t="str">
        <f>CONCATENATE("[tdLevel type=", B73, "]", 比較表!A5, "[/tdLevel]")</f>
        <v>[tdLevel type=2]手ごろな価格であるか[/tdLevel]</v>
      </c>
      <c r="B73">
        <f>HLOOKUP(アンケート!$C$28,比較表!$B$3:$D$8,3,FALSE)</f>
        <v>2</v>
      </c>
    </row>
    <row r="74" spans="1:2">
      <c r="A74" t="str">
        <f>CONCATENATE("[tdLevel type=", B74, "]", 比較表!A6, "[/tdLevel]")</f>
        <v>[tdLevel type=5]保湿力があるのか[/tdLevel]</v>
      </c>
      <c r="B74">
        <f>HLOOKUP(アンケート!$C$28,比較表!$B$3:$D$8,4,FALSE)</f>
        <v>5</v>
      </c>
    </row>
    <row r="75" spans="1:2">
      <c r="A75" t="str">
        <f>CONCATENATE("[tdLevel type=", B75, "]", 比較表!A7, "[/tdLevel]")</f>
        <v>[tdLevel type=4]安心して利用できるのか[/tdLevel]</v>
      </c>
      <c r="B75">
        <f>HLOOKUP(アンケート!$C$28,比較表!$B$3:$D$8,5,FALSE)</f>
        <v>4</v>
      </c>
    </row>
    <row r="76" spans="1:2">
      <c r="A76" t="str">
        <f>CONCATENATE("[tdLevel type=", B76, "]", 比較表!A8, "[/tdLevel]")</f>
        <v>[tdLevel type=3]落ちやすくないのか[/tdLevel]</v>
      </c>
      <c r="B76">
        <f>HLOOKUP(アンケート!$C$28,比較表!$B$3:$D$8,6,FALSE)</f>
        <v>3</v>
      </c>
    </row>
    <row r="77" spans="1:2">
      <c r="A77" t="s">
        <v>72</v>
      </c>
    </row>
    <row r="79" spans="1:2">
      <c r="A79" s="6" t="str">
        <f>CONCATENATE("[product_link id=",入力シート!D14,"][/product_link]")</f>
        <v>[product_link id=149][/product_link]</v>
      </c>
    </row>
    <row r="80" spans="1:2">
      <c r="A80" t="s">
        <v>93</v>
      </c>
    </row>
    <row r="81" spans="1:1">
      <c r="A81" t="s">
        <v>94</v>
      </c>
    </row>
    <row r="82" spans="1:1">
      <c r="A82" t="s">
        <v>95</v>
      </c>
    </row>
    <row r="83" spans="1:1">
      <c r="A83" t="s">
        <v>87</v>
      </c>
    </row>
    <row r="84" spans="1:1">
      <c r="A84" t="str">
        <f>CONCATENATE("&lt;li&gt;", アンケート!C29,"&lt;/li&gt;")</f>
        <v>&lt;li&gt;保湿力抜群&lt;/li&gt;</v>
      </c>
    </row>
    <row r="85" spans="1:1">
      <c r="A85" t="str">
        <f>CONCATENATE("&lt;li&gt;", アンケート!C30,"&lt;/li&gt;")</f>
        <v>&lt;li&gt;かわいいパッケージ&lt;/li&gt;</v>
      </c>
    </row>
    <row r="86" spans="1:1">
      <c r="A86" t="str">
        <f>CONCATENATE("&lt;li&gt;", アンケート!C31,"&lt;/li&gt;")</f>
        <v>&lt;li&gt;自然な色づき&lt;/li&gt;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&lt;li&gt;少し高い&lt;/li&gt;</v>
      </c>
    </row>
    <row r="95" spans="1:1">
      <c r="A95" t="str">
        <f>CONCATENATE("&lt;li&gt;", アンケート!C33,"&lt;/li&gt;")</f>
        <v>&lt;li&gt;色づきが自然すぎて色のつき方がわからない&lt;/li&gt;</v>
      </c>
    </row>
    <row r="96" spans="1:1">
      <c r="A96" t="str">
        <f>CONCATENATE("&lt;li&gt;", アンケート!C34,"&lt;/li&gt;")</f>
        <v>&lt;li&gt;すこしべたつく&lt;/li&gt;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icon="http://shomty.com/wp-content/uploads/img/parts/review/w_20_2.jpg" name="20代　女性" type="l"]</v>
      </c>
    </row>
    <row r="102" spans="1:1">
      <c r="A102" t="str">
        <f>アンケート!C36</f>
        <v>下地として使っています！もともとの唇の色が濃いのが気になってたんですけどこれを塗るともとの色を抑えてくれるので口紅の色が綺麗にのります！塗ると溶ける感じです。パールも少し入っています。</v>
      </c>
    </row>
    <row r="103" spans="1:1">
      <c r="A103" t="s">
        <v>104</v>
      </c>
    </row>
    <row r="104" spans="1:1">
      <c r="A104" t="str">
        <f>CONCATENATE("[voice icon=","""http://shomty.com/wp-content/uploads/img/parts/review/", 入力シート!F15, ".jpg", """ name=""", 入力シート!E15, """ type=""", "r", """]")</f>
        <v>[voice icon="http://shomty.com/wp-content/uploads/img/parts/review/w_20_1.jpg" name="20代　女性" type="r"]</v>
      </c>
    </row>
    <row r="105" spans="1:1">
      <c r="A105" t="str">
        <f>アンケート!C37</f>
        <v>ベビーティントを使用しました。スルスルと塗れるのに長時間うるおいが続くように感じます。かと言って髪がへばりつくようなベタベタ感も0です。色はほぼ付かないので保湿用として使っています。パケも可愛くていいと思いました！リピします！</v>
      </c>
    </row>
    <row r="106" spans="1:1">
      <c r="A106" t="s">
        <v>104</v>
      </c>
    </row>
    <row r="107" spans="1:1">
      <c r="A107" t="s">
        <v>99</v>
      </c>
    </row>
    <row r="108" spans="1:1">
      <c r="A108" t="str">
        <f>CONCATENATE("[reviewLink id=","""", 入力シート!D14,"""][/reviewLink]")</f>
        <v>[reviewLink id="149"][/reviewLink]</v>
      </c>
    </row>
    <row r="110" spans="1:1">
      <c r="A110" t="str">
        <f>CONCATENATE("&lt;h3&gt;1位 ",アンケート!C13,"&lt;/h3&gt;")</f>
        <v>&lt;h3&gt;1位 ニベア　ナチュラルカラーリップ&lt;/h3&gt;</v>
      </c>
    </row>
    <row r="111" spans="1:1">
      <c r="A111" t="s">
        <v>92</v>
      </c>
    </row>
    <row r="112" spans="1:1">
      <c r="A112" t="s">
        <v>69</v>
      </c>
    </row>
    <row r="113" spans="1:2">
      <c r="A113" t="str">
        <f>アンケート!C22</f>
        <v>色づきリップに発色を求める人</v>
      </c>
    </row>
    <row r="114" spans="1:2">
      <c r="A114" t="s">
        <v>70</v>
      </c>
    </row>
    <row r="115" spans="1:2" ht="27">
      <c r="A115" s="6" t="str">
        <f>CONCATENATE("[tblStart num=5]", 入力シート!C5, "[/tblStart]")</f>
        <v>[tblStart num=5]https://images-fe.ssl-images-amazon.com/images/I/31uVZYzOdFL.jpg[/tblStart]</v>
      </c>
    </row>
    <row r="116" spans="1:2">
      <c r="A116" t="str">
        <f>CONCATENATE("[tdLevel type=", B116, "]", 比較表!A4, "[/tdLevel]")</f>
        <v>[tdLevel type=3]発色がしっかりできるか[/tdLevel]</v>
      </c>
      <c r="B116">
        <f>HLOOKUP(アンケート!$C$13,比較表!$B$3:$D$8,2,FALSE)</f>
        <v>3</v>
      </c>
    </row>
    <row r="117" spans="1:2">
      <c r="A117" t="str">
        <f>CONCATENATE("[tdLevel type=", B117, "]", 比較表!A5, "[/tdLevel]")</f>
        <v>[tdLevel type=3]手ごろな価格であるか[/tdLevel]</v>
      </c>
      <c r="B117">
        <f>HLOOKUP(アンケート!$C$13,比較表!$B$3:$D$8,3,FALSE)</f>
        <v>3</v>
      </c>
    </row>
    <row r="118" spans="1:2">
      <c r="A118" t="str">
        <f>CONCATENATE("[tdLevel type=", B118, "]", 比較表!A6, "[/tdLevel]")</f>
        <v>[tdLevel type=5]保湿力があるのか[/tdLevel]</v>
      </c>
      <c r="B118">
        <f>HLOOKUP(アンケート!$C$13,比較表!$B$3:$D$8,4,FALSE)</f>
        <v>5</v>
      </c>
    </row>
    <row r="119" spans="1:2">
      <c r="A119" t="str">
        <f>CONCATENATE("[tdLevel type=", B119, "]", 比較表!A7, "[/tdLevel]")</f>
        <v>[tdLevel type=5]安心して利用できるのか[/tdLevel]</v>
      </c>
      <c r="B119">
        <f>HLOOKUP(アンケート!$C$13,比較表!$B$3:$D$8,5,FALSE)</f>
        <v>5</v>
      </c>
    </row>
    <row r="120" spans="1:2">
      <c r="A120" t="str">
        <f>CONCATENATE("[tdLevel type=", B120, "]", 比較表!A8, "[/tdLevel]")</f>
        <v>[tdLevel type=3]落ちやすくないのか[/tdLevel]</v>
      </c>
      <c r="B120">
        <f>HLOOKUP(アンケート!$C$13,比較表!$B$3:$D$8,6,FALSE)</f>
        <v>3</v>
      </c>
    </row>
    <row r="121" spans="1:2">
      <c r="A121" t="s">
        <v>72</v>
      </c>
    </row>
    <row r="123" spans="1:2">
      <c r="A123" s="6" t="str">
        <f>CONCATENATE("[product_link id=",入力シート!D12,"][/product_link]")</f>
        <v>[product_link id=148][/product_link]</v>
      </c>
    </row>
    <row r="124" spans="1:2">
      <c r="A124" t="s">
        <v>93</v>
      </c>
    </row>
    <row r="125" spans="1:2">
      <c r="A125" t="s">
        <v>94</v>
      </c>
    </row>
    <row r="126" spans="1:2">
      <c r="A126" t="s">
        <v>95</v>
      </c>
    </row>
    <row r="127" spans="1:2">
      <c r="A127" t="s">
        <v>87</v>
      </c>
    </row>
    <row r="128" spans="1:2">
      <c r="A128" t="str">
        <f>CONCATENATE("&lt;li&gt;", アンケート!C14,"&lt;/li&gt;")</f>
        <v>&lt;li&gt;しっかり発色&lt;/li&gt;</v>
      </c>
    </row>
    <row r="129" spans="1:1">
      <c r="A129" t="str">
        <f>CONCATENATE("&lt;li&gt;", アンケート!C15,"&lt;/li&gt;")</f>
        <v>&lt;li&gt;色のバリエーションが多い&lt;/li&gt;</v>
      </c>
    </row>
    <row r="130" spans="1:1">
      <c r="A130" t="str">
        <f>CONCATENATE("&lt;li&gt;", アンケート!C16,"&lt;/li&gt;")</f>
        <v>&lt;li&gt;よく知られているブランドだから安心できる&lt;/li&gt;</v>
      </c>
    </row>
    <row r="131" spans="1:1">
      <c r="A131" t="str">
        <f>CONCATENATE("&lt;li&gt;", アンケート!C17,"&lt;/li&gt;")</f>
        <v>&lt;li&gt;しっかり保湿&lt;/li&gt;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&lt;li&gt;落ちやすい&lt;/li&gt;</v>
      </c>
    </row>
    <row r="140" spans="1:1">
      <c r="A140" t="str">
        <f>CONCATENATE("&lt;li&gt;", アンケート!C19,"&lt;/li&gt;")</f>
        <v>&lt;li&gt;思っていた色と違うことがある&lt;/li&gt;</v>
      </c>
    </row>
    <row r="141" spans="1:1">
      <c r="A141" t="str">
        <f>CONCATENATE("&lt;li&gt;", アンケート!C20,"&lt;/li&gt;")</f>
        <v>&lt;li&gt;逆に発色がよすぎて普段使いができないことも&lt;/li&gt;</v>
      </c>
    </row>
    <row r="142" spans="1:1">
      <c r="A142" t="str">
        <f>CONCATENATE("&lt;li&gt;", アンケート!C21,"&lt;/li&gt;")</f>
        <v>&lt;li&gt;オールシーズンには向かない色合い&lt;/li&gt;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icon="http://shomty.com/wp-content/uploads/img/parts/review/w_30_2.jpg" name="30代　女性" type="l"]</v>
      </c>
    </row>
    <row r="148" spans="1:1">
      <c r="A148" t="str">
        <f>アンケート!C23</f>
        <v>口紅やグロスは、ほぼ炎症を起こしてしまうので、カラーリップは有難いです。スルっとした塗り心地でツヤが出て、保湿力もわりと持続性があると感じました。スモーキーピンクを使用していますが、抑えた色味の大人な雰囲気が気に入っています。季節を問わず使えそうな色ですね。ポーチ用と自宅用に常備しています。</v>
      </c>
    </row>
    <row r="149" spans="1:1">
      <c r="A149" t="s">
        <v>104</v>
      </c>
    </row>
    <row r="150" spans="1:1">
      <c r="A150" t="str">
        <f>CONCATENATE("[voice icon=","""http://shomty.com/wp-content/uploads/img/parts/review/", 入力シート!F13, ".jpg", """ name=""", 入力シート!E13, """ type=""", "r", """]")</f>
        <v>[voice icon="http://shomty.com/wp-content/uploads/img/parts/review/w_20_1.jpg" name="20代　女性" type="r"]</v>
      </c>
    </row>
    <row r="151" spans="1:1">
      <c r="A151" t="str">
        <f>アンケート!C24</f>
        <v>色があまりつかないんじゃないかなとあまり期待しないで購入してみました。ですが使ってみたら綺麗な色がちゃんとついてくれました！保湿効果もバッチリでお気に入りの商品です！何本もリピしそうです♪</v>
      </c>
    </row>
    <row r="152" spans="1:1">
      <c r="A152" t="s">
        <v>104</v>
      </c>
    </row>
    <row r="153" spans="1:1">
      <c r="A153" t="s">
        <v>99</v>
      </c>
    </row>
    <row r="154" spans="1:1">
      <c r="A154" t="str">
        <f>CONCATENATE("[reviewLink id=","""", 入力シート!D12,"""][/reviewLink]")</f>
        <v>[reviewLink id="148"][/reviewLink]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4"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(148,'//af.moshimo.com/af/c/click?a_id=988731&amp;p_id=170&amp;pc_id=185&amp;pl_id=4062&amp;url=https%3A%2F%2Fwww.amazon.co.jp%2F%25E3%2583%258B%25E3%2583%2599%25E3%2582%25A2-%25E3%2583%25AA%25E3%2583%2583%25E3%2583%2581%25E3%2582%25B1%25E3%2582%25A2-%25E3%2582%25AB%25E3%2583%25A9%25E3%2583%25BC%25E3%2583%25AA%25E3%2583%2583%25E3%2583%2597-%25E3%2582%25B7%25E3%2582%25A2%25E3%2583%25BC%25E3%2583%25AC%25E3%2583%2583%25E3%2583%2589-2g%2Fdp%2FB01GVBFIT4', '//af.moshimo.com/af/c/click?a_id=988729&amp;p_id=54&amp;pc_id=54&amp;pl_id=616&amp;url=https%3A%2F%2Fitem.rakuten.co.jp%2Fpupuhima%2Fbea-12159-4901301325914%2F&amp;m=http%3A%2F%2Fm.rakuten.co.jp%2Fpupuhima%2Fi%2F10042779%2F&amp;r_v=g00q9fk3.9tq3e393.g00q9fk3.9tq3fbc6', 'http://www.cosme.net/product/product_id/10115724/review/506830603', 'https://images-fe.ssl-images-amazon.com/images/I/31uVZYzOdFL.jpg', 'ニベア　ナチュラルカラーリップ'),</v>
      </c>
    </row>
    <row r="3" spans="1:1">
      <c r="A3" t="str">
        <f>"("&amp;入力シート!D14&amp;","&amp;"'"&amp;入力シート!D24&amp;"', '"&amp;入力シート!D25&amp;"', '"&amp;入力シート!C14&amp;"', '"&amp;入力シート!C6&amp;"', '"&amp;入力シート!D6&amp;"'),"</f>
        <v>(149,'//af.moshimo.com/af/c/click?a_id=988731&amp;p_id=170&amp;pc_id=185&amp;pl_id=4062&amp;url=https%3A%2F%2Fwww.amazon.co.jp%2F%25E3%2583%259E%25E3%2582%25B8%25E3%2583%25A7%25E3%2583%25AA%25E3%2582%25AB-%25E3%2583%259E%25E3%2582%25B8%25E3%2583%25A7%25E3%2583%25AB%25E3%2582%25AB-%25E3%2583%25AA%25E3%2583%2583%25E3%2583%2597%25E3%2582%25A8%25E3%2583%2583%25E3%2582%25BB%25E3%2583%25B3%25E3%2582%25B9%25E3%2583%2590%25E3%2583%25BC%25E3%2583%25A0-%25E3%2583%2599%25E3%2583%2593%25E3%2583%25BC%25E3%2583%2586%25E3%2582%25A3%25E3%2583%25B3%25E3%2583%2588-3-5g%2Fdp%2FB01BWNZVCA', '//af.moshimo.com/af/c/click?a_id=988729&amp;p_id=54&amp;pc_id=54&amp;pl_id=616&amp;url=https%3A%2F%2Fitem.rakuten.co.jp%2Fblanc-lapin%2Fsmjli0100001%2F&amp;m=http%3A%2F%2Fm.rakuten.co.jp%2Fblanc-lapin%2Fi%2F10127000%2F&amp;r_v=g00r2fj3.9tq3eafc.g00r2fj3.9tq3f141', 'http://www.cosme.net/product/product_id/10106916/review/506166871', 'https://images-fe.ssl-images-amazon.com/images/I/31UyVXl81nL.jpg', 'MAJOLICA　リップエッセンスバーム'),</v>
      </c>
    </row>
    <row r="4" spans="1:1">
      <c r="A4" t="str">
        <f>"("&amp;入力シート!D16&amp;","&amp;"'"&amp;入力シート!D26&amp;"', '"&amp;入力シート!D27&amp;"', '"&amp;入力シート!C16&amp;"', '"&amp;入力シート!C7&amp;"', '"&amp;入力シート!D7&amp;"');"</f>
        <v>(150,'//af.moshimo.com/af/c/click?a_id=988731&amp;p_id=170&amp;pc_id=185&amp;pl_id=4062&amp;url=https%3A%2F%2Fwww.amazon.co.jp%2F%25E3%2583%25A1%25E3%2582%25A4%25E3%2583%2599%25E3%2583%25AA%25E3%2583%25B3-%25E3%2583%25AA%25E3%2583%2583%25E3%2583%2597%25E3%2582%25AF%25E3%2583%25AA%25E3%2583%25BC%25E3%2583%25A0-%25E3%2583%25A9%25E3%2583%2596%25E3%2582%25BA-%25E3%2583%2596%25E3%2583%25A9%25E3%2582%25A4%25E3%2583%2588-%25E3%2583%2591%25E3%2583%2583%25E3%2582%25B7%25E3%2583%25A7%25E3%2583%25B3%2Fdp%2FB01L1C1JKA', '//af.moshimo.com/af/c/click?a_id=988729&amp;p_id=54&amp;pc_id=54&amp;pl_id=616&amp;url=https%3A%2F%2Fitem.rakuten.co.jp%2Fsoukai%2F6902395449751%2F&amp;m=http%3A%2F%2Fm.rakuten.co.jp%2Fsoukai%2Fi%2F10755080%2F&amp;r_v=g00psrh3.9tq3ed4a.g00psrh3.9tq3f383', 'https://www.cosme.net/product/product_id/10047853/top', 'https://images-fe.ssl-images-amazon.com/images/I/41LcogINEJL.jpg', 'メイベリン　リップクリーム');</v>
      </c>
    </row>
    <row r="9" spans="1:1">
      <c r="A9" s="36" t="s">
        <v>124</v>
      </c>
    </row>
    <row r="10" spans="1:1" ht="14.25" thickBot="1">
      <c r="A10" t="s">
        <v>123</v>
      </c>
    </row>
    <row r="11" spans="1:1" ht="14.25" thickBot="1">
      <c r="A11" s="40">
        <v>147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2018-06-25T02:31:01Z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