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32" i="3" l="1"/>
  <c r="B31" i="3"/>
  <c r="B30" i="3"/>
  <c r="B29" i="3"/>
  <c r="B28" i="3"/>
  <c r="B74" i="3"/>
  <c r="B76" i="3"/>
  <c r="B75" i="3"/>
  <c r="B73" i="3"/>
  <c r="B72" i="3"/>
  <c r="D12" i="4" l="1"/>
  <c r="F2" i="4" l="1"/>
  <c r="B120" i="3" l="1"/>
  <c r="B119" i="3"/>
  <c r="B118" i="3"/>
  <c r="B117" i="3"/>
  <c r="B116"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<sst xmlns="http://schemas.openxmlformats.org/spreadsheetml/2006/main" count="268" uniqueCount="190">
  <si>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</si>
  <si>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</si>
  <si>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</si>
  <si>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</si>
  <si>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</si>
  <si>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</si>
  <si>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</si>
  <si>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</si>
  <si>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</si>
  <si>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</si>
  <si>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</si>
  <si>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</si>
  <si>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</si>
  <si>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</si>
  <si>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</si>
  <si>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</si>
  <si>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</si>
  <si>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</si>
  <si>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</si>
  <si>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</si>
  <si>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</si>
  <si>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</si>
  <si>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</si>
  <si>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</si>
  <si>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</si>
  <si>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</si>
  <si>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</si>
  <si>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</si>
  <si>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</si>
  <si>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</si>
  <si>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</si>
  <si>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</si>
  <si>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</si>
  <si>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</si>
  <si>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</si>
  <si>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</si>
  <si>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</si>
  <si>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</si>
  <si>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</si>
  <si>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</si>
  <si>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</si>
  <si>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</si>
  <si>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</si>
  <si>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</si>
  <si>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</si>
  <si>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</si>
  <si>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</si>
  <si>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</si>
  <si>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</si>
  <si>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</si>
  <si>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</si>
  <si>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</si>
  <si>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</si>
  <si>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</si>
  <si>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</si>
  <si>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</si>
  <si>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</si>
  <si>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</si>
  <si>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</si>
  <si>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</si>
  <si>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</si>
  <si>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</si>
  <si>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</si>
  <si>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</si>
  <si>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</si>
  <si>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</si>
  <si>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</si>
  <si>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</si>
  <si>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</si>
  <si>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</si>
  <si>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</si>
  <si>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</si>
  <si>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</si>
  <si>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</si>
  <si>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</si>
  <si>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</si>
  <si>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</si>
  <si>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</si>
  <si>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</si>
  <si>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</si>
  <si>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</si>
  <si>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</si>
  <si>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</si>
  <si>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</si>
  <si>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</si>
  <si>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</si>
  <si>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</si>
  <si>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</si>
  <si>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</si>
  <si>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</si>
  <si>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</si>
  <si>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</si>
  <si>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</si>
  <si>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</si>
  <si>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</si>
  <si>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</si>
  <si>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</si>
  <si>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</si>
  <si>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</si>
  <si>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</si>
  <si>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</si>
  <si>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</si>
  <si>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</si>
  <si>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</si>
  <si>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</si>
  <si>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</si>
  <si>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</si>
  <si>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</si>
  <si>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</si>
  <si>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</si>
  <si>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</si>
  <si>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</si>
  <si>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</si>
  <si>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</si>
  <si>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</si>
  <si>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</si>
  <si>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</si>
  <si>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</si>
  <si>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</si>
  <si>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</si>
  <si>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</si>
  <si>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</si>
  <si>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</si>
  <si>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</si>
  <si>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</si>
  <si>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</si>
  <si>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カバー力</t>
  </si>
  <si>
    <t>カバー力がある</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</si>
  <si>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</si>
  <si>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</si>
  <si>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</si>
  <si>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</si>
  <si>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</si>
  <si>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</si>
  <si>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</si>
  <si>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デパコス　リキッドファンデーション</t>
  </si>
  <si>
    <t>イヴサンローラン　タンアンクルドポー</t>
  </si>
  <si>
    <t>エスティローダー　ダブルウェアステイインプレイスメイクアップ</t>
  </si>
  <si>
    <t>RMK　リクイドファンデーション</t>
  </si>
  <si>
    <t>崩れにくい</t>
  </si>
  <si>
    <t>保湿力</t>
  </si>
  <si>
    <t>肌が綺麗に見える</t>
  </si>
  <si>
    <t>使いやすさ</t>
  </si>
  <si>
    <t>付けるとサラサラになる</t>
  </si>
  <si>
    <t>良い香りがする</t>
  </si>
  <si>
    <t>軽い付けごこち</t>
  </si>
  <si>
    <t>小さなスパチュラがついているので、出しすぎる心配もなく使いやすい</t>
  </si>
  <si>
    <t>香りがあるので、苦手な人もいる</t>
  </si>
  <si>
    <t>カバー力が高くはない</t>
  </si>
  <si>
    <t>スリムなボトルだが、瓶なので重い</t>
  </si>
  <si>
    <t>艶肌になりたい方には向かない</t>
  </si>
  <si>
    <t>ファンデーションを付けている感触が苦手な方</t>
  </si>
  <si>
    <r>
      <t xml:space="preserve">１位の商品のためになった（なる）口コミやレビューを２つ記入してください。
</t>
    </r>
    <r>
      <rPr>
        <sz val="9"/>
        <color rgb="FFFF0000"/>
        <rFont val="Arial"/>
        <family val="2"/>
      </rPr>
      <t>※短文すぎない（100文字程度）口コミをお願いします。</t>
    </r>
  </si>
  <si>
    <t>そろそろデパコスのファンデーションを使ってみようと、人気のあったサンローランのタンアンクルドポーを店頭で試してみました。付けた後さらさらになることに感動し、即決しました。今では他のファンデーションは考えられません。他に良いものが見つかるまでは、ずっとリピートしたいと思います。</t>
  </si>
  <si>
    <t>美容系ユーチューバーさんがお勧めしていたのがきっかけで、購入しました。
本当に軽い付け心地で、ファンデーションを付けている感じが苦手でできれば付けたくない派なので、とっても気に入りました。
賛否両論ありますが、香りも上品ですきです。</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</si>
  <si>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</si>
  <si>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</si>
  <si>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https://www.cosme.net/product/product_id/10091083/reviews</t>
  </si>
  <si>
    <t>エスティローダー ダブルウェアステイインプレイスメイクアップ</t>
  </si>
  <si>
    <t>肌に密着する</t>
  </si>
  <si>
    <t>保湿力はあまりない</t>
  </si>
  <si>
    <t>夏向きのファンデーションなので、冬にすると乾燥が目立つ</t>
  </si>
  <si>
    <t>ボトルを開けて手でとるタイプなので、使いにくい</t>
  </si>
  <si>
    <t>夏のメイク崩れを防ぎたい方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</si>
  <si>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</si>
  <si>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エスティローダーのダブルウェアは、崩れないことで評判がよかったので、ずっと気になっていました。
パウダーファンデーションの方が崩れにくいと思い込んでいたのですが、こちらは夏でも崩れないので驚きました。
夏の間はずっとこちらを使用しようと思います。
</t>
  </si>
  <si>
    <t xml:space="preserve">このファンデーションは、ユーチューバーさんがお勧めしていたのと、含まれている成分でコスメの良さを評価する先生のブログでも高評価だったので、購入しました。
崩れにくく、カバー力もあるのでとっても気に入っています。
</t>
  </si>
  <si>
    <t>https://www.cosme.net/product/product_id/827/reviews</t>
  </si>
  <si>
    <t>素肌感がありナチュラルに肌を綺麗に見せてくれる</t>
  </si>
  <si>
    <t>よく伸びる</t>
  </si>
  <si>
    <t>カラーバリエーションが豊富</t>
  </si>
  <si>
    <t>カバー力がないので、肌が綺麗な人向き</t>
  </si>
  <si>
    <t>時間が経つとくすむ</t>
  </si>
  <si>
    <t>艶感があるので、マットな肌になりたい方には向かない</t>
  </si>
  <si>
    <t>素肌が綺麗な方</t>
  </si>
  <si>
    <r>
      <t xml:space="preserve">３位の商品のためになった（なる）口コミやレビューを２つ記入してください。
</t>
    </r>
    <r>
      <rPr>
        <sz val="9"/>
        <color rgb="FFFF0000"/>
        <rFont val="Arial"/>
        <family val="2"/>
      </rPr>
      <t>※短文すぎない（100文字程度）口コミをお願いします。</t>
    </r>
  </si>
  <si>
    <t>RMKのリクイドファンデーションは、モデルさんで使っている人も多く、雑誌で何度も登場しているのを見て、気になっていたので購入しました。
薄付きなのに、これをつけると肌がとっても綺麗になります。
気になる部分はコンシーラーで隠せば問題ありません。</t>
  </si>
  <si>
    <t>RMKのリクイドファンデーションは、薄付きでナチュラルに艶感のある綺麗な肌に仕上げてくれます。
今まではメイクが崩れると、鼻の毛穴部分がとても汚く崩れていたのですが、こちらは毛穴落ちしないのが、とっても嬉しいです。</t>
  </si>
  <si>
    <t>https://www.cosme.net/product/product_id/327/reviews</t>
  </si>
  <si>
    <t>今回取り上げたアイテムは、「何を求めてる人」にピッタリだと思いますか？
具体的に3つ記入してください。</t>
  </si>
  <si>
    <t>崩れないリキッドファンデーションを求めている方</t>
  </si>
  <si>
    <t>素肌を生かしてナチュラルに肌を綺麗に見せてくれるリキッドファンデーションを求めている方</t>
  </si>
  <si>
    <t>何も付けていないかのような、軽い付け心地のリキッドファンデーションを求めている方</t>
  </si>
  <si>
    <t>&lt;a target="_blank" href="//af.moshimo.com/af/c/click?a_id=988731&amp;amp;p_id=170&amp;amp;pc_id=185&amp;amp;pl_id=4062&amp;amp;url=https%3A%2F%2Fwww.amazon.co.jp%2F%25E3%2582%25A4%25E3%2583%25B4%25E3%2582%25B5%25E3%2583%25B3%25E3%2583%25AD%25E3%2583%25BC%25E3%2583%25A9%25E3%2583%25B3-Yves-Saint-Laurent-%25E3%2582%25BF%25E3%2583%25B3%25E3%2582%25A2%25E3%2583%25B3%25E3%2582%25AF%25E3%2583%25AB%25E3%2583%2589%25E3%2583%259D%25E3%2583%25BC%2Fdp%2FB00MFWPSMQ" rel="nofollow"&gt;&lt;img src="https://images-fe.ssl-images-amazon.com/images/I/31VAdvb5OJL.jpg" alt="" style="border: none;" /&gt;&lt;br /&gt;イヴサンローラン(Yves Saint Laurent) タンアンクルドポー #BR20 25ml[675490][並行輸入品]&lt;/a&gt;&lt;img src="//i.moshimo.com/af/i/impression?a_id=988731&amp;amp;p_id=170&amp;amp;pc_id=185&amp;amp;pl_id=4062" alt="" width="1" height="1" style="border: 0px;" /&gt;</t>
  </si>
  <si>
    <t>&lt;a target="_blank" href="//af.moshimo.com/af/c/click?a_id=988729&amp;amp;p_id=54&amp;amp;pc_id=54&amp;amp;pl_id=616&amp;amp;url=https%3A%2F%2Fitem.rakuten.co.jp%2Fcosmeland%2F261014%2F&amp;amp;m=http%3A%2F%2Fm.rakuten.co.jp%2Fcosmeland%2Fi%2F10096241%2F&amp;amp;r_v=g00pr1t3.9tq3e34d.g00pr1t3.9tq3f1f2" rel="nofollow"&gt;&lt;img src="//thumbnail.image.rakuten.co.jp/@0_mall/cosmeland/cabinet/2017_1/261014_1.jpg?_ex=128x128" alt="" style="border: none;" /&gt;&lt;br /&gt;最大PT42倍！お買い物マラソン★イヴサンローラン Yves Saint Laurent タン アンクル ド ポー SPF18 PA+++ 25mL リキッドファンデーション&lt;/a&gt;&lt;img src="//i.moshimo.com/af/i/impression?a_id=988729&amp;amp;p_id=54&amp;amp;pc_id=54&amp;amp;pl_id=616" alt="" width="1" height="1" style="border: 0px;" /&gt;</t>
  </si>
  <si>
    <t>&lt;a target="_blank" href="//af.moshimo.com/af/c/click?a_id=988731&amp;amp;p_id=170&amp;amp;pc_id=185&amp;amp;pl_id=4062&amp;amp;url=https%3A%2F%2Fwww.amazon.co.jp%2F%25E3%2580%2590%25E3%2582%25A8%25E3%2582%25B9%25E3%2583%2586%25E3%2582%25A3%25E3%2583%25AD%25E3%2583%25BC%25E3%2583%2580%25E3%2583%25BC%25E3%2580%2591%25E3%2583%2580%25E3%2583%2596%25E3%2583%25AB-%25E3%2583%2597%25E3%2583%25AC%25E3%2582%25A4%25E3%2582%25B9-%25E3%2583%25A1%25E3%2583%25BC%25E3%2582%25AF%25E3%2582%25A2%25E3%2583%2583%25E3%2583%2597-30ml-%25E4%25B8%25A6%25E8%25A1%258C%25E8%25BC%25B8%25E5%2585%25A5%25E5%2593%2581%2Fdp%2FB00WHXMBRI" rel="nofollow"&gt;&lt;img src="https://images-fe.ssl-images-amazon.com/images/I/41zBRlIwY4L.jpg" alt="" style="border: none;" /&gt;&lt;br /&gt;【エスティローダー】ダブル ウェア ステイ イン プレイス メークアップ #62 クール バニラ 30ml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</si>
  <si>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cosmeprima%2F233828_1%2F&amp;amp;m=http%3A%2F%2Fm.rakuten.co.jp%2Fcosmeprima%2Fi%2F10072366%2F&amp;amp;r_v=g00rv1g3.9tq3ee5b.g00rv1g3.9tq3f93d" rel="nofollow"&gt;&lt;img src="//thumbnail.image.rakuten.co.jp/@0_mall/cosmeprima/cabinet/2017_3/233828_1_1.jpg?_ex=128x128" alt="" style="border: none;" /&gt;&lt;br /&gt;エスティローダー ダブルウェアステイインプレイスメークアップ SPF10 30mL ESTEE LAUDER&lt;/a&gt;&lt;img src="//i.moshimo.com/af/i/impression?a_id=988729&amp;amp;p_id=54&amp;amp;pc_id=54&amp;amp;pl_id=616" alt="" width="1" height="1" style="border: 0px;" /&gt;</t>
  </si>
  <si>
    <t>&lt;a target="_blank" href="//af.moshimo.com/af/c/click?a_id=988731&amp;amp;p_id=170&amp;amp;pc_id=185&amp;amp;pl_id=4062&amp;amp;url=https%3A%2F%2Fwww.amazon.co.jp%2F%25E3%2582%25A2%25E3%2583%25BC%25E3%2583%25AB%25E3%2582%25A8%25E3%2583%25A0%25E3%2582%25B1%25E3%2583%25BC-RMK-%25E3%2583%25AA%25E3%2582%25AF%25E3%2582%25A4%25E3%2583%2589%25E3%2583%2595%25E3%2582%25A1%25E3%2583%25B3%25E3%2583%2587%25E3%2583%25BC%25E3%2582%25B7%25E3%2583%25A7%25E3%2583%25B3-SPF14-%25E4%25B8%25A6%25E8%25A1%258C%25E8%25BC%25B8%25E5%2585%25A5%25E5%2593%2581%2Fdp%2FB06XRY6D65" rel="nofollow"&gt;&lt;img src="https://images-fe.ssl-images-amazon.com/images/I/31t6uLUJK3L.jpg" alt="" style="border: none;" /&gt;&lt;br /&gt;アールエムケー(RMK) リクイドファンデーション #102 30ml/SPF14 PA++[並行輸入品]&lt;/a&gt;&lt;img src="//i.moshimo.com/af/i/impression?a_id=988731&amp;amp;p_id=170&amp;amp;pc_id=185&amp;amp;pl_id=4062" alt="" width="1" height="1" style="border: 0px;" /&gt;</t>
  </si>
  <si>
    <t>&lt;a target="_blank" href="//af.moshimo.com/af/c/click?a_id=988729&amp;amp;p_id=54&amp;amp;pc_id=54&amp;amp;pl_id=616&amp;amp;url=https%3A%2F%2Fitem.rakuten.co.jp%2Fcosme-venus%2F4973167600627%2F&amp;amp;m=http%3A%2F%2Fm.rakuten.co.jp%2Fcosme-venus%2Fi%2F10000926%2F&amp;amp;r_v=g00s3q03.9tq3e13b.g00s3q03.9tq3fca5" rel="nofollow"&gt;&lt;img src="//thumbnail.image.rakuten.co.jp/@0_mall/cosme-venus/cabinet/04354108/rmk/imgrc0068246052.jpg?_ex=128x128" alt="" style="border: none;" /&gt;&lt;br /&gt;【ゆうパケット・定形外】RMK リクイドファンデーション #102 30ml SPF14PA++【リニューアル】&lt;/a&gt;&lt;img src="//i.moshimo.com/af/i/impression?a_id=988729&amp;amp;p_id=54&amp;amp;pc_id=54&amp;amp;pl_id=616" alt="" width="1" height="1" style="border: 0px;" /&gt;</t>
  </si>
  <si>
    <t>おすすめデパコスリキッドファンデーション3選。口コミでも人気はこれ！</t>
    <rPh sb="21" eb="22">
      <t>セン</t>
    </rPh>
    <rPh sb="23" eb="24">
      <t>クチ</t>
    </rPh>
    <rPh sb="28" eb="30">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</si>
</sst>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0"/>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3">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lignment vertical="center"/>
    </xf>
    <xf numFmtId="0" fontId="17" fillId="3" borderId="3" xfId="0" applyFont="1" applyFill="1" applyBorder="1" applyAlignment="1">
      <alignment wrapText="1"/>
    </xf>
    <xf numFmtId="0" fontId="3" fillId="5" borderId="12" xfId="0" applyFont="1" applyFill="1" applyBorder="1" applyAlignment="1">
      <alignment vertical="center"/>
    </xf>
    <xf numFmtId="0" fontId="3" fillId="6"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327/reviews" TargetMode="External"/><Relationship Id="rId2" Type="http://schemas.openxmlformats.org/officeDocument/2006/relationships/hyperlink" Target="https://www.cosme.net/product/product_id/827/reviews" TargetMode="External"/><Relationship Id="rId1" Type="http://schemas.openxmlformats.org/officeDocument/2006/relationships/hyperlink" Target="https://www.cosme.net/product/product_id/10091083/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56" sqref="C56"/>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8</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139</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126</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143</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144</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145</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146</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148</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149</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150</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151</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152</v>
      </c>
      <c r="C23" s="69" t="s">
        <v>153</v>
      </c>
      <c r="D23" s="3"/>
      <c r="E23" s="3"/>
      <c r="F23" s="3"/>
      <c r="G23" s="3"/>
      <c r="H23" s="3"/>
      <c r="I23" s="3"/>
      <c r="J23" s="3"/>
      <c r="K23" s="3"/>
      <c r="L23" s="3"/>
      <c r="M23" s="3"/>
      <c r="N23" s="3"/>
      <c r="O23" s="3"/>
      <c r="P23" s="3"/>
      <c r="Q23" s="3"/>
      <c r="R23" s="3"/>
      <c r="S23" s="3"/>
      <c r="T23" s="3"/>
      <c r="U23" s="3"/>
      <c r="V23" s="3"/>
      <c r="W23" s="3"/>
      <c r="X23" s="3"/>
      <c r="Y23" s="3"/>
      <c r="Z23" s="3"/>
    </row>
    <row r="24" spans="1:26" ht="36.75" thickBot="1">
      <c r="A24" s="4" t="s">
        <v>29</v>
      </c>
      <c r="B24" s="42"/>
      <c r="C24" s="9" t="s">
        <v>154</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70" t="s">
        <v>158</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139</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127</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3" t="s">
        <v>164</v>
      </c>
      <c r="C36" s="27"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1"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155</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9" t="s">
        <v>175</v>
      </c>
      <c r="C49" s="72"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1"/>
      <c r="C50" s="72"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155</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155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5" sqref="C14:C15"/>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136</v>
      </c>
      <c r="C3" s="15" t="s">
        <v>137</v>
      </c>
      <c r="D3" s="16" t="s">
        <v>138</v>
      </c>
      <c r="E3" s="3"/>
      <c r="F3" s="3"/>
      <c r="G3" s="3"/>
      <c r="H3" s="3"/>
      <c r="I3" s="3"/>
      <c r="J3" s="3"/>
      <c r="K3" s="3"/>
      <c r="L3" s="3"/>
      <c r="M3" s="3"/>
      <c r="N3" s="3"/>
      <c r="O3" s="3"/>
      <c r="P3" s="3"/>
      <c r="Q3" s="3"/>
      <c r="R3" s="3"/>
      <c r="S3" s="3"/>
      <c r="T3" s="3"/>
      <c r="U3" s="3"/>
      <c r="V3" s="3"/>
      <c r="W3" s="3"/>
      <c r="X3" s="3"/>
      <c r="Y3" s="3"/>
      <c r="Z3" s="3"/>
    </row>
    <row r="4" spans="1:26" ht="15.75" thickBot="1">
      <c r="A4" s="33" t="s">
        <v>139</v>
      </c>
      <c r="B4" s="17">
        <v>4</v>
      </c>
      <c r="C4" s="17">
        <v>5</v>
      </c>
      <c r="D4" s="17">
        <v>3</v>
      </c>
      <c r="E4" s="3"/>
      <c r="F4" s="3"/>
      <c r="G4" s="3"/>
      <c r="H4" s="3"/>
      <c r="I4" s="3"/>
      <c r="J4" s="3"/>
      <c r="K4" s="3"/>
      <c r="L4" s="3"/>
      <c r="M4" s="3"/>
      <c r="N4" s="3"/>
      <c r="O4" s="3"/>
      <c r="P4" s="3"/>
      <c r="Q4" s="3"/>
      <c r="R4" s="3"/>
      <c r="S4" s="3"/>
      <c r="T4" s="3"/>
      <c r="U4" s="3"/>
      <c r="V4" s="3"/>
      <c r="W4" s="3"/>
      <c r="X4" s="3"/>
      <c r="Y4" s="3"/>
      <c r="Z4" s="3"/>
    </row>
    <row r="5" spans="1:26" ht="15.75" thickBot="1">
      <c r="A5" s="33" t="s">
        <v>126</v>
      </c>
      <c r="B5" s="17">
        <v>3</v>
      </c>
      <c r="C5" s="17">
        <v>5</v>
      </c>
      <c r="D5" s="17">
        <v>3</v>
      </c>
      <c r="E5" s="3"/>
      <c r="F5" s="3"/>
      <c r="G5" s="3"/>
      <c r="H5" s="3"/>
      <c r="I5" s="3"/>
      <c r="J5" s="3"/>
      <c r="K5" s="3"/>
      <c r="L5" s="3"/>
      <c r="M5" s="3"/>
      <c r="N5" s="3"/>
      <c r="O5" s="3"/>
      <c r="P5" s="3"/>
      <c r="Q5" s="3"/>
      <c r="R5" s="3"/>
      <c r="S5" s="3"/>
      <c r="T5" s="3"/>
      <c r="U5" s="3"/>
      <c r="V5" s="3"/>
      <c r="W5" s="3"/>
      <c r="X5" s="3"/>
      <c r="Y5" s="3"/>
      <c r="Z5" s="3"/>
    </row>
    <row r="6" spans="1:26" ht="15.75" thickBot="1">
      <c r="A6" s="33" t="s">
        <v>140</v>
      </c>
      <c r="B6" s="17">
        <v>3</v>
      </c>
      <c r="C6" s="17">
        <v>2</v>
      </c>
      <c r="D6" s="17">
        <v>3</v>
      </c>
      <c r="E6" s="3"/>
      <c r="F6" s="3"/>
      <c r="G6" s="3"/>
      <c r="H6" s="3"/>
      <c r="I6" s="3"/>
      <c r="J6" s="3"/>
      <c r="K6" s="3"/>
      <c r="L6" s="3"/>
      <c r="M6" s="3"/>
      <c r="N6" s="3"/>
      <c r="O6" s="3"/>
      <c r="P6" s="3"/>
      <c r="Q6" s="3"/>
      <c r="R6" s="3"/>
      <c r="S6" s="3"/>
      <c r="T6" s="3"/>
      <c r="U6" s="3"/>
      <c r="V6" s="3"/>
      <c r="W6" s="3"/>
      <c r="X6" s="3"/>
      <c r="Y6" s="3"/>
      <c r="Z6" s="3"/>
    </row>
    <row r="7" spans="1:26" ht="15.75" thickBot="1">
      <c r="A7" s="33" t="s">
        <v>141</v>
      </c>
      <c r="B7" s="17">
        <v>4</v>
      </c>
      <c r="C7" s="17">
        <v>4</v>
      </c>
      <c r="D7" s="17">
        <v>4</v>
      </c>
      <c r="E7" s="3"/>
      <c r="F7" s="3"/>
      <c r="G7" s="3"/>
      <c r="H7" s="3"/>
      <c r="I7" s="3"/>
      <c r="J7" s="3"/>
      <c r="K7" s="3"/>
      <c r="L7" s="3"/>
      <c r="M7" s="3"/>
      <c r="N7" s="3"/>
      <c r="O7" s="3"/>
      <c r="P7" s="3"/>
      <c r="Q7" s="3"/>
      <c r="R7" s="3"/>
      <c r="S7" s="3"/>
      <c r="T7" s="3"/>
      <c r="U7" s="3"/>
      <c r="V7" s="3"/>
      <c r="W7" s="3"/>
      <c r="X7" s="3"/>
      <c r="Y7" s="3"/>
      <c r="Z7" s="3"/>
    </row>
    <row r="8" spans="1:26" ht="15.75" thickBot="1">
      <c r="A8" s="33" t="s">
        <v>142</v>
      </c>
      <c r="B8" s="17">
        <v>4</v>
      </c>
      <c r="C8" s="17">
        <v>1</v>
      </c>
      <c r="D8" s="17">
        <v>3</v>
      </c>
      <c r="E8" s="3"/>
      <c r="F8" s="3"/>
      <c r="G8" s="3"/>
      <c r="H8" s="3"/>
      <c r="I8" s="3"/>
      <c r="J8" s="3"/>
      <c r="K8" s="3"/>
      <c r="L8" s="3"/>
      <c r="M8" s="3"/>
      <c r="N8" s="3"/>
      <c r="O8" s="3"/>
      <c r="P8" s="3"/>
      <c r="Q8" s="3"/>
      <c r="R8" s="3"/>
      <c r="S8" s="3"/>
      <c r="T8" s="3"/>
      <c r="U8" s="3"/>
      <c r="V8" s="3"/>
      <c r="W8" s="3"/>
      <c r="X8" s="3"/>
      <c r="Y8" s="3"/>
      <c r="Z8" s="3"/>
    </row>
    <row r="9" spans="1:26" ht="15" thickBot="1">
      <c r="A9" s="18" t="s">
        <v>68</v>
      </c>
      <c r="B9" s="19">
        <v>18</v>
      </c>
      <c r="C9" s="19">
        <v>17</v>
      </c>
      <c r="D9" s="19">
        <v>16</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J12" sqref="J1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131</v>
      </c>
    </row>
    <row r="3" spans="2:8">
      <c r="B3" s="34"/>
      <c r="C3" s="31"/>
      <c r="D3" s="31"/>
      <c r="H3" t="s">
        <v>132</v>
      </c>
    </row>
    <row r="4" spans="2:8">
      <c r="B4" s="23" t="s">
        <v>119</v>
      </c>
      <c r="C4" s="23" t="s">
        <v>120</v>
      </c>
      <c r="D4" s="23" t="s">
        <v>121</v>
      </c>
      <c r="H4" t="s">
        <v>133</v>
      </c>
    </row>
    <row r="5" spans="2:8">
      <c r="B5" s="23" t="s">
        <v>103</v>
      </c>
      <c r="C5" s="22" t="str">
        <f>IF(C22="","",SUBSTITUTE(MID(C22,FIND("src=",C22)+5,FIND("alt",C22)-FIND("src=",C22)-7),"amp;",""))</f>
        <v>https://images-fe.ssl-images-amazon.com/images/I/31VAdvb5OJL.jpg</v>
      </c>
      <c r="D5" s="22" t="str">
        <f>アンケート!C13</f>
        <v>イヴサンローラン　タンアンクルドポー</v>
      </c>
      <c r="E5" t="s">
        <v>122</v>
      </c>
    </row>
    <row r="6" spans="2:8">
      <c r="B6" s="23" t="s">
        <v>102</v>
      </c>
      <c r="C6" s="22" t="str">
        <f>IF(C24="","",SUBSTITUTE(MID(C24,FIND("src=",C24)+5,FIND("alt",C24)-FIND("src=",C24)-7),"amp;",""))</f>
        <v>https://images-fe.ssl-images-amazon.com/images/I/41zBRlIwY4L.jpg</v>
      </c>
      <c r="D6" s="22" t="str">
        <f>アンケート!C28</f>
        <v>エスティローダー ダブルウェアステイインプレイスメイクアップ</v>
      </c>
      <c r="E6" t="s">
        <v>122</v>
      </c>
    </row>
    <row r="7" spans="2:8">
      <c r="B7" s="23" t="s">
        <v>101</v>
      </c>
      <c r="C7" s="22" t="str">
        <f>IF(C26="","",SUBSTITUTE(MID(C26,FIND("src=",C26)+5,FIND("alt",C26)-FIND("src=",C26)-7),"amp;",""))</f>
        <v>https://images-fe.ssl-images-amazon.com/images/I/31t6uLUJK3L.jpg</v>
      </c>
      <c r="D7" s="22" t="str">
        <f>アンケート!C41</f>
        <v>RMK　リクイドファンデーション</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https://www.cosme.net/product/product_id/10091083/reviews</v>
      </c>
      <c r="D12" s="62">
        <f>SQL!A11+1</f>
        <v>187</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https://www.cosme.net/product/product_id/827/reviews</v>
      </c>
      <c r="D14" s="62">
        <f>IF(D12="","",D12+1)</f>
        <v>188</v>
      </c>
      <c r="E14" s="22" t="str">
        <f>アンケート!C38</f>
        <v>30代女性</v>
      </c>
      <c r="F14" s="22" t="str">
        <f>IF(ISERROR(FIND("女",E14)),"m","w")&amp;"_"&amp;LEFT(E14,2)&amp;"_"&amp;"2"</f>
        <v>w_30_2</v>
      </c>
    </row>
    <row r="15" spans="2:8">
      <c r="B15" s="67"/>
      <c r="C15" s="68"/>
      <c r="D15" s="63"/>
      <c r="E15" s="22" t="str">
        <f>アンケート!C39</f>
        <v>20代女性</v>
      </c>
      <c r="F15" s="22" t="str">
        <f>IF(ISERROR(FIND("女",E15)),"m","w")&amp;"_"&amp;LEFT(E15,2)&amp;"_"&amp;"1"</f>
        <v>w_20_1</v>
      </c>
    </row>
    <row r="16" spans="2:8">
      <c r="B16" s="66" t="s">
        <v>101</v>
      </c>
      <c r="C16" s="68" t="str">
        <f>アンケート!C53</f>
        <v>https://www.cosme.net/product/product_id/327/reviews</v>
      </c>
      <c r="D16" s="62">
        <f>IF(D14="","",D14+1)</f>
        <v>189</v>
      </c>
      <c r="E16" s="22" t="str">
        <f>アンケート!C51</f>
        <v>30代女性</v>
      </c>
      <c r="F16" s="22" t="str">
        <f>IF(ISERROR(FIND("女",E16)),"m","w")&amp;"_"&amp;LEFT(E16,2)&amp;"_"&amp;"2"</f>
        <v>w_30_2</v>
      </c>
    </row>
    <row r="17" spans="2:6">
      <c r="B17" s="67"/>
      <c r="C17" s="68"/>
      <c r="D17" s="63"/>
      <c r="E17" s="22" t="str">
        <f>アンケート!C52</f>
        <v>30代女性</v>
      </c>
      <c r="F17" s="22" t="str">
        <f t="shared" ref="F17" si="0">IF(ISERROR(FIND("女",E17)),"m","w")&amp;"_"&amp;LEFT(E17,2)&amp;"_"&amp;"1"</f>
        <v>w_30_1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183</v>
      </c>
      <c r="D22" s="65" t="str">
        <f t="shared" ref="D22:D27" si="1">IF(C22="","",SUBSTITUTE(MID(C22,FIND("href=",C22)+6,FIND("rel=",C22)-FIND("href=",C22)-8),"amp;",""))</f>
        <v>//af.moshimo.com/af/c/click?a_id=988731&amp;p_id=170&amp;pc_id=185&amp;pl_id=4062&amp;url=https%3A%2F%2Fwww.amazon.co.jp%2F%25E3%2582%25A4%25E3%2583%25B4%25E3%2582%25B5%25E3%2583%25B3%25E3%2583%25AD%25E3%2583%25BC%25E3%2583%25A9%25E3%2583%25B3-Yves-Saint-Laurent-%25E3%2582%25BF%25E3%2583%25B3%25E3%2582%25A2%25E3%2583%25B3%25E3%2582%25AF%25E3%2583%25AB%25E3%2583%2589%25E3%2583%259D%25E3%2583%25BC%2Fdp%2FB00MFWPSMQ</v>
      </c>
      <c r="E22" s="65"/>
      <c r="F22" s="22" t="str">
        <f>IF(ISERROR(FIND("amazon",C22)),IF(ISERROR(FIND("rakuten",C22)),"","楽天"),"Amazon")</f>
        <v>Amazon</v>
      </c>
    </row>
    <row r="23" spans="2:6">
      <c r="B23" s="64"/>
      <c r="C23" s="22" t="s">
        <v>184</v>
      </c>
      <c r="D23" s="65" t="str">
        <f t="shared" si="1"/>
        <v>//af.moshimo.com/af/c/click?a_id=988729&amp;p_id=54&amp;pc_id=54&amp;pl_id=616&amp;url=https%3A%2F%2Fitem.rakuten.co.jp%2Fcosmeland%2F261014%2F&amp;m=http%3A%2F%2Fm.rakuten.co.jp%2Fcosmeland%2Fi%2F10096241%2F&amp;r_v=g00pr1t3.9tq3e34d.g00pr1t3.9tq3f1f2</v>
      </c>
      <c r="E23" s="65"/>
      <c r="F23" s="22" t="str">
        <f t="shared" ref="F23:F27" si="2">IF(ISERROR(FIND("amazon",C23)),IF(ISERROR(FIND("rakuten",C23)),"","楽天"),"Amazon")</f>
        <v>楽天</v>
      </c>
    </row>
    <row r="24" spans="2:6">
      <c r="B24" s="64" t="s">
        <v>114</v>
      </c>
      <c r="C24" s="22" t="s">
        <v>185</v>
      </c>
      <c r="D24" s="65" t="str">
        <f t="shared" si="1"/>
        <v>//af.moshimo.com/af/c/click?a_id=988731&amp;p_id=170&amp;pc_id=185&amp;pl_id=4062&amp;url=https%3A%2F%2Fwww.amazon.co.jp%2F%25E3%2580%2590%25E3%2582%25A8%25E3%2582%25B9%25E3%2583%2586%25E3%2582%25A3%25E3%2583%25AD%25E3%2583%25BC%25E3%2583%2580%25E3%2583%25BC%25E3%2580%2591%25E3%2583%2580%25E3%2583%2596%25E3%2583%25AB-%25E3%2583%2597%25E3%2583%25AC%25E3%2582%25A4%25E3%2582%25B9-%25E3%2583%25A1%25E3%2583%25BC%25E3%2582%25AF%25E3%2582%25A2%25E3%2583%2583%25E3%2583%2597-30ml-%25E4%25B8%25A6%25E8%25A1%258C%25E8%25BC%25B8%25E5%2585%25A5%25E5%2593%2581%2Fdp%2FB00WHXMBRI</v>
      </c>
      <c r="E24" s="65"/>
      <c r="F24" s="22" t="str">
        <f t="shared" si="2"/>
        <v>Amazon</v>
      </c>
    </row>
    <row r="25" spans="2:6">
      <c r="B25" s="64"/>
      <c r="C25" s="22" t="s">
        <v>186</v>
      </c>
      <c r="D25" s="65" t="str">
        <f t="shared" si="1"/>
        <v>//af.moshimo.com/af/c/click?a_id=988729&amp;p_id=54&amp;pc_id=54&amp;pl_id=616&amp;url=https%3A%2F%2Fitem.rakuten.co.jp%2Fcosmeprima%2F233828_1%2F&amp;m=http%3A%2F%2Fm.rakuten.co.jp%2Fcosmeprima%2Fi%2F10072366%2F&amp;r_v=g00rv1g3.9tq3ee5b.g00rv1g3.9tq3f93d</v>
      </c>
      <c r="E25" s="65"/>
      <c r="F25" s="22" t="str">
        <f t="shared" si="2"/>
        <v>楽天</v>
      </c>
    </row>
    <row r="26" spans="2:6">
      <c r="B26" s="64" t="s">
        <v>115</v>
      </c>
      <c r="C26" s="22" t="s">
        <v>187</v>
      </c>
      <c r="D26" s="65" t="str">
        <f t="shared" si="1"/>
        <v>//af.moshimo.com/af/c/click?a_id=988731&amp;p_id=170&amp;pc_id=185&amp;pl_id=4062&amp;url=https%3A%2F%2Fwww.amazon.co.jp%2F%25E3%2582%25A2%25E3%2583%25BC%25E3%2583%25AB%25E3%2582%25A8%25E3%2583%25A0%25E3%2582%25B1%25E3%2583%25BC-RMK-%25E3%2583%25AA%25E3%2582%25AF%25E3%2582%25A4%25E3%2583%2589%25E3%2583%2595%25E3%2582%25A1%25E3%2583%25B3%25E3%2583%2587%25E3%2583%25BC%25E3%2582%25B7%25E3%2583%25A7%25E3%2583%25B3-SPF14-%25E4%25B8%25A6%25E8%25A1%258C%25E8%25BC%25B8%25E5%2585%25A5%25E5%2593%2581%2Fdp%2FB06XRY6D65</v>
      </c>
      <c r="E26" s="65"/>
      <c r="F26" s="22" t="str">
        <f t="shared" si="2"/>
        <v>Amazon</v>
      </c>
    </row>
    <row r="27" spans="2:6">
      <c r="B27" s="64"/>
      <c r="C27" s="22" t="s">
        <v>188</v>
      </c>
      <c r="D27" s="65" t="str">
        <f t="shared" si="1"/>
        <v>//af.moshimo.com/af/c/click?a_id=988729&amp;p_id=54&amp;pc_id=54&amp;pl_id=616&amp;url=https%3A%2F%2Fitem.rakuten.co.jp%2Fcosme-venus%2F4973167600627%2F&amp;m=http%3A%2F%2Fm.rakuten.co.jp%2Fcosme-venus%2Fi%2F10000926%2F&amp;r_v=g00s3q03.9tq3e13b.g00s3q03.9tq3fca5</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61" workbookViewId="0">
      <selection activeCell="C27" sqref="C27"/>
    </sheetView>
  </sheetViews>
  <sheetFormatPr defaultRowHeight="13.5"/>
  <cols>
    <col min="1" max="1" width="67.375" bestFit="1" customWidth="1"/>
  </cols>
  <sheetData>
    <row r="1" spans="1:1">
      <c r="A1" s="20" t="str">
        <f>CONCATENATE("&lt;h2&gt;",入力シート!C2,"&lt;/h2&gt;")</f>
        <v>&lt;h2&gt;おすすめデパコスリキッドファンデーション3選。口コミでも人気はこれ！&lt;/h2&gt;</v>
      </c>
    </row>
    <row r="2" spans="1:1">
      <c r="A2" s="20" t="s">
        <v>86</v>
      </c>
    </row>
    <row r="3" spans="1:1">
      <c r="A3" s="21" t="s">
        <v>87</v>
      </c>
    </row>
    <row r="4" spans="1:1">
      <c r="A4" s="20" t="str">
        <f>CONCATENATE("&lt;li&gt;", アンケート!C54, "&lt;/li&gt;")</f>
        <v>&lt;li&gt;崩れないリキッドファンデーションを求めている方&lt;/li&gt;</v>
      </c>
    </row>
    <row r="5" spans="1:1">
      <c r="A5" s="20" t="str">
        <f>CONCATENATE("&lt;li&gt;", アンケート!C55, "&lt;/li&gt;")</f>
        <v>&lt;li&gt;素肌を生かしてナチュラルに肌を綺麗に見せてくれるリキッドファンデーションを求めている方&lt;/li&gt;</v>
      </c>
    </row>
    <row r="6" spans="1:1">
      <c r="A6" s="20" t="str">
        <f>CONCATENATE("&lt;li&gt;", アンケート!C56, "&lt;/li&gt;")</f>
        <v>&lt;li&gt;何も付けていないかのような、軽い付け心地のリキッドファンデーションを求めている方&lt;/li&gt;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src="http://shomty.com/wp-content/uploads/img/parts/positionMap/8.jpg" /&gt;</v>
      </c>
    </row>
    <row r="13" spans="1:1">
      <c r="A13" s="30" t="str">
        <f>CONCATENATE("今回紹介する『", アンケート!C2,"』は","「価格と品質」どちらを重要視したのかをあらわした図です。")</f>
        <v>今回紹介する『デパコス　リキッドファンデーション』は「価格と品質」どちらを重要視したのかをあらわした図です。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&lt;h2&gt;『デパコス　リキッドファンデーション』 ランキング&lt;/h2&gt;</v>
      </c>
    </row>
    <row r="20" spans="1:2">
      <c r="A20" t="s">
        <v>91</v>
      </c>
    </row>
    <row r="22" spans="1:2">
      <c r="A22" t="str">
        <f>CONCATENATE("&lt;h3&gt;3位 ",アンケート!C41,"&lt;/h3&gt;")</f>
        <v>&lt;h3&gt;3位 RMK　リクイドファンデーション&lt;/h3&gt;</v>
      </c>
    </row>
    <row r="23" spans="1:2">
      <c r="A23" t="s">
        <v>92</v>
      </c>
    </row>
    <row r="24" spans="1:2">
      <c r="A24" t="s">
        <v>69</v>
      </c>
    </row>
    <row r="25" spans="1:2">
      <c r="A25" t="str">
        <f>アンケート!C48</f>
        <v>素肌が綺麗な方</v>
      </c>
    </row>
    <row r="26" spans="1:2">
      <c r="A26" t="s">
        <v>70</v>
      </c>
    </row>
    <row r="27" spans="1:2">
      <c r="A27" s="6" t="str">
        <f>CONCATENATE("[tblStart num=5]", 入力シート!C7, "[/tblStart]")</f>
        <v>[tblStart num=5]https://images-fe.ssl-images-amazon.com/images/I/31t6uLUJK3L.jpg[/tblStart]</v>
      </c>
    </row>
    <row r="28" spans="1:2">
      <c r="A28" t="str">
        <f>CONCATENATE("[tdLevel type=", B28, "]", 比較表!A4, "[/tdLevel]")</f>
        <v>[tdLevel type=3]崩れにくい[/tdLevel]</v>
      </c>
      <c r="B28">
        <f>HLOOKUP(アンケート!$C$41,比較表!$B$3:$D$8,2,FALSE)</f>
        <v>3</v>
      </c>
    </row>
    <row r="29" spans="1:2">
      <c r="A29" t="str">
        <f>CONCATENATE("[tdLevel type=", B29, "]", 比較表!A5, "[/tdLevel]")</f>
        <v>[tdLevel type=3]カバー力[/tdLevel]</v>
      </c>
      <c r="B29">
        <f>HLOOKUP(アンケート!$C$41,比較表!$B$3:$D$8,3,FALSE)</f>
        <v>3</v>
      </c>
    </row>
    <row r="30" spans="1:2">
      <c r="A30" t="str">
        <f>CONCATENATE("[tdLevel type=", B30, "]", 比較表!A6, "[/tdLevel]")</f>
        <v>[tdLevel type=3]保湿力[/tdLevel]</v>
      </c>
      <c r="B30">
        <f>HLOOKUP(アンケート!$C$41,比較表!$B$3:$D$8,4,FALSE)</f>
        <v>3</v>
      </c>
    </row>
    <row r="31" spans="1:2">
      <c r="A31" t="str">
        <f>CONCATENATE("[tdLevel type=", B31, "]", 比較表!A7, "[/tdLevel]")</f>
        <v>[tdLevel type=4]肌が綺麗に見える[/tdLevel]</v>
      </c>
      <c r="B31">
        <f>HLOOKUP(アンケート!$C$41,比較表!$B$3:$D$8,5,FALSE)</f>
        <v>4</v>
      </c>
    </row>
    <row r="32" spans="1:2">
      <c r="A32" t="str">
        <f>CONCATENATE("[tdLevel type=", B32, "]", 比較表!A8, "[/tdLevel]")</f>
        <v>[tdLevel type=3]使いやすさ[/tdLevel]</v>
      </c>
      <c r="B32">
        <f>HLOOKUP(アンケート!$C$41,比較表!$B$3:$D$8,6,FALSE)</f>
        <v>3</v>
      </c>
    </row>
    <row r="33" spans="1:1">
      <c r="A33" t="s">
        <v>72</v>
      </c>
    </row>
    <row r="35" spans="1:1">
      <c r="A35" s="6" t="str">
        <f>CONCATENATE("[product_link id=",入力シート!D16,"][/product_link]")</f>
        <v>[product_link id=189][/product_link]</v>
      </c>
    </row>
    <row r="36" spans="1:1">
      <c r="A36" t="s">
        <v>93</v>
      </c>
    </row>
    <row r="37" spans="1:1">
      <c r="A37" t="s">
        <v>94</v>
      </c>
    </row>
    <row r="38" spans="1:1">
      <c r="A38" t="s">
        <v>95</v>
      </c>
    </row>
    <row r="39" spans="1:1">
      <c r="A39" t="s">
        <v>87</v>
      </c>
    </row>
    <row r="40" spans="1:1">
      <c r="A40" t="str">
        <f>CONCATENATE("&lt;li&gt;", アンケート!C42,"&lt;/li&gt;")</f>
        <v>&lt;li&gt;素肌感がありナチュラルに肌を綺麗に見せてくれる&lt;/li&gt;</v>
      </c>
    </row>
    <row r="41" spans="1:1">
      <c r="A41" t="str">
        <f>CONCATENATE("&lt;li&gt;", アンケート!C43,"&lt;/li&gt;")</f>
        <v>&lt;li&gt;よく伸びる&lt;/li&gt;</v>
      </c>
    </row>
    <row r="42" spans="1:1">
      <c r="A42" t="str">
        <f>CONCATENATE("&lt;li&gt;", アンケート!C44,"&lt;/li&gt;")</f>
        <v>&lt;li&gt;カラーバリエーションが豊富&lt;/li&gt;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&lt;li&gt;カバー力がないので、肌が綺麗な人向き&lt;/li&gt;</v>
      </c>
    </row>
    <row r="51" spans="1:1">
      <c r="A51" t="str">
        <f>CONCATENATE("&lt;li&gt;", アンケート!C46,"&lt;/li&gt;")</f>
        <v>&lt;li&gt;時間が経つとくすむ&lt;/li&gt;</v>
      </c>
    </row>
    <row r="52" spans="1:1">
      <c r="A52" t="str">
        <f>CONCATENATE("&lt;li&gt;", アンケート!C47,"&lt;/li&gt;")</f>
        <v>&lt;li&gt;艶感があるので、マットな肌になりたい方には向かない&lt;/li&gt;</v>
      </c>
    </row>
    <row r="53" spans="1:1">
      <c r="A53" t="s">
        <v>88</v>
      </c>
    </row>
    <row r="54" spans="1:1">
      <c r="A54" t="s">
        <v>89</v>
      </c>
    </row>
    <row r="55" spans="1:1">
      <c r="A55" t="s">
        <v>96</v>
      </c>
    </row>
    <row r="56" spans="1:1">
      <c r="A56" t="s">
        <v>134</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RMKのリクイドファンデーションは、モデルさんで使っている人も多く、雑誌で何度も登場しているのを見て、気になっていたので購入しました。
薄付きなのに、これをつけると肌がとっても綺麗になります。
気になる部分はコンシーラーで隠せば問題ありません。</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RMKのリクイドファンデーションは、薄付きでナチュラルに艶感のある綺麗な肌に仕上げてくれます。
今まではメイクが崩れると、鼻の毛穴部分がとても汚く崩れていたのですが、こちらは毛穴落ちしないのが、とっても嬉しいです。</v>
      </c>
    </row>
    <row r="62" spans="1:1">
      <c r="A62" t="s">
        <v>104</v>
      </c>
    </row>
    <row r="63" spans="1:1">
      <c r="A63" t="s">
        <v>99</v>
      </c>
    </row>
    <row r="64" spans="1:1">
      <c r="A64" t="str">
        <f>CONCATENATE("[reviewLink id=","""", 入力シート!D16,"""][/reviewLink]")</f>
        <v>[reviewLink id="189"][/reviewLink]</v>
      </c>
    </row>
    <row r="66" spans="1:2">
      <c r="A66" t="str">
        <f>CONCATENATE("&lt;h3&gt;2位 ",アンケート!C28,"&lt;/h3&gt;")</f>
        <v>&lt;h3&gt;2位 エスティローダー ダブルウェアステイインプレイスメイクアップ&lt;/h3&gt;</v>
      </c>
    </row>
    <row r="67" spans="1:2">
      <c r="A67" t="s">
        <v>92</v>
      </c>
    </row>
    <row r="68" spans="1:2">
      <c r="A68" t="s">
        <v>69</v>
      </c>
    </row>
    <row r="69" spans="1:2">
      <c r="A69" t="str">
        <f>アンケート!C35</f>
        <v>夏のメイク崩れを防ぎたい方</v>
      </c>
    </row>
    <row r="70" spans="1:2">
      <c r="A70" t="s">
        <v>70</v>
      </c>
    </row>
    <row r="71" spans="1:2">
      <c r="A71" s="6" t="str">
        <f>CONCATENATE("[tblStart num=5]", 入力シート!$C$6, "[/tblStart]")</f>
        <v>[tblStart num=5]https://images-fe.ssl-images-amazon.com/images/I/41zBRlIwY4L.jpg[/tblStart]</v>
      </c>
    </row>
    <row r="72" spans="1:2">
      <c r="A72" t="str">
        <f>CONCATENATE("[tdLevel type=", B72, "]", 比較表!A4, "[/tdLevel]")</f>
        <v>[tdLevel type=4]崩れにくい[/tdLevel]</v>
      </c>
      <c r="B72">
        <f>HLOOKUP(アンケート!$C$28,比較表!$B$3:$D$8,2)</f>
        <v>4</v>
      </c>
    </row>
    <row r="73" spans="1:2">
      <c r="A73" t="str">
        <f>CONCATENATE("[tdLevel type=", B73, "]", 比較表!A5, "[/tdLevel]")</f>
        <v>[tdLevel type=3]カバー力[/tdLevel]</v>
      </c>
      <c r="B73">
        <f>HLOOKUP(アンケート!$C$28,比較表!$B$3:$D$8,3)</f>
        <v>3</v>
      </c>
    </row>
    <row r="74" spans="1:2">
      <c r="A74" t="str">
        <f>CONCATENATE("[tdLevel type=", B74, "]", 比較表!A6, "[/tdLevel]")</f>
        <v>[tdLevel type=3]保湿力[/tdLevel]</v>
      </c>
      <c r="B74">
        <f>HLOOKUP(アンケート!$C$28,比較表!$B$3:$D$8,4)</f>
        <v>3</v>
      </c>
    </row>
    <row r="75" spans="1:2">
      <c r="A75" t="str">
        <f>CONCATENATE("[tdLevel type=", B75, "]", 比較表!A7, "[/tdLevel]")</f>
        <v>[tdLevel type=4]肌が綺麗に見える[/tdLevel]</v>
      </c>
      <c r="B75">
        <f>HLOOKUP(アンケート!$C$28,比較表!$B$3:$D$8,5)</f>
        <v>4</v>
      </c>
    </row>
    <row r="76" spans="1:2">
      <c r="A76" t="str">
        <f>CONCATENATE("[tdLevel type=", B76, "]", 比較表!A8, "[/tdLevel]")</f>
        <v>[tdLevel type=4]使いやすさ[/tdLevel]</v>
      </c>
      <c r="B76">
        <f>HLOOKUP(アンケート!$C$28,比較表!$B$3:$D$8,6)</f>
        <v>4</v>
      </c>
    </row>
    <row r="77" spans="1:2">
      <c r="A77" t="s">
        <v>72</v>
      </c>
    </row>
    <row r="79" spans="1:2">
      <c r="A79" s="6" t="str">
        <f>CONCATENATE("[product_link id=",入力シート!D14,"][/product_link]")</f>
        <v>[product_link id=188][/product_link]</v>
      </c>
    </row>
    <row r="80" spans="1:2">
      <c r="A80" t="s">
        <v>93</v>
      </c>
    </row>
    <row r="81" spans="1:1">
      <c r="A81" t="s">
        <v>94</v>
      </c>
    </row>
    <row r="82" spans="1:1">
      <c r="A82" t="s">
        <v>95</v>
      </c>
    </row>
    <row r="83" spans="1:1">
      <c r="A83" t="s">
        <v>87</v>
      </c>
    </row>
    <row r="84" spans="1:1">
      <c r="A84" t="str">
        <f>CONCATENATE("&lt;li&gt;", アンケート!C29,"&lt;/li&gt;")</f>
        <v>&lt;li&gt;崩れにくい&lt;/li&gt;</v>
      </c>
    </row>
    <row r="85" spans="1:1">
      <c r="A85" t="str">
        <f>CONCATENATE("&lt;li&gt;", アンケート!C30,"&lt;/li&gt;")</f>
        <v>&lt;li&gt;肌に密着する&lt;/li&gt;</v>
      </c>
    </row>
    <row r="86" spans="1:1">
      <c r="A86" t="str">
        <f>CONCATENATE("&lt;li&gt;", アンケート!C31,"&lt;/li&gt;")</f>
        <v>&lt;li&gt;カバー力がある&lt;/li&gt;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&lt;li&gt;保湿力はあまりない&lt;/li&gt;</v>
      </c>
    </row>
    <row r="95" spans="1:1">
      <c r="A95" t="str">
        <f>CONCATENATE("&lt;li&gt;", アンケート!C33,"&lt;/li&gt;")</f>
        <v>&lt;li&gt;夏向きのファンデーションなので、冬にすると乾燥が目立つ&lt;/li&gt;</v>
      </c>
    </row>
    <row r="96" spans="1:1">
      <c r="A96" t="str">
        <f>CONCATENATE("&lt;li&gt;", アンケート!C34,"&lt;/li&gt;")</f>
        <v>&lt;li&gt;ボトルを開けて手でとるタイプなので、使いにくい&lt;/li&gt;</v>
      </c>
    </row>
    <row r="97" spans="1:1">
      <c r="A97" t="s">
        <v>88</v>
      </c>
    </row>
    <row r="98" spans="1:1">
      <c r="A98" t="s">
        <v>89</v>
      </c>
    </row>
    <row r="99" spans="1:1">
      <c r="A99" t="s">
        <v>96</v>
      </c>
    </row>
    <row r="100" spans="1:1">
      <c r="A100" t="s">
        <v>134</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エスティローダーのダブルウェアは、崩れないことで評判がよかったので、ずっと気になっていました。
パウダーファンデーションの方が崩れにくいと思い込んでいたのですが、こちらは夏でも崩れないので驚きました。
夏の間はずっとこちらを使用しようと思います。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このファンデーションは、ユーチューバーさんがお勧めしていたのと、含まれている成分でコスメの良さを評価する先生のブログでも高評価だったので、購入しました。
崩れにくく、カバー力もあるのでとっても気に入っています。
</v>
      </c>
    </row>
    <row r="106" spans="1:1">
      <c r="A106" t="s">
        <v>104</v>
      </c>
    </row>
    <row r="107" spans="1:1">
      <c r="A107" t="s">
        <v>99</v>
      </c>
    </row>
    <row r="108" spans="1:1">
      <c r="A108" t="str">
        <f>CONCATENATE("[reviewLink id=","""", 入力シート!D14,"""][/reviewLink]")</f>
        <v>[reviewLink id="188"][/reviewLink]</v>
      </c>
    </row>
    <row r="110" spans="1:1">
      <c r="A110" t="str">
        <f>CONCATENATE("&lt;h3&gt;1位 ",アンケート!C13,"&lt;/h3&gt;")</f>
        <v>&lt;h3&gt;1位 イヴサンローラン　タンアンクルドポー&lt;/h3&gt;</v>
      </c>
    </row>
    <row r="111" spans="1:1">
      <c r="A111" t="s">
        <v>92</v>
      </c>
    </row>
    <row r="112" spans="1:1">
      <c r="A112" t="s">
        <v>69</v>
      </c>
    </row>
    <row r="113" spans="1:2">
      <c r="A113" t="str">
        <f>アンケート!C22</f>
        <v>ファンデーションを付けている感触が苦手な方</v>
      </c>
    </row>
    <row r="114" spans="1:2">
      <c r="A114" t="s">
        <v>70</v>
      </c>
    </row>
    <row r="115" spans="1:2" ht="27">
      <c r="A115" s="6" t="str">
        <f>CONCATENATE("[tblStart num=5]", 入力シート!C5, "[/tblStart]")</f>
        <v>[tblStart num=5]https://images-fe.ssl-images-amazon.com/images/I/31VAdvb5OJL.jpg[/tblStart]</v>
      </c>
    </row>
    <row r="116" spans="1:2">
      <c r="A116" t="str">
        <f>CONCATENATE("[tdLevel type=", B116, "]", 比較表!A4, "[/tdLevel]")</f>
        <v>[tdLevel type=4]崩れにくい[/tdLevel]</v>
      </c>
      <c r="B116">
        <f>HLOOKUP(アンケート!$C$13,比較表!$B$3:$D$8,2,FALSE)</f>
        <v>4</v>
      </c>
    </row>
    <row r="117" spans="1:2">
      <c r="A117" t="str">
        <f>CONCATENATE("[tdLevel type=", B117, "]", 比較表!A5, "[/tdLevel]")</f>
        <v>[tdLevel type=3]カバー力[/tdLevel]</v>
      </c>
      <c r="B117">
        <f>HLOOKUP(アンケート!$C$13,比較表!$B$3:$D$8,3,FALSE)</f>
        <v>3</v>
      </c>
    </row>
    <row r="118" spans="1:2">
      <c r="A118" t="str">
        <f>CONCATENATE("[tdLevel type=", B118, "]", 比較表!A6, "[/tdLevel]")</f>
        <v>[tdLevel type=3]保湿力[/tdLevel]</v>
      </c>
      <c r="B118">
        <f>HLOOKUP(アンケート!$C$13,比較表!$B$3:$D$8,4,FALSE)</f>
        <v>3</v>
      </c>
    </row>
    <row r="119" spans="1:2">
      <c r="A119" t="str">
        <f>CONCATENATE("[tdLevel type=", B119, "]", 比較表!A7, "[/tdLevel]")</f>
        <v>[tdLevel type=4]肌が綺麗に見える[/tdLevel]</v>
      </c>
      <c r="B119">
        <f>HLOOKUP(アンケート!$C$13,比較表!$B$3:$D$8,5,FALSE)</f>
        <v>4</v>
      </c>
    </row>
    <row r="120" spans="1:2">
      <c r="A120" t="str">
        <f>CONCATENATE("[tdLevel type=", B120, "]", 比較表!A8, "[/tdLevel]")</f>
        <v>[tdLevel type=4]使いやすさ[/tdLevel]</v>
      </c>
      <c r="B120">
        <f>HLOOKUP(アンケート!$C$13,比較表!$B$3:$D$8,6,FALSE)</f>
        <v>4</v>
      </c>
    </row>
    <row r="121" spans="1:2">
      <c r="A121" t="s">
        <v>72</v>
      </c>
    </row>
    <row r="123" spans="1:2">
      <c r="A123" s="6" t="str">
        <f>CONCATENATE("[product_link id=",入力シート!D12,"][/product_link]")</f>
        <v>[product_link id=187][/product_link]</v>
      </c>
    </row>
    <row r="124" spans="1:2">
      <c r="A124" t="s">
        <v>93</v>
      </c>
    </row>
    <row r="125" spans="1:2">
      <c r="A125" t="s">
        <v>94</v>
      </c>
    </row>
    <row r="126" spans="1:2">
      <c r="A126" t="s">
        <v>95</v>
      </c>
    </row>
    <row r="127" spans="1:2">
      <c r="A127" t="s">
        <v>87</v>
      </c>
    </row>
    <row r="128" spans="1:2">
      <c r="A128" t="str">
        <f>CONCATENATE("&lt;li&gt;", アンケート!C14,"&lt;/li&gt;")</f>
        <v>&lt;li&gt;付けるとサラサラになる&lt;/li&gt;</v>
      </c>
    </row>
    <row r="129" spans="1:1">
      <c r="A129" t="str">
        <f>CONCATENATE("&lt;li&gt;", アンケート!C15,"&lt;/li&gt;")</f>
        <v>&lt;li&gt;良い香りがする&lt;/li&gt;</v>
      </c>
    </row>
    <row r="130" spans="1:1">
      <c r="A130" t="str">
        <f>CONCATENATE("&lt;li&gt;", アンケート!C16,"&lt;/li&gt;")</f>
        <v>&lt;li&gt;軽い付けごこち&lt;/li&gt;</v>
      </c>
    </row>
    <row r="131" spans="1:1">
      <c r="A131" t="str">
        <f>CONCATENATE("&lt;li&gt;", アンケート!C17,"&lt;/li&gt;")</f>
        <v>&lt;li&gt;小さなスパチュラがついているので、出しすぎる心配もなく使いやすい&lt;/li&gt;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&lt;li&gt;香りがあるので、苦手な人もいる&lt;/li&gt;</v>
      </c>
    </row>
    <row r="140" spans="1:1">
      <c r="A140" t="str">
        <f>CONCATENATE("&lt;li&gt;", アンケート!C19,"&lt;/li&gt;")</f>
        <v>&lt;li&gt;カバー力が高くはない&lt;/li&gt;</v>
      </c>
    </row>
    <row r="141" spans="1:1">
      <c r="A141" t="str">
        <f>CONCATENATE("&lt;li&gt;", アンケート!C20,"&lt;/li&gt;")</f>
        <v>&lt;li&gt;スリムなボトルだが、瓶なので重い&lt;/li&gt;</v>
      </c>
    </row>
    <row r="142" spans="1:1">
      <c r="A142" t="str">
        <f>CONCATENATE("&lt;li&gt;", アンケート!C21,"&lt;/li&gt;")</f>
        <v>&lt;li&gt;艶肌になりたい方には向かない&lt;/li&gt;</v>
      </c>
    </row>
    <row r="143" spans="1:1">
      <c r="A143" t="s">
        <v>88</v>
      </c>
    </row>
    <row r="144" spans="1:1">
      <c r="A144" t="s">
        <v>89</v>
      </c>
    </row>
    <row r="145" spans="1:1">
      <c r="A145" t="s">
        <v>96</v>
      </c>
    </row>
    <row r="146" spans="1:1">
      <c r="A146" t="s">
        <v>134</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そろそろデパコスのファンデーションを使ってみようと、人気のあったサンローランのタンアンクルドポーを店頭で試してみました。付けた後さらさらになることに感動し、即決しました。今では他のファンデーションは考えられません。他に良いものが見つかるまでは、ずっとリピートしたいと思います。</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美容系ユーチューバーさんがお勧めしていたのがきっかけで、購入しました。
本当に軽い付け心地で、ファンデーションを付けている感じが苦手でできれば付けたくない派なので、とっても気に入りました。
賛否両論ありますが、香りも上品ですきです。</v>
      </c>
    </row>
    <row r="152" spans="1:1">
      <c r="A152" t="s">
        <v>104</v>
      </c>
    </row>
    <row r="153" spans="1:1">
      <c r="A153" t="s">
        <v>99</v>
      </c>
    </row>
    <row r="154" spans="1:1">
      <c r="A154" t="str">
        <f>CONCATENATE("[reviewLink id=","""", 入力シート!D12,"""][/reviewLink]")</f>
        <v>[reviewLink id="187"][/reviewLink]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F26" sqref="F26:F27"/>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(187,'//af.moshimo.com/af/c/click?a_id=988731&amp;p_id=170&amp;pc_id=185&amp;pl_id=4062&amp;url=https%3A%2F%2Fwww.amazon.co.jp%2F%25E3%2582%25A4%25E3%2583%25B4%25E3%2582%25B5%25E3%2583%25B3%25E3%2583%25AD%25E3%2583%25BC%25E3%2583%25A9%25E3%2583%25B3-Yves-Saint-Laurent-%25E3%2582%25BF%25E3%2583%25B3%25E3%2582%25A2%25E3%2583%25B3%25E3%2582%25AF%25E3%2583%25AB%25E3%2583%2589%25E3%2583%259D%25E3%2583%25BC%2Fdp%2FB00MFWPSMQ', '//af.moshimo.com/af/c/click?a_id=988729&amp;p_id=54&amp;pc_id=54&amp;pl_id=616&amp;url=https%3A%2F%2Fitem.rakuten.co.jp%2Fcosmeland%2F261014%2F&amp;m=http%3A%2F%2Fm.rakuten.co.jp%2Fcosmeland%2Fi%2F10096241%2F&amp;r_v=g00pr1t3.9tq3e34d.g00pr1t3.9tq3f1f2', 'https://www.cosme.net/product/product_id/10091083/reviews', 'https://images-fe.ssl-images-amazon.com/images/I/31VAdvb5OJL.jpg', 'イヴサンローラン　タンアンクルドポー'),</v>
      </c>
    </row>
    <row r="3" spans="1:1">
      <c r="A3" t="str">
        <f>"("&amp;入力シート!D14&amp;","&amp;"'"&amp;入力シート!D24&amp;"', '"&amp;入力シート!D25&amp;"', '"&amp;入力シート!C14&amp;"', '"&amp;入力シート!C6&amp;"', '"&amp;入力シート!D6&amp;"'),"</f>
        <v>(188,'//af.moshimo.com/af/c/click?a_id=988731&amp;p_id=170&amp;pc_id=185&amp;pl_id=4062&amp;url=https%3A%2F%2Fwww.amazon.co.jp%2F%25E3%2580%2590%25E3%2582%25A8%25E3%2582%25B9%25E3%2583%2586%25E3%2582%25A3%25E3%2583%25AD%25E3%2583%25BC%25E3%2583%2580%25E3%2583%25BC%25E3%2580%2591%25E3%2583%2580%25E3%2583%2596%25E3%2583%25AB-%25E3%2583%2597%25E3%2583%25AC%25E3%2582%25A4%25E3%2582%25B9-%25E3%2583%25A1%25E3%2583%25BC%25E3%2582%25AF%25E3%2582%25A2%25E3%2583%2583%25E3%2583%2597-30ml-%25E4%25B8%25A6%25E8%25A1%258C%25E8%25BC%25B8%25E5%2585%25A5%25E5%2593%2581%2Fdp%2FB00WHXMBRI', '//af.moshimo.com/af/c/click?a_id=988729&amp;p_id=54&amp;pc_id=54&amp;pl_id=616&amp;url=https%3A%2F%2Fitem.rakuten.co.jp%2Fcosmeprima%2F233828_1%2F&amp;m=http%3A%2F%2Fm.rakuten.co.jp%2Fcosmeprima%2Fi%2F10072366%2F&amp;r_v=g00rv1g3.9tq3ee5b.g00rv1g3.9tq3f93d', 'https://www.cosme.net/product/product_id/827/reviews', 'https://images-fe.ssl-images-amazon.com/images/I/41zBRlIwY4L.jpg', 'エスティローダー ダブルウェアステイインプレイスメイクアップ'),</v>
      </c>
    </row>
    <row r="4" spans="1:1">
      <c r="A4" t="str">
        <f>"("&amp;入力シート!D16&amp;","&amp;"'"&amp;入力シート!D26&amp;"', '"&amp;入力シート!D27&amp;"', '"&amp;入力シート!C16&amp;"', '"&amp;入力シート!C7&amp;"', '"&amp;入力シート!D7&amp;"');"</f>
        <v>(189,'//af.moshimo.com/af/c/click?a_id=988731&amp;p_id=170&amp;pc_id=185&amp;pl_id=4062&amp;url=https%3A%2F%2Fwww.amazon.co.jp%2F%25E3%2582%25A2%25E3%2583%25BC%25E3%2583%25AB%25E3%2582%25A8%25E3%2583%25A0%25E3%2582%25B1%25E3%2583%25BC-RMK-%25E3%2583%25AA%25E3%2582%25AF%25E3%2582%25A4%25E3%2583%2589%25E3%2583%2595%25E3%2582%25A1%25E3%2583%25B3%25E3%2583%2587%25E3%2583%25BC%25E3%2582%25B7%25E3%2583%25A7%25E3%2583%25B3-SPF14-%25E4%25B8%25A6%25E8%25A1%258C%25E8%25BC%25B8%25E5%2585%25A5%25E5%2593%2581%2Fdp%2FB06XRY6D65', '//af.moshimo.com/af/c/click?a_id=988729&amp;p_id=54&amp;pc_id=54&amp;pl_id=616&amp;url=https%3A%2F%2Fitem.rakuten.co.jp%2Fcosme-venus%2F4973167600627%2F&amp;m=http%3A%2F%2Fm.rakuten.co.jp%2Fcosme-venus%2Fi%2F10000926%2F&amp;r_v=g00s3q03.9tq3e13b.g00s3q03.9tq3fca5', 'https://www.cosme.net/product/product_id/327/reviews', 'https://images-fe.ssl-images-amazon.com/images/I/31t6uLUJK3L.jpg', 'RMK　リクイドファンデーション');</v>
      </c>
    </row>
    <row r="9" spans="1:1">
      <c r="A9" s="36" t="s">
        <v>124</v>
      </c>
    </row>
    <row r="10" spans="1:1" ht="14.25" thickBot="1">
      <c r="A10" t="s">
        <v>123</v>
      </c>
    </row>
    <row r="11" spans="1:1" ht="14.25" thickBot="1">
      <c r="A11" s="40">
        <v>186</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2018-07-20T02:11:11Z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