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<sst xmlns="http://schemas.openxmlformats.org/spreadsheetml/2006/main" count="268" uniqueCount="190">
  <si>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</si>
  <si>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</si>
  <si>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</si>
  <si>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</si>
  <si>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</si>
  <si>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</si>
  <si>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</si>
  <si>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</si>
  <si>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</si>
  <si>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</si>
  <si>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</si>
  <si>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</si>
  <si>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</si>
  <si>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</si>
  <si>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</si>
  <si>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</si>
  <si>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</si>
  <si>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</si>
  <si>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</si>
  <si>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</si>
  <si>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</si>
  <si>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</si>
  <si>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</si>
  <si>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</si>
  <si>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</si>
  <si>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</si>
  <si>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</si>
  <si>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</si>
  <si>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</si>
  <si>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</si>
  <si>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</si>
  <si>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</si>
  <si>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</si>
  <si>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</si>
  <si>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</si>
  <si>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</si>
  <si>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</si>
  <si>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</si>
  <si>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</si>
  <si>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</si>
  <si>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</si>
  <si>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</si>
  <si>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</si>
  <si>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</si>
  <si>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</si>
  <si>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</si>
  <si>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</si>
  <si>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</si>
  <si>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</si>
  <si>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</si>
  <si>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</si>
  <si>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</si>
  <si>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</si>
  <si>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</si>
  <si>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</si>
  <si>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</si>
  <si>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</si>
  <si>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</si>
  <si>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</si>
  <si>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</si>
  <si>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</si>
  <si>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</si>
  <si>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</si>
  <si>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</si>
  <si>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</si>
  <si>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</si>
  <si>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</si>
  <si>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</si>
  <si>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</si>
  <si>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</si>
  <si>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</si>
  <si>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</si>
  <si>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</si>
  <si>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</si>
  <si>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</si>
  <si>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</si>
  <si>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</si>
  <si>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</si>
  <si>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</si>
  <si>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</si>
  <si>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</si>
  <si>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</si>
  <si>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</si>
  <si>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</si>
  <si>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</si>
  <si>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</si>
  <si>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</si>
  <si>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</si>
  <si>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</si>
  <si>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</si>
  <si>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</si>
  <si>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</si>
  <si>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</si>
  <si>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</si>
  <si>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</si>
  <si>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</si>
  <si>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</si>
  <si>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</si>
  <si>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</si>
  <si>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</si>
  <si>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</si>
  <si>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</si>
  <si>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</si>
  <si>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</si>
  <si>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</si>
  <si>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</si>
  <si>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</si>
  <si>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</si>
  <si>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</si>
  <si>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</si>
  <si>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</si>
  <si>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</si>
  <si>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</si>
  <si>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</si>
  <si>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</si>
  <si>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</si>
  <si>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</si>
  <si>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</si>
  <si>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</si>
  <si>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</si>
  <si>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</si>
  <si>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</si>
  <si>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</si>
  <si>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</si>
  <si>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</si>
  <si>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</si>
  <si>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</si>
  <si>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</si>
  <si>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</si>
  <si>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</si>
  <si>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</si>
  <si>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</si>
  <si>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</si>
  <si>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甘い香りの香水</t>
  </si>
  <si>
    <t>ロジェガレ　フィグパフュームウォーター</t>
  </si>
  <si>
    <t>イヴサンローラン　ベビードールオードトワレ</t>
  </si>
  <si>
    <t>エンジェルハート　エンジェルハートオードトワレ</t>
  </si>
  <si>
    <t>甘いけど甘すぎない</t>
  </si>
  <si>
    <t>見た目がお洒落</t>
  </si>
  <si>
    <t>コスパ</t>
  </si>
  <si>
    <t>購入のしやすさ</t>
  </si>
  <si>
    <t>持ち運びのしやすさ</t>
  </si>
  <si>
    <t>いちじくの甘い香り</t>
  </si>
  <si>
    <t>3つサイズがあり、好きな容量を選べる</t>
  </si>
  <si>
    <t>スリムな円柱のシンプルな形の容器なので、持ち運びしやすい</t>
  </si>
  <si>
    <t>芸能人でも愛用者が多い</t>
  </si>
  <si>
    <t>見た目がシンプルで、お洒落感はない</t>
  </si>
  <si>
    <t>持ち運びに便利な30mlは取り扱いがない場合がある</t>
  </si>
  <si>
    <t>暑い時期には甘ったるいと感じる場合がある</t>
  </si>
  <si>
    <t>店舗が全国にはない</t>
  </si>
  <si>
    <t>芸能人にも人気の香水を試してみたい方</t>
  </si>
  <si>
    <r>
      <t xml:space="preserve">１位の商品のためになった（なる）口コミやレビューを２つ記入してください。
</t>
    </r>
    <r>
      <rPr>
        <sz val="9"/>
        <color rgb="FFFF0000"/>
        <rFont val="Arial"/>
        <family val="2"/>
      </rPr>
      <t>※短文すぎない（100文字程度）口コミをお願いします。</t>
    </r>
  </si>
  <si>
    <t>甘い香りは好きだけど、甘すぎる香りは苦手なのですが、店舗で1番人気と聞きテスターを付けてみたところ、ちょうどいい甘さだったので購入しました。
甘い香水と言えばベリー系やバニラが多いと思いますが、いちじくは珍しいと思うのでそこも気に入りました。</t>
  </si>
  <si>
    <t>香り物は苦手なので、フレグランスボディミストは普段使っているのですが、オードトワレは香りが強いので、今まで避けていました。
今回プレゼントにフィグをいただき使ってみたのですが、最初は甘く感じましたが、慣れたのか瑞々しい甘さに爽やかさもあり今では気に入っています。</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</si>
  <si>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</si>
  <si>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https://www.cosme.net/product/product_id/10083096/reviews</t>
  </si>
  <si>
    <t>見た目がハートで可愛い</t>
  </si>
  <si>
    <t>３つサイズがある</t>
  </si>
  <si>
    <t>定番香水なので、取り扱い店舗が多い</t>
  </si>
  <si>
    <t>ハート型なので、バッグの中でかさばる</t>
  </si>
  <si>
    <t>見た目が可愛すぎて大人女子は抵抗を感じる</t>
  </si>
  <si>
    <t>定番すぎてつけている人が多いので、あまり人と被りたくない人には合わない</t>
  </si>
  <si>
    <t>甘い香りの好きな学生</t>
  </si>
  <si>
    <r>
      <t xml:space="preserve">２位の商品のためになった（なる）口コミやレビューを２つ記入してください。
</t>
    </r>
    <r>
      <rPr>
        <sz val="9"/>
        <color rgb="FFFF0000"/>
        <rFont val="Arial"/>
        <family val="2"/>
      </rPr>
      <t>※短文すぎない（100文字程度）口コミをお願いします。</t>
    </r>
  </si>
  <si>
    <t>エンジェルハートの香水は大好きで、10代の学生の頃から使用していました。
年齢を考え一時期他の爽やかな香水に浮気していたのですが、やっぱりこの香りが一番好きです。
自分に素直になろうと30代になった今でも使用しています。</t>
  </si>
  <si>
    <t xml:space="preserve">ロングセラーなのが納得できる香りの香水です。
甘めな香りだけど、甘すぎるふんわり柔らかい印象の香りです。
香水ですがきつすぎない香りなのに、香りの持続性が高いので、プライベートはもちろん会社でも使用しています。
</t>
  </si>
  <si>
    <t>30代女性</t>
  </si>
  <si>
    <t>https://www.cosme.net/product/product_id/322113/reviews</t>
  </si>
  <si>
    <t>見た目がお洒落で可愛い</t>
  </si>
  <si>
    <t>恋コスメとして有名</t>
  </si>
  <si>
    <t>万人受けする香り</t>
  </si>
  <si>
    <t>女の子らしく可愛らしい容器なので、男の人は香りを気に入っても持ちづらい</t>
  </si>
  <si>
    <t>価格が高い</t>
  </si>
  <si>
    <t>香りが少々強め</t>
  </si>
  <si>
    <t>万人受けする香水を試してみたい方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</si>
  <si>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</si>
  <si>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ローズの香りでとっても女性らしく爽やかな香りでお気に入りです。
デートの時には絶対にベビードールを付けていますが、男性受けも良い香水だと思います。
持続性があるので、何度も付けなおさなくてもいいところも使いやすいです。
</t>
  </si>
  <si>
    <t xml:space="preserve">香りも瓶のデザインも、上品・可愛い・華やかな女性らしいイメージで、そんなところがお気に入りです。
甘さの中にもセクシーさもある香りなので、若い子向きなイメージかもしれませんが、年代問わず使える香りだと思います。
</t>
  </si>
  <si>
    <t>https://www.cosme.net/product/product_id/2940460/reviews</t>
  </si>
  <si>
    <t>今回取り上げたアイテムは、「何を求めてる人」にピッタリだと思いますか？
具体的に3つ記入してください。</t>
  </si>
  <si>
    <t>甘い香りの香水を求めている方</t>
  </si>
  <si>
    <t>見た目の可愛い香水を求めている方</t>
  </si>
  <si>
    <t>万人受けする香水を求めている方</t>
  </si>
  <si>
    <t>&lt;a target="_blank" href="//af.moshimo.com/af/c/click?a_id=988731&amp;amp;p_id=170&amp;amp;pc_id=185&amp;amp;pl_id=4062&amp;amp;url=https%3A%2F%2Fwww.amazon.co.jp%2F%25E3%2583%25AD%25E3%2582%25B8%25E3%2582%25A7%25E3%2582%25AC%25E3%2583%25AC-ROGER-GALLET-%25E3%2583%2595%25E3%2582%25A3%25E3%2582%25B0%25E3%2583%2591%25E3%2583%2595%25E3%2583%25A5%25E3%2583%25BC%25E3%2583%25A0-%25E3%2582%25A6%25E3%2582%25A9%25E3%2583%25BC%25E3%2582%25BF%25E3%2583%25BC%2Fdp%2FB01CBENFLI" rel="nofollow"&gt;&lt;img src="https://images-fe.ssl-images-amazon.com/images/I/41hL6q75SuL.jpg" alt="" style="border: none;" /&gt;&lt;br /&gt;ロジェガレ(ROGER&amp;amp;GALLET)フィグパフューム ウォーター 30ml[並行輸入品]&lt;/a&gt;&lt;img src="//i.moshimo.com/af/i/impression?a_id=988731&amp;amp;p_id=170&amp;amp;pc_id=185&amp;amp;pl_id=4062" alt="" width="1" height="1" style="border: 0px;" /&gt;</t>
  </si>
  <si>
    <t>&lt;a target="_blank" href="//af.moshimo.com/af/c/click?a_id=988729&amp;amp;p_id=54&amp;amp;pc_id=54&amp;amp;pl_id=616&amp;amp;url=https%3A%2F%2Fitem.rakuten.co.jp%2Faquabouquet%2Frog00224%2F&amp;amp;m=http%3A%2F%2Fm.rakuten.co.jp%2Faquabouquet%2Fi%2F10009338%2F&amp;amp;r_v=g00rbw63.9tq3eeee.g00rbw63.9tq3f9d5" rel="nofollow"&gt;&lt;img src="//thumbnail.image.rakuten.co.jp/@0_mall/aquabouquet/cabinet/02789738/rog00224.jpg?_ex=128x128" alt="" style="border: none;" /&gt;&lt;br /&gt;【新パッケージ】 ロジェガレ フィグパフューム ウォーター 30ml ROGER＆GALLET FLEUR DE FIGUIER FRAGRANT WATER [4897]&lt;/a&gt;&lt;img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</si>
  <si>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B3%25E3%2582%25B8%25E3%2582%25A7%25E3%2583%25AB%25E3%2583%258F%25E3%2583%25BC%25E3%2583%2588-%25E3%2582%25AA%25E3%2583%25BC%25E3%2583%2589%25E3%2583%2588%25E3%2583%25AF%25E3%2583%25AC-100mL%2Fdp%2FB000GT0TME" rel="nofollow"&gt;&lt;img src="https://images-fe.ssl-images-amazon.com/images/I/41TFD6NG3gL.jpg" alt="" style="border: none;" /&gt;&lt;br /&gt;エンジェルハート オードトワレ 100mL&lt;/a&gt;&lt;img src="//i.moshimo.com/af/i/impression?a_id=988731&amp;amp;p_id=170&amp;amp;pc_id=185&amp;amp;pl_id=4062" alt="" width="1" height="1" style="border: 0px;" /&gt;</t>
  </si>
  <si>
    <t>&lt;a target="_blank" href="//af.moshimo.com/af/c/click?a_id=988729&amp;amp;p_id=54&amp;amp;pc_id=54&amp;amp;pl_id=616&amp;amp;url=https%3A%2F%2Fitem.rakuten.co.jp%2Fcosmeland%2F200295%2F&amp;amp;m=http%3A%2F%2Fm.rakuten.co.jp%2Fcosmeland%2Fi%2F10096309%2F&amp;amp;r_v=g00pr1t3.9tq3e34d.g00pr1t3.9tq3f1f2" rel="nofollow"&gt;&lt;img src="//thumbnail.image.rakuten.co.jp/@0_mall/cosmeland/cabinet/2015_1/200295.jpg?_ex=128x128" alt="" style="border: none;" /&gt;&lt;br /&gt;クーポン配布中！アメーズユープランニング AYP エンジェルハート オードトワレ EDT レディース 100mL&lt;/a&gt;&lt;img src="//i.moshimo.com/af/i/impression?a_id=988729&amp;amp;p_id=54&amp;amp;pc_id=54&amp;amp;pl_id=616" alt="" width="1" height="1" style="border: 0px;" /&gt;</t>
  </si>
  <si>
    <t>&lt;a target="_blank" href="//af.moshimo.com/af/c/click?a_id=988731&amp;amp;p_id=170&amp;amp;pc_id=185&amp;amp;pl_id=4062&amp;amp;url=https%3A%2F%2Fwww.amazon.co.jp%2FYves-Saint-Laurent-%25E3%2582%25A4%25E3%2583%25B4%25E3%2582%25B5%25E3%2583%25B3%25E3%2583%25AD%25E3%2583%25BC%25E3%2583%25A9%25E3%2583%25B3-115809%2Fdp%2FB000C1ZFGG" rel="nofollow"&gt;&lt;img src="https://images-fe.ssl-images-amazon.com/images/I/41YlRh7B13L.jpg" alt="" style="border: none;" /&gt;&lt;br /&gt;イヴサンローラン ベビードール EDT 30ml&lt;/a&gt;&lt;img src="//i.moshimo.com/af/i/impression?a_id=988731&amp;amp;p_id=170&amp;amp;pc_id=185&amp;amp;pl_id=4062" alt="" width="1" height="1" style="border: 0px;" /&gt;</t>
  </si>
  <si>
    <t>&lt;a target="_blank" href="//af.moshimo.com/af/c/click?a_id=988729&amp;amp;p_id=54&amp;amp;pc_id=54&amp;amp;pl_id=616&amp;amp;url=https%3A%2F%2Fitem.rakuten.co.jp%2Ftkcosme%2F722691%2F&amp;amp;m=http%3A%2F%2Fm.rakuten.co.jp%2Ftkcosme%2Fi%2F10000116%2F&amp;amp;r_v=g00q5163.9tq3ec7a.g00q5163.9tq3f62a" rel="nofollow"&gt;&lt;img src="//thumbnail.image.rakuten.co.jp/@0_mall/tkcosme/cabinet/ikou_20091008/087026.jpg?_ex=128x128" alt="" style="border: none;" /&gt;&lt;br /&gt;イヴ・サンローラン ベビードール EDT SP 50ml&lt;/a&gt;&lt;img src="//i.moshimo.com/af/i/impression?a_id=988729&amp;amp;p_id=54&amp;amp;pc_id=54&amp;amp;pl_id=616" alt="" width="1" height="1" style="border: 0px;" /&gt;</t>
  </si>
  <si>
    <t>甘い系の香水おすすめ3選。甘い系を探している人はこれ！</t>
    <rPh sb="0" eb="1">
      <t>アマ</t>
    </rPh>
    <rPh sb="2" eb="3">
      <t>ケイ</t>
    </rPh>
    <rPh sb="4" eb="6">
      <t>コウスイ</t>
    </rPh>
    <rPh sb="11" eb="12">
      <t>セン</t>
    </rPh>
    <rPh sb="13" eb="14">
      <t>アマ</t>
    </rPh>
    <rPh sb="15" eb="16">
      <t>ケイ</t>
    </rPh>
    <rPh sb="17" eb="18">
      <t>サガ</t>
    </rPh>
    <rPh sb="22" eb="23">
      <t>ヒト</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</si>
</sst>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13" fillId="3" borderId="3" xfId="1" applyFill="1" applyBorder="1" applyAlignment="1">
      <alignment wrapText="1"/>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940460/reviews" TargetMode="External"/><Relationship Id="rId2" Type="http://schemas.openxmlformats.org/officeDocument/2006/relationships/hyperlink" Target="https://www.cosme.net/product/product_id/322113/reviews" TargetMode="External"/><Relationship Id="rId1" Type="http://schemas.openxmlformats.org/officeDocument/2006/relationships/hyperlink" Target="https://www.cosme.net/product/product_id/10083096/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151</v>
      </c>
      <c r="C23" s="68" t="s">
        <v>152</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68"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3"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39" thickBot="1">
      <c r="A36" s="4" t="s">
        <v>45</v>
      </c>
      <c r="B36" s="42"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44"/>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69"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135</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48"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70"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8"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5</v>
      </c>
      <c r="C4" s="17">
        <v>5</v>
      </c>
      <c r="D4" s="17">
        <v>4</v>
      </c>
      <c r="E4" s="3"/>
      <c r="F4" s="3"/>
      <c r="G4" s="3"/>
      <c r="H4" s="3"/>
      <c r="I4" s="3"/>
      <c r="J4" s="3"/>
      <c r="K4" s="3"/>
      <c r="L4" s="3"/>
      <c r="M4" s="3"/>
      <c r="N4" s="3"/>
      <c r="O4" s="3"/>
      <c r="P4" s="3"/>
      <c r="Q4" s="3"/>
      <c r="R4" s="3"/>
      <c r="S4" s="3"/>
      <c r="T4" s="3"/>
      <c r="U4" s="3"/>
      <c r="V4" s="3"/>
      <c r="W4" s="3"/>
      <c r="X4" s="3"/>
      <c r="Y4" s="3"/>
      <c r="Z4" s="3"/>
    </row>
    <row r="5" spans="1:26" ht="15.75" thickBot="1">
      <c r="A5" s="33" t="s">
        <v>138</v>
      </c>
      <c r="B5" s="17">
        <v>2</v>
      </c>
      <c r="C5" s="17">
        <v>5</v>
      </c>
      <c r="D5" s="17">
        <v>3</v>
      </c>
      <c r="E5" s="3"/>
      <c r="F5" s="3"/>
      <c r="G5" s="3"/>
      <c r="H5" s="3"/>
      <c r="I5" s="3"/>
      <c r="J5" s="3"/>
      <c r="K5" s="3"/>
      <c r="L5" s="3"/>
      <c r="M5" s="3"/>
      <c r="N5" s="3"/>
      <c r="O5" s="3"/>
      <c r="P5" s="3"/>
      <c r="Q5" s="3"/>
      <c r="R5" s="3"/>
      <c r="S5" s="3"/>
      <c r="T5" s="3"/>
      <c r="U5" s="3"/>
      <c r="V5" s="3"/>
      <c r="W5" s="3"/>
      <c r="X5" s="3"/>
      <c r="Y5" s="3"/>
      <c r="Z5" s="3"/>
    </row>
    <row r="6" spans="1:26" ht="15.75" thickBot="1">
      <c r="A6" s="33" t="s">
        <v>139</v>
      </c>
      <c r="B6" s="17">
        <v>3</v>
      </c>
      <c r="C6" s="17">
        <v>1</v>
      </c>
      <c r="D6" s="17">
        <v>3</v>
      </c>
      <c r="E6" s="3"/>
      <c r="F6" s="3"/>
      <c r="G6" s="3"/>
      <c r="H6" s="3"/>
      <c r="I6" s="3"/>
      <c r="J6" s="3"/>
      <c r="K6" s="3"/>
      <c r="L6" s="3"/>
      <c r="M6" s="3"/>
      <c r="N6" s="3"/>
      <c r="O6" s="3"/>
      <c r="P6" s="3"/>
      <c r="Q6" s="3"/>
      <c r="R6" s="3"/>
      <c r="S6" s="3"/>
      <c r="T6" s="3"/>
      <c r="U6" s="3"/>
      <c r="V6" s="3"/>
      <c r="W6" s="3"/>
      <c r="X6" s="3"/>
      <c r="Y6" s="3"/>
      <c r="Z6" s="3"/>
    </row>
    <row r="7" spans="1:26" ht="15.75" thickBot="1">
      <c r="A7" s="33" t="s">
        <v>140</v>
      </c>
      <c r="B7" s="17">
        <v>2</v>
      </c>
      <c r="C7" s="17">
        <v>3</v>
      </c>
      <c r="D7" s="17">
        <v>4</v>
      </c>
      <c r="E7" s="3"/>
      <c r="F7" s="3"/>
      <c r="G7" s="3"/>
      <c r="H7" s="3"/>
      <c r="I7" s="3"/>
      <c r="J7" s="3"/>
      <c r="K7" s="3"/>
      <c r="L7" s="3"/>
      <c r="M7" s="3"/>
      <c r="N7" s="3"/>
      <c r="O7" s="3"/>
      <c r="P7" s="3"/>
      <c r="Q7" s="3"/>
      <c r="R7" s="3"/>
      <c r="S7" s="3"/>
      <c r="T7" s="3"/>
      <c r="U7" s="3"/>
      <c r="V7" s="3"/>
      <c r="W7" s="3"/>
      <c r="X7" s="3"/>
      <c r="Y7" s="3"/>
      <c r="Z7" s="3"/>
    </row>
    <row r="8" spans="1:26" ht="15.75" thickBot="1">
      <c r="A8" s="33" t="s">
        <v>141</v>
      </c>
      <c r="B8" s="17">
        <v>5</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17</v>
      </c>
      <c r="C9" s="19">
        <v>17</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4" sqref="E4"/>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https://images-fe.ssl-images-amazon.com/images/I/41hL6q75SuL.jpg</v>
      </c>
      <c r="D5" s="22" t="str">
        <f>アンケート!C13</f>
        <v>ロジェガレ　フィグパフュームウォーター</v>
      </c>
      <c r="E5" t="s">
        <v>122</v>
      </c>
    </row>
    <row r="6" spans="2:8">
      <c r="B6" s="23" t="s">
        <v>102</v>
      </c>
      <c r="C6" s="22" t="str">
        <f>IF(C24="","",SUBSTITUTE(MID(C24,FIND("src=",C24)+5,FIND("alt",C24)-FIND("src=",C24)-7),"amp;",""))</f>
        <v>https://images-fe.ssl-images-amazon.com/images/I/41TFD6NG3gL.jpg</v>
      </c>
      <c r="D6" s="22" t="str">
        <f>アンケート!C28</f>
        <v>エンジェルハート　エンジェルハートオードトワレ</v>
      </c>
      <c r="E6" t="s">
        <v>122</v>
      </c>
    </row>
    <row r="7" spans="2:8">
      <c r="B7" s="23" t="s">
        <v>101</v>
      </c>
      <c r="C7" s="22" t="str">
        <f>IF(C26="","",SUBSTITUTE(MID(C26,FIND("src=",C26)+5,FIND("alt",C26)-FIND("src=",C26)-7),"amp;",""))</f>
        <v>https://images-fe.ssl-images-amazon.com/images/I/41YlRh7B13L.jpg</v>
      </c>
      <c r="D7" s="22" t="str">
        <f>アンケート!C41</f>
        <v>イヴサンローラン　ベビードールオードトワレ</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https://www.cosme.net/product/product_id/10083096/reviews</v>
      </c>
      <c r="D12" s="61">
        <f>SQL!A11+1</f>
        <v>214</v>
      </c>
      <c r="E12" s="22" t="str">
        <f>アンケート!C25</f>
        <v>20代女性</v>
      </c>
      <c r="F12" s="22" t="str">
        <f>IF(ISERROR(FIND("女",E12)),"m","w")&amp;"_"&amp;LEFT(E12,2)&amp;"_"&amp;"2"</f>
        <v>w_20_2</v>
      </c>
    </row>
    <row r="13" spans="2:8">
      <c r="B13" s="66"/>
      <c r="C13" s="67"/>
      <c r="D13" s="62"/>
      <c r="E13" s="22" t="str">
        <f>アンケート!C26</f>
        <v>20代女性</v>
      </c>
      <c r="F13" s="22" t="str">
        <f>IF(ISERROR(FIND("女",E13)),"m","w")&amp;"_"&amp;LEFT(E13,2)&amp;"_"&amp;"1"</f>
        <v>w_20_1</v>
      </c>
    </row>
    <row r="14" spans="2:8">
      <c r="B14" s="65" t="s">
        <v>102</v>
      </c>
      <c r="C14" s="67" t="str">
        <f>アンケート!C40</f>
        <v>https://www.cosme.net/product/product_id/322113/reviews</v>
      </c>
      <c r="D14" s="61">
        <f>IF(D12="","",D12+1)</f>
        <v>215</v>
      </c>
      <c r="E14" s="22" t="str">
        <f>アンケート!C38</f>
        <v>30代女性</v>
      </c>
      <c r="F14" s="22" t="str">
        <f>IF(ISERROR(FIND("女",E14)),"m","w")&amp;"_"&amp;LEFT(E14,2)&amp;"_"&amp;"2"</f>
        <v>w_30_2</v>
      </c>
    </row>
    <row r="15" spans="2:8">
      <c r="B15" s="66"/>
      <c r="C15" s="67"/>
      <c r="D15" s="62"/>
      <c r="E15" s="22" t="str">
        <f>アンケート!C39</f>
        <v>20代女性</v>
      </c>
      <c r="F15" s="22" t="str">
        <f>IF(ISERROR(FIND("女",E15)),"m","w")&amp;"_"&amp;LEFT(E15,2)&amp;"_"&amp;"1"</f>
        <v>w_20_1</v>
      </c>
    </row>
    <row r="16" spans="2:8">
      <c r="B16" s="65" t="s">
        <v>101</v>
      </c>
      <c r="C16" s="67" t="str">
        <f>アンケート!C53</f>
        <v>https://www.cosme.net/product/product_id/2940460/reviews</v>
      </c>
      <c r="D16" s="61">
        <f>IF(D14="","",D14+1)</f>
        <v>216</v>
      </c>
      <c r="E16" s="22" t="str">
        <f>アンケート!C51</f>
        <v>20代女性</v>
      </c>
      <c r="F16" s="22" t="str">
        <f>IF(ISERROR(FIND("女",E16)),"m","w")&amp;"_"&amp;LEFT(E16,2)&amp;"_"&amp;"2"</f>
        <v>w_20_2</v>
      </c>
    </row>
    <row r="17" spans="2:6">
      <c r="B17" s="66"/>
      <c r="C17" s="67"/>
      <c r="D17" s="62"/>
      <c r="E17" s="22" t="str">
        <f>アンケート!C52</f>
        <v>20代女性</v>
      </c>
      <c r="F17" s="22" t="str">
        <f t="shared" ref="F17" si="0">IF(ISERROR(FIND("女",E17)),"m","w")&amp;"_"&amp;LEFT(E17,2)&amp;"_"&amp;"1"</f>
        <v>w_20_1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183</v>
      </c>
      <c r="D22" s="64" t="str">
        <f t="shared" ref="D22:D27" si="1">IF(C22="","",SUBSTITUTE(MID(C22,FIND("href=",C22)+6,FIND("rel=",C22)-FIND("href=",C22)-8),"amp;",""))</f>
        <v>//af.moshimo.com/af/c/click?a_id=988731&amp;p_id=170&amp;pc_id=185&amp;pl_id=4062&amp;url=https%3A%2F%2Fwww.amazon.co.jp%2F%25E3%2583%25AD%25E3%2582%25B8%25E3%2582%25A7%25E3%2582%25AC%25E3%2583%25AC-ROGER-GALLET-%25E3%2583%2595%25E3%2582%25A3%25E3%2582%25B0%25E3%2583%2591%25E3%2583%2595%25E3%2583%25A5%25E3%2583%25BC%25E3%2583%25A0-%25E3%2582%25A6%25E3%2582%25A9%25E3%2583%25BC%25E3%2582%25BF%25E3%2583%25BC%2Fdp%2FB01CBENFLI</v>
      </c>
      <c r="E22" s="64"/>
      <c r="F22" s="22" t="str">
        <f>IF(ISERROR(FIND("amazon",C22)),IF(ISERROR(FIND("rakuten",C22)),"","楽天"),"Amazon")</f>
        <v>Amazon</v>
      </c>
    </row>
    <row r="23" spans="2:6">
      <c r="B23" s="63"/>
      <c r="C23" s="22" t="s">
        <v>184</v>
      </c>
      <c r="D23" s="64" t="str">
        <f t="shared" si="1"/>
        <v>//af.moshimo.com/af/c/click?a_id=988729&amp;p_id=54&amp;pc_id=54&amp;pl_id=616&amp;url=https%3A%2F%2Fitem.rakuten.co.jp%2Faquabouquet%2Frog00224%2F&amp;m=http%3A%2F%2Fm.rakuten.co.jp%2Faquabouquet%2Fi%2F10009338%2F&amp;r_v=g00rbw63.9tq3eeee.g00rbw63.9tq3f9d5</v>
      </c>
      <c r="E23" s="64"/>
      <c r="F23" s="22" t="str">
        <f t="shared" ref="F23:F27" si="2">IF(ISERROR(FIND("amazon",C23)),IF(ISERROR(FIND("rakuten",C23)),"","楽天"),"Amazon")</f>
        <v>楽天</v>
      </c>
    </row>
    <row r="24" spans="2:6">
      <c r="B24" s="63" t="s">
        <v>114</v>
      </c>
      <c r="C24" s="22" t="s">
        <v>185</v>
      </c>
      <c r="D24" s="64" t="str">
        <f t="shared" si="1"/>
        <v>//af.moshimo.com/af/c/click?a_id=988731&amp;p_id=170&amp;pc_id=185&amp;pl_id=4062&amp;url=https%3A%2F%2Fwww.amazon.co.jp%2F%25E3%2582%25A8%25E3%2583%25B3%25E3%2582%25B8%25E3%2582%25A7%25E3%2583%25AB%25E3%2583%258F%25E3%2583%25BC%25E3%2583%2588-%25E3%2582%25AA%25E3%2583%25BC%25E3%2583%2589%25E3%2583%2588%25E3%2583%25AF%25E3%2583%25AC-100mL%2Fdp%2FB000GT0TME</v>
      </c>
      <c r="E24" s="64"/>
      <c r="F24" s="22" t="str">
        <f t="shared" si="2"/>
        <v>Amazon</v>
      </c>
    </row>
    <row r="25" spans="2:6">
      <c r="B25" s="63"/>
      <c r="C25" s="22" t="s">
        <v>186</v>
      </c>
      <c r="D25" s="64" t="str">
        <f t="shared" si="1"/>
        <v>//af.moshimo.com/af/c/click?a_id=988729&amp;p_id=54&amp;pc_id=54&amp;pl_id=616&amp;url=https%3A%2F%2Fitem.rakuten.co.jp%2Fcosmeland%2F200295%2F&amp;m=http%3A%2F%2Fm.rakuten.co.jp%2Fcosmeland%2Fi%2F10096309%2F&amp;r_v=g00pr1t3.9tq3e34d.g00pr1t3.9tq3f1f2</v>
      </c>
      <c r="E25" s="64"/>
      <c r="F25" s="22" t="str">
        <f t="shared" si="2"/>
        <v>楽天</v>
      </c>
    </row>
    <row r="26" spans="2:6">
      <c r="B26" s="63" t="s">
        <v>115</v>
      </c>
      <c r="C26" s="22" t="s">
        <v>187</v>
      </c>
      <c r="D26" s="64" t="str">
        <f t="shared" si="1"/>
        <v>//af.moshimo.com/af/c/click?a_id=988731&amp;p_id=170&amp;pc_id=185&amp;pl_id=4062&amp;url=https%3A%2F%2Fwww.amazon.co.jp%2FYves-Saint-Laurent-%25E3%2582%25A4%25E3%2583%25B4%25E3%2582%25B5%25E3%2583%25B3%25E3%2583%25AD%25E3%2583%25BC%25E3%2583%25A9%25E3%2583%25B3-115809%2Fdp%2FB000C1ZFGG</v>
      </c>
      <c r="E26" s="64"/>
      <c r="F26" s="22" t="str">
        <f t="shared" si="2"/>
        <v>Amazon</v>
      </c>
    </row>
    <row r="27" spans="2:6">
      <c r="B27" s="63"/>
      <c r="C27" s="22" t="s">
        <v>188</v>
      </c>
      <c r="D27" s="64" t="str">
        <f t="shared" si="1"/>
        <v>//af.moshimo.com/af/c/click?a_id=988729&amp;p_id=54&amp;pc_id=54&amp;pl_id=616&amp;url=https%3A%2F%2Fitem.rakuten.co.jp%2Ftkcosme%2F722691%2F&amp;m=http%3A%2F%2Fm.rakuten.co.jp%2Ftkcosme%2Fi%2F10000116%2F&amp;r_v=g00q5163.9tq3ec7a.g00q5163.9tq3f62a</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&lt;h2&gt;甘い系の香水おすすめ3選。甘い系を探している人はこれ！&lt;/h2&gt;</v>
      </c>
    </row>
    <row r="2" spans="1:1">
      <c r="A2" s="20" t="s">
        <v>86</v>
      </c>
    </row>
    <row r="3" spans="1:1">
      <c r="A3" s="21" t="s">
        <v>87</v>
      </c>
    </row>
    <row r="4" spans="1:1">
      <c r="A4" s="20" t="str">
        <f>CONCATENATE("&lt;li&gt;", アンケート!C54, "&lt;/li&gt;")</f>
        <v>&lt;li&gt;甘い香りの香水を求めている方&lt;/li&gt;</v>
      </c>
    </row>
    <row r="5" spans="1:1">
      <c r="A5" s="20" t="str">
        <f>CONCATENATE("&lt;li&gt;", アンケート!C55, "&lt;/li&gt;")</f>
        <v>&lt;li&gt;見た目の可愛い香水を求めている方&lt;/li&gt;</v>
      </c>
    </row>
    <row r="6" spans="1:1">
      <c r="A6" s="20" t="str">
        <f>CONCATENATE("&lt;li&gt;", アンケート!C56, "&lt;/li&gt;")</f>
        <v>&lt;li&gt;万人受けする香水を求めている方&lt;/li&gt;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今回紹介する『甘い香りの香水』は「価格と品質」どちらを重要視したのかをあらわした図です。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&lt;h2&gt;『甘い香りの香水』 ランキング&lt;/h2&gt;</v>
      </c>
    </row>
    <row r="20" spans="1:2">
      <c r="A20" t="s">
        <v>91</v>
      </c>
    </row>
    <row r="22" spans="1:2">
      <c r="A22" t="str">
        <f>CONCATENATE("&lt;h3&gt;3位 ",アンケート!C41,"&lt;/h3&gt;")</f>
        <v>&lt;h3&gt;3位 イヴサンローラン　ベビードールオードトワレ&lt;/h3&gt;</v>
      </c>
    </row>
    <row r="23" spans="1:2">
      <c r="A23" t="s">
        <v>92</v>
      </c>
    </row>
    <row r="24" spans="1:2">
      <c r="A24" t="s">
        <v>69</v>
      </c>
    </row>
    <row r="25" spans="1:2">
      <c r="A25" t="str">
        <f>アンケート!C48</f>
        <v>万人受けする香水を試してみたい方</v>
      </c>
    </row>
    <row r="26" spans="1:2">
      <c r="A26" t="s">
        <v>70</v>
      </c>
    </row>
    <row r="27" spans="1:2">
      <c r="A27" s="6" t="str">
        <f>CONCATENATE("[tblStart num=5]", 入力シート!C7, "[/tblStart]")</f>
        <v>[tblStart num=5]https://images-fe.ssl-images-amazon.com/images/I/41YlRh7B13L.jpg[/tblStart]</v>
      </c>
    </row>
    <row r="28" spans="1:2">
      <c r="A28" t="str">
        <f>CONCATENATE("[tdLevel type=", B28, "]", 比較表!A4, "[/tdLevel]")</f>
        <v>[tdLevel type=5]甘いけど甘すぎない[/tdLevel]</v>
      </c>
      <c r="B28">
        <f>HLOOKUP(アンケート!$C$41,比較表!$B$3:$D$8,2)</f>
        <v>5</v>
      </c>
    </row>
    <row r="29" spans="1:2">
      <c r="A29" t="str">
        <f>CONCATENATE("[tdLevel type=", B29, "]", 比較表!A5, "[/tdLevel]")</f>
        <v>[tdLevel type=5]見た目がお洒落[/tdLevel]</v>
      </c>
      <c r="B29">
        <f>HLOOKUP(アンケート!$C$41,比較表!$B$3:$D$8,3)</f>
        <v>5</v>
      </c>
    </row>
    <row r="30" spans="1:2">
      <c r="A30" t="str">
        <f>CONCATENATE("[tdLevel type=", B30, "]", 比較表!A6, "[/tdLevel]")</f>
        <v>[tdLevel type=1]コスパ[/tdLevel]</v>
      </c>
      <c r="B30">
        <f>HLOOKUP(アンケート!$C$41,比較表!$B$3:$D$8,4)</f>
        <v>1</v>
      </c>
    </row>
    <row r="31" spans="1:2">
      <c r="A31" t="str">
        <f>CONCATENATE("[tdLevel type=", B31, "]", 比較表!A7, "[/tdLevel]")</f>
        <v>[tdLevel type=3]購入のしやすさ[/tdLevel]</v>
      </c>
      <c r="B31">
        <f>HLOOKUP(アンケート!$C$41,比較表!$B$3:$D$8,5)</f>
        <v>3</v>
      </c>
    </row>
    <row r="32" spans="1:2">
      <c r="A32" t="str">
        <f>CONCATENATE("[tdLevel type=", B32, "]", 比較表!A8, "[/tdLevel]")</f>
        <v>[tdLevel type=3]持ち運びのしやすさ[/tdLevel]</v>
      </c>
      <c r="B32">
        <f>HLOOKUP(アンケート!$C$41,比較表!$B$3:$D$8,6)</f>
        <v>3</v>
      </c>
    </row>
    <row r="33" spans="1:1">
      <c r="A33" t="s">
        <v>72</v>
      </c>
    </row>
    <row r="35" spans="1:1">
      <c r="A35" s="6" t="str">
        <f>CONCATENATE("[product_link id=",入力シート!D16,"][/product_link]")</f>
        <v>[product_link id=216][/product_link]</v>
      </c>
    </row>
    <row r="36" spans="1:1">
      <c r="A36" t="s">
        <v>93</v>
      </c>
    </row>
    <row r="37" spans="1:1">
      <c r="A37" t="s">
        <v>94</v>
      </c>
    </row>
    <row r="38" spans="1:1">
      <c r="A38" t="s">
        <v>95</v>
      </c>
    </row>
    <row r="39" spans="1:1">
      <c r="A39" t="s">
        <v>87</v>
      </c>
    </row>
    <row r="40" spans="1:1">
      <c r="A40" t="str">
        <f>CONCATENATE("&lt;li&gt;", アンケート!C42,"&lt;/li&gt;")</f>
        <v>&lt;li&gt;見た目がお洒落で可愛い&lt;/li&gt;</v>
      </c>
    </row>
    <row r="41" spans="1:1">
      <c r="A41" t="str">
        <f>CONCATENATE("&lt;li&gt;", アンケート!C43,"&lt;/li&gt;")</f>
        <v>&lt;li&gt;恋コスメとして有名&lt;/li&gt;</v>
      </c>
    </row>
    <row r="42" spans="1:1">
      <c r="A42" t="str">
        <f>CONCATENATE("&lt;li&gt;", アンケート!C44,"&lt;/li&gt;")</f>
        <v>&lt;li&gt;万人受けする香り&lt;/li&gt;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&lt;li&gt;女の子らしく可愛らしい容器なので、男の人は香りを気に入っても持ちづらい&lt;/li&gt;</v>
      </c>
    </row>
    <row r="51" spans="1:1">
      <c r="A51" t="str">
        <f>CONCATENATE("&lt;li&gt;", アンケート!C46,"&lt;/li&gt;")</f>
        <v>&lt;li&gt;価格が高い&lt;/li&gt;</v>
      </c>
    </row>
    <row r="52" spans="1:1">
      <c r="A52" t="str">
        <f>CONCATENATE("&lt;li&gt;", アンケート!C47,"&lt;/li&gt;")</f>
        <v>&lt;li&gt;香りが少々強め&lt;/li&gt;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ローズの香りでとっても女性らしく爽やかな香りでお気に入りです。
デートの時には絶対にベビードールを付けていますが、男性受けも良い香水だと思います。
持続性があるので、何度も付けなおさなくてもいいところも使いやすいです。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香りも瓶のデザインも、上品・可愛い・華やかな女性らしいイメージで、そんなところがお気に入りです。
甘さの中にもセクシーさもある香りなので、若い子向きなイメージかもしれませんが、年代問わず使える香りだと思います。
</v>
      </c>
    </row>
    <row r="62" spans="1:1">
      <c r="A62" t="s">
        <v>104</v>
      </c>
    </row>
    <row r="63" spans="1:1">
      <c r="A63" t="s">
        <v>99</v>
      </c>
    </row>
    <row r="64" spans="1:1">
      <c r="A64" t="str">
        <f>CONCATENATE("[reviewLink id=","""", 入力シート!D16,"""][/reviewLink]")</f>
        <v>[reviewLink id="216"][/reviewLink]</v>
      </c>
    </row>
    <row r="66" spans="1:2">
      <c r="A66" t="str">
        <f>CONCATENATE("&lt;h3&gt;2位 ",アンケート!C28,"&lt;/h3&gt;")</f>
        <v>&lt;h3&gt;2位 エンジェルハート　エンジェルハートオードトワレ&lt;/h3&gt;</v>
      </c>
    </row>
    <row r="67" spans="1:2">
      <c r="A67" t="s">
        <v>92</v>
      </c>
    </row>
    <row r="68" spans="1:2">
      <c r="A68" t="s">
        <v>69</v>
      </c>
    </row>
    <row r="69" spans="1:2">
      <c r="A69" t="str">
        <f>アンケート!C35</f>
        <v>甘い香りの好きな学生</v>
      </c>
    </row>
    <row r="70" spans="1:2">
      <c r="A70" t="s">
        <v>70</v>
      </c>
    </row>
    <row r="71" spans="1:2">
      <c r="A71" s="6" t="str">
        <f>CONCATENATE("[tblStart num=5]", 入力シート!$C$6, "[/tblStart]")</f>
        <v>[tblStart num=5]https://images-fe.ssl-images-amazon.com/images/I/41TFD6NG3gL.jpg[/tblStart]</v>
      </c>
    </row>
    <row r="72" spans="1:2">
      <c r="A72" t="str">
        <f>CONCATENATE("[tdLevel type=", B72, "]", 比較表!A4, "[/tdLevel]")</f>
        <v>[tdLevel type=4]甘いけど甘すぎない[/tdLevel]</v>
      </c>
      <c r="B72">
        <f>HLOOKUP(アンケート!$C$28,比較表!$B$3:$D$8,2,FALSE)</f>
        <v>4</v>
      </c>
    </row>
    <row r="73" spans="1:2">
      <c r="A73" t="str">
        <f>CONCATENATE("[tdLevel type=", B73, "]", 比較表!A5, "[/tdLevel]")</f>
        <v>[tdLevel type=3]見た目がお洒落[/tdLevel]</v>
      </c>
      <c r="B73">
        <f>HLOOKUP(アンケート!$C$28,比較表!$B$3:$D$8,3,FALSE)</f>
        <v>3</v>
      </c>
    </row>
    <row r="74" spans="1:2">
      <c r="A74" t="str">
        <f>CONCATENATE("[tdLevel type=", B74, "]", 比較表!A6, "[/tdLevel]")</f>
        <v>[tdLevel type=3]コスパ[/tdLevel]</v>
      </c>
      <c r="B74">
        <f>HLOOKUP(アンケート!$C$28,比較表!$B$3:$D$8,4,FALSE)</f>
        <v>3</v>
      </c>
    </row>
    <row r="75" spans="1:2">
      <c r="A75" t="str">
        <f>CONCATENATE("[tdLevel type=", B75, "]", 比較表!A7, "[/tdLevel]")</f>
        <v>[tdLevel type=4]購入のしやすさ[/tdLevel]</v>
      </c>
      <c r="B75">
        <f>HLOOKUP(アンケート!$C$28,比較表!$B$3:$D$8,5,FALSE)</f>
        <v>4</v>
      </c>
    </row>
    <row r="76" spans="1:2">
      <c r="A76" t="str">
        <f>CONCATENATE("[tdLevel type=", B76, "]", 比較表!A8, "[/tdLevel]")</f>
        <v>[tdLevel type=3]持ち運びのしやすさ[/tdLevel]</v>
      </c>
      <c r="B76">
        <f>HLOOKUP(アンケート!$C$28,比較表!$B$3:$D$8,6,FALSE)</f>
        <v>3</v>
      </c>
    </row>
    <row r="77" spans="1:2">
      <c r="A77" t="s">
        <v>72</v>
      </c>
    </row>
    <row r="79" spans="1:2">
      <c r="A79" s="6" t="str">
        <f>CONCATENATE("[product_link id=",入力シート!D14,"][/product_link]")</f>
        <v>[product_link id=215][/product_link]</v>
      </c>
    </row>
    <row r="80" spans="1:2">
      <c r="A80" t="s">
        <v>93</v>
      </c>
    </row>
    <row r="81" spans="1:1">
      <c r="A81" t="s">
        <v>94</v>
      </c>
    </row>
    <row r="82" spans="1:1">
      <c r="A82" t="s">
        <v>95</v>
      </c>
    </row>
    <row r="83" spans="1:1">
      <c r="A83" t="s">
        <v>87</v>
      </c>
    </row>
    <row r="84" spans="1:1">
      <c r="A84" t="str">
        <f>CONCATENATE("&lt;li&gt;", アンケート!C29,"&lt;/li&gt;")</f>
        <v>&lt;li&gt;見た目がハートで可愛い&lt;/li&gt;</v>
      </c>
    </row>
    <row r="85" spans="1:1">
      <c r="A85" t="str">
        <f>CONCATENATE("&lt;li&gt;", アンケート!C30,"&lt;/li&gt;")</f>
        <v>&lt;li&gt;３つサイズがある&lt;/li&gt;</v>
      </c>
    </row>
    <row r="86" spans="1:1">
      <c r="A86" t="str">
        <f>CONCATENATE("&lt;li&gt;", アンケート!C31,"&lt;/li&gt;")</f>
        <v>&lt;li&gt;定番香水なので、取り扱い店舗が多い&lt;/li&gt;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&lt;li&gt;ハート型なので、バッグの中でかさばる&lt;/li&gt;</v>
      </c>
    </row>
    <row r="95" spans="1:1">
      <c r="A95" t="str">
        <f>CONCATENATE("&lt;li&gt;", アンケート!C33,"&lt;/li&gt;")</f>
        <v>&lt;li&gt;見た目が可愛すぎて大人女子は抵抗を感じる&lt;/li&gt;</v>
      </c>
    </row>
    <row r="96" spans="1:1">
      <c r="A96" t="str">
        <f>CONCATENATE("&lt;li&gt;", アンケート!C34,"&lt;/li&gt;")</f>
        <v>&lt;li&gt;定番すぎてつけている人が多いので、あまり人と被りたくない人には合わない&lt;/li&gt;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エンジェルハートの香水は大好きで、10代の学生の頃から使用していました。
年齢を考え一時期他の爽やかな香水に浮気していたのですが、やっぱりこの香りが一番好きです。
自分に素直になろうと30代になった今でも使用しています。</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ロングセラーなのが納得できる香りの香水です。
甘めな香りだけど、甘すぎるふんわり柔らかい印象の香りです。
香水ですがきつすぎない香りなのに、香りの持続性が高いので、プライベートはもちろん会社でも使用しています。
</v>
      </c>
    </row>
    <row r="106" spans="1:1">
      <c r="A106" t="s">
        <v>104</v>
      </c>
    </row>
    <row r="107" spans="1:1">
      <c r="A107" t="s">
        <v>99</v>
      </c>
    </row>
    <row r="108" spans="1:1">
      <c r="A108" t="str">
        <f>CONCATENATE("[reviewLink id=","""", 入力シート!D14,"""][/reviewLink]")</f>
        <v>[reviewLink id="215"][/reviewLink]</v>
      </c>
    </row>
    <row r="110" spans="1:1">
      <c r="A110" t="str">
        <f>CONCATENATE("&lt;h3&gt;1位 ",アンケート!C13,"&lt;/h3&gt;")</f>
        <v>&lt;h3&gt;1位 ロジェガレ　フィグパフュームウォーター&lt;/h3&gt;</v>
      </c>
    </row>
    <row r="111" spans="1:1">
      <c r="A111" t="s">
        <v>92</v>
      </c>
    </row>
    <row r="112" spans="1:1">
      <c r="A112" t="s">
        <v>69</v>
      </c>
    </row>
    <row r="113" spans="1:2">
      <c r="A113" t="str">
        <f>アンケート!C22</f>
        <v>芸能人にも人気の香水を試してみたい方</v>
      </c>
    </row>
    <row r="114" spans="1:2">
      <c r="A114" t="s">
        <v>70</v>
      </c>
    </row>
    <row r="115" spans="1:2" ht="27">
      <c r="A115" s="6" t="str">
        <f>CONCATENATE("[tblStart num=5]", 入力シート!C5, "[/tblStart]")</f>
        <v>[tblStart num=5]https://images-fe.ssl-images-amazon.com/images/I/41hL6q75SuL.jpg[/tblStart]</v>
      </c>
    </row>
    <row r="116" spans="1:2">
      <c r="A116" t="str">
        <f>CONCATENATE("[tdLevel type=", B116, "]", 比較表!A4, "[/tdLevel]")</f>
        <v>[tdLevel type=5]甘いけど甘すぎない[/tdLevel]</v>
      </c>
      <c r="B116">
        <f>HLOOKUP(アンケート!$C$13,比較表!$B$3:$D$8,2,FALSE)</f>
        <v>5</v>
      </c>
    </row>
    <row r="117" spans="1:2">
      <c r="A117" t="str">
        <f>CONCATENATE("[tdLevel type=", B117, "]", 比較表!A5, "[/tdLevel]")</f>
        <v>[tdLevel type=2]見た目がお洒落[/tdLevel]</v>
      </c>
      <c r="B117">
        <f>HLOOKUP(アンケート!$C$13,比較表!$B$3:$D$8,3,FALSE)</f>
        <v>2</v>
      </c>
    </row>
    <row r="118" spans="1:2">
      <c r="A118" t="str">
        <f>CONCATENATE("[tdLevel type=", B118, "]", 比較表!A6, "[/tdLevel]")</f>
        <v>[tdLevel type=3]コスパ[/tdLevel]</v>
      </c>
      <c r="B118">
        <f>HLOOKUP(アンケート!$C$13,比較表!$B$3:$D$8,4,FALSE)</f>
        <v>3</v>
      </c>
    </row>
    <row r="119" spans="1:2">
      <c r="A119" t="str">
        <f>CONCATENATE("[tdLevel type=", B119, "]", 比較表!A7, "[/tdLevel]")</f>
        <v>[tdLevel type=2]購入のしやすさ[/tdLevel]</v>
      </c>
      <c r="B119">
        <f>HLOOKUP(アンケート!$C$13,比較表!$B$3:$D$8,5,FALSE)</f>
        <v>2</v>
      </c>
    </row>
    <row r="120" spans="1:2">
      <c r="A120" t="str">
        <f>CONCATENATE("[tdLevel type=", B120, "]", 比較表!A8, "[/tdLevel]")</f>
        <v>[tdLevel type=5]持ち運びのしやすさ[/tdLevel]</v>
      </c>
      <c r="B120">
        <f>HLOOKUP(アンケート!$C$13,比較表!$B$3:$D$8,6,FALSE)</f>
        <v>5</v>
      </c>
    </row>
    <row r="121" spans="1:2">
      <c r="A121" t="s">
        <v>72</v>
      </c>
    </row>
    <row r="123" spans="1:2">
      <c r="A123" s="6" t="str">
        <f>CONCATENATE("[product_link id=",入力シート!D12,"][/product_link]")</f>
        <v>[product_link id=214][/product_link]</v>
      </c>
    </row>
    <row r="124" spans="1:2">
      <c r="A124" t="s">
        <v>93</v>
      </c>
    </row>
    <row r="125" spans="1:2">
      <c r="A125" t="s">
        <v>94</v>
      </c>
    </row>
    <row r="126" spans="1:2">
      <c r="A126" t="s">
        <v>95</v>
      </c>
    </row>
    <row r="127" spans="1:2">
      <c r="A127" t="s">
        <v>87</v>
      </c>
    </row>
    <row r="128" spans="1:2">
      <c r="A128" t="str">
        <f>CONCATENATE("&lt;li&gt;", アンケート!C14,"&lt;/li&gt;")</f>
        <v>&lt;li&gt;いちじくの甘い香り&lt;/li&gt;</v>
      </c>
    </row>
    <row r="129" spans="1:1">
      <c r="A129" t="str">
        <f>CONCATENATE("&lt;li&gt;", アンケート!C15,"&lt;/li&gt;")</f>
        <v>&lt;li&gt;3つサイズがあり、好きな容量を選べる&lt;/li&gt;</v>
      </c>
    </row>
    <row r="130" spans="1:1">
      <c r="A130" t="str">
        <f>CONCATENATE("&lt;li&gt;", アンケート!C16,"&lt;/li&gt;")</f>
        <v>&lt;li&gt;スリムな円柱のシンプルな形の容器なので、持ち運びしやすい&lt;/li&gt;</v>
      </c>
    </row>
    <row r="131" spans="1:1">
      <c r="A131" t="str">
        <f>CONCATENATE("&lt;li&gt;", アンケート!C17,"&lt;/li&gt;")</f>
        <v>&lt;li&gt;芸能人でも愛用者が多い&lt;/li&gt;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&lt;li&gt;見た目がシンプルで、お洒落感はない&lt;/li&gt;</v>
      </c>
    </row>
    <row r="140" spans="1:1">
      <c r="A140" t="str">
        <f>CONCATENATE("&lt;li&gt;", アンケート!C19,"&lt;/li&gt;")</f>
        <v>&lt;li&gt;持ち運びに便利な30mlは取り扱いがない場合がある&lt;/li&gt;</v>
      </c>
    </row>
    <row r="141" spans="1:1">
      <c r="A141" t="str">
        <f>CONCATENATE("&lt;li&gt;", アンケート!C20,"&lt;/li&gt;")</f>
        <v>&lt;li&gt;暑い時期には甘ったるいと感じる場合がある&lt;/li&gt;</v>
      </c>
    </row>
    <row r="142" spans="1:1">
      <c r="A142" t="str">
        <f>CONCATENATE("&lt;li&gt;", アンケート!C21,"&lt;/li&gt;")</f>
        <v>&lt;li&gt;店舗が全国にはない&lt;/li&gt;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甘い香りは好きだけど、甘すぎる香りは苦手なのですが、店舗で1番人気と聞きテスターを付けてみたところ、ちょうどいい甘さだったので購入しました。
甘い香水と言えばベリー系やバニラが多いと思いますが、いちじくは珍しいと思うのでそこも気に入りました。</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香り物は苦手なので、フレグランスボディミストは普段使っているのですが、オードトワレは香りが強いので、今まで避けていました。
今回プレゼントにフィグをいただき使ってみたのですが、最初は甘く感じましたが、慣れたのか瑞々しい甘さに爽やかさもあり今では気に入っています。</v>
      </c>
    </row>
    <row r="152" spans="1:1">
      <c r="A152" t="s">
        <v>104</v>
      </c>
    </row>
    <row r="153" spans="1:1">
      <c r="A153" t="s">
        <v>99</v>
      </c>
    </row>
    <row r="154" spans="1:1">
      <c r="A154" t="str">
        <f>CONCATENATE("[reviewLink id=","""", 入力シート!D12,"""][/reviewLink]")</f>
        <v>[reviewLink id="214"][/reviewLink]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(214,'//af.moshimo.com/af/c/click?a_id=988731&amp;p_id=170&amp;pc_id=185&amp;pl_id=4062&amp;url=https%3A%2F%2Fwww.amazon.co.jp%2F%25E3%2583%25AD%25E3%2582%25B8%25E3%2582%25A7%25E3%2582%25AC%25E3%2583%25AC-ROGER-GALLET-%25E3%2583%2595%25E3%2582%25A3%25E3%2582%25B0%25E3%2583%2591%25E3%2583%2595%25E3%2583%25A5%25E3%2583%25BC%25E3%2583%25A0-%25E3%2582%25A6%25E3%2582%25A9%25E3%2583%25BC%25E3%2582%25BF%25E3%2583%25BC%2Fdp%2FB01CBENFLI', '//af.moshimo.com/af/c/click?a_id=988729&amp;p_id=54&amp;pc_id=54&amp;pl_id=616&amp;url=https%3A%2F%2Fitem.rakuten.co.jp%2Faquabouquet%2Frog00224%2F&amp;m=http%3A%2F%2Fm.rakuten.co.jp%2Faquabouquet%2Fi%2F10009338%2F&amp;r_v=g00rbw63.9tq3eeee.g00rbw63.9tq3f9d5', 'https://www.cosme.net/product/product_id/10083096/reviews', 'https://images-fe.ssl-images-amazon.com/images/I/41hL6q75SuL.jpg', 'ロジェガレ　フィグパフュームウォーター'),</v>
      </c>
    </row>
    <row r="3" spans="1:1">
      <c r="A3" t="str">
        <f>"("&amp;入力シート!D14&amp;","&amp;"'"&amp;入力シート!D24&amp;"', '"&amp;入力シート!D25&amp;"', '"&amp;入力シート!C14&amp;"', '"&amp;入力シート!C6&amp;"', '"&amp;入力シート!D6&amp;"'),"</f>
        <v>(215,'//af.moshimo.com/af/c/click?a_id=988731&amp;p_id=170&amp;pc_id=185&amp;pl_id=4062&amp;url=https%3A%2F%2Fwww.amazon.co.jp%2F%25E3%2582%25A8%25E3%2583%25B3%25E3%2582%25B8%25E3%2582%25A7%25E3%2583%25AB%25E3%2583%258F%25E3%2583%25BC%25E3%2583%2588-%25E3%2582%25AA%25E3%2583%25BC%25E3%2583%2589%25E3%2583%2588%25E3%2583%25AF%25E3%2583%25AC-100mL%2Fdp%2FB000GT0TME', '//af.moshimo.com/af/c/click?a_id=988729&amp;p_id=54&amp;pc_id=54&amp;pl_id=616&amp;url=https%3A%2F%2Fitem.rakuten.co.jp%2Fcosmeland%2F200295%2F&amp;m=http%3A%2F%2Fm.rakuten.co.jp%2Fcosmeland%2Fi%2F10096309%2F&amp;r_v=g00pr1t3.9tq3e34d.g00pr1t3.9tq3f1f2', 'https://www.cosme.net/product/product_id/322113/reviews', 'https://images-fe.ssl-images-amazon.com/images/I/41TFD6NG3gL.jpg', 'エンジェルハート　エンジェルハートオードトワレ'),</v>
      </c>
    </row>
    <row r="4" spans="1:1">
      <c r="A4" t="str">
        <f>"("&amp;入力シート!D16&amp;","&amp;"'"&amp;入力シート!D26&amp;"', '"&amp;入力シート!D27&amp;"', '"&amp;入力シート!C16&amp;"', '"&amp;入力シート!C7&amp;"', '"&amp;入力シート!D7&amp;"');"</f>
        <v>(216,'//af.moshimo.com/af/c/click?a_id=988731&amp;p_id=170&amp;pc_id=185&amp;pl_id=4062&amp;url=https%3A%2F%2Fwww.amazon.co.jp%2FYves-Saint-Laurent-%25E3%2582%25A4%25E3%2583%25B4%25E3%2582%25B5%25E3%2583%25B3%25E3%2583%25AD%25E3%2583%25BC%25E3%2583%25A9%25E3%2583%25B3-115809%2Fdp%2FB000C1ZFGG', '//af.moshimo.com/af/c/click?a_id=988729&amp;p_id=54&amp;pc_id=54&amp;pl_id=616&amp;url=https%3A%2F%2Fitem.rakuten.co.jp%2Ftkcosme%2F722691%2F&amp;m=http%3A%2F%2Fm.rakuten.co.jp%2Ftkcosme%2Fi%2F10000116%2F&amp;r_v=g00q5163.9tq3ec7a.g00q5163.9tq3f62a', 'https://www.cosme.net/product/product_id/2940460/reviews', 'https://images-fe.ssl-images-amazon.com/images/I/41YlRh7B13L.jpg', 'イヴサンローラン　ベビードールオードトワレ');</v>
      </c>
    </row>
    <row r="9" spans="1:1">
      <c r="A9" s="36" t="s">
        <v>124</v>
      </c>
    </row>
    <row r="10" spans="1:1" ht="14.25" thickBot="1">
      <c r="A10" t="s">
        <v>123</v>
      </c>
    </row>
    <row r="11" spans="1:1" ht="14.25" thickBot="1">
      <c r="A11" s="39">
        <v>213</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2018-07-30T03:36:29Z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