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120" i="3" l="1"/>
  <c r="B119" i="3"/>
  <c r="B118" i="3"/>
  <c r="B117" i="3"/>
  <c r="B116" i="3"/>
  <c r="D12" i="4" l="1"/>
  <c r="F2" i="4" l="1"/>
  <c r="B76" i="3" l="1"/>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<sst xmlns="http://schemas.openxmlformats.org/spreadsheetml/2006/main" count="268" uniqueCount="191">
  <si>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</si>
  <si>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</si>
  <si>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</si>
  <si>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</si>
  <si>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</si>
  <si>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</si>
  <si>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</si>
  <si>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</si>
  <si>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</si>
  <si>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</si>
  <si>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</si>
  <si>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</si>
  <si>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</si>
  <si>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</si>
  <si>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</si>
  <si>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</si>
  <si>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</si>
  <si>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</si>
  <si>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</si>
  <si>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</si>
  <si>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</si>
  <si>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</si>
  <si>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</si>
  <si>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</si>
  <si>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</si>
  <si>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</si>
  <si>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</si>
  <si>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</si>
  <si>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</si>
  <si>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</si>
  <si>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</si>
  <si>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</si>
  <si>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</si>
  <si>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</si>
  <si>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</si>
  <si>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</si>
  <si>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</si>
  <si>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</si>
  <si>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</si>
  <si>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</si>
  <si>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</si>
  <si>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</si>
  <si>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</si>
  <si>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</si>
  <si>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</si>
  <si>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</si>
  <si>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</si>
  <si>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</si>
  <si>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</si>
  <si>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</si>
  <si>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</si>
  <si>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</si>
  <si>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</si>
  <si>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</si>
  <si>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</si>
  <si>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</si>
  <si>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</si>
  <si>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</si>
  <si>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</si>
  <si>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</si>
  <si>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</si>
  <si>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</si>
  <si>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</si>
  <si>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</si>
  <si>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</si>
  <si>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</si>
  <si>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</si>
  <si>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</si>
  <si>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</si>
  <si>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</si>
  <si>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</si>
  <si>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</si>
  <si>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</si>
  <si>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</si>
  <si>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</si>
  <si>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</si>
  <si>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</si>
  <si>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</si>
  <si>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</si>
  <si>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</si>
  <si>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</si>
  <si>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</si>
  <si>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</si>
  <si>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</si>
  <si>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</si>
  <si>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</si>
  <si>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</si>
  <si>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</si>
  <si>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</si>
  <si>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</si>
  <si>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</si>
  <si>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</si>
  <si>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</si>
  <si>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</si>
  <si>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</si>
  <si>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</si>
  <si>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</si>
  <si>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</si>
  <si>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</si>
  <si>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</si>
  <si>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</si>
  <si>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</si>
  <si>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</si>
  <si>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</si>
  <si>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</si>
  <si>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</si>
  <si>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</si>
  <si>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</si>
  <si>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</si>
  <si>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</si>
  <si>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</si>
  <si>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</si>
  <si>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</si>
  <si>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</si>
  <si>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</si>
  <si>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</si>
  <si>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</si>
  <si>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</si>
  <si>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</si>
  <si>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</si>
  <si>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</si>
  <si>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</si>
  <si>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</si>
  <si>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</si>
  <si>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</si>
  <si>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</si>
  <si>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コスパが良い</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</si>
  <si>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</si>
  <si>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</si>
  <si>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</si>
  <si>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</si>
  <si>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</si>
  <si>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</si>
  <si>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</si>
  <si>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美白効果のある洗顔</t>
  </si>
  <si>
    <t>水橋保寿堂製薬　いつかの石けん</t>
  </si>
  <si>
    <t>ソフティモ　薬用ホワイトクレンジングウォッシュ</t>
  </si>
  <si>
    <t>ビフェスタ　泡洗顔　ブライトアップ</t>
  </si>
  <si>
    <t>肌が白くトーンアップする</t>
  </si>
  <si>
    <t>乾燥しない</t>
  </si>
  <si>
    <t>使いやすさ</t>
  </si>
  <si>
    <t>コスパ</t>
  </si>
  <si>
    <t>肌への刺激がない</t>
  </si>
  <si>
    <t>ビフェスタ泡洗顔　ブライトアップ</t>
  </si>
  <si>
    <t>わざわざ泡を作る必要がないので、手間がかからない</t>
  </si>
  <si>
    <t>泡がきめ細かい</t>
  </si>
  <si>
    <t>時間がない朝にもぴったり</t>
  </si>
  <si>
    <t>透明感を与えてくれる</t>
  </si>
  <si>
    <t>肌が弱い方は多少刺激を感じる</t>
  </si>
  <si>
    <t>缶なので使用後の処理が面倒</t>
  </si>
  <si>
    <t>大きいし、小分けもできないので、持ち運びに不便</t>
  </si>
  <si>
    <t>軽くプッシュしないと、1度でたくさんの泡が出すぎてしまう</t>
  </si>
  <si>
    <t>洗顔を手軽に済ませたい方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</si>
  <si>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</si>
  <si>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朝手軽にできる洗顔を探していたところ、こちらの洗顔が良いと美容垢さんがお勧めしていたので、購入しました。
軽くプッシュしただけで、肌理の細かい濃密泡がでてくれるので、朝はもちろん最近では夜も使用しています。
</t>
  </si>
  <si>
    <t>今まで色んな泡洗顔を使用してきましたが、こちらが一番泡が好みでした。
こちらのブライトアップとしっとりで迷いましたが、透明感がほしかったのと、このタイプが一番人気だったので、ブライトアップにしましたが、洗顔後肌色がワントーン明るくなり満足です。</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</si>
  <si>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</si>
  <si>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</si>
  <si>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https://www.cosme.net/product/product_id/10115287/reviews</t>
  </si>
  <si>
    <t>クレンジングと洗顔が１つになっているので、W洗顔不要</t>
  </si>
  <si>
    <t>クリーミーなしっとりした泡ができる</t>
  </si>
  <si>
    <t>クレンジング効果もあるが、しっかりしたメイクは落ちない</t>
  </si>
  <si>
    <t>ホワイトと書いてあるが、美白効果はあまり期待できない</t>
  </si>
  <si>
    <t>同シリーズで、ヒアルロン酸配合やスクラブ入りなど種類が色々あり迷う</t>
  </si>
  <si>
    <t>クレンジングをするのが面倒な方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</si>
  <si>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</si>
  <si>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ソフティモのホワイトクレンジングウォッシュは、もう5本以上はリピートしています。
洗いあがりもつっぱったりせず、泡も泡立てネットで簡単に作れるので、使いやすいです。
コスパが良いので、体にも使用しています。
</t>
  </si>
  <si>
    <t xml:space="preserve">こちらを使用し始めてから、肌色がトーンアップしたように感じます。
普段ナチュラルメイクなので、クレンジングを別でするのも面倒なので、洗顔はこれだけで済ませています。
ドラッグストアやコンビニにも売っているので、便利で助かってます。
</t>
  </si>
  <si>
    <t>https://www.cosme.net/product/product_id/303126/reviews</t>
  </si>
  <si>
    <t>くすみが取れ肌が白くなる</t>
  </si>
  <si>
    <t>敏感肌の方でも使える</t>
  </si>
  <si>
    <t>肌理の細かい泡が作れる</t>
  </si>
  <si>
    <t>石けんなので、泡立てるのが面倒</t>
  </si>
  <si>
    <t>石けんなので、浴槽に置いて置くと多少とけてしまう</t>
  </si>
  <si>
    <t>コスパが悪い</t>
  </si>
  <si>
    <t>くすみをとり透明感が欲しい方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</si>
  <si>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</si>
  <si>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石けんは泡立てるのが面倒で、今まで使用しようと思ったことがなかったのですが、美容系ユーチューバーさんがお勧めしていたので、初めて購入しました。
泡をつけたまましばらく放置すると、肌がワントーン明るくなっているのを感じます。
</t>
  </si>
  <si>
    <t>SNSで話題になっていたので、購入しました。
肌が弱いので、スキンケアを変えると肌荒れする場合があるので心配だったのですが、肌荒れすることもなくひりひりしたりもしなかったのでよかったです。
以前に比べくすみがとれ透明感が増しました。</t>
  </si>
  <si>
    <t>https://www.cosme.net/product/product_id/10063347/reviews</t>
  </si>
  <si>
    <t>今回取り上げたアイテムは、「何を求めてる人」にピッタリだと思いますか？
具体的に3つ記入してください。</t>
  </si>
  <si>
    <t>洗顔でくすみを取り除きたい方</t>
  </si>
  <si>
    <t>肌のトーンを明るく白肌になりたい方</t>
  </si>
  <si>
    <t>手軽に使用できる洗顔を求めている方</t>
  </si>
  <si>
    <t>&lt;a target="_blank" href="//af.moshimo.com/af/c/click?a_id=988731&amp;amp;p_id=170&amp;amp;pc_id=185&amp;amp;pl_id=4062&amp;amp;url=https%3A%2F%2Fwww.amazon.co.jp%2FBifesta-%25E3%2583%2593%25E3%2583%2595%25E3%2582%25A7%25E3%2582%25B9%25E3%2582%25BF-%25E6%25B3%25A1%25E6%25B4%2597%25E9%25A1%2594-%25E3%2583%2596%25E3%2583%25A9%25E3%2582%25A4%25E3%2583%2588%25E3%2582%25A2%25E3%2583%2583%25E3%2583%2597-180g%2Fdp%2FB01JOEZ49O" rel="nofollow"&gt;&lt;img src="https://images-fe.ssl-images-amazon.com/images/I/41fZR3arYhL.jpg" alt="" style="border: none;" /&gt;&lt;br /&gt;ビフェスタ 泡洗顔 ブライトアップ 180g&lt;/a&gt;&lt;img src="//i.moshimo.com/af/i/impression?a_id=988731&amp;amp;p_id=170&amp;amp;pc_id=185&amp;amp;pl_id=4062" alt="" width="1" height="1" style="border: 0px;" /&gt;</t>
  </si>
  <si>
    <t>&lt;a target="_blank" href="//af.moshimo.com/af/c/click?a_id=988729&amp;amp;p_id=54&amp;amp;pc_id=54&amp;amp;pl_id=616&amp;amp;url=https%3A%2F%2Fitem.rakuten.co.jp%2Fmatsukiyo%2F4902806460681%2F&amp;amp;m=http%3A%2F%2Fm.rakuten.co.jp%2Fmatsukiyo%2Fi%2F10457077%2F&amp;amp;r_v=g00rqsz3.9tq3edce.g00rqsz3.9tq3ff85" rel="nofollow"&gt;&lt;img src="//thumbnail.image.rakuten.co.jp/@0_mall/matsukiyo/cabinet/i0058/4902806460681_1.jpg?_ex=128x128" alt="" style="border: none;" /&gt;&lt;br /&gt;マンダム ビフェスタ 泡洗顔 ブライトアップ 180g&lt;/a&gt;&lt;img src="//i.moshimo.com/af/i/impression?a_id=988729&amp;amp;p_id=54&amp;amp;pc_id=54&amp;amp;pl_id=616" alt="" width="1" height="1" style="border: 0px;" /&gt;</t>
  </si>
  <si>
    <t>&lt;a target="_blank" href="//af.moshimo.com/af/c/click?a_id=988731&amp;amp;p_id=170&amp;amp;pc_id=185&amp;amp;pl_id=4062&amp;amp;url=https%3A%2F%2Fwww.amazon.co.jp%2FKOSE-%25E3%2582%25B3%25E3%2583%25BC%25E3%2582%25BB%25E3%2583%25BC-%25E3%2582%25BD%25E3%2583%2595%25E3%2583%2586%25E3%2582%25A3%25E3%2583%25A2-%25E8%2596%25AC%25E7%2594%25A8%25E3%2582%25AF%25E3%2583%25AC%25E3%2583%25B3%25E3%2582%25B8%25E3%2583%25B3%25E3%2582%25B0%25E3%2582%25A6%25E3%2582%25A9%25E3%2583%2583%25E3%2582%25B7%25E3%2583%25A5-%25E5%258C%25BB%25E8%2596%25AC%25E9%2583%25A8%25E5%25A4%2596%25E5%2593%2581%2Fdp%2FB000FQS36M" rel="nofollow"&gt;&lt;img src="https://images-fe.ssl-images-amazon.com/images/I/41XzVcoCHWL.jpg" alt="" style="border: none;" /&gt;&lt;br /&gt;KOSE コーセー ソフティモ ホワイト 薬用クレンジングウォッシュ 190g (医薬部外品)&lt;/a&gt;&lt;img src="//i.moshimo.com/af/i/impression?a_id=988731&amp;amp;p_id=170&amp;amp;pc_id=185&amp;amp;pl_id=4062" alt="" width="1" height="1" style="border: 0px;" /&gt;</t>
  </si>
  <si>
    <t>&lt;a target="_blank" href="//af.moshimo.com/af/c/click?a_id=988729&amp;amp;p_id=54&amp;amp;pc_id=54&amp;amp;pl_id=616&amp;amp;url=https%3A%2F%2Fitem.rakuten.co.jp%2Fat-life%2F4971710303483-kksale%2F&amp;amp;m=http%3A%2F%2Fm.rakuten.co.jp%2Fat-life%2Fi%2F10316214%2F&amp;amp;r_v=g00ru0o3.9tq3e082.g00ru0o3.9tq3fa40" rel="nofollow"&gt;&lt;img src="//thumbnail.image.rakuten.co.jp/@0_mall/at-life/cabinet/y/4971710303483.jpg?_ex=128x128" alt="" style="border: none;" /&gt;&lt;br /&gt;【週末限定！スーパーフライデーSale！7/27〜】 コーセーコスメポート ソフティモ 薬用ホワイトクレンジングウォッシュ ミニ 60g ( 4971710303483 )&lt;/a&gt;&lt;img src="//i.moshimo.com/af/i/impression?a_id=988729&amp;amp;p_id=54&amp;amp;pc_id=54&amp;amp;pl_id=616" alt="" width="1" height="1" style="border: 0px;" /&gt;</t>
  </si>
  <si>
    <t>&lt;a target="_blank" href="//af.moshimo.com/af/c/click?a_id=988731&amp;amp;p_id=170&amp;amp;pc_id=185&amp;amp;pl_id=4062&amp;amp;url=https%3A%2F%2Fwww.amazon.co.jp%2F%25E6%25B0%25B4%25E6%25A9%258B%25E4%25BF%259D%25E5%25AF%25BF%25E5%25A0%2582%25E8%25A3%25BD%25E8%2596%25AC-al003-%25E3%2581%2584%25E3%2581%25A4%25E3%2581%258B%25E3%2581%25AE%25E7%259F%25B3%25E3%2581%2591%25E3%2582%2593-100g%2Fdp%2FB00JPWO596" rel="nofollow"&gt;&lt;img src="https://images-fe.ssl-images-amazon.com/images/I/31PI%2BUffsaL.jpg" alt="" style="border: none;" /&gt;&lt;br /&gt;水橋保寿堂製薬 いつかの石けん 100g&lt;/a&gt;&lt;img src="//i.moshimo.com/af/i/impression?a_id=988731&amp;amp;p_id=170&amp;amp;pc_id=185&amp;amp;pl_id=4062" alt="" width="1" height="1" style="border: 0px;" /&gt;</t>
  </si>
  <si>
    <t>&lt;a target="_blank" href="//af.moshimo.com/af/c/click?a_id=988729&amp;amp;p_id=54&amp;amp;pc_id=54&amp;amp;pl_id=616&amp;amp;url=https%3A%2F%2Fitem.rakuten.co.jp%2Fcosme-garden%2Fmh-002%2F&amp;amp;m=http%3A%2F%2Fm.rakuten.co.jp%2Fcosme-garden%2Fi%2F10016895%2F&amp;amp;r_v=g00s7gt3.9tq3ef5e.g00s7gt3.9tq3f91d" rel="nofollow"&gt;&lt;img src="//thumbnail.image.rakuten.co.jp/@0_mall/cosme-garden/cabinet/mizu/002.jpg?_ex=128x128" alt="" style="border: none;" /&gt;&lt;br /&gt;★【水橋保寿堂製薬】いつかの石けん　100g酵素　洗顔　石けんケア　メラニン　スキンケア&lt;/a&gt;&lt;img src="//i.moshimo.com/af/i/impression?a_id=988729&amp;amp;p_id=54&amp;amp;pc_id=54&amp;amp;pl_id=616" alt="" width="1" height="1" style="border: 0px;" /&gt;</t>
  </si>
  <si>
    <t>美白効果がある洗顔のおすすめ3選。ドラッグストアで買える中から選定！</t>
    <rPh sb="0" eb="2">
      <t>ビハク</t>
    </rPh>
    <rPh sb="2" eb="4">
      <t>コウカ</t>
    </rPh>
    <rPh sb="7" eb="9">
      <t>センガン</t>
    </rPh>
    <rPh sb="15" eb="16">
      <t>セン</t>
    </rPh>
    <rPh sb="25" eb="26">
      <t>カ</t>
    </rPh>
    <rPh sb="28" eb="29">
      <t>ナカ</t>
    </rPh>
    <rPh sb="31" eb="33">
      <t>センテイ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</si>
</sst>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63347/reviews" TargetMode="External"/><Relationship Id="rId2" Type="http://schemas.openxmlformats.org/officeDocument/2006/relationships/hyperlink" Target="https://www.cosme.net/product/product_id/303126/reviews" TargetMode="External"/><Relationship Id="rId1" Type="http://schemas.openxmlformats.org/officeDocument/2006/relationships/hyperlink" Target="https://www.cosme.net/product/product_id/10115287/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9"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134</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135</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136</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137</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5</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138</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139</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140</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141</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142</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143</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144</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145</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146</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147</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148</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149</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150</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151</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152</v>
      </c>
      <c r="D22" s="3"/>
      <c r="E22" s="3"/>
      <c r="F22" s="3"/>
      <c r="G22" s="3"/>
      <c r="H22" s="3"/>
      <c r="I22" s="3"/>
      <c r="J22" s="3"/>
      <c r="K22" s="3"/>
      <c r="L22" s="3"/>
      <c r="M22" s="3"/>
      <c r="N22" s="3"/>
      <c r="O22" s="3"/>
      <c r="P22" s="3"/>
      <c r="Q22" s="3"/>
      <c r="R22" s="3"/>
      <c r="S22" s="3"/>
      <c r="T22" s="3"/>
      <c r="U22" s="3"/>
      <c r="V22" s="3"/>
      <c r="W22" s="3"/>
      <c r="X22" s="3"/>
      <c r="Y22" s="3"/>
      <c r="Z22" s="3"/>
    </row>
    <row r="23" spans="1:26" ht="48.75" thickBot="1">
      <c r="A23" s="4" t="s">
        <v>27</v>
      </c>
      <c r="B23" s="40" t="s">
        <v>153</v>
      </c>
      <c r="C23" s="9" t="s">
        <v>154</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1"/>
      <c r="C24" s="68" t="s">
        <v>155</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156</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157</v>
      </c>
      <c r="C27" s="37" t="s">
        <v>158</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159</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126</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160</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161</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162</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163</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164</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2" t="s">
        <v>165</v>
      </c>
      <c r="C36" s="27" t="s">
        <v>166</v>
      </c>
      <c r="D36" s="3"/>
      <c r="E36" s="3"/>
      <c r="F36" s="3"/>
      <c r="G36" s="3"/>
      <c r="H36" s="3"/>
      <c r="I36" s="3"/>
      <c r="J36" s="3"/>
      <c r="K36" s="3"/>
      <c r="L36" s="3"/>
      <c r="M36" s="3"/>
      <c r="N36" s="3"/>
      <c r="O36" s="3"/>
      <c r="P36" s="3"/>
      <c r="Q36" s="3"/>
      <c r="R36" s="3"/>
      <c r="S36" s="3"/>
      <c r="T36" s="3"/>
      <c r="U36" s="3"/>
      <c r="V36" s="3"/>
      <c r="W36" s="3"/>
      <c r="X36" s="3"/>
      <c r="Y36" s="3"/>
      <c r="Z36" s="3"/>
    </row>
    <row r="37" spans="1:26" ht="51.75" thickBot="1">
      <c r="A37" s="4" t="s">
        <v>47</v>
      </c>
      <c r="B37" s="44"/>
      <c r="C37" s="27"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156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156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157</v>
      </c>
      <c r="C40" s="38"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135</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175</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8" t="s">
        <v>176</v>
      </c>
      <c r="C49" s="69"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0"/>
      <c r="C50" s="69"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156</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157</v>
      </c>
      <c r="C53" s="39"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4" sqref="C14"/>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135</v>
      </c>
      <c r="C3" s="15" t="s">
        <v>136</v>
      </c>
      <c r="D3" s="16" t="s">
        <v>137</v>
      </c>
      <c r="E3" s="3"/>
      <c r="F3" s="3"/>
      <c r="G3" s="3"/>
      <c r="H3" s="3"/>
      <c r="I3" s="3"/>
      <c r="J3" s="3"/>
      <c r="K3" s="3"/>
      <c r="L3" s="3"/>
      <c r="M3" s="3"/>
      <c r="N3" s="3"/>
      <c r="O3" s="3"/>
      <c r="P3" s="3"/>
      <c r="Q3" s="3"/>
      <c r="R3" s="3"/>
      <c r="S3" s="3"/>
      <c r="T3" s="3"/>
      <c r="U3" s="3"/>
      <c r="V3" s="3"/>
      <c r="W3" s="3"/>
      <c r="X3" s="3"/>
      <c r="Y3" s="3"/>
      <c r="Z3" s="3"/>
    </row>
    <row r="4" spans="1:26" ht="30.75" thickBot="1">
      <c r="A4" s="33" t="s">
        <v>138</v>
      </c>
      <c r="B4" s="17">
        <v>4</v>
      </c>
      <c r="C4" s="17">
        <v>3</v>
      </c>
      <c r="D4" s="17">
        <v>3</v>
      </c>
      <c r="E4" s="3"/>
      <c r="F4" s="3"/>
      <c r="G4" s="3"/>
      <c r="H4" s="3"/>
      <c r="I4" s="3"/>
      <c r="J4" s="3"/>
      <c r="K4" s="3"/>
      <c r="L4" s="3"/>
      <c r="M4" s="3"/>
      <c r="N4" s="3"/>
      <c r="O4" s="3"/>
      <c r="P4" s="3"/>
      <c r="Q4" s="3"/>
      <c r="R4" s="3"/>
      <c r="S4" s="3"/>
      <c r="T4" s="3"/>
      <c r="U4" s="3"/>
      <c r="V4" s="3"/>
      <c r="W4" s="3"/>
      <c r="X4" s="3"/>
      <c r="Y4" s="3"/>
      <c r="Z4" s="3"/>
    </row>
    <row r="5" spans="1:26" ht="15.75" thickBot="1">
      <c r="A5" s="33" t="s">
        <v>139</v>
      </c>
      <c r="B5" s="17">
        <v>4</v>
      </c>
      <c r="C5" s="17">
        <v>3</v>
      </c>
      <c r="D5" s="17">
        <v>3</v>
      </c>
      <c r="E5" s="3"/>
      <c r="F5" s="3"/>
      <c r="G5" s="3"/>
      <c r="H5" s="3"/>
      <c r="I5" s="3"/>
      <c r="J5" s="3"/>
      <c r="K5" s="3"/>
      <c r="L5" s="3"/>
      <c r="M5" s="3"/>
      <c r="N5" s="3"/>
      <c r="O5" s="3"/>
      <c r="P5" s="3"/>
      <c r="Q5" s="3"/>
      <c r="R5" s="3"/>
      <c r="S5" s="3"/>
      <c r="T5" s="3"/>
      <c r="U5" s="3"/>
      <c r="V5" s="3"/>
      <c r="W5" s="3"/>
      <c r="X5" s="3"/>
      <c r="Y5" s="3"/>
      <c r="Z5" s="3"/>
    </row>
    <row r="6" spans="1:26" ht="15.75" thickBot="1">
      <c r="A6" s="33" t="s">
        <v>140</v>
      </c>
      <c r="B6" s="17">
        <v>1</v>
      </c>
      <c r="C6" s="17">
        <v>3</v>
      </c>
      <c r="D6" s="17">
        <v>5</v>
      </c>
      <c r="E6" s="3"/>
      <c r="F6" s="3"/>
      <c r="G6" s="3"/>
      <c r="H6" s="3"/>
      <c r="I6" s="3"/>
      <c r="J6" s="3"/>
      <c r="K6" s="3"/>
      <c r="L6" s="3"/>
      <c r="M6" s="3"/>
      <c r="N6" s="3"/>
      <c r="O6" s="3"/>
      <c r="P6" s="3"/>
      <c r="Q6" s="3"/>
      <c r="R6" s="3"/>
      <c r="S6" s="3"/>
      <c r="T6" s="3"/>
      <c r="U6" s="3"/>
      <c r="V6" s="3"/>
      <c r="W6" s="3"/>
      <c r="X6" s="3"/>
      <c r="Y6" s="3"/>
      <c r="Z6" s="3"/>
    </row>
    <row r="7" spans="1:26" ht="15.75" thickBot="1">
      <c r="A7" s="33" t="s">
        <v>141</v>
      </c>
      <c r="B7" s="17">
        <v>2</v>
      </c>
      <c r="C7" s="17">
        <v>4</v>
      </c>
      <c r="D7" s="17">
        <v>4</v>
      </c>
      <c r="E7" s="3"/>
      <c r="F7" s="3"/>
      <c r="G7" s="3"/>
      <c r="H7" s="3"/>
      <c r="I7" s="3"/>
      <c r="J7" s="3"/>
      <c r="K7" s="3"/>
      <c r="L7" s="3"/>
      <c r="M7" s="3"/>
      <c r="N7" s="3"/>
      <c r="O7" s="3"/>
      <c r="P7" s="3"/>
      <c r="Q7" s="3"/>
      <c r="R7" s="3"/>
      <c r="S7" s="3"/>
      <c r="T7" s="3"/>
      <c r="U7" s="3"/>
      <c r="V7" s="3"/>
      <c r="W7" s="3"/>
      <c r="X7" s="3"/>
      <c r="Y7" s="3"/>
      <c r="Z7" s="3"/>
    </row>
    <row r="8" spans="1:26" ht="15.75" thickBot="1">
      <c r="A8" s="33" t="s">
        <v>142</v>
      </c>
      <c r="B8" s="17">
        <v>4</v>
      </c>
      <c r="C8" s="17">
        <v>4</v>
      </c>
      <c r="D8" s="17">
        <v>2</v>
      </c>
      <c r="E8" s="3"/>
      <c r="F8" s="3"/>
      <c r="G8" s="3"/>
      <c r="H8" s="3"/>
      <c r="I8" s="3"/>
      <c r="J8" s="3"/>
      <c r="K8" s="3"/>
      <c r="L8" s="3"/>
      <c r="M8" s="3"/>
      <c r="N8" s="3"/>
      <c r="O8" s="3"/>
      <c r="P8" s="3"/>
      <c r="Q8" s="3"/>
      <c r="R8" s="3"/>
      <c r="S8" s="3"/>
      <c r="T8" s="3"/>
      <c r="U8" s="3"/>
      <c r="V8" s="3"/>
      <c r="W8" s="3"/>
      <c r="X8" s="3"/>
      <c r="Y8" s="3"/>
      <c r="Z8" s="3"/>
    </row>
    <row r="9" spans="1:26" ht="15" thickBot="1">
      <c r="A9" s="18" t="s">
        <v>68</v>
      </c>
      <c r="B9" s="19">
        <v>15</v>
      </c>
      <c r="C9" s="19">
        <v>17</v>
      </c>
      <c r="D9" s="19">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I17" sqref="I17"/>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190</v>
      </c>
      <c r="D2" s="31"/>
      <c r="F2">
        <f>LEN(C1)</f>
        <v>0</v>
      </c>
      <c r="G2" t="s">
        <v>130</v>
      </c>
    </row>
    <row r="3" spans="2:8">
      <c r="B3" s="34"/>
      <c r="C3" s="31"/>
      <c r="D3" s="31"/>
      <c r="H3" t="s">
        <v>131</v>
      </c>
    </row>
    <row r="4" spans="2:8">
      <c r="B4" s="23" t="s">
        <v>119</v>
      </c>
      <c r="C4" s="23" t="s">
        <v>120</v>
      </c>
      <c r="D4" s="23" t="s">
        <v>121</v>
      </c>
      <c r="H4" t="s">
        <v>132</v>
      </c>
    </row>
    <row r="5" spans="2:8">
      <c r="B5" s="23" t="s">
        <v>103</v>
      </c>
      <c r="C5" s="22" t="str">
        <f>IF(C22="","",SUBSTITUTE(MID(C22,FIND("src=",C22)+5,FIND("alt",C22)-FIND("src=",C22)-7),"amp;",""))</f>
        <v>https://images-fe.ssl-images-amazon.com/images/I/41fZR3arYhL.jpg</v>
      </c>
      <c r="D5" s="22" t="str">
        <f>アンケート!C13</f>
        <v>ビフェスタ泡洗顔　ブライトアップ</v>
      </c>
      <c r="E5" t="s">
        <v>122</v>
      </c>
    </row>
    <row r="6" spans="2:8">
      <c r="B6" s="23" t="s">
        <v>102</v>
      </c>
      <c r="C6" s="22" t="str">
        <f>IF(C24="","",SUBSTITUTE(MID(C24,FIND("src=",C24)+5,FIND("alt",C24)-FIND("src=",C24)-7),"amp;",""))</f>
        <v>https://images-fe.ssl-images-amazon.com/images/I/41XzVcoCHWL.jpg</v>
      </c>
      <c r="D6" s="22" t="str">
        <f>アンケート!C28</f>
        <v>ソフティモ　薬用ホワイトクレンジングウォッシュ</v>
      </c>
      <c r="E6" t="s">
        <v>122</v>
      </c>
    </row>
    <row r="7" spans="2:8">
      <c r="B7" s="23" t="s">
        <v>101</v>
      </c>
      <c r="C7" s="22" t="str">
        <f>IF(C26="","",SUBSTITUTE(MID(C26,FIND("src=",C26)+5,FIND("alt",C26)-FIND("src=",C26)-7),"amp;",""))</f>
        <v>https://images-fe.ssl-images-amazon.com/images/I/31PI%2BUffsaL.jpg</v>
      </c>
      <c r="D7" s="22" t="str">
        <f>アンケート!C41</f>
        <v>水橋保寿堂製薬　いつかの石けん</v>
      </c>
      <c r="E7" t="s">
        <v>122</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https://www.cosme.net/product/product_id/10115287/reviews</v>
      </c>
      <c r="D12" s="61">
        <f>SQL!A11+1</f>
        <v>208</v>
      </c>
      <c r="E12" s="22" t="str">
        <f>アンケート!C25</f>
        <v>30代女性</v>
      </c>
      <c r="F12" s="22" t="str">
        <f>IF(ISERROR(FIND("女",E12)),"m","w")&amp;"_"&amp;LEFT(E12,2)&amp;"_"&amp;"2"</f>
        <v>w_30_2</v>
      </c>
    </row>
    <row r="13" spans="2:8">
      <c r="B13" s="66"/>
      <c r="C13" s="67"/>
      <c r="D13" s="62"/>
      <c r="E13" s="22" t="str">
        <f>アンケート!C26</f>
        <v>20代女性</v>
      </c>
      <c r="F13" s="22" t="str">
        <f>IF(ISERROR(FIND("女",E13)),"m","w")&amp;"_"&amp;LEFT(E13,2)&amp;"_"&amp;"1"</f>
        <v>w_20_1</v>
      </c>
    </row>
    <row r="14" spans="2:8">
      <c r="B14" s="65" t="s">
        <v>102</v>
      </c>
      <c r="C14" s="67" t="str">
        <f>アンケート!C40</f>
        <v>https://www.cosme.net/product/product_id/303126/reviews</v>
      </c>
      <c r="D14" s="61">
        <f>IF(D12="","",D12+1)</f>
        <v>209</v>
      </c>
      <c r="E14" s="22" t="str">
        <f>アンケート!C38</f>
        <v>30代女性</v>
      </c>
      <c r="F14" s="22" t="str">
        <f>IF(ISERROR(FIND("女",E14)),"m","w")&amp;"_"&amp;LEFT(E14,2)&amp;"_"&amp;"2"</f>
        <v>w_30_2</v>
      </c>
    </row>
    <row r="15" spans="2:8">
      <c r="B15" s="66"/>
      <c r="C15" s="67"/>
      <c r="D15" s="62"/>
      <c r="E15" s="22" t="str">
        <f>アンケート!C39</f>
        <v>30代女性</v>
      </c>
      <c r="F15" s="22" t="str">
        <f>IF(ISERROR(FIND("女",E15)),"m","w")&amp;"_"&amp;LEFT(E15,2)&amp;"_"&amp;"1"</f>
        <v>w_30_1</v>
      </c>
    </row>
    <row r="16" spans="2:8">
      <c r="B16" s="65" t="s">
        <v>101</v>
      </c>
      <c r="C16" s="67" t="str">
        <f>アンケート!C53</f>
        <v>https://www.cosme.net/product/product_id/10063347/reviews</v>
      </c>
      <c r="D16" s="61">
        <f>IF(D14="","",D14+1)</f>
        <v>210</v>
      </c>
      <c r="E16" s="22" t="str">
        <f>アンケート!C51</f>
        <v>20代女性</v>
      </c>
      <c r="F16" s="22" t="str">
        <f>IF(ISERROR(FIND("女",E16)),"m","w")&amp;"_"&amp;LEFT(E16,2)&amp;"_"&amp;"2"</f>
        <v>w_20_2</v>
      </c>
    </row>
    <row r="17" spans="2:6">
      <c r="B17" s="66"/>
      <c r="C17" s="67"/>
      <c r="D17" s="62"/>
      <c r="E17" s="22" t="str">
        <f>アンケート!C52</f>
        <v>30代女性</v>
      </c>
      <c r="F17" s="22" t="str">
        <f t="shared" ref="F17" si="0">IF(ISERROR(FIND("女",E17)),"m","w")&amp;"_"&amp;LEFT(E17,2)&amp;"_"&amp;"1"</f>
        <v>w_30_1</v>
      </c>
    </row>
    <row r="18" spans="2:6">
      <c r="D18" s="31"/>
    </row>
    <row r="19" spans="2:6">
      <c r="D19" s="31"/>
    </row>
    <row r="20" spans="2:6">
      <c r="B20" s="63" t="s">
        <v>112</v>
      </c>
      <c r="C20" s="63"/>
      <c r="D20" s="63"/>
      <c r="E20" s="63"/>
      <c r="F20" s="63"/>
    </row>
    <row r="21" spans="2:6">
      <c r="B21" s="35" t="s">
        <v>119</v>
      </c>
      <c r="C21" s="35" t="s">
        <v>116</v>
      </c>
      <c r="D21" s="63" t="s">
        <v>117</v>
      </c>
      <c r="E21" s="63"/>
      <c r="F21" s="35" t="s">
        <v>118</v>
      </c>
    </row>
    <row r="22" spans="2:6">
      <c r="B22" s="63" t="s">
        <v>113</v>
      </c>
      <c r="C22" s="22" t="s">
        <v>184</v>
      </c>
      <c r="D22" s="64" t="str">
        <f t="shared" ref="D22:D27" si="1">IF(C22="","",SUBSTITUTE(MID(C22,FIND("href=",C22)+6,FIND("rel=",C22)-FIND("href=",C22)-8),"amp;",""))</f>
        <v>//af.moshimo.com/af/c/click?a_id=988731&amp;p_id=170&amp;pc_id=185&amp;pl_id=4062&amp;url=https%3A%2F%2Fwww.amazon.co.jp%2FBifesta-%25E3%2583%2593%25E3%2583%2595%25E3%2582%25A7%25E3%2582%25B9%25E3%2582%25BF-%25E6%25B3%25A1%25E6%25B4%2597%25E9%25A1%2594-%25E3%2583%2596%25E3%2583%25A9%25E3%2582%25A4%25E3%2583%2588%25E3%2582%25A2%25E3%2583%2583%25E3%2583%2597-180g%2Fdp%2FB01JOEZ49O</v>
      </c>
      <c r="E22" s="64"/>
      <c r="F22" s="22" t="str">
        <f>IF(ISERROR(FIND("amazon",C22)),IF(ISERROR(FIND("rakuten",C22)),"","楽天"),"Amazon")</f>
        <v>Amazon</v>
      </c>
    </row>
    <row r="23" spans="2:6">
      <c r="B23" s="63"/>
      <c r="C23" s="22" t="s">
        <v>185</v>
      </c>
      <c r="D23" s="64" t="str">
        <f t="shared" si="1"/>
        <v>//af.moshimo.com/af/c/click?a_id=988729&amp;p_id=54&amp;pc_id=54&amp;pl_id=616&amp;url=https%3A%2F%2Fitem.rakuten.co.jp%2Fmatsukiyo%2F4902806460681%2F&amp;m=http%3A%2F%2Fm.rakuten.co.jp%2Fmatsukiyo%2Fi%2F10457077%2F&amp;r_v=g00rqsz3.9tq3edce.g00rqsz3.9tq3ff85</v>
      </c>
      <c r="E23" s="64"/>
      <c r="F23" s="22" t="str">
        <f t="shared" ref="F23:F27" si="2">IF(ISERROR(FIND("amazon",C23)),IF(ISERROR(FIND("rakuten",C23)),"","楽天"),"Amazon")</f>
        <v>楽天</v>
      </c>
    </row>
    <row r="24" spans="2:6">
      <c r="B24" s="63" t="s">
        <v>114</v>
      </c>
      <c r="C24" s="22" t="s">
        <v>186</v>
      </c>
      <c r="D24" s="64" t="str">
        <f t="shared" si="1"/>
        <v>//af.moshimo.com/af/c/click?a_id=988731&amp;p_id=170&amp;pc_id=185&amp;pl_id=4062&amp;url=https%3A%2F%2Fwww.amazon.co.jp%2FKOSE-%25E3%2582%25B3%25E3%2583%25BC%25E3%2582%25BB%25E3%2583%25BC-%25E3%2582%25BD%25E3%2583%2595%25E3%2583%2586%25E3%2582%25A3%25E3%2583%25A2-%25E8%2596%25AC%25E7%2594%25A8%25E3%2582%25AF%25E3%2583%25AC%25E3%2583%25B3%25E3%2582%25B8%25E3%2583%25B3%25E3%2582%25B0%25E3%2582%25A6%25E3%2582%25A9%25E3%2583%2583%25E3%2582%25B7%25E3%2583%25A5-%25E5%258C%25BB%25E8%2596%25AC%25E9%2583%25A8%25E5%25A4%2596%25E5%2593%2581%2Fdp%2FB000FQS36M</v>
      </c>
      <c r="E24" s="64"/>
      <c r="F24" s="22" t="str">
        <f t="shared" si="2"/>
        <v>Amazon</v>
      </c>
    </row>
    <row r="25" spans="2:6">
      <c r="B25" s="63"/>
      <c r="C25" s="22" t="s">
        <v>187</v>
      </c>
      <c r="D25" s="64" t="str">
        <f t="shared" si="1"/>
        <v>//af.moshimo.com/af/c/click?a_id=988729&amp;p_id=54&amp;pc_id=54&amp;pl_id=616&amp;url=https%3A%2F%2Fitem.rakuten.co.jp%2Fat-life%2F4971710303483-kksale%2F&amp;m=http%3A%2F%2Fm.rakuten.co.jp%2Fat-life%2Fi%2F10316214%2F&amp;r_v=g00ru0o3.9tq3e082.g00ru0o3.9tq3fa40</v>
      </c>
      <c r="E25" s="64"/>
      <c r="F25" s="22" t="str">
        <f t="shared" si="2"/>
        <v>楽天</v>
      </c>
    </row>
    <row r="26" spans="2:6">
      <c r="B26" s="63" t="s">
        <v>115</v>
      </c>
      <c r="C26" s="22" t="s">
        <v>188</v>
      </c>
      <c r="D26" s="64" t="str">
        <f t="shared" si="1"/>
        <v>//af.moshimo.com/af/c/click?a_id=988731&amp;p_id=170&amp;pc_id=185&amp;pl_id=4062&amp;url=https%3A%2F%2Fwww.amazon.co.jp%2F%25E6%25B0%25B4%25E6%25A9%258B%25E4%25BF%259D%25E5%25AF%25BF%25E5%25A0%2582%25E8%25A3%25BD%25E8%2596%25AC-al003-%25E3%2581%2584%25E3%2581%25A4%25E3%2581%258B%25E3%2581%25AE%25E7%259F%25B3%25E3%2581%2591%25E3%2582%2593-100g%2Fdp%2FB00JPWO596</v>
      </c>
      <c r="E26" s="64"/>
      <c r="F26" s="22" t="str">
        <f t="shared" si="2"/>
        <v>Amazon</v>
      </c>
    </row>
    <row r="27" spans="2:6">
      <c r="B27" s="63"/>
      <c r="C27" s="22" t="s">
        <v>189</v>
      </c>
      <c r="D27" s="64" t="str">
        <f t="shared" si="1"/>
        <v>//af.moshimo.com/af/c/click?a_id=988729&amp;p_id=54&amp;pc_id=54&amp;pl_id=616&amp;url=https%3A%2F%2Fitem.rakuten.co.jp%2Fcosme-garden%2Fmh-002%2F&amp;m=http%3A%2F%2Fm.rakuten.co.jp%2Fcosme-garden%2Fi%2F10016895%2F&amp;r_v=g00s7gt3.9tq3ef5e.g00s7gt3.9tq3f91d</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activeCell="D19" sqref="D19"/>
    </sheetView>
  </sheetViews>
  <sheetFormatPr defaultRowHeight="13.5"/>
  <cols>
    <col min="1" max="1" width="67.375" bestFit="1" customWidth="1"/>
  </cols>
  <sheetData>
    <row r="1" spans="1:1">
      <c r="A1" s="20" t="str">
        <f>CONCATENATE("&lt;h2&gt;",入力シート!C2,"&lt;/h2&gt;")</f>
        <v>&lt;h2&gt;美白効果がある洗顔のおすすめ3選。ドラッグストアで買える中から選定！&lt;/h2&gt;</v>
      </c>
    </row>
    <row r="2" spans="1:1">
      <c r="A2" s="20" t="s">
        <v>86</v>
      </c>
    </row>
    <row r="3" spans="1:1">
      <c r="A3" s="21" t="s">
        <v>87</v>
      </c>
    </row>
    <row r="4" spans="1:1">
      <c r="A4" s="20" t="str">
        <f>CONCATENATE("&lt;li&gt;", アンケート!C54, "&lt;/li&gt;")</f>
        <v>&lt;li&gt;洗顔でくすみを取り除きたい方&lt;/li&gt;</v>
      </c>
    </row>
    <row r="5" spans="1:1">
      <c r="A5" s="20" t="str">
        <f>CONCATENATE("&lt;li&gt;", アンケート!C55, "&lt;/li&gt;")</f>
        <v>&lt;li&gt;肌のトーンを明るく白肌になりたい方&lt;/li&gt;</v>
      </c>
    </row>
    <row r="6" spans="1:1">
      <c r="A6" s="20" t="str">
        <f>CONCATENATE("&lt;li&gt;", アンケート!C56, "&lt;/li&gt;")</f>
        <v>&lt;li&gt;手軽に使用できる洗顔を求めている方&lt;/li&gt;</v>
      </c>
    </row>
    <row r="7" spans="1:1">
      <c r="A7" s="20" t="s">
        <v>88</v>
      </c>
    </row>
    <row r="8" spans="1:1">
      <c r="A8" s="20" t="s">
        <v>89</v>
      </c>
    </row>
    <row r="9" spans="1:1">
      <c r="A9" s="20"/>
    </row>
    <row r="10" spans="1:1">
      <c r="A10" s="20" t="s">
        <v>128</v>
      </c>
    </row>
    <row r="11" spans="1:1">
      <c r="A11" s="20" t="s">
        <v>90</v>
      </c>
    </row>
    <row r="12" spans="1:1">
      <c r="A12" s="20" t="str">
        <f>CONCATENATE("&lt;img src=","""http://shomty.com/wp-content/uploads/img/parts/positionMap/",アンケート!$C$6,".jpg", """ /&gt;")</f>
        <v>&lt;img src="http://shomty.com/wp-content/uploads/img/parts/positionMap/5.jpg" /&gt;</v>
      </c>
    </row>
    <row r="13" spans="1:1">
      <c r="A13" s="30" t="str">
        <f>CONCATENATE("今回紹介する『", アンケート!C2,"』は","「価格と品質」どちらを重要視したのかをあらわした図です。")</f>
        <v>今回紹介する『美白効果のある洗顔』は「価格と品質」どちらを重要視したのかをあらわした図です。</v>
      </c>
    </row>
    <row r="14" spans="1:1">
      <c r="A14" s="30"/>
    </row>
    <row r="15" spans="1:1">
      <c r="A15" s="30" t="s">
        <v>129</v>
      </c>
    </row>
    <row r="16" spans="1:1">
      <c r="A16" s="30" t="s">
        <v>127</v>
      </c>
    </row>
    <row r="17" spans="1:2">
      <c r="A17" s="20" t="s">
        <v>89</v>
      </c>
    </row>
    <row r="18" spans="1:2">
      <c r="A18" t="s">
        <v>71</v>
      </c>
    </row>
    <row r="19" spans="1:2">
      <c r="A19" t="str">
        <f>CONCATENATE("&lt;h2&gt;『",アンケート!C2,"』 ランキング&lt;/h2&gt;")</f>
        <v>&lt;h2&gt;『美白効果のある洗顔』 ランキング&lt;/h2&gt;</v>
      </c>
    </row>
    <row r="20" spans="1:2">
      <c r="A20" t="s">
        <v>91</v>
      </c>
    </row>
    <row r="22" spans="1:2">
      <c r="A22" t="str">
        <f>CONCATENATE("&lt;h3&gt;3位 ",アンケート!C41,"&lt;/h3&gt;")</f>
        <v>&lt;h3&gt;3位 水橋保寿堂製薬　いつかの石けん&lt;/h3&gt;</v>
      </c>
    </row>
    <row r="23" spans="1:2">
      <c r="A23" t="s">
        <v>92</v>
      </c>
    </row>
    <row r="24" spans="1:2">
      <c r="A24" t="s">
        <v>69</v>
      </c>
    </row>
    <row r="25" spans="1:2">
      <c r="A25" t="str">
        <f>アンケート!C48</f>
        <v>くすみをとり透明感が欲しい方</v>
      </c>
    </row>
    <row r="26" spans="1:2">
      <c r="A26" t="s">
        <v>70</v>
      </c>
    </row>
    <row r="27" spans="1:2">
      <c r="A27" s="6" t="str">
        <f>CONCATENATE("[tblStart num=5]", 入力シート!C7, "[/tblStart]")</f>
        <v>[tblStart num=5]https://images-fe.ssl-images-amazon.com/images/I/31PI%2BUffsaL.jpg[/tblStart]</v>
      </c>
    </row>
    <row r="28" spans="1:2">
      <c r="A28" t="str">
        <f>CONCATENATE("[tdLevel type=", B28, "]", 比較表!A4, "[/tdLevel]")</f>
        <v>[tdLevel type=3]肌が白くトーンアップする[/tdLevel]</v>
      </c>
      <c r="B28">
        <f>HLOOKUP(アンケート!$C$41,比較表!$B$3:$D$8,2)</f>
        <v>3</v>
      </c>
    </row>
    <row r="29" spans="1:2">
      <c r="A29" t="str">
        <f>CONCATENATE("[tdLevel type=", B29, "]", 比較表!A5, "[/tdLevel]")</f>
        <v>[tdLevel type=3]乾燥しない[/tdLevel]</v>
      </c>
      <c r="B29">
        <f>HLOOKUP(アンケート!$C$41,比較表!$B$3:$D$8,3)</f>
        <v>3</v>
      </c>
    </row>
    <row r="30" spans="1:2">
      <c r="A30" t="str">
        <f>CONCATENATE("[tdLevel type=", B30, "]", 比較表!A6, "[/tdLevel]")</f>
        <v>[tdLevel type=5]使いやすさ[/tdLevel]</v>
      </c>
      <c r="B30">
        <f>HLOOKUP(アンケート!$C$41,比較表!$B$3:$D$8,4)</f>
        <v>5</v>
      </c>
    </row>
    <row r="31" spans="1:2">
      <c r="A31" t="str">
        <f>CONCATENATE("[tdLevel type=", B31, "]", 比較表!A7, "[/tdLevel]")</f>
        <v>[tdLevel type=4]コスパ[/tdLevel]</v>
      </c>
      <c r="B31">
        <f>HLOOKUP(アンケート!$C$41,比較表!$B$3:$D$8,5)</f>
        <v>4</v>
      </c>
    </row>
    <row r="32" spans="1:2">
      <c r="A32" t="str">
        <f>CONCATENATE("[tdLevel type=", B32, "]", 比較表!A8, "[/tdLevel]")</f>
        <v>[tdLevel type=2]肌への刺激がない[/tdLevel]</v>
      </c>
      <c r="B32">
        <f>HLOOKUP(アンケート!$C$41,比較表!$B$3:$D$8,6)</f>
        <v>2</v>
      </c>
    </row>
    <row r="33" spans="1:1">
      <c r="A33" t="s">
        <v>72</v>
      </c>
    </row>
    <row r="35" spans="1:1">
      <c r="A35" s="6" t="str">
        <f>CONCATENATE("[product_link id=",入力シート!D16,"][/product_link]")</f>
        <v>[product_link id=210][/product_link]</v>
      </c>
    </row>
    <row r="36" spans="1:1">
      <c r="A36" t="s">
        <v>93</v>
      </c>
    </row>
    <row r="37" spans="1:1">
      <c r="A37" t="s">
        <v>94</v>
      </c>
    </row>
    <row r="38" spans="1:1">
      <c r="A38" t="s">
        <v>95</v>
      </c>
    </row>
    <row r="39" spans="1:1">
      <c r="A39" t="s">
        <v>87</v>
      </c>
    </row>
    <row r="40" spans="1:1">
      <c r="A40" t="str">
        <f>CONCATENATE("&lt;li&gt;", アンケート!C42,"&lt;/li&gt;")</f>
        <v>&lt;li&gt;くすみが取れ肌が白くなる&lt;/li&gt;</v>
      </c>
    </row>
    <row r="41" spans="1:1">
      <c r="A41" t="str">
        <f>CONCATENATE("&lt;li&gt;", アンケート!C43,"&lt;/li&gt;")</f>
        <v>&lt;li&gt;敏感肌の方でも使える&lt;/li&gt;</v>
      </c>
    </row>
    <row r="42" spans="1:1">
      <c r="A42" t="str">
        <f>CONCATENATE("&lt;li&gt;", アンケート!C44,"&lt;/li&gt;")</f>
        <v>&lt;li&gt;肌理の細かい泡が作れる&lt;/li&gt;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&lt;li&gt;石けんなので、泡立てるのが面倒&lt;/li&gt;</v>
      </c>
    </row>
    <row r="51" spans="1:1">
      <c r="A51" t="str">
        <f>CONCATENATE("&lt;li&gt;", アンケート!C46,"&lt;/li&gt;")</f>
        <v>&lt;li&gt;石けんなので、浴槽に置いて置くと多少とけてしまう&lt;/li&gt;</v>
      </c>
    </row>
    <row r="52" spans="1:1">
      <c r="A52" t="str">
        <f>CONCATENATE("&lt;li&gt;", アンケート!C47,"&lt;/li&gt;")</f>
        <v>&lt;li&gt;コスパが悪い&lt;/li&gt;</v>
      </c>
    </row>
    <row r="53" spans="1:1">
      <c r="A53" t="s">
        <v>88</v>
      </c>
    </row>
    <row r="54" spans="1:1">
      <c r="A54" t="s">
        <v>89</v>
      </c>
    </row>
    <row r="55" spans="1:1">
      <c r="A55" t="s">
        <v>96</v>
      </c>
    </row>
    <row r="56" spans="1:1">
      <c r="A56" t="s">
        <v>133</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石けんは泡立てるのが面倒で、今まで使用しようと思ったことがなかったのですが、美容系ユーチューバーさんがお勧めしていたので、初めて購入しました。
泡をつけたまましばらく放置すると、肌がワントーン明るくなっているのを感じます。
</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SNSで話題になっていたので、購入しました。
肌が弱いので、スキンケアを変えると肌荒れする場合があるので心配だったのですが、肌荒れすることもなくひりひりしたりもしなかったのでよかったです。
以前に比べくすみがとれ透明感が増しました。</v>
      </c>
    </row>
    <row r="62" spans="1:1">
      <c r="A62" t="s">
        <v>104</v>
      </c>
    </row>
    <row r="63" spans="1:1">
      <c r="A63" t="s">
        <v>99</v>
      </c>
    </row>
    <row r="64" spans="1:1">
      <c r="A64" t="str">
        <f>CONCATENATE("[reviewLink id=","""", 入力シート!D16,"""][/reviewLink]")</f>
        <v>[reviewLink id="210"][/reviewLink]</v>
      </c>
    </row>
    <row r="66" spans="1:2">
      <c r="A66" t="str">
        <f>CONCATENATE("&lt;h3&gt;2位 ",アンケート!C28,"&lt;/h3&gt;")</f>
        <v>&lt;h3&gt;2位 ソフティモ　薬用ホワイトクレンジングウォッシュ&lt;/h3&gt;</v>
      </c>
    </row>
    <row r="67" spans="1:2">
      <c r="A67" t="s">
        <v>92</v>
      </c>
    </row>
    <row r="68" spans="1:2">
      <c r="A68" t="s">
        <v>69</v>
      </c>
    </row>
    <row r="69" spans="1:2">
      <c r="A69" t="str">
        <f>アンケート!C35</f>
        <v>クレンジングをするのが面倒な方</v>
      </c>
    </row>
    <row r="70" spans="1:2">
      <c r="A70" t="s">
        <v>70</v>
      </c>
    </row>
    <row r="71" spans="1:2">
      <c r="A71" s="6" t="str">
        <f>CONCATENATE("[tblStart num=5]", 入力シート!$C$6, "[/tblStart]")</f>
        <v>[tblStart num=5]https://images-fe.ssl-images-amazon.com/images/I/41XzVcoCHWL.jpg[/tblStart]</v>
      </c>
    </row>
    <row r="72" spans="1:2">
      <c r="A72" t="str">
        <f>CONCATENATE("[tdLevel type=", B72, "]", 比較表!A4, "[/tdLevel]")</f>
        <v>[tdLevel type=3]肌が白くトーンアップする[/tdLevel]</v>
      </c>
      <c r="B72">
        <f>HLOOKUP(アンケート!$C$28,比較表!$B$3:$D$8,2,FALSE)</f>
        <v>3</v>
      </c>
    </row>
    <row r="73" spans="1:2">
      <c r="A73" t="str">
        <f>CONCATENATE("[tdLevel type=", B73, "]", 比較表!A5, "[/tdLevel]")</f>
        <v>[tdLevel type=3]乾燥しない[/tdLevel]</v>
      </c>
      <c r="B73">
        <f>HLOOKUP(アンケート!$C$28,比較表!$B$3:$D$8,3,FALSE)</f>
        <v>3</v>
      </c>
    </row>
    <row r="74" spans="1:2">
      <c r="A74" t="str">
        <f>CONCATENATE("[tdLevel type=", B74, "]", 比較表!A6, "[/tdLevel]")</f>
        <v>[tdLevel type=3]使いやすさ[/tdLevel]</v>
      </c>
      <c r="B74">
        <f>HLOOKUP(アンケート!$C$28,比較表!$B$3:$D$8,4,FALSE)</f>
        <v>3</v>
      </c>
    </row>
    <row r="75" spans="1:2">
      <c r="A75" t="str">
        <f>CONCATENATE("[tdLevel type=", B75, "]", 比較表!A7, "[/tdLevel]")</f>
        <v>[tdLevel type=4]コスパ[/tdLevel]</v>
      </c>
      <c r="B75">
        <f>HLOOKUP(アンケート!$C$28,比較表!$B$3:$D$8,5,FALSE)</f>
        <v>4</v>
      </c>
    </row>
    <row r="76" spans="1:2">
      <c r="A76" t="str">
        <f>CONCATENATE("[tdLevel type=", B76, "]", 比較表!A8, "[/tdLevel]")</f>
        <v>[tdLevel type=4]肌への刺激がない[/tdLevel]</v>
      </c>
      <c r="B76">
        <f>HLOOKUP(アンケート!$C$28,比較表!$B$3:$D$8,6,FALSE)</f>
        <v>4</v>
      </c>
    </row>
    <row r="77" spans="1:2">
      <c r="A77" t="s">
        <v>72</v>
      </c>
    </row>
    <row r="79" spans="1:2">
      <c r="A79" s="6" t="str">
        <f>CONCATENATE("[product_link id=",入力シート!D14,"][/product_link]")</f>
        <v>[product_link id=209][/product_link]</v>
      </c>
    </row>
    <row r="80" spans="1:2">
      <c r="A80" t="s">
        <v>93</v>
      </c>
    </row>
    <row r="81" spans="1:1">
      <c r="A81" t="s">
        <v>94</v>
      </c>
    </row>
    <row r="82" spans="1:1">
      <c r="A82" t="s">
        <v>95</v>
      </c>
    </row>
    <row r="83" spans="1:1">
      <c r="A83" t="s">
        <v>87</v>
      </c>
    </row>
    <row r="84" spans="1:1">
      <c r="A84" t="str">
        <f>CONCATENATE("&lt;li&gt;", アンケート!C29,"&lt;/li&gt;")</f>
        <v>&lt;li&gt;クレンジングと洗顔が１つになっているので、W洗顔不要&lt;/li&gt;</v>
      </c>
    </row>
    <row r="85" spans="1:1">
      <c r="A85" t="str">
        <f>CONCATENATE("&lt;li&gt;", アンケート!C30,"&lt;/li&gt;")</f>
        <v>&lt;li&gt;コスパが良い&lt;/li&gt;</v>
      </c>
    </row>
    <row r="86" spans="1:1">
      <c r="A86" t="str">
        <f>CONCATENATE("&lt;li&gt;", アンケート!C31,"&lt;/li&gt;")</f>
        <v>&lt;li&gt;クリーミーなしっとりした泡ができる&lt;/li&gt;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&lt;li&gt;クレンジング効果もあるが、しっかりしたメイクは落ちない&lt;/li&gt;</v>
      </c>
    </row>
    <row r="95" spans="1:1">
      <c r="A95" t="str">
        <f>CONCATENATE("&lt;li&gt;", アンケート!C33,"&lt;/li&gt;")</f>
        <v>&lt;li&gt;ホワイトと書いてあるが、美白効果はあまり期待できない&lt;/li&gt;</v>
      </c>
    </row>
    <row r="96" spans="1:1">
      <c r="A96" t="str">
        <f>CONCATENATE("&lt;li&gt;", アンケート!C34,"&lt;/li&gt;")</f>
        <v>&lt;li&gt;同シリーズで、ヒアルロン酸配合やスクラブ入りなど種類が色々あり迷う&lt;/li&gt;</v>
      </c>
    </row>
    <row r="97" spans="1:1">
      <c r="A97" t="s">
        <v>88</v>
      </c>
    </row>
    <row r="98" spans="1:1">
      <c r="A98" t="s">
        <v>89</v>
      </c>
    </row>
    <row r="99" spans="1:1">
      <c r="A99" t="s">
        <v>96</v>
      </c>
    </row>
    <row r="100" spans="1:1">
      <c r="A100" t="s">
        <v>133</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ソフティモのホワイトクレンジングウォッシュは、もう5本以上はリピートしています。
洗いあがりもつっぱったりせず、泡も泡立てネットで簡単に作れるので、使いやすいです。
コスパが良いので、体にも使用しています。
</v>
      </c>
    </row>
    <row r="103" spans="1:1">
      <c r="A103" t="s">
        <v>104</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 xml:space="preserve">こちらを使用し始めてから、肌色がトーンアップしたように感じます。
普段ナチュラルメイクなので、クレンジングを別でするのも面倒なので、洗顔はこれだけで済ませています。
ドラッグストアやコンビニにも売っているので、便利で助かってます。
</v>
      </c>
    </row>
    <row r="106" spans="1:1">
      <c r="A106" t="s">
        <v>104</v>
      </c>
    </row>
    <row r="107" spans="1:1">
      <c r="A107" t="s">
        <v>99</v>
      </c>
    </row>
    <row r="108" spans="1:1">
      <c r="A108" t="str">
        <f>CONCATENATE("[reviewLink id=","""", 入力シート!D14,"""][/reviewLink]")</f>
        <v>[reviewLink id="209"][/reviewLink]</v>
      </c>
    </row>
    <row r="110" spans="1:1">
      <c r="A110" t="str">
        <f>CONCATENATE("&lt;h3&gt;1位 ",アンケート!C13,"&lt;/h3&gt;")</f>
        <v>&lt;h3&gt;1位 ビフェスタ泡洗顔　ブライトアップ&lt;/h3&gt;</v>
      </c>
    </row>
    <row r="111" spans="1:1">
      <c r="A111" t="s">
        <v>92</v>
      </c>
    </row>
    <row r="112" spans="1:1">
      <c r="A112" t="s">
        <v>69</v>
      </c>
    </row>
    <row r="113" spans="1:2">
      <c r="A113" t="str">
        <f>アンケート!C22</f>
        <v>洗顔を手軽に済ませたい方</v>
      </c>
    </row>
    <row r="114" spans="1:2">
      <c r="A114" t="s">
        <v>70</v>
      </c>
    </row>
    <row r="115" spans="1:2" ht="27">
      <c r="A115" s="6" t="str">
        <f>CONCATENATE("[tblStart num=5]", 入力シート!C5, "[/tblStart]")</f>
        <v>[tblStart num=5]https://images-fe.ssl-images-amazon.com/images/I/41fZR3arYhL.jpg[/tblStart]</v>
      </c>
    </row>
    <row r="116" spans="1:2">
      <c r="A116" t="str">
        <f>CONCATENATE("[tdLevel type=", B116, "]", 比較表!A4, "[/tdLevel]")</f>
        <v>[tdLevel type=3]肌が白くトーンアップする[/tdLevel]</v>
      </c>
      <c r="B116">
        <f>HLOOKUP(アンケート!$C$13,比較表!$B$3:$D$8,2)</f>
        <v>3</v>
      </c>
    </row>
    <row r="117" spans="1:2">
      <c r="A117" t="str">
        <f>CONCATENATE("[tdLevel type=", B117, "]", 比較表!A5, "[/tdLevel]")</f>
        <v>[tdLevel type=3]乾燥しない[/tdLevel]</v>
      </c>
      <c r="B117">
        <f>HLOOKUP(アンケート!$C$13,比較表!$B$3:$D$8,3)</f>
        <v>3</v>
      </c>
    </row>
    <row r="118" spans="1:2">
      <c r="A118" t="str">
        <f>CONCATENATE("[tdLevel type=", B118, "]", 比較表!A6, "[/tdLevel]")</f>
        <v>[tdLevel type=5]使いやすさ[/tdLevel]</v>
      </c>
      <c r="B118">
        <f>HLOOKUP(アンケート!$C$13,比較表!$B$3:$D$8,4)</f>
        <v>5</v>
      </c>
    </row>
    <row r="119" spans="1:2">
      <c r="A119" t="str">
        <f>CONCATENATE("[tdLevel type=", B119, "]", 比較表!A7, "[/tdLevel]")</f>
        <v>[tdLevel type=4]コスパ[/tdLevel]</v>
      </c>
      <c r="B119">
        <f>HLOOKUP(アンケート!$C$13,比較表!$B$3:$D$8,5)</f>
        <v>4</v>
      </c>
    </row>
    <row r="120" spans="1:2">
      <c r="A120" t="str">
        <f>CONCATENATE("[tdLevel type=", B120, "]", 比較表!A8, "[/tdLevel]")</f>
        <v>[tdLevel type=2]肌への刺激がない[/tdLevel]</v>
      </c>
      <c r="B120">
        <f>HLOOKUP(アンケート!$C$13,比較表!$B$3:$D$8,6)</f>
        <v>2</v>
      </c>
    </row>
    <row r="121" spans="1:2">
      <c r="A121" t="s">
        <v>72</v>
      </c>
    </row>
    <row r="123" spans="1:2">
      <c r="A123" s="6" t="str">
        <f>CONCATENATE("[product_link id=",入力シート!D12,"][/product_link]")</f>
        <v>[product_link id=208][/product_link]</v>
      </c>
    </row>
    <row r="124" spans="1:2">
      <c r="A124" t="s">
        <v>93</v>
      </c>
    </row>
    <row r="125" spans="1:2">
      <c r="A125" t="s">
        <v>94</v>
      </c>
    </row>
    <row r="126" spans="1:2">
      <c r="A126" t="s">
        <v>95</v>
      </c>
    </row>
    <row r="127" spans="1:2">
      <c r="A127" t="s">
        <v>87</v>
      </c>
    </row>
    <row r="128" spans="1:2">
      <c r="A128" t="str">
        <f>CONCATENATE("&lt;li&gt;", アンケート!C14,"&lt;/li&gt;")</f>
        <v>&lt;li&gt;わざわざ泡を作る必要がないので、手間がかからない&lt;/li&gt;</v>
      </c>
    </row>
    <row r="129" spans="1:1">
      <c r="A129" t="str">
        <f>CONCATENATE("&lt;li&gt;", アンケート!C15,"&lt;/li&gt;")</f>
        <v>&lt;li&gt;泡がきめ細かい&lt;/li&gt;</v>
      </c>
    </row>
    <row r="130" spans="1:1">
      <c r="A130" t="str">
        <f>CONCATENATE("&lt;li&gt;", アンケート!C16,"&lt;/li&gt;")</f>
        <v>&lt;li&gt;時間がない朝にもぴったり&lt;/li&gt;</v>
      </c>
    </row>
    <row r="131" spans="1:1">
      <c r="A131" t="str">
        <f>CONCATENATE("&lt;li&gt;", アンケート!C17,"&lt;/li&gt;")</f>
        <v>&lt;li&gt;透明感を与えてくれる&lt;/li&gt;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&lt;li&gt;肌が弱い方は多少刺激を感じる&lt;/li&gt;</v>
      </c>
    </row>
    <row r="140" spans="1:1">
      <c r="A140" t="str">
        <f>CONCATENATE("&lt;li&gt;", アンケート!C19,"&lt;/li&gt;")</f>
        <v>&lt;li&gt;缶なので使用後の処理が面倒&lt;/li&gt;</v>
      </c>
    </row>
    <row r="141" spans="1:1">
      <c r="A141" t="str">
        <f>CONCATENATE("&lt;li&gt;", アンケート!C20,"&lt;/li&gt;")</f>
        <v>&lt;li&gt;大きいし、小分けもできないので、持ち運びに不便&lt;/li&gt;</v>
      </c>
    </row>
    <row r="142" spans="1:1">
      <c r="A142" t="str">
        <f>CONCATENATE("&lt;li&gt;", アンケート!C21,"&lt;/li&gt;")</f>
        <v>&lt;li&gt;軽くプッシュしないと、1度でたくさんの泡が出すぎてしまう&lt;/li&gt;</v>
      </c>
    </row>
    <row r="143" spans="1:1">
      <c r="A143" t="s">
        <v>88</v>
      </c>
    </row>
    <row r="144" spans="1:1">
      <c r="A144" t="s">
        <v>89</v>
      </c>
    </row>
    <row r="145" spans="1:1">
      <c r="A145" t="s">
        <v>96</v>
      </c>
    </row>
    <row r="146" spans="1:1">
      <c r="A146" t="s">
        <v>133</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朝手軽にできる洗顔を探していたところ、こちらの洗顔が良いと美容垢さんがお勧めしていたので、購入しました。
軽くプッシュしただけで、肌理の細かい濃密泡がでてくれるので、朝はもちろん最近では夜も使用しています。
</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今まで色んな泡洗顔を使用してきましたが、こちらが一番泡が好みでした。
こちらのブライトアップとしっとりで迷いましたが、透明感がほしかったのと、このタイプが一番人気だったので、ブライトアップにしましたが、洗顔後肌色がワントーン明るくなり満足です。</v>
      </c>
    </row>
    <row r="152" spans="1:1">
      <c r="A152" t="s">
        <v>104</v>
      </c>
    </row>
    <row r="153" spans="1:1">
      <c r="A153" t="s">
        <v>99</v>
      </c>
    </row>
    <row r="154" spans="1:1">
      <c r="A154" t="str">
        <f>CONCATENATE("[reviewLink id=","""", 入力シート!D12,"""][/reviewLink]")</f>
        <v>[reviewLink id="208"][/reviewLink]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(208,'//af.moshimo.com/af/c/click?a_id=988731&amp;p_id=170&amp;pc_id=185&amp;pl_id=4062&amp;url=https%3A%2F%2Fwww.amazon.co.jp%2FBifesta-%25E3%2583%2593%25E3%2583%2595%25E3%2582%25A7%25E3%2582%25B9%25E3%2582%25BF-%25E6%25B3%25A1%25E6%25B4%2597%25E9%25A1%2594-%25E3%2583%2596%25E3%2583%25A9%25E3%2582%25A4%25E3%2583%2588%25E3%2582%25A2%25E3%2583%2583%25E3%2583%2597-180g%2Fdp%2FB01JOEZ49O', '//af.moshimo.com/af/c/click?a_id=988729&amp;p_id=54&amp;pc_id=54&amp;pl_id=616&amp;url=https%3A%2F%2Fitem.rakuten.co.jp%2Fmatsukiyo%2F4902806460681%2F&amp;m=http%3A%2F%2Fm.rakuten.co.jp%2Fmatsukiyo%2Fi%2F10457077%2F&amp;r_v=g00rqsz3.9tq3edce.g00rqsz3.9tq3ff85', 'https://www.cosme.net/product/product_id/10115287/reviews', 'https://images-fe.ssl-images-amazon.com/images/I/41fZR3arYhL.jpg', 'ビフェスタ泡洗顔　ブライトアップ'),</v>
      </c>
    </row>
    <row r="3" spans="1:1">
      <c r="A3" t="str">
        <f>"("&amp;入力シート!D14&amp;","&amp;"'"&amp;入力シート!D24&amp;"', '"&amp;入力シート!D25&amp;"', '"&amp;入力シート!C14&amp;"', '"&amp;入力シート!C6&amp;"', '"&amp;入力シート!D6&amp;"'),"</f>
        <v>(209,'//af.moshimo.com/af/c/click?a_id=988731&amp;p_id=170&amp;pc_id=185&amp;pl_id=4062&amp;url=https%3A%2F%2Fwww.amazon.co.jp%2FKOSE-%25E3%2582%25B3%25E3%2583%25BC%25E3%2582%25BB%25E3%2583%25BC-%25E3%2582%25BD%25E3%2583%2595%25E3%2583%2586%25E3%2582%25A3%25E3%2583%25A2-%25E8%2596%25AC%25E7%2594%25A8%25E3%2582%25AF%25E3%2583%25AC%25E3%2583%25B3%25E3%2582%25B8%25E3%2583%25B3%25E3%2582%25B0%25E3%2582%25A6%25E3%2582%25A9%25E3%2583%2583%25E3%2582%25B7%25E3%2583%25A5-%25E5%258C%25BB%25E8%2596%25AC%25E9%2583%25A8%25E5%25A4%2596%25E5%2593%2581%2Fdp%2FB000FQS36M', '//af.moshimo.com/af/c/click?a_id=988729&amp;p_id=54&amp;pc_id=54&amp;pl_id=616&amp;url=https%3A%2F%2Fitem.rakuten.co.jp%2Fat-life%2F4971710303483-kksale%2F&amp;m=http%3A%2F%2Fm.rakuten.co.jp%2Fat-life%2Fi%2F10316214%2F&amp;r_v=g00ru0o3.9tq3e082.g00ru0o3.9tq3fa40', 'https://www.cosme.net/product/product_id/303126/reviews', 'https://images-fe.ssl-images-amazon.com/images/I/41XzVcoCHWL.jpg', 'ソフティモ　薬用ホワイトクレンジングウォッシュ'),</v>
      </c>
    </row>
    <row r="4" spans="1:1">
      <c r="A4" t="str">
        <f>"("&amp;入力シート!D16&amp;","&amp;"'"&amp;入力シート!D26&amp;"', '"&amp;入力シート!D27&amp;"', '"&amp;入力シート!C16&amp;"', '"&amp;入力シート!C7&amp;"', '"&amp;入力シート!D7&amp;"');"</f>
        <v>(210,'//af.moshimo.com/af/c/click?a_id=988731&amp;p_id=170&amp;pc_id=185&amp;pl_id=4062&amp;url=https%3A%2F%2Fwww.amazon.co.jp%2F%25E6%25B0%25B4%25E6%25A9%258B%25E4%25BF%259D%25E5%25AF%25BF%25E5%25A0%2582%25E8%25A3%25BD%25E8%2596%25AC-al003-%25E3%2581%2584%25E3%2581%25A4%25E3%2581%258B%25E3%2581%25AE%25E7%259F%25B3%25E3%2581%2591%25E3%2582%2593-100g%2Fdp%2FB00JPWO596', '//af.moshimo.com/af/c/click?a_id=988729&amp;p_id=54&amp;pc_id=54&amp;pl_id=616&amp;url=https%3A%2F%2Fitem.rakuten.co.jp%2Fcosme-garden%2Fmh-002%2F&amp;m=http%3A%2F%2Fm.rakuten.co.jp%2Fcosme-garden%2Fi%2F10016895%2F&amp;r_v=g00s7gt3.9tq3ef5e.g00s7gt3.9tq3f91d', 'https://www.cosme.net/product/product_id/10063347/reviews', 'https://images-fe.ssl-images-amazon.com/images/I/31PI%2BUffsaL.jpg', '水橋保寿堂製薬　いつかの石けん');</v>
      </c>
    </row>
    <row r="9" spans="1:1">
      <c r="A9" s="36" t="s">
        <v>124</v>
      </c>
    </row>
    <row r="10" spans="1:1">
      <c r="A10" t="s">
        <v>123</v>
      </c>
    </row>
    <row r="11" spans="1:1" ht="18.75">
      <c r="A11" s="70">
        <v>207</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2018-07-30T01:22:12Z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