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<sst xmlns="http://schemas.openxmlformats.org/spreadsheetml/2006/main" count="268" uniqueCount="189">
  <si>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</si>
  <si>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</si>
  <si>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</si>
  <si>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</si>
  <si>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</si>
  <si>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</si>
  <si>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</si>
  <si>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</si>
  <si>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</si>
  <si>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</si>
  <si>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</si>
  <si>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</si>
  <si>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</si>
  <si>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</si>
  <si>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</si>
  <si>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</si>
  <si>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</si>
  <si>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</si>
  <si>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</si>
  <si>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</si>
  <si>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</si>
  <si>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</si>
  <si>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</si>
  <si>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</si>
  <si>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</si>
  <si>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</si>
  <si>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</si>
  <si>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</si>
  <si>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</si>
  <si>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</si>
  <si>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</si>
  <si>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</si>
  <si>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</si>
  <si>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</si>
  <si>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</si>
  <si>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</si>
  <si>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</si>
  <si>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</si>
  <si>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</si>
  <si>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</si>
  <si>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</si>
  <si>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</si>
  <si>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</si>
  <si>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</si>
  <si>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</si>
  <si>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</si>
  <si>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</si>
  <si>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</si>
  <si>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</si>
  <si>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</si>
  <si>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</si>
  <si>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</si>
  <si>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</si>
  <si>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</si>
  <si>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</si>
  <si>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</si>
  <si>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</si>
  <si>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</si>
  <si>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</si>
  <si>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</si>
  <si>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</si>
  <si>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</si>
  <si>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</si>
  <si>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</si>
  <si>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</si>
  <si>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</si>
  <si>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</si>
  <si>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</si>
  <si>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</si>
  <si>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</si>
  <si>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</si>
  <si>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</si>
  <si>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</si>
  <si>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</si>
  <si>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</si>
  <si>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</si>
  <si>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</si>
  <si>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</si>
  <si>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</si>
  <si>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</si>
  <si>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</si>
  <si>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</si>
  <si>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</si>
  <si>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</si>
  <si>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</si>
  <si>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</si>
  <si>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</si>
  <si>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</si>
  <si>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</si>
  <si>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</si>
  <si>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</si>
  <si>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</si>
  <si>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</si>
  <si>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</si>
  <si>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</si>
  <si>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</si>
  <si>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</si>
  <si>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</si>
  <si>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</si>
  <si>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</si>
  <si>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</si>
  <si>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</si>
  <si>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</si>
  <si>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</si>
  <si>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</si>
  <si>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</si>
  <si>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</si>
  <si>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</si>
  <si>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</si>
  <si>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</si>
  <si>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</si>
  <si>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</si>
  <si>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</si>
  <si>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</si>
  <si>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</si>
  <si>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</si>
  <si>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</si>
  <si>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</si>
  <si>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</si>
  <si>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</si>
  <si>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</si>
  <si>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</si>
  <si>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</si>
  <si>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</si>
  <si>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</si>
  <si>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</si>
  <si>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カバー力がある</t>
  </si>
  <si>
    <t>伸びが良い</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</si>
  <si>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</si>
  <si>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</si>
  <si>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</si>
  <si>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</si>
  <si>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</si>
  <si>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</si>
  <si>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</si>
  <si>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UVカット効果のある下地</t>
  </si>
  <si>
    <t>コフレドール　毛穴つるんとカバー化粧持ち下地UV０２</t>
  </si>
  <si>
    <t>ラロッシュポゼ　UVイデアXL　プロテクショントーンアップ</t>
  </si>
  <si>
    <t>ランコム　UVエクスペールトーンアップ</t>
  </si>
  <si>
    <t>付け心地</t>
  </si>
  <si>
    <t>崩れにくい</t>
  </si>
  <si>
    <t>UVカット効果が高い</t>
  </si>
  <si>
    <t>コスパ</t>
  </si>
  <si>
    <t>敏感肌の人でも使える</t>
  </si>
  <si>
    <t>トーンアップ効果がある</t>
  </si>
  <si>
    <t>エイジング効果もある</t>
  </si>
  <si>
    <t>石鹸で落ちる</t>
  </si>
  <si>
    <t>艶肌が苦手な人には合わない</t>
  </si>
  <si>
    <t>パウダーをはたかないと、夏場はテカって見える</t>
  </si>
  <si>
    <t>ムラになりやすい</t>
  </si>
  <si>
    <t>白色なので、高いカバー力は期待できない</t>
  </si>
  <si>
    <t>UV対策したい敏感肌の方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</si>
  <si>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</si>
  <si>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肌が弱くSPFやPAの数値の高い日焼け止めは、怖くて今まで避けてきたのですが、ラロッシュポゼは、UVカット効果が高いのに敏感肌用だったので、即買いしました。
下地としても優秀だったので、夏場はこれをずっと使用していこうと思います。
</t>
  </si>
  <si>
    <t xml:space="preserve">肌のきれいな先輩がこちらの下地をSNSで紹介していたのがきっかけで、購入しました。
肌の色がワントーン明るくなり、伸びもいいので使いやすいです。
乾燥肌ですが、乾燥することもないのでとても気に入っています。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</si>
  <si>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</si>
  <si>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</si>
  <si>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https://www.cosme.net/product/product_id/10145634/reviews</t>
  </si>
  <si>
    <t>毛穴のカバー力が高い</t>
  </si>
  <si>
    <t>ドラッグストアでも手に入る</t>
  </si>
  <si>
    <t>日焼け止めのような匂いがする</t>
  </si>
  <si>
    <t>同じシリーズの夏場以外の季節に使えるSPF数値の低い商品は廃盤になっている。</t>
  </si>
  <si>
    <t>若干べたつく</t>
  </si>
  <si>
    <t>毛穴のぽつぽつや黒ずみが気になる方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</si>
  <si>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</si>
  <si>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昔から下地はずっとコフレドールを使用していました。
毛穴つるんと化粧持ち下地UVの01番をずっと使用していましたが、廃盤のためなかったのでこちらを購入、毛穴カバーと言っているだけあって、しっかり毛穴をカバーしてくれます。
</t>
  </si>
  <si>
    <t xml:space="preserve">
SPF数値の高い下地がほしくて、雑誌でも評価の高かったこちらを購入しました。
乳液のようなテクスチャーなので、伸びが良くコスパもいいと思います。
UVカット効果だけでなくカバー力もあるので、お気に入りの下地になりました。
</t>
  </si>
  <si>
    <t>https://www.cosme.net/product/product_id/10075129/reviews</t>
  </si>
  <si>
    <t>保湿力がある</t>
  </si>
  <si>
    <t>色黒の人は白浮きしてしまう</t>
  </si>
  <si>
    <t>価格が高い</t>
  </si>
  <si>
    <t>デパコスなので、ドラッグストアなどでは購入できない。</t>
  </si>
  <si>
    <t>デパコスのしっかりしたUV下地を使用したい方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</si>
  <si>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</si>
  <si>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ランコムのクッションファンデーションを購入した時、こちらのサンプルを合わせて使用してみたところ、よかったので現品購入しました。
UVカット効果が高く、夏でも崩れにくい下地なので、夏場は必須アイテムです。
</t>
  </si>
  <si>
    <t>今まで使用していた日焼け止め下地は、使用感や匂いが好みでなかったのですが、こちらは付け心地もよく保湿力もありUVカット効果も高いので、とても気に入っています。
カバー力もあるので、最近は下地とフェイスパウダーだけで済ませています。</t>
  </si>
  <si>
    <t>40代女性</t>
  </si>
  <si>
    <t>https://www.cosme.net/product/product_id/10144702/reviews</t>
  </si>
  <si>
    <t>今回取り上げたアイテムは、「何を求めてる人」にピッタリだと思いますか？
具体的に3つ記入してください。</t>
  </si>
  <si>
    <t>UVカット効果の高い下地を求められている</t>
  </si>
  <si>
    <t>UVカット効果＋カバー力のある下地を求めている方</t>
  </si>
  <si>
    <t>敏感肌でも使える高いUVカット効果のある下地を求めている方</t>
  </si>
  <si>
    <t>&lt;a target="_blank" href="//af.moshimo.com/af/c/click?a_id=988731&amp;amp;p_id=170&amp;amp;pc_id=185&amp;amp;pl_id=4062&amp;amp;url=https%3A%2F%2Fwww.amazon.co.jp%2FRoche-Posay-%25E3%2583%25A9%25E3%2583%25AD%25E3%2583%2583%25E3%2582%25B7%25E3%2583%25A5%25E3%2583%259D%25E3%2582%25BC-%25E3%2580%2590%25E6%2597%25A5%25E3%2582%2584%25E3%2581%2591%25E6%25AD%25A2%25E3%2582%2581%25E3%2583%25BB%25E5%258C%2596%25E7%25B2%25A7%25E4%25B8%258B%25E5%259C%25B0%25E3%2580%2591UV%25E3%2582%25A4%25E3%2583%2587%25E3%2582%25A2-%25E3%2583%2597%25E3%2583%25AD%25E3%2583%2586%25E3%2582%25AF%25E3%2582%25B7%25E3%2583%25A7%25E3%2583%25B3%25E3%2583%2588%25E3%2583%25BC%25E3%2583%25B3%25E3%2582%25A2%25E3%2583%2583%25E3%2583%2597-SPF50%2Fdp%2FB079X4XGZH" rel="nofollow"&gt;&lt;img src="https://images-fe.ssl-images-amazon.com/images/I/31I98mew1-L.jpg" alt="" style="border: none;" /&gt;&lt;br /&gt;La Roche-Posay(ラロッシュポゼ) 【日やけ止め・化粧下地】UVイデア XL プロテクショントーンアップ SPF50+/PA++++ 30mL&lt;/a&gt;&lt;img src="//i.moshimo.com/af/i/impression?a_id=988731&amp;amp;p_id=170&amp;amp;pc_id=185&amp;amp;pl_id=4062" alt="" width="1" height="1" style="border: 0px;" /&gt;</t>
  </si>
  <si>
    <t>&lt;a target="_blank" href="//af.moshimo.com/af/c/click?a_id=988729&amp;amp;p_id=54&amp;amp;pc_id=54&amp;amp;pl_id=616&amp;amp;url=https%3A%2F%2Fitem.rakuten.co.jp%2Fpycno%2F03176%2F&amp;amp;m=http%3A%2F%2Fm.rakuten.co.jp%2Fpycno%2Fi%2F10007186%2F&amp;amp;r_v=g00qi2m3.9tq3e4b4.g00qi2m3.9tq3f9bf" rel="nofollow"&gt;&lt;img src="//thumbnail.image.rakuten.co.jp/@0_mall/pycno/cabinet/lrp/toneup_p_10.jpg?_ex=128x128" alt="" style="border: none;" /&gt;&lt;br /&gt;【先着350名限定】ラロッシュポゼ UVイデアXL プロテクショントーンアップミスト状化粧水ターマルウォーター付2個で送料無料 普通肌〜乾燥肌UVイデアシリーズ 日焼け止め 化粧下地 乳液タイプ SPF50+/PA++++【コンビニ受取可】&lt;/a&gt;&lt;img src="//i.moshimo.com/af/i/impression?a_id=988729&amp;amp;p_id=54&amp;amp;pc_id=54&amp;amp;pl_id=616" alt="" width="1" height="1" style="border: 0px;" /&gt;</t>
  </si>
  <si>
    <t>&lt;a target="_blank" href="//af.moshimo.com/af/c/click?a_id=988731&amp;amp;p_id=170&amp;amp;pc_id=185&amp;amp;pl_id=4062&amp;amp;url=https%3A%2F%2Fwww.amazon.co.jp%2F%25E3%2582%25B3%25E3%2583%2595%25E3%2583%25AC%25E3%2583%2589%25E3%2583%25BC%25E3%2583%25AB-%25E5%258C%2596%25E7%25B2%25A7%25E4%25B8%258B%25E5%259C%25B0-%25E6%25AF%259B%25E7%25A9%25B4%25E3%2581%25A4%25E3%2582%258B%25E3%2582%2593%25E3%2581%25A8%25E3%2582%25AB%25E3%2583%2590%25E3%2583%25BC%25E5%258C%2596%25E7%25B2%25A7%25E3%2582%2582%25E3%2581%25A1%25E4%25B8%258B%25E5%259C%25B0UV02-SPF50-25mL%2Fdp%2FB00IIB8H8K" rel="nofollow"&gt;&lt;img src="https://images-fe.ssl-images-amazon.com/images/I/21pEu6iXBlL.jpg" alt="" style="border: none;" /&gt;&lt;br /&gt;コフレドール 化粧下地 毛穴つるんとカバー化粧もち下地UV02 SPF50+/PA+++ 25mL&lt;/a&gt;&lt;img src="//i.moshimo.com/af/i/impression?a_id=988731&amp;amp;p_id=170&amp;amp;pc_id=185&amp;amp;pl_id=4062" alt="" width="1" height="1" style="border: 0px;" /&gt;</t>
  </si>
  <si>
    <t>&lt;a target="_blank" href="//af.moshimo.com/af/c/click?a_id=988729&amp;amp;p_id=54&amp;amp;pc_id=54&amp;amp;pl_id=616&amp;amp;url=https%3A%2F%2Fitem.rakuten.co.jp%2Foukastore%2F10017079%2F&amp;amp;m=http%3A%2F%2Fm.rakuten.co.jp%2Foukastore%2Fi%2F10017079%2F&amp;amp;r_v=g00qbfq3.9tq3ed0b.g00qbfq3.9tq3f853" rel="nofollow"&gt;&lt;img src="//thumbnail.image.rakuten.co.jp/@0_mall/oukastore/cabinet/00728309/img67725952.jpg?_ex=128x128" alt="" style="border: none;" /&gt;&lt;br /&gt;カネボウ コフレドール 毛穴つるんとカバー 化粧持ち下地UV 02 25ml SPF50＋・PA＋＋＋&lt;/a&gt;&lt;img src="//i.moshimo.com/af/i/impression?a_id=988729&amp;amp;p_id=54&amp;amp;pc_id=54&amp;amp;pl_id=616" alt="" width="1" height="1" style="border: 0px;" /&gt;</t>
  </si>
  <si>
    <t>&lt;a target="_blank" href="//af.moshimo.com/af/c/click?a_id=988731&amp;amp;p_id=170&amp;amp;pc_id=185&amp;amp;pl_id=4062&amp;amp;url=https%3A%2F%2Fwww.amazon.co.jp%2F%25E3%2583%25A9%25E3%2583%25B3%25E3%2582%25B3%25E3%2583%25A0-LANCOME-%25E3%2582%25A8%25E3%2582%25AF%25E3%2582%25B9%25E3%2583%259A%25E3%2583%25BC%25E3%2583%25AB-%25E6%2597%25A5%25E3%2582%2584%25E3%2581%2591%25E6%25AD%25A2%25E3%2582%2581%25E7%2594%25A8%25E4%25B9%25B3%25E6%25B6%25B2-%25E4%25B8%25A6%25E8%25A1%258C%25E8%25BC%25B8%25E5%2585%25A5%25E5%2593%2581%2Fdp%2FB07CSKKP1F" rel="nofollow"&gt;&lt;img src="https://images-fe.ssl-images-amazon.com/images/I/31UTMtJOeCL.jpg" alt="" style="border: none;" /&gt;&lt;br /&gt;ランコム LANCOME UV エクスペール トーン アップ 日やけ止め用乳液 50mL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</si>
  <si>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qtyancosme%2F4935421654883%2F&amp;amp;m=http%3A%2F%2Fm.rakuten.co.jp%2Fqtyancosme%2Fi%2F10003583%2F&amp;amp;r_v=g00soup3.9tq3ecdc.g00soup3.9tq3f0f2" rel="nofollow"&gt;&lt;img src="//thumbnail.image.rakuten.co.jp/@0_mall/qtyancosme/cabinet/luncome/4935421654883.jpg?_ex=128x128" alt="" style="border: none;" /&gt;&lt;br /&gt;ランコム LANCOME UVエクスペールトーンアップ SPF50+/PA++++ 50ml[ 化粧下地 ]☆新入荷04&lt;/a&gt;&lt;img src="//i.moshimo.com/af/i/impression?a_id=988729&amp;amp;p_id=54&amp;amp;pc_id=54&amp;amp;pl_id=616" alt="" width="1" height="1" style="border: 0px;" /&gt;</t>
  </si>
  <si>
    <t>UVカット効果がある下地のおすすめ3選。下地でUVカットをしちゃう！</t>
    <rPh sb="5" eb="7">
      <t>コウカ</t>
    </rPh>
    <rPh sb="10" eb="12">
      <t>シタジ</t>
    </rPh>
    <rPh sb="18" eb="19">
      <t>セン</t>
    </rPh>
    <rPh sb="20" eb="22">
      <t>シタジ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</si>
</sst>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44702/reviews" TargetMode="External"/><Relationship Id="rId2" Type="http://schemas.openxmlformats.org/officeDocument/2006/relationships/hyperlink" Target="https://www.cosme.net/product/product_id/10075129/reviews" TargetMode="External"/><Relationship Id="rId1" Type="http://schemas.openxmlformats.org/officeDocument/2006/relationships/hyperlink" Target="https://www.cosme.net/product/product_id/1014563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4"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6</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126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152</v>
      </c>
      <c r="C23" s="69" t="s">
        <v>153</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2"/>
      <c r="C24" s="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155</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127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164</v>
      </c>
      <c r="C36" s="70" t="s">
        <v>165</v>
      </c>
      <c r="D36" s="3"/>
      <c r="E36" s="3"/>
      <c r="F36" s="3"/>
      <c r="G36" s="3"/>
      <c r="H36" s="3"/>
      <c r="I36" s="3"/>
      <c r="J36" s="3"/>
      <c r="K36" s="3"/>
      <c r="L36" s="3"/>
      <c r="M36" s="3"/>
      <c r="N36" s="3"/>
      <c r="O36" s="3"/>
      <c r="P36" s="3"/>
      <c r="Q36" s="3"/>
      <c r="R36" s="3"/>
      <c r="S36" s="3"/>
      <c r="T36" s="3"/>
      <c r="U36" s="3"/>
      <c r="V36" s="3"/>
      <c r="W36" s="3"/>
      <c r="X36" s="3"/>
      <c r="Y36" s="3"/>
      <c r="Z36" s="3"/>
    </row>
    <row r="37" spans="1:26" ht="77.25" thickBot="1">
      <c r="A37" s="4" t="s">
        <v>47</v>
      </c>
      <c r="B37" s="45"/>
      <c r="C37" s="27"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155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141</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140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173</v>
      </c>
      <c r="C49" s="71"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1"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155</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176</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136</v>
      </c>
      <c r="C3" s="15" t="s">
        <v>137</v>
      </c>
      <c r="D3" s="16" t="s">
        <v>138</v>
      </c>
      <c r="E3" s="3"/>
      <c r="F3" s="3"/>
      <c r="G3" s="3"/>
      <c r="H3" s="3"/>
      <c r="I3" s="3"/>
      <c r="J3" s="3"/>
      <c r="K3" s="3"/>
      <c r="L3" s="3"/>
      <c r="M3" s="3"/>
      <c r="N3" s="3"/>
      <c r="O3" s="3"/>
      <c r="P3" s="3"/>
      <c r="Q3" s="3"/>
      <c r="R3" s="3"/>
      <c r="S3" s="3"/>
      <c r="T3" s="3"/>
      <c r="U3" s="3"/>
      <c r="V3" s="3"/>
      <c r="W3" s="3"/>
      <c r="X3" s="3"/>
      <c r="Y3" s="3"/>
      <c r="Z3" s="3"/>
    </row>
    <row r="4" spans="1:26" ht="15.75" thickBot="1">
      <c r="A4" s="33" t="s">
        <v>126</v>
      </c>
      <c r="B4" s="17">
        <v>4</v>
      </c>
      <c r="C4" s="17">
        <v>4</v>
      </c>
      <c r="D4" s="17">
        <v>3</v>
      </c>
      <c r="E4" s="3"/>
      <c r="F4" s="3"/>
      <c r="G4" s="3"/>
      <c r="H4" s="3"/>
      <c r="I4" s="3"/>
      <c r="J4" s="3"/>
      <c r="K4" s="3"/>
      <c r="L4" s="3"/>
      <c r="M4" s="3"/>
      <c r="N4" s="3"/>
      <c r="O4" s="3"/>
      <c r="P4" s="3"/>
      <c r="Q4" s="3"/>
      <c r="R4" s="3"/>
      <c r="S4" s="3"/>
      <c r="T4" s="3"/>
      <c r="U4" s="3"/>
      <c r="V4" s="3"/>
      <c r="W4" s="3"/>
      <c r="X4" s="3"/>
      <c r="Y4" s="3"/>
      <c r="Z4" s="3"/>
    </row>
    <row r="5" spans="1:26" ht="15.75" thickBot="1">
      <c r="A5" s="33" t="s">
        <v>139</v>
      </c>
      <c r="B5" s="17">
        <v>3</v>
      </c>
      <c r="C5" s="17">
        <v>3</v>
      </c>
      <c r="D5" s="17">
        <v>3</v>
      </c>
      <c r="E5" s="3"/>
      <c r="F5" s="3"/>
      <c r="G5" s="3"/>
      <c r="H5" s="3"/>
      <c r="I5" s="3"/>
      <c r="J5" s="3"/>
      <c r="K5" s="3"/>
      <c r="L5" s="3"/>
      <c r="M5" s="3"/>
      <c r="N5" s="3"/>
      <c r="O5" s="3"/>
      <c r="P5" s="3"/>
      <c r="Q5" s="3"/>
      <c r="R5" s="3"/>
      <c r="S5" s="3"/>
      <c r="T5" s="3"/>
      <c r="U5" s="3"/>
      <c r="V5" s="3"/>
      <c r="W5" s="3"/>
      <c r="X5" s="3"/>
      <c r="Y5" s="3"/>
      <c r="Z5" s="3"/>
    </row>
    <row r="6" spans="1:26" ht="15.75" thickBot="1">
      <c r="A6" s="33" t="s">
        <v>140</v>
      </c>
      <c r="B6" s="17">
        <v>3</v>
      </c>
      <c r="C6" s="17">
        <v>4</v>
      </c>
      <c r="D6" s="17">
        <v>4</v>
      </c>
      <c r="E6" s="3"/>
      <c r="F6" s="3"/>
      <c r="G6" s="3"/>
      <c r="H6" s="3"/>
      <c r="I6" s="3"/>
      <c r="J6" s="3"/>
      <c r="K6" s="3"/>
      <c r="L6" s="3"/>
      <c r="M6" s="3"/>
      <c r="N6" s="3"/>
      <c r="O6" s="3"/>
      <c r="P6" s="3"/>
      <c r="Q6" s="3"/>
      <c r="R6" s="3"/>
      <c r="S6" s="3"/>
      <c r="T6" s="3"/>
      <c r="U6" s="3"/>
      <c r="V6" s="3"/>
      <c r="W6" s="3"/>
      <c r="X6" s="3"/>
      <c r="Y6" s="3"/>
      <c r="Z6" s="3"/>
    </row>
    <row r="7" spans="1:26" ht="15.75" thickBot="1">
      <c r="A7" s="33" t="s">
        <v>141</v>
      </c>
      <c r="B7" s="17">
        <v>4</v>
      </c>
      <c r="C7" s="17">
        <v>5</v>
      </c>
      <c r="D7" s="17">
        <v>5</v>
      </c>
      <c r="E7" s="3"/>
      <c r="F7" s="3"/>
      <c r="G7" s="3"/>
      <c r="H7" s="3"/>
      <c r="I7" s="3"/>
      <c r="J7" s="3"/>
      <c r="K7" s="3"/>
      <c r="L7" s="3"/>
      <c r="M7" s="3"/>
      <c r="N7" s="3"/>
      <c r="O7" s="3"/>
      <c r="P7" s="3"/>
      <c r="Q7" s="3"/>
      <c r="R7" s="3"/>
      <c r="S7" s="3"/>
      <c r="T7" s="3"/>
      <c r="U7" s="3"/>
      <c r="V7" s="3"/>
      <c r="W7" s="3"/>
      <c r="X7" s="3"/>
      <c r="Y7" s="3"/>
      <c r="Z7" s="3"/>
    </row>
    <row r="8" spans="1:26" ht="15.75" thickBot="1">
      <c r="A8" s="33" t="s">
        <v>142</v>
      </c>
      <c r="B8" s="17">
        <v>3</v>
      </c>
      <c r="C8" s="17">
        <v>3</v>
      </c>
      <c r="D8" s="17">
        <v>1</v>
      </c>
      <c r="E8" s="3"/>
      <c r="F8" s="3"/>
      <c r="G8" s="3"/>
      <c r="H8" s="3"/>
      <c r="I8" s="3"/>
      <c r="J8" s="3"/>
      <c r="K8" s="3"/>
      <c r="L8" s="3"/>
      <c r="M8" s="3"/>
      <c r="N8" s="3"/>
      <c r="O8" s="3"/>
      <c r="P8" s="3"/>
      <c r="Q8" s="3"/>
      <c r="R8" s="3"/>
      <c r="S8" s="3"/>
      <c r="T8" s="3"/>
      <c r="U8" s="3"/>
      <c r="V8" s="3"/>
      <c r="W8" s="3"/>
      <c r="X8" s="3"/>
      <c r="Y8" s="3"/>
      <c r="Z8" s="3"/>
    </row>
    <row r="9" spans="1:26" ht="15" thickBot="1">
      <c r="A9" s="18" t="s">
        <v>68</v>
      </c>
      <c r="B9" s="19">
        <v>17</v>
      </c>
      <c r="C9" s="19">
        <v>19</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7" sqref="E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188</v>
      </c>
      <c r="D2" s="31"/>
      <c r="F2">
        <f>LEN(C1)</f>
        <v>0</v>
      </c>
      <c r="G2" t="s">
        <v>131</v>
      </c>
    </row>
    <row r="3" spans="2:8">
      <c r="B3" s="34"/>
      <c r="C3" s="31"/>
      <c r="D3" s="31"/>
      <c r="H3" t="s">
        <v>132</v>
      </c>
    </row>
    <row r="4" spans="2:8">
      <c r="B4" s="23" t="s">
        <v>119</v>
      </c>
      <c r="C4" s="23" t="s">
        <v>120</v>
      </c>
      <c r="D4" s="23" t="s">
        <v>121</v>
      </c>
      <c r="H4" t="s">
        <v>133</v>
      </c>
    </row>
    <row r="5" spans="2:8">
      <c r="B5" s="23" t="s">
        <v>103</v>
      </c>
      <c r="C5" s="22" t="str">
        <f>IF(C22="","",SUBSTITUTE(MID(C22,FIND("src=",C22)+5,FIND("alt",C22)-FIND("src=",C22)-7),"amp;",""))</f>
        <v>https://images-fe.ssl-images-amazon.com/images/I/31I98mew1-L.jpg</v>
      </c>
      <c r="D5" s="22" t="str">
        <f>アンケート!C13</f>
        <v>ラロッシュポゼ　UVイデアXL　プロテクショントーンアップ</v>
      </c>
      <c r="E5" t="s">
        <v>122</v>
      </c>
    </row>
    <row r="6" spans="2:8">
      <c r="B6" s="23" t="s">
        <v>102</v>
      </c>
      <c r="C6" s="22" t="str">
        <f>IF(C24="","",SUBSTITUTE(MID(C24,FIND("src=",C24)+5,FIND("alt",C24)-FIND("src=",C24)-7),"amp;",""))</f>
        <v>https://images-fe.ssl-images-amazon.com/images/I/21pEu6iXBlL.jpg</v>
      </c>
      <c r="D6" s="22" t="str">
        <f>アンケート!C28</f>
        <v>コフレドール　毛穴つるんとカバー化粧持ち下地UV０２</v>
      </c>
      <c r="E6" t="s">
        <v>122</v>
      </c>
    </row>
    <row r="7" spans="2:8">
      <c r="B7" s="23" t="s">
        <v>101</v>
      </c>
      <c r="C7" s="22" t="str">
        <f>IF(C26="","",SUBSTITUTE(MID(C26,FIND("src=",C26)+5,FIND("alt",C26)-FIND("src=",C26)-7),"amp;",""))</f>
        <v>https://images-fe.ssl-images-amazon.com/images/I/31UTMtJOeCL.jpg</v>
      </c>
      <c r="D7" s="22" t="str">
        <f>アンケート!C41</f>
        <v>ランコム　UVエクスペールトーンアップ</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https://www.cosme.net/product/product_id/10145634/reviews</v>
      </c>
      <c r="D12" s="62">
        <f>SQL!A11+1</f>
        <v>205</v>
      </c>
      <c r="E12" s="22" t="str">
        <f>アンケート!C25</f>
        <v>30代女性</v>
      </c>
      <c r="F12" s="22" t="str">
        <f>IF(ISERROR(FIND("女",E12)),"m","w")&amp;"_"&amp;LEFT(E12,2)&amp;"_"&amp;"2"</f>
        <v>w_30_2</v>
      </c>
    </row>
    <row r="13" spans="2:8">
      <c r="B13" s="67"/>
      <c r="C13" s="68"/>
      <c r="D13" s="63"/>
      <c r="E13" s="22" t="str">
        <f>アンケート!C26</f>
        <v>30代女性</v>
      </c>
      <c r="F13" s="22" t="str">
        <f>IF(ISERROR(FIND("女",E13)),"m","w")&amp;"_"&amp;LEFT(E13,2)&amp;"_"&amp;"1"</f>
        <v>w_30_1</v>
      </c>
    </row>
    <row r="14" spans="2:8">
      <c r="B14" s="66" t="s">
        <v>102</v>
      </c>
      <c r="C14" s="68" t="str">
        <f>アンケート!C40</f>
        <v>https://www.cosme.net/product/product_id/10075129/reviews</v>
      </c>
      <c r="D14" s="62">
        <f>IF(D12="","",D12+1)</f>
        <v>206</v>
      </c>
      <c r="E14" s="22" t="str">
        <f>アンケート!C38</f>
        <v>30代女性</v>
      </c>
      <c r="F14" s="22" t="str">
        <f>IF(ISERROR(FIND("女",E14)),"m","w")&amp;"_"&amp;LEFT(E14,2)&amp;"_"&amp;"2"</f>
        <v>w_30_2</v>
      </c>
    </row>
    <row r="15" spans="2:8">
      <c r="B15" s="67"/>
      <c r="C15" s="68"/>
      <c r="D15" s="63"/>
      <c r="E15" s="22" t="str">
        <f>アンケート!C39</f>
        <v>20代女性</v>
      </c>
      <c r="F15" s="22" t="str">
        <f>IF(ISERROR(FIND("女",E15)),"m","w")&amp;"_"&amp;LEFT(E15,2)&amp;"_"&amp;"1"</f>
        <v>w_20_1</v>
      </c>
    </row>
    <row r="16" spans="2:8">
      <c r="B16" s="66" t="s">
        <v>101</v>
      </c>
      <c r="C16" s="68" t="str">
        <f>アンケート!C53</f>
        <v>https://www.cosme.net/product/product_id/10144702/reviews</v>
      </c>
      <c r="D16" s="62">
        <f>IF(D14="","",D14+1)</f>
        <v>207</v>
      </c>
      <c r="E16" s="22" t="str">
        <f>アンケート!C51</f>
        <v>30代女性</v>
      </c>
      <c r="F16" s="22" t="str">
        <f>IF(ISERROR(FIND("女",E16)),"m","w")&amp;"_"&amp;LEFT(E16,2)&amp;"_"&amp;"2"</f>
        <v>w_30_2</v>
      </c>
    </row>
    <row r="17" spans="2:6">
      <c r="B17" s="67"/>
      <c r="C17" s="68"/>
      <c r="D17" s="63"/>
      <c r="E17" s="22" t="str">
        <f>アンケート!C52</f>
        <v>40代女性</v>
      </c>
      <c r="F17" s="22" t="str">
        <f t="shared" ref="F17" si="0">IF(ISERROR(FIND("女",E17)),"m","w")&amp;"_"&amp;LEFT(E17,2)&amp;"_"&amp;"1"</f>
        <v>w_40_1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182</v>
      </c>
      <c r="D22" s="65" t="str">
        <f t="shared" ref="D22:D27" si="1">IF(C22="","",SUBSTITUTE(MID(C22,FIND("href=",C22)+6,FIND("rel=",C22)-FIND("href=",C22)-8),"amp;",""))</f>
        <v>//af.moshimo.com/af/c/click?a_id=988731&amp;p_id=170&amp;pc_id=185&amp;pl_id=4062&amp;url=https%3A%2F%2Fwww.amazon.co.jp%2FRoche-Posay-%25E3%2583%25A9%25E3%2583%25AD%25E3%2583%2583%25E3%2582%25B7%25E3%2583%25A5%25E3%2583%259D%25E3%2582%25BC-%25E3%2580%2590%25E6%2597%25A5%25E3%2582%2584%25E3%2581%2591%25E6%25AD%25A2%25E3%2582%2581%25E3%2583%25BB%25E5%258C%2596%25E7%25B2%25A7%25E4%25B8%258B%25E5%259C%25B0%25E3%2580%2591UV%25E3%2582%25A4%25E3%2583%2587%25E3%2582%25A2-%25E3%2583%2597%25E3%2583%25AD%25E3%2583%2586%25E3%2582%25AF%25E3%2582%25B7%25E3%2583%25A7%25E3%2583%25B3%25E3%2583%2588%25E3%2583%25BC%25E3%2583%25B3%25E3%2582%25A2%25E3%2583%2583%25E3%2583%2597-SPF50%2Fdp%2FB079X4XGZH</v>
      </c>
      <c r="E22" s="65"/>
      <c r="F22" s="22" t="str">
        <f>IF(ISERROR(FIND("amazon",C22)),IF(ISERROR(FIND("rakuten",C22)),"","楽天"),"Amazon")</f>
        <v>Amazon</v>
      </c>
    </row>
    <row r="23" spans="2:6">
      <c r="B23" s="64"/>
      <c r="C23" s="22" t="s">
        <v>183</v>
      </c>
      <c r="D23" s="65" t="str">
        <f t="shared" si="1"/>
        <v>//af.moshimo.com/af/c/click?a_id=988729&amp;p_id=54&amp;pc_id=54&amp;pl_id=616&amp;url=https%3A%2F%2Fitem.rakuten.co.jp%2Fpycno%2F03176%2F&amp;m=http%3A%2F%2Fm.rakuten.co.jp%2Fpycno%2Fi%2F10007186%2F&amp;r_v=g00qi2m3.9tq3e4b4.g00qi2m3.9tq3f9bf</v>
      </c>
      <c r="E23" s="65"/>
      <c r="F23" s="22" t="str">
        <f t="shared" ref="F23:F27" si="2">IF(ISERROR(FIND("amazon",C23)),IF(ISERROR(FIND("rakuten",C23)),"","楽天"),"Amazon")</f>
        <v>楽天</v>
      </c>
    </row>
    <row r="24" spans="2:6">
      <c r="B24" s="64" t="s">
        <v>114</v>
      </c>
      <c r="C24" s="22" t="s">
        <v>184</v>
      </c>
      <c r="D24" s="65" t="str">
        <f t="shared" si="1"/>
        <v>//af.moshimo.com/af/c/click?a_id=988731&amp;p_id=170&amp;pc_id=185&amp;pl_id=4062&amp;url=https%3A%2F%2Fwww.amazon.co.jp%2F%25E3%2582%25B3%25E3%2583%2595%25E3%2583%25AC%25E3%2583%2589%25E3%2583%25BC%25E3%2583%25AB-%25E5%258C%2596%25E7%25B2%25A7%25E4%25B8%258B%25E5%259C%25B0-%25E6%25AF%259B%25E7%25A9%25B4%25E3%2581%25A4%25E3%2582%258B%25E3%2582%2593%25E3%2581%25A8%25E3%2582%25AB%25E3%2583%2590%25E3%2583%25BC%25E5%258C%2596%25E7%25B2%25A7%25E3%2582%2582%25E3%2581%25A1%25E4%25B8%258B%25E5%259C%25B0UV02-SPF50-25mL%2Fdp%2FB00IIB8H8K</v>
      </c>
      <c r="E24" s="65"/>
      <c r="F24" s="22" t="str">
        <f t="shared" si="2"/>
        <v>Amazon</v>
      </c>
    </row>
    <row r="25" spans="2:6">
      <c r="B25" s="64"/>
      <c r="C25" s="22" t="s">
        <v>185</v>
      </c>
      <c r="D25" s="65" t="str">
        <f t="shared" si="1"/>
        <v>//af.moshimo.com/af/c/click?a_id=988729&amp;p_id=54&amp;pc_id=54&amp;pl_id=616&amp;url=https%3A%2F%2Fitem.rakuten.co.jp%2Foukastore%2F10017079%2F&amp;m=http%3A%2F%2Fm.rakuten.co.jp%2Foukastore%2Fi%2F10017079%2F&amp;r_v=g00qbfq3.9tq3ed0b.g00qbfq3.9tq3f853</v>
      </c>
      <c r="E25" s="65"/>
      <c r="F25" s="22" t="str">
        <f t="shared" si="2"/>
        <v>楽天</v>
      </c>
    </row>
    <row r="26" spans="2:6">
      <c r="B26" s="64" t="s">
        <v>115</v>
      </c>
      <c r="C26" s="22" t="s">
        <v>186</v>
      </c>
      <c r="D26" s="65" t="str">
        <f t="shared" si="1"/>
        <v>//af.moshimo.com/af/c/click?a_id=988731&amp;p_id=170&amp;pc_id=185&amp;pl_id=4062&amp;url=https%3A%2F%2Fwww.amazon.co.jp%2F%25E3%2583%25A9%25E3%2583%25B3%25E3%2582%25B3%25E3%2583%25A0-LANCOME-%25E3%2582%25A8%25E3%2582%25AF%25E3%2582%25B9%25E3%2583%259A%25E3%2583%25BC%25E3%2583%25AB-%25E6%2597%25A5%25E3%2582%2584%25E3%2581%2591%25E6%25AD%25A2%25E3%2582%2581%25E7%2594%25A8%25E4%25B9%25B3%25E6%25B6%25B2-%25E4%25B8%25A6%25E8%25A1%258C%25E8%25BC%25B8%25E5%2585%25A5%25E5%2593%2581%2Fdp%2FB07CSKKP1F</v>
      </c>
      <c r="E26" s="65"/>
      <c r="F26" s="22" t="str">
        <f t="shared" si="2"/>
        <v>Amazon</v>
      </c>
    </row>
    <row r="27" spans="2:6">
      <c r="B27" s="64"/>
      <c r="C27" s="22" t="s">
        <v>187</v>
      </c>
      <c r="D27" s="65" t="str">
        <f t="shared" si="1"/>
        <v>//af.moshimo.com/af/c/click?a_id=988729&amp;p_id=54&amp;pc_id=54&amp;pl_id=616&amp;url=https%3A%2F%2Fitem.rakuten.co.jp%2Fqtyancosme%2F4935421654883%2F&amp;m=http%3A%2F%2Fm.rakuten.co.jp%2Fqtyancosme%2Fi%2F10003583%2F&amp;r_v=g00soup3.9tq3ecdc.g00soup3.9tq3f0f2</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&lt;h2&gt;UVカット効果がある下地のおすすめ3選。下地でUVカットをしちゃう！&lt;/h2&gt;</v>
      </c>
    </row>
    <row r="2" spans="1:1">
      <c r="A2" s="20" t="s">
        <v>86</v>
      </c>
    </row>
    <row r="3" spans="1:1">
      <c r="A3" s="21" t="s">
        <v>87</v>
      </c>
    </row>
    <row r="4" spans="1:1">
      <c r="A4" s="20" t="str">
        <f>CONCATENATE("&lt;li&gt;", アンケート!C54, "&lt;/li&gt;")</f>
        <v>&lt;li&gt;UVカット効果の高い下地を求められている&lt;/li&gt;</v>
      </c>
    </row>
    <row r="5" spans="1:1">
      <c r="A5" s="20" t="str">
        <f>CONCATENATE("&lt;li&gt;", アンケート!C55, "&lt;/li&gt;")</f>
        <v>&lt;li&gt;UVカット効果＋カバー力のある下地を求めている方&lt;/li&gt;</v>
      </c>
    </row>
    <row r="6" spans="1:1">
      <c r="A6" s="20" t="str">
        <f>CONCATENATE("&lt;li&gt;", アンケート!C56, "&lt;/li&gt;")</f>
        <v>&lt;li&gt;敏感肌でも使える高いUVカット効果のある下地を求めている方&lt;/li&gt;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src="http://shomty.com/wp-content/uploads/img/parts/positionMap/6.jpg" /&gt;</v>
      </c>
    </row>
    <row r="13" spans="1:1">
      <c r="A13" s="30" t="str">
        <f>CONCATENATE("今回紹介する『", アンケート!C2,"』は","「価格と品質」どちらを重要視したのかをあらわした図です。")</f>
        <v>今回紹介する『UVカット効果のある下地』は「価格と品質」どちらを重要視したのかをあらわした図です。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&lt;h2&gt;『UVカット効果のある下地』 ランキング&lt;/h2&gt;</v>
      </c>
    </row>
    <row r="20" spans="1:2">
      <c r="A20" t="s">
        <v>91</v>
      </c>
    </row>
    <row r="22" spans="1:2">
      <c r="A22" t="str">
        <f>CONCATENATE("&lt;h3&gt;3位 ",アンケート!C41,"&lt;/h3&gt;")</f>
        <v>&lt;h3&gt;3位 ランコム　UVエクスペールトーンアップ&lt;/h3&gt;</v>
      </c>
    </row>
    <row r="23" spans="1:2">
      <c r="A23" t="s">
        <v>92</v>
      </c>
    </row>
    <row r="24" spans="1:2">
      <c r="A24" t="s">
        <v>69</v>
      </c>
    </row>
    <row r="25" spans="1:2">
      <c r="A25" t="str">
        <f>アンケート!C48</f>
        <v>デパコスのしっかりしたUV下地を使用したい方</v>
      </c>
    </row>
    <row r="26" spans="1:2">
      <c r="A26" t="s">
        <v>70</v>
      </c>
    </row>
    <row r="27" spans="1:2">
      <c r="A27" s="6" t="str">
        <f>CONCATENATE("[tblStart num=5]", 入力シート!C7, "[/tblStart]")</f>
        <v>[tblStart num=5]https://images-fe.ssl-images-amazon.com/images/I/31UTMtJOeCL.jpg[/tblStart]</v>
      </c>
    </row>
    <row r="28" spans="1:2">
      <c r="A28" t="str">
        <f>CONCATENATE("[tdLevel type=", B28, "]", 比較表!A4, "[/tdLevel]")</f>
        <v>[tdLevel type=3]カバー力がある[/tdLevel]</v>
      </c>
      <c r="B28">
        <f>HLOOKUP(アンケート!$C$41,比較表!$B$3:$D$8,2)</f>
        <v>3</v>
      </c>
    </row>
    <row r="29" spans="1:2">
      <c r="A29" t="str">
        <f>CONCATENATE("[tdLevel type=", B29, "]", 比較表!A5, "[/tdLevel]")</f>
        <v>[tdLevel type=3]付け心地[/tdLevel]</v>
      </c>
      <c r="B29">
        <f>HLOOKUP(アンケート!$C$41,比較表!$B$3:$D$8,3)</f>
        <v>3</v>
      </c>
    </row>
    <row r="30" spans="1:2">
      <c r="A30" t="str">
        <f>CONCATENATE("[tdLevel type=", B30, "]", 比較表!A6, "[/tdLevel]")</f>
        <v>[tdLevel type=4]崩れにくい[/tdLevel]</v>
      </c>
      <c r="B30">
        <f>HLOOKUP(アンケート!$C$41,比較表!$B$3:$D$8,4)</f>
        <v>4</v>
      </c>
    </row>
    <row r="31" spans="1:2">
      <c r="A31" t="str">
        <f>CONCATENATE("[tdLevel type=", B31, "]", 比較表!A7, "[/tdLevel]")</f>
        <v>[tdLevel type=5]UVカット効果が高い[/tdLevel]</v>
      </c>
      <c r="B31">
        <f>HLOOKUP(アンケート!$C$41,比較表!$B$3:$D$8,5)</f>
        <v>5</v>
      </c>
    </row>
    <row r="32" spans="1:2">
      <c r="A32" t="str">
        <f>CONCATENATE("[tdLevel type=", B32, "]", 比較表!A8, "[/tdLevel]")</f>
        <v>[tdLevel type=1]コスパ[/tdLevel]</v>
      </c>
      <c r="B32">
        <f>HLOOKUP(アンケート!$C$41,比較表!$B$3:$D$8,6)</f>
        <v>1</v>
      </c>
    </row>
    <row r="33" spans="1:1">
      <c r="A33" t="s">
        <v>72</v>
      </c>
    </row>
    <row r="35" spans="1:1">
      <c r="A35" s="6" t="str">
        <f>CONCATENATE("[product_link id=",入力シート!D16,"][/product_link]")</f>
        <v>[product_link id=207][/product_link]</v>
      </c>
    </row>
    <row r="36" spans="1:1">
      <c r="A36" t="s">
        <v>93</v>
      </c>
    </row>
    <row r="37" spans="1:1">
      <c r="A37" t="s">
        <v>94</v>
      </c>
    </row>
    <row r="38" spans="1:1">
      <c r="A38" t="s">
        <v>95</v>
      </c>
    </row>
    <row r="39" spans="1:1">
      <c r="A39" t="s">
        <v>87</v>
      </c>
    </row>
    <row r="40" spans="1:1">
      <c r="A40" t="str">
        <f>CONCATENATE("&lt;li&gt;", アンケート!C42,"&lt;/li&gt;")</f>
        <v>&lt;li&gt;UVカット効果が高い&lt;/li&gt;</v>
      </c>
    </row>
    <row r="41" spans="1:1">
      <c r="A41" t="str">
        <f>CONCATENATE("&lt;li&gt;", アンケート!C43,"&lt;/li&gt;")</f>
        <v>&lt;li&gt;保湿力がある&lt;/li&gt;</v>
      </c>
    </row>
    <row r="42" spans="1:1">
      <c r="A42" t="str">
        <f>CONCATENATE("&lt;li&gt;", アンケート!C44,"&lt;/li&gt;")</f>
        <v>&lt;li&gt;崩れにくい&lt;/li&gt;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&lt;li&gt;色黒の人は白浮きしてしまう&lt;/li&gt;</v>
      </c>
    </row>
    <row r="51" spans="1:1">
      <c r="A51" t="str">
        <f>CONCATENATE("&lt;li&gt;", アンケート!C46,"&lt;/li&gt;")</f>
        <v>&lt;li&gt;価格が高い&lt;/li&gt;</v>
      </c>
    </row>
    <row r="52" spans="1:1">
      <c r="A52" t="str">
        <f>CONCATENATE("&lt;li&gt;", アンケート!C47,"&lt;/li&gt;")</f>
        <v>&lt;li&gt;デパコスなので、ドラッグストアなどでは購入できない。&lt;/li&gt;</v>
      </c>
    </row>
    <row r="53" spans="1:1">
      <c r="A53" t="s">
        <v>88</v>
      </c>
    </row>
    <row r="54" spans="1:1">
      <c r="A54" t="s">
        <v>89</v>
      </c>
    </row>
    <row r="55" spans="1:1">
      <c r="A55" t="s">
        <v>96</v>
      </c>
    </row>
    <row r="56" spans="1:1">
      <c r="A56" t="s">
        <v>134</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ランコムのクッションファンデーションを購入した時、こちらのサンプルを合わせて使用してみたところ、よかったので現品購入しました。
UVカット効果が高く、夏でも崩れにくい下地なので、夏場は必須アイテムです。
</v>
      </c>
    </row>
    <row r="59" spans="1:1">
      <c r="A59" t="s">
        <v>104</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今まで使用していた日焼け止め下地は、使用感や匂いが好みでなかったのですが、こちらは付け心地もよく保湿力もありUVカット効果も高いので、とても気に入っています。
カバー力もあるので、最近は下地とフェイスパウダーだけで済ませています。</v>
      </c>
    </row>
    <row r="62" spans="1:1">
      <c r="A62" t="s">
        <v>104</v>
      </c>
    </row>
    <row r="63" spans="1:1">
      <c r="A63" t="s">
        <v>99</v>
      </c>
    </row>
    <row r="64" spans="1:1">
      <c r="A64" t="str">
        <f>CONCATENATE("[reviewLink id=","""", 入力シート!D16,"""][/reviewLink]")</f>
        <v>[reviewLink id="207"][/reviewLink]</v>
      </c>
    </row>
    <row r="66" spans="1:2">
      <c r="A66" t="str">
        <f>CONCATENATE("&lt;h3&gt;2位 ",アンケート!C28,"&lt;/h3&gt;")</f>
        <v>&lt;h3&gt;2位 コフレドール　毛穴つるんとカバー化粧持ち下地UV０２&lt;/h3&gt;</v>
      </c>
    </row>
    <row r="67" spans="1:2">
      <c r="A67" t="s">
        <v>92</v>
      </c>
    </row>
    <row r="68" spans="1:2">
      <c r="A68" t="s">
        <v>69</v>
      </c>
    </row>
    <row r="69" spans="1:2">
      <c r="A69" t="str">
        <f>アンケート!C35</f>
        <v>毛穴のぽつぽつや黒ずみが気になる方</v>
      </c>
    </row>
    <row r="70" spans="1:2">
      <c r="A70" t="s">
        <v>70</v>
      </c>
    </row>
    <row r="71" spans="1:2">
      <c r="A71" s="6" t="str">
        <f>CONCATENATE("[tblStart num=5]", 入力シート!$C$6, "[/tblStart]")</f>
        <v>[tblStart num=5]https://images-fe.ssl-images-amazon.com/images/I/21pEu6iXBlL.jpg[/tblStart]</v>
      </c>
    </row>
    <row r="72" spans="1:2">
      <c r="A72" t="str">
        <f>CONCATENATE("[tdLevel type=", B72, "]", 比較表!A4, "[/tdLevel]")</f>
        <v>[tdLevel type=4]カバー力がある[/tdLevel]</v>
      </c>
      <c r="B72">
        <f>HLOOKUP(アンケート!$C$28,比較表!$B$3:$D$8,2,FALSE)</f>
        <v>4</v>
      </c>
    </row>
    <row r="73" spans="1:2">
      <c r="A73" t="str">
        <f>CONCATENATE("[tdLevel type=", B73, "]", 比較表!A5, "[/tdLevel]")</f>
        <v>[tdLevel type=3]付け心地[/tdLevel]</v>
      </c>
      <c r="B73">
        <f>HLOOKUP(アンケート!$C$28,比較表!$B$3:$D$8,3,FALSE)</f>
        <v>3</v>
      </c>
    </row>
    <row r="74" spans="1:2">
      <c r="A74" t="str">
        <f>CONCATENATE("[tdLevel type=", B74, "]", 比較表!A6, "[/tdLevel]")</f>
        <v>[tdLevel type=3]崩れにくい[/tdLevel]</v>
      </c>
      <c r="B74">
        <f>HLOOKUP(アンケート!$C$28,比較表!$B$3:$D$8,4,FALSE)</f>
        <v>3</v>
      </c>
    </row>
    <row r="75" spans="1:2">
      <c r="A75" t="str">
        <f>CONCATENATE("[tdLevel type=", B75, "]", 比較表!A7, "[/tdLevel]")</f>
        <v>[tdLevel type=4]UVカット効果が高い[/tdLevel]</v>
      </c>
      <c r="B75">
        <f>HLOOKUP(アンケート!$C$28,比較表!$B$3:$D$8,5,FALSE)</f>
        <v>4</v>
      </c>
    </row>
    <row r="76" spans="1:2">
      <c r="A76" t="str">
        <f>CONCATENATE("[tdLevel type=", B76, "]", 比較表!A8, "[/tdLevel]")</f>
        <v>[tdLevel type=3]コスパ[/tdLevel]</v>
      </c>
      <c r="B76">
        <f>HLOOKUP(アンケート!$C$28,比較表!$B$3:$D$8,6,FALSE)</f>
        <v>3</v>
      </c>
    </row>
    <row r="77" spans="1:2">
      <c r="A77" t="s">
        <v>72</v>
      </c>
    </row>
    <row r="79" spans="1:2">
      <c r="A79" s="6" t="str">
        <f>CONCATENATE("[product_link id=",入力シート!D14,"][/product_link]")</f>
        <v>[product_link id=206][/product_link]</v>
      </c>
    </row>
    <row r="80" spans="1:2">
      <c r="A80" t="s">
        <v>93</v>
      </c>
    </row>
    <row r="81" spans="1:1">
      <c r="A81" t="s">
        <v>94</v>
      </c>
    </row>
    <row r="82" spans="1:1">
      <c r="A82" t="s">
        <v>95</v>
      </c>
    </row>
    <row r="83" spans="1:1">
      <c r="A83" t="s">
        <v>87</v>
      </c>
    </row>
    <row r="84" spans="1:1">
      <c r="A84" t="str">
        <f>CONCATENATE("&lt;li&gt;", アンケート!C29,"&lt;/li&gt;")</f>
        <v>&lt;li&gt;毛穴のカバー力が高い&lt;/li&gt;</v>
      </c>
    </row>
    <row r="85" spans="1:1">
      <c r="A85" t="str">
        <f>CONCATENATE("&lt;li&gt;", アンケート!C30,"&lt;/li&gt;")</f>
        <v>&lt;li&gt;ドラッグストアでも手に入る&lt;/li&gt;</v>
      </c>
    </row>
    <row r="86" spans="1:1">
      <c r="A86" t="str">
        <f>CONCATENATE("&lt;li&gt;", アンケート!C31,"&lt;/li&gt;")</f>
        <v>&lt;li&gt;伸びが良い&lt;/li&gt;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&lt;li&gt;日焼け止めのような匂いがする&lt;/li&gt;</v>
      </c>
    </row>
    <row r="95" spans="1:1">
      <c r="A95" t="str">
        <f>CONCATENATE("&lt;li&gt;", アンケート!C33,"&lt;/li&gt;")</f>
        <v>&lt;li&gt;同じシリーズの夏場以外の季節に使えるSPF数値の低い商品は廃盤になっている。&lt;/li&gt;</v>
      </c>
    </row>
    <row r="96" spans="1:1">
      <c r="A96" t="str">
        <f>CONCATENATE("&lt;li&gt;", アンケート!C34,"&lt;/li&gt;")</f>
        <v>&lt;li&gt;若干べたつく&lt;/li&gt;</v>
      </c>
    </row>
    <row r="97" spans="1:1">
      <c r="A97" t="s">
        <v>88</v>
      </c>
    </row>
    <row r="98" spans="1:1">
      <c r="A98" t="s">
        <v>89</v>
      </c>
    </row>
    <row r="99" spans="1:1">
      <c r="A99" t="s">
        <v>96</v>
      </c>
    </row>
    <row r="100" spans="1:1">
      <c r="A100" t="s">
        <v>134</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昔から下地はずっとコフレドールを使用していました。
毛穴つるんと化粧持ち下地UVの01番をずっと使用していましたが、廃盤のためなかったのでこちらを購入、毛穴カバーと言っているだけあって、しっかり毛穴をカバーしてくれます。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
SPF数値の高い下地がほしくて、雑誌でも評価の高かったこちらを購入しました。
乳液のようなテクスチャーなので、伸びが良くコスパもいいと思います。
UVカット効果だけでなくカバー力もあるので、お気に入りの下地になりました。
</v>
      </c>
    </row>
    <row r="106" spans="1:1">
      <c r="A106" t="s">
        <v>104</v>
      </c>
    </row>
    <row r="107" spans="1:1">
      <c r="A107" t="s">
        <v>99</v>
      </c>
    </row>
    <row r="108" spans="1:1">
      <c r="A108" t="str">
        <f>CONCATENATE("[reviewLink id=","""", 入力シート!D14,"""][/reviewLink]")</f>
        <v>[reviewLink id="206"][/reviewLink]</v>
      </c>
    </row>
    <row r="110" spans="1:1">
      <c r="A110" t="str">
        <f>CONCATENATE("&lt;h3&gt;1位 ",アンケート!C13,"&lt;/h3&gt;")</f>
        <v>&lt;h3&gt;1位 ラロッシュポゼ　UVイデアXL　プロテクショントーンアップ&lt;/h3&gt;</v>
      </c>
    </row>
    <row r="111" spans="1:1">
      <c r="A111" t="s">
        <v>92</v>
      </c>
    </row>
    <row r="112" spans="1:1">
      <c r="A112" t="s">
        <v>69</v>
      </c>
    </row>
    <row r="113" spans="1:2">
      <c r="A113" t="str">
        <f>アンケート!C22</f>
        <v>UV対策したい敏感肌の方</v>
      </c>
    </row>
    <row r="114" spans="1:2">
      <c r="A114" t="s">
        <v>70</v>
      </c>
    </row>
    <row r="115" spans="1:2" ht="27">
      <c r="A115" s="6" t="str">
        <f>CONCATENATE("[tblStart num=5]", 入力シート!C5, "[/tblStart]")</f>
        <v>[tblStart num=5]https://images-fe.ssl-images-amazon.com/images/I/31I98mew1-L.jpg[/tblStart]</v>
      </c>
    </row>
    <row r="116" spans="1:2">
      <c r="A116" t="str">
        <f>CONCATENATE("[tdLevel type=", B116, "]", 比較表!A4, "[/tdLevel]")</f>
        <v>[tdLevel type=4]カバー力がある[/tdLevel]</v>
      </c>
      <c r="B116">
        <f>HLOOKUP(アンケート!$C$13,比較表!$B$3:$D$8,2,FALSE)</f>
        <v>4</v>
      </c>
    </row>
    <row r="117" spans="1:2">
      <c r="A117" t="str">
        <f>CONCATENATE("[tdLevel type=", B117, "]", 比較表!A5, "[/tdLevel]")</f>
        <v>[tdLevel type=3]付け心地[/tdLevel]</v>
      </c>
      <c r="B117">
        <f>HLOOKUP(アンケート!$C$13,比較表!$B$3:$D$8,3,FALSE)</f>
        <v>3</v>
      </c>
    </row>
    <row r="118" spans="1:2">
      <c r="A118" t="str">
        <f>CONCATENATE("[tdLevel type=", B118, "]", 比較表!A6, "[/tdLevel]")</f>
        <v>[tdLevel type=4]崩れにくい[/tdLevel]</v>
      </c>
      <c r="B118">
        <f>HLOOKUP(アンケート!$C$13,比較表!$B$3:$D$8,4,FALSE)</f>
        <v>4</v>
      </c>
    </row>
    <row r="119" spans="1:2">
      <c r="A119" t="str">
        <f>CONCATENATE("[tdLevel type=", B119, "]", 比較表!A7, "[/tdLevel]")</f>
        <v>[tdLevel type=5]UVカット効果が高い[/tdLevel]</v>
      </c>
      <c r="B119">
        <f>HLOOKUP(アンケート!$C$13,比較表!$B$3:$D$8,5,FALSE)</f>
        <v>5</v>
      </c>
    </row>
    <row r="120" spans="1:2">
      <c r="A120" t="str">
        <f>CONCATENATE("[tdLevel type=", B120, "]", 比較表!A8, "[/tdLevel]")</f>
        <v>[tdLevel type=3]コスパ[/tdLevel]</v>
      </c>
      <c r="B120">
        <f>HLOOKUP(アンケート!$C$13,比較表!$B$3:$D$8,6,FALSE)</f>
        <v>3</v>
      </c>
    </row>
    <row r="121" spans="1:2">
      <c r="A121" t="s">
        <v>72</v>
      </c>
    </row>
    <row r="123" spans="1:2">
      <c r="A123" s="6" t="str">
        <f>CONCATENATE("[product_link id=",入力シート!D12,"][/product_link]")</f>
        <v>[product_link id=205][/product_link]</v>
      </c>
    </row>
    <row r="124" spans="1:2">
      <c r="A124" t="s">
        <v>93</v>
      </c>
    </row>
    <row r="125" spans="1:2">
      <c r="A125" t="s">
        <v>94</v>
      </c>
    </row>
    <row r="126" spans="1:2">
      <c r="A126" t="s">
        <v>95</v>
      </c>
    </row>
    <row r="127" spans="1:2">
      <c r="A127" t="s">
        <v>87</v>
      </c>
    </row>
    <row r="128" spans="1:2">
      <c r="A128" t="str">
        <f>CONCATENATE("&lt;li&gt;", アンケート!C14,"&lt;/li&gt;")</f>
        <v>&lt;li&gt;敏感肌の人でも使える&lt;/li&gt;</v>
      </c>
    </row>
    <row r="129" spans="1:1">
      <c r="A129" t="str">
        <f>CONCATENATE("&lt;li&gt;", アンケート!C15,"&lt;/li&gt;")</f>
        <v>&lt;li&gt;トーンアップ効果がある&lt;/li&gt;</v>
      </c>
    </row>
    <row r="130" spans="1:1">
      <c r="A130" t="str">
        <f>CONCATENATE("&lt;li&gt;", アンケート!C16,"&lt;/li&gt;")</f>
        <v>&lt;li&gt;エイジング効果もある&lt;/li&gt;</v>
      </c>
    </row>
    <row r="131" spans="1:1">
      <c r="A131" t="str">
        <f>CONCATENATE("&lt;li&gt;", アンケート!C17,"&lt;/li&gt;")</f>
        <v>&lt;li&gt;石鹸で落ちる&lt;/li&gt;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&lt;li&gt;艶肌が苦手な人には合わない&lt;/li&gt;</v>
      </c>
    </row>
    <row r="140" spans="1:1">
      <c r="A140" t="str">
        <f>CONCATENATE("&lt;li&gt;", アンケート!C19,"&lt;/li&gt;")</f>
        <v>&lt;li&gt;パウダーをはたかないと、夏場はテカって見える&lt;/li&gt;</v>
      </c>
    </row>
    <row r="141" spans="1:1">
      <c r="A141" t="str">
        <f>CONCATENATE("&lt;li&gt;", アンケート!C20,"&lt;/li&gt;")</f>
        <v>&lt;li&gt;ムラになりやすい&lt;/li&gt;</v>
      </c>
    </row>
    <row r="142" spans="1:1">
      <c r="A142" t="str">
        <f>CONCATENATE("&lt;li&gt;", アンケート!C21,"&lt;/li&gt;")</f>
        <v>&lt;li&gt;白色なので、高いカバー力は期待できない&lt;/li&gt;</v>
      </c>
    </row>
    <row r="143" spans="1:1">
      <c r="A143" t="s">
        <v>88</v>
      </c>
    </row>
    <row r="144" spans="1:1">
      <c r="A144" t="s">
        <v>89</v>
      </c>
    </row>
    <row r="145" spans="1:1">
      <c r="A145" t="s">
        <v>96</v>
      </c>
    </row>
    <row r="146" spans="1:1">
      <c r="A146" t="s">
        <v>134</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肌が弱くSPFやPAの数値の高い日焼け止めは、怖くて今まで避けてきたのですが、ラロッシュポゼは、UVカット効果が高いのに敏感肌用だったので、即買いしました。
下地としても優秀だったので、夏場はこれをずっと使用していこうと思います。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肌のきれいな先輩がこちらの下地をSNSで紹介していたのがきっかけで、購入しました。
肌の色がワントーン明るくなり、伸びもいいので使いやすいです。
乾燥肌ですが、乾燥することもないのでとても気に入っています。
</v>
      </c>
    </row>
    <row r="152" spans="1:1">
      <c r="A152" t="s">
        <v>104</v>
      </c>
    </row>
    <row r="153" spans="1:1">
      <c r="A153" t="s">
        <v>99</v>
      </c>
    </row>
    <row r="154" spans="1:1">
      <c r="A154" t="str">
        <f>CONCATENATE("[reviewLink id=","""", 入力シート!D12,"""][/reviewLink]")</f>
        <v>[reviewLink id="205"][/reviewLink]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(205,'//af.moshimo.com/af/c/click?a_id=988731&amp;p_id=170&amp;pc_id=185&amp;pl_id=4062&amp;url=https%3A%2F%2Fwww.amazon.co.jp%2FRoche-Posay-%25E3%2583%25A9%25E3%2583%25AD%25E3%2583%2583%25E3%2582%25B7%25E3%2583%25A5%25E3%2583%259D%25E3%2582%25BC-%25E3%2580%2590%25E6%2597%25A5%25E3%2582%2584%25E3%2581%2591%25E6%25AD%25A2%25E3%2582%2581%25E3%2583%25BB%25E5%258C%2596%25E7%25B2%25A7%25E4%25B8%258B%25E5%259C%25B0%25E3%2580%2591UV%25E3%2582%25A4%25E3%2583%2587%25E3%2582%25A2-%25E3%2583%2597%25E3%2583%25AD%25E3%2583%2586%25E3%2582%25AF%25E3%2582%25B7%25E3%2583%25A7%25E3%2583%25B3%25E3%2583%2588%25E3%2583%25BC%25E3%2583%25B3%25E3%2582%25A2%25E3%2583%2583%25E3%2583%2597-SPF50%2Fdp%2FB079X4XGZH', '//af.moshimo.com/af/c/click?a_id=988729&amp;p_id=54&amp;pc_id=54&amp;pl_id=616&amp;url=https%3A%2F%2Fitem.rakuten.co.jp%2Fpycno%2F03176%2F&amp;m=http%3A%2F%2Fm.rakuten.co.jp%2Fpycno%2Fi%2F10007186%2F&amp;r_v=g00qi2m3.9tq3e4b4.g00qi2m3.9tq3f9bf', 'https://www.cosme.net/product/product_id/10145634/reviews', 'https://images-fe.ssl-images-amazon.com/images/I/31I98mew1-L.jpg', 'ラロッシュポゼ　UVイデアXL　プロテクショントーンアップ'),</v>
      </c>
    </row>
    <row r="3" spans="1:1">
      <c r="A3" t="str">
        <f>"("&amp;入力シート!D14&amp;","&amp;"'"&amp;入力シート!D24&amp;"', '"&amp;入力シート!D25&amp;"', '"&amp;入力シート!C14&amp;"', '"&amp;入力シート!C6&amp;"', '"&amp;入力シート!D6&amp;"'),"</f>
        <v>(206,'//af.moshimo.com/af/c/click?a_id=988731&amp;p_id=170&amp;pc_id=185&amp;pl_id=4062&amp;url=https%3A%2F%2Fwww.amazon.co.jp%2F%25E3%2582%25B3%25E3%2583%2595%25E3%2583%25AC%25E3%2583%2589%25E3%2583%25BC%25E3%2583%25AB-%25E5%258C%2596%25E7%25B2%25A7%25E4%25B8%258B%25E5%259C%25B0-%25E6%25AF%259B%25E7%25A9%25B4%25E3%2581%25A4%25E3%2582%258B%25E3%2582%2593%25E3%2581%25A8%25E3%2582%25AB%25E3%2583%2590%25E3%2583%25BC%25E5%258C%2596%25E7%25B2%25A7%25E3%2582%2582%25E3%2581%25A1%25E4%25B8%258B%25E5%259C%25B0UV02-SPF50-25mL%2Fdp%2FB00IIB8H8K', '//af.moshimo.com/af/c/click?a_id=988729&amp;p_id=54&amp;pc_id=54&amp;pl_id=616&amp;url=https%3A%2F%2Fitem.rakuten.co.jp%2Foukastore%2F10017079%2F&amp;m=http%3A%2F%2Fm.rakuten.co.jp%2Foukastore%2Fi%2F10017079%2F&amp;r_v=g00qbfq3.9tq3ed0b.g00qbfq3.9tq3f853', 'https://www.cosme.net/product/product_id/10075129/reviews', 'https://images-fe.ssl-images-amazon.com/images/I/21pEu6iXBlL.jpg', 'コフレドール　毛穴つるんとカバー化粧持ち下地UV０２'),</v>
      </c>
    </row>
    <row r="4" spans="1:1">
      <c r="A4" t="str">
        <f>"("&amp;入力シート!D16&amp;","&amp;"'"&amp;入力シート!D26&amp;"', '"&amp;入力シート!D27&amp;"', '"&amp;入力シート!C16&amp;"', '"&amp;入力シート!C7&amp;"', '"&amp;入力シート!D7&amp;"');"</f>
        <v>(207,'//af.moshimo.com/af/c/click?a_id=988731&amp;p_id=170&amp;pc_id=185&amp;pl_id=4062&amp;url=https%3A%2F%2Fwww.amazon.co.jp%2F%25E3%2583%25A9%25E3%2583%25B3%25E3%2582%25B3%25E3%2583%25A0-LANCOME-%25E3%2582%25A8%25E3%2582%25AF%25E3%2582%25B9%25E3%2583%259A%25E3%2583%25BC%25E3%2583%25AB-%25E6%2597%25A5%25E3%2582%2584%25E3%2581%2591%25E6%25AD%25A2%25E3%2582%2581%25E7%2594%25A8%25E4%25B9%25B3%25E6%25B6%25B2-%25E4%25B8%25A6%25E8%25A1%258C%25E8%25BC%25B8%25E5%2585%25A5%25E5%2593%2581%2Fdp%2FB07CSKKP1F', '//af.moshimo.com/af/c/click?a_id=988729&amp;p_id=54&amp;pc_id=54&amp;pl_id=616&amp;url=https%3A%2F%2Fitem.rakuten.co.jp%2Fqtyancosme%2F4935421654883%2F&amp;m=http%3A%2F%2Fm.rakuten.co.jp%2Fqtyancosme%2Fi%2F10003583%2F&amp;r_v=g00soup3.9tq3ecdc.g00soup3.9tq3f0f2', 'https://www.cosme.net/product/product_id/10144702/reviews', 'https://images-fe.ssl-images-amazon.com/images/I/31UTMtJOeCL.jpg', 'ランコム　UVエクスペールトーンアップ');</v>
      </c>
    </row>
    <row r="9" spans="1:1">
      <c r="A9" s="36" t="s">
        <v>124</v>
      </c>
    </row>
    <row r="10" spans="1:1" ht="14.25" thickBot="1">
      <c r="A10" t="s">
        <v>123</v>
      </c>
    </row>
    <row r="11" spans="1:1" ht="14.25" thickBot="1">
      <c r="A11" s="40">
        <v>204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2018-07-27T07:20:41Z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