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<sst xmlns="http://schemas.openxmlformats.org/spreadsheetml/2006/main" count="268" uniqueCount="190">
  <si>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</si>
  <si>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</si>
  <si>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</si>
  <si>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</si>
  <si>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</si>
  <si>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</si>
  <si>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</si>
  <si>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</si>
  <si>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</si>
  <si>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</si>
  <si>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</si>
  <si>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</si>
  <si>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</si>
  <si>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</si>
  <si>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</si>
  <si>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</si>
  <si>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</si>
  <si>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</si>
  <si>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</si>
  <si>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</si>
  <si>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</si>
  <si>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</si>
  <si>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</si>
  <si>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</si>
  <si>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</si>
  <si>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</si>
  <si>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</si>
  <si>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</si>
  <si>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</si>
  <si>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</si>
  <si>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</si>
  <si>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</si>
  <si>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</si>
  <si>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</si>
  <si>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</si>
  <si>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</si>
  <si>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</si>
  <si>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</si>
  <si>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</si>
  <si>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</si>
  <si>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</si>
  <si>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</si>
  <si>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</si>
  <si>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</si>
  <si>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</si>
  <si>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</si>
  <si>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</si>
  <si>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</si>
  <si>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</si>
  <si>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</si>
  <si>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</si>
  <si>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</si>
  <si>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</si>
  <si>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</si>
  <si>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</si>
  <si>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</si>
  <si>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</si>
  <si>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</si>
  <si>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</si>
  <si>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</si>
  <si>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</si>
  <si>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</si>
  <si>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</si>
  <si>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</si>
  <si>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</si>
  <si>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</si>
  <si>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</si>
  <si>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</si>
  <si>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</si>
  <si>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</si>
  <si>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</si>
  <si>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</si>
  <si>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</si>
  <si>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</si>
  <si>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</si>
  <si>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</si>
  <si>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</si>
  <si>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</si>
  <si>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</si>
  <si>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</si>
  <si>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</si>
  <si>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</si>
  <si>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</si>
  <si>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</si>
  <si>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</si>
  <si>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</si>
  <si>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</si>
  <si>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</si>
  <si>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</si>
  <si>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</si>
  <si>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</si>
  <si>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</si>
  <si>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</si>
  <si>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</si>
  <si>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</si>
  <si>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</si>
  <si>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</si>
  <si>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</si>
  <si>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</si>
  <si>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</si>
  <si>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</si>
  <si>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</si>
  <si>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</si>
  <si>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</si>
  <si>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</si>
  <si>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</si>
  <si>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</si>
  <si>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</si>
  <si>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</si>
  <si>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</si>
  <si>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</si>
  <si>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</si>
  <si>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</si>
  <si>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</si>
  <si>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</si>
  <si>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</si>
  <si>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</si>
  <si>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</si>
  <si>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</si>
  <si>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</si>
  <si>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</si>
  <si>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</si>
  <si>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</si>
  <si>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</si>
  <si>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</si>
  <si>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</si>
  <si>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</si>
  <si>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</si>
  <si>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</si>
  <si>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</si>
  <si>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</si>
  <si>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</si>
  <si>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</si>
  <si>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アウトバストリートメント</t>
  </si>
  <si>
    <t>ミルボン　ディーセスエルジュータエマルジョン＋</t>
  </si>
  <si>
    <t>ケラスターゼ　HUユイルスブリムティーインペリアル</t>
  </si>
  <si>
    <t>大島椿　大島椿（ツバキ油）</t>
  </si>
  <si>
    <t>髪の毛がまとまる</t>
  </si>
  <si>
    <t>香りが良い</t>
  </si>
  <si>
    <t>べたつかない</t>
  </si>
  <si>
    <t>髪の痛みを改善できる</t>
  </si>
  <si>
    <t>コスパ</t>
  </si>
  <si>
    <t>ミルクタイプなので、オイルが苦手な方でも使いやすい</t>
  </si>
  <si>
    <t>太い髪用・細い髪用がある</t>
  </si>
  <si>
    <t>ボトルが可愛い</t>
  </si>
  <si>
    <t>ミルクタイプなので、オイルに比べると保湿力は弱め</t>
  </si>
  <si>
    <t>ドラッグストアには置いていない</t>
  </si>
  <si>
    <t>太い髪用・細い髪用のボトルのカラー・名前が似ているので使いにくい</t>
  </si>
  <si>
    <t>口コミの評価が良すぎるので、期待しすぎると物足りないかもしれない</t>
  </si>
  <si>
    <t>オイルのべたつきが苦手な方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</si>
  <si>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</si>
  <si>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ミルボンの商品を扱っている美容院に通っているのですが、美容師さんにこちらを勧められ購入しました。
ミルクタイプなので、お風呂上がりのタオルドライ時だけでなく、お出かけ前にも乾燥を潤すために使用しています。
</t>
  </si>
  <si>
    <t xml:space="preserve">今まで別のオイルを使用していたのですが、口コミの評価が高かったので、購入しました。
しっとりし、つるんと髪の毛をまとめてくれます。
良く髪をよく巻いたりストレートにするので、コテやアイロンを使用する時もつけています。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</si>
  <si>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</si>
  <si>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</si>
  <si>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https://www.cosme.net/product/product_id/10080625/reviews</t>
  </si>
  <si>
    <t>香水のような良い香りがする</t>
  </si>
  <si>
    <t>オイルなのに、べたつかない</t>
  </si>
  <si>
    <t>プッシュ式で使いやすい</t>
  </si>
  <si>
    <t>香水の匂いが苦手な人には合わない</t>
  </si>
  <si>
    <t>少し大きいので、持ち運びに不便</t>
  </si>
  <si>
    <t>ケラスターゼの商品なので、美容院で取り扱うには必用条件があり、通ってる美容院では仕入れてもらうことのできない場合がある</t>
  </si>
  <si>
    <t>良い香りのアウトバストリートメントを使用したい方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</si>
  <si>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</si>
  <si>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ケラスターゼのトリートメントでは、オレオソワンリラックスが有名なので迷いましたが、こちらの香りが良いと口コミを見て購入しました。
香水を付けているかのような香りで、いい女になった気分です。
髪の毛もさらさらになり満足です。
</t>
  </si>
  <si>
    <t>美容院で進められ、見た目もピンクで可愛かったのでこちらを購入しました。
オイルはべたつくイメージがあったのですが、出しすぎてもまったくべたつかず驚きました。
香りも良いので、またリピートしたいと思っています。</t>
  </si>
  <si>
    <t>https://www.cosme.net/product/product_id/10048107/reviews</t>
  </si>
  <si>
    <t>乾燥を防いでくれる</t>
  </si>
  <si>
    <t>傷んだ髪の毛を潤してくれる</t>
  </si>
  <si>
    <t>ドラッグストアでも手に入る</t>
  </si>
  <si>
    <t>瓶なので重い</t>
  </si>
  <si>
    <t>量を少なめにしないと、かなりべたつく</t>
  </si>
  <si>
    <t>プッシュ式ではないので、使いにくい</t>
  </si>
  <si>
    <t>髪の痛みが激しい方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</si>
  <si>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</si>
  <si>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髪の毛の痛みが激しくパサつきを抑えたかったので、有名なこちらを購入しました。
かなりしっとりし、髪の毛がまとまります。
付けすぎて多少べたつくこともありましたが、慣れればしっかり髪の毛の痛みを修復してくれるオイルです。
</t>
  </si>
  <si>
    <t xml:space="preserve">大島椿のオイルは少量でしっかりケアしてくれるので、コスパが良いです。
髪の毛がつやつやになり、パサつきが軽減したように感じます。
ドラッグストアにも売っているので、なくなったらいつでも購入できるところも嬉しいです。
</t>
  </si>
  <si>
    <t>40代女性</t>
  </si>
  <si>
    <t>https://www.cosme.net/product/product_id/267480/reviews</t>
  </si>
  <si>
    <t>今回取り上げたアイテムは、「何を求めてる人」にピッタリだと思いますか？
具体的に3つ記入してください。</t>
  </si>
  <si>
    <t>髪の毛の痛みを修復してくれるアウトバストリートメントを求めている方</t>
  </si>
  <si>
    <t>良い香りのアウトバストリートメントをも求めている方</t>
  </si>
  <si>
    <t>コスパの良いアウトバストリートメントを求めている方</t>
  </si>
  <si>
    <t>&lt;a target="_blank" href="//af.moshimo.com/af/c/click?a_id=988731&amp;amp;p_id=170&amp;amp;pc_id=185&amp;amp;pl_id=4062&amp;amp;url=https%3A%2F%2Fwww.amazon.co.jp%2F%25E3%2583%259F%25E3%2583%25AB%25E3%2583%259C%25E3%2583%25B3-%25E3%2583%2587%25E3%2582%25A3%25E3%2583%25BC%25E3%2582%25BB%25E3%2582%25B9-%25E3%2582%25A8%25E3%2583%25AB%25E3%2582%25B8%25E3%2583%25A5%25E3%2583%25BC%25E3%2583%2580-%25E3%2582%25B5%25E3%2583%25B3%25E3%2583%2588%25E3%2583%25AA%25E3%2583%25BC%25E3%2583%2588%25E3%2583%25A1%25E3%2583%25B3%25E3%2583%2588-%25E3%2582%25A8%25E3%2583%259E%25E3%2583%25AB%25E3%2582%25B8%25E3%2583%25A7%25E3%2583%25B3%2Fdp%2FB01DXC965G" rel="nofollow"&gt;&lt;img src="https://images-fe.ssl-images-amazon.com/images/I/212XBDjgJ7L.jpg" alt="" style="border: none;" /&gt;&lt;br /&gt;ミルボン ディーセス エルジューダ サントリートメント エマルジョン 120g&lt;/a&gt;&lt;img src="//i.moshimo.com/af/i/impression?a_id=988731&amp;amp;p_id=170&amp;amp;pc_id=185&amp;amp;pl_id=4062" alt="" width="1" height="1" style="border: 0px;" /&gt;</t>
  </si>
  <si>
    <t>&lt;a target="_blank" href="//af.moshimo.com/af/c/click?a_id=988729&amp;amp;p_id=54&amp;amp;pc_id=54&amp;amp;pl_id=616&amp;amp;url=https%3A%2F%2Fitem.rakuten.co.jp%2Fnakano-d%2Felujuda-emp120%2F&amp;amp;m=http%3A%2F%2Fm.rakuten.co.jp%2Fnakano-d%2Fi%2F10021282%2F&amp;amp;r_v=g00ptlf3.9tq3e5c6.g00ptlf3.9tq3f348" rel="nofollow"&gt;&lt;img src="//thumbnail.image.rakuten.co.jp/@0_mall/nakano-d/cabinet/campaign/pic/elujuda-emp120_7cp.jpg?_ex=128x128" alt="" style="border: none;" /&gt;&lt;br /&gt;◆送料無料★土日祝も発送◆ ミルボン ディーセス エルジューダ エマルジョン＋ 120g 　☆{ 洗い流さないトリートメント MILBON お得品 deesses erujuda サロン専売品 ヘアケア ☆☆&lt;/a&gt;&lt;img src="//i.moshimo.com/af/i/impression?a_id=988729&amp;amp;p_id=54&amp;amp;pc_id=54&amp;amp;pl_id=616" alt="" width="1" height="1" style="border: 0px;" /&gt;</t>
  </si>
  <si>
    <t>&lt;a target="_blank" href="//af.moshimo.com/af/c/click?a_id=988731&amp;amp;p_id=170&amp;amp;pc_id=185&amp;amp;pl_id=4062&amp;amp;url=https%3A%2F%2Fwww.amazon.co.jp%2F%25E3%2582%25B1%25E3%2583%25A9%25E3%2582%25B9%25E3%2582%25BF%25E3%2583%25BC%25E3%2582%25BC-HU-%25E3%2583%25A6%25E3%2582%25A4%25E3%2583%25AB%25E3%2582%25B9%25E3%2583%2596%25E3%2583%25AA%25E3%2583%25A0-%25E3%2583%2586%25E3%2582%25A3%25E3%2583%25BC%25E3%2582%25A4%25E3%2583%25B3%25E3%2583%259A%25E3%2583%25AA%25E3%2582%25A2%25E3%2583%25AB-100ml%2Fdp%2FB01703WPX4" rel="nofollow"&gt;&lt;img src="https://images-fe.ssl-images-amazon.com/images/I/51K4Hbrr7KL.jpg" alt="" style="border: none;" /&gt;&lt;br /&gt;ケラスターゼ HU ユイルスブリム ティーインペリアル 100ml&lt;/a&gt;&lt;img src="//i.moshimo.com/af/i/impression?a_id=988731&amp;amp;p_id=170&amp;amp;pc_id=185&amp;amp;pl_id=4062" alt="" width="1" height="1" style="border: 0px;" /&gt;</t>
  </si>
  <si>
    <t>&lt;a target="_blank" href="//af.moshimo.com/af/c/click?a_id=988729&amp;amp;p_id=54&amp;amp;pc_id=54&amp;amp;pl_id=616&amp;amp;url=https%3A%2F%2Fitem.rakuten.co.jp%2Fbeautypark2017%2F3474636218684%2F&amp;amp;m=http%3A%2F%2Fm.rakuten.co.jp%2Fbeautypark2017%2Fi%2F10000412%2F&amp;amp;r_v=g00sqjg3.9tq3edf2.g00sqjg3.9tq3f8ac" rel="nofollow"&gt;&lt;img src="//thumbnail.image.rakuten.co.jp/@0_mall/beautypark2017/cabinet/haircare/kerastase/3474636218684_p10.jpg?_ex=128x128" alt="" style="border: none;" /&gt;&lt;br /&gt;【ポイント10倍】【あす楽】【メーカー認証正規販売店】KERASTASE ケラスターゼ HU ユイルスブリム ティーインペリアル 100ml&lt;/a&gt;&lt;img src="//i.moshimo.com/af/i/impression?a_id=988729&amp;amp;p_id=54&amp;amp;pc_id=54&amp;amp;pl_id=616" alt="" width="1" height="1" style="border: 0px;" /&gt;</t>
  </si>
  <si>
    <t>&lt;a target="_blank" href="//af.moshimo.com/af/c/click?a_id=988731&amp;amp;p_id=170&amp;amp;pc_id=185&amp;amp;pl_id=4062&amp;amp;url=https%3A%2F%2Fwww.amazon.co.jp%2F%25E5%25A4%25A7%25E5%25B3%25B6%25E6%25A4%25BF-%25E3%2583%2584%25E3%2583%2590%25E3%2582%25AD%25E6%25B2%25B9-60ml%2Fdp%2FB000FQRWNW" rel="nofollow"&gt;&lt;img src="https://images-fe.ssl-images-amazon.com/images/I/51QF0BY574L.jpg" alt="" style="border: none;" /&gt;&lt;br /&gt;大島椿 ツバキ油 60ml&lt;/a&gt;&lt;img src="//i.moshimo.com/af/i/impression?a_id=988731&amp;amp;p_id=170&amp;amp;pc_id=185&amp;amp;pl_id=4062" alt="" width="1" height="1" style="border: 0px;" /&gt;</t>
  </si>
  <si>
    <t>&lt;a target="_blank" href="//af.moshimo.com/af/c/click?a_id=988729&amp;amp;p_id=54&amp;amp;pc_id=54&amp;amp;pl_id=616&amp;amp;url=https%3A%2F%2Fitem.rakuten.co.jp%2Fcosmecomonline%2F1000031168%2F&amp;amp;m=http%3A%2F%2Fm.rakuten.co.jp%2Fcosmecomonline%2Fi%2F10026747%2F&amp;amp;r_v=g00qaww3.9tq3e361.g00qaww3.9tq3fc30" rel="nofollow"&gt;&lt;img src="//thumbnail.image.rakuten.co.jp/@0_mall/cosmecomonline/cabinet/item-img24/item_1000031168_1.jpg?_ex=128x128" alt="" style="border: none;" /&gt;&lt;br /&gt;大島椿 大島椿(ツバキ油)　60ml【RCP】楽天 通販 化粧品 @コスメ アットコスメ クチコミ ロコミ ランキング&lt;/a&gt;&lt;img src="//i.moshimo.com/af/i/impression?a_id=988729&amp;amp;p_id=54&amp;amp;pc_id=54&amp;amp;pl_id=616" alt="" width="1" height="1" style="border: 0px;" /&gt;</t>
  </si>
  <si>
    <t>おすすめアウトバストリートメント3選。痛んだ髪をケア！</t>
    <rPh sb="17" eb="18">
      <t>セン</t>
    </rPh>
    <rPh sb="19" eb="20">
      <t>イタ</t>
    </rPh>
    <rPh sb="22" eb="23">
      <t>カミ</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</si>
</sst>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13" fillId="3" borderId="3" xfId="1" applyFill="1" applyBorder="1" applyAlignment="1">
      <alignment wrapText="1"/>
    </xf>
    <xf numFmtId="0" fontId="3" fillId="5" borderId="12" xfId="0" applyFont="1" applyFill="1" applyBorder="1">
      <alignment vertical="center"/>
    </xf>
    <xf numFmtId="0" fontId="3" fillId="5" borderId="12"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267480/reviews" TargetMode="External"/><Relationship Id="rId2" Type="http://schemas.openxmlformats.org/officeDocument/2006/relationships/hyperlink" Target="https://www.cosme.net/product/product_id/10048107/reviews" TargetMode="External"/><Relationship Id="rId1" Type="http://schemas.openxmlformats.org/officeDocument/2006/relationships/hyperlink" Target="https://www.cosme.net/product/product_id/10080625/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37" workbookViewId="0">
      <selection activeCell="C2" sqref="C2"/>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8</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137</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138</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139</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134</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137</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144</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145</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146</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147</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3" t="s">
        <v>148</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149</v>
      </c>
      <c r="D22" s="3"/>
      <c r="E22" s="3"/>
      <c r="F22" s="3"/>
      <c r="G22" s="3"/>
      <c r="H22" s="3"/>
      <c r="I22" s="3"/>
      <c r="J22" s="3"/>
      <c r="K22" s="3"/>
      <c r="L22" s="3"/>
      <c r="M22" s="3"/>
      <c r="N22" s="3"/>
      <c r="O22" s="3"/>
      <c r="P22" s="3"/>
      <c r="Q22" s="3"/>
      <c r="R22" s="3"/>
      <c r="S22" s="3"/>
      <c r="T22" s="3"/>
      <c r="U22" s="3"/>
      <c r="V22" s="3"/>
      <c r="W22" s="3"/>
      <c r="X22" s="3"/>
      <c r="Y22" s="3"/>
      <c r="Z22" s="3"/>
    </row>
    <row r="23" spans="1:26" ht="36.75" thickBot="1">
      <c r="A23" s="4" t="s">
        <v>27</v>
      </c>
      <c r="B23" s="40" t="s">
        <v>150</v>
      </c>
      <c r="C23" s="9" t="s">
        <v>151</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1"/>
      <c r="C24" s="9"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153</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68"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135</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69"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2" t="s">
        <v>163</v>
      </c>
      <c r="C36" s="70" t="s">
        <v>164</v>
      </c>
      <c r="D36" s="3"/>
      <c r="E36" s="3"/>
      <c r="F36" s="3"/>
      <c r="G36" s="3"/>
      <c r="H36" s="3"/>
      <c r="I36" s="3"/>
      <c r="J36" s="3"/>
      <c r="K36" s="3"/>
      <c r="L36" s="3"/>
      <c r="M36" s="3"/>
      <c r="N36" s="3"/>
      <c r="O36" s="3"/>
      <c r="P36" s="3"/>
      <c r="Q36" s="3"/>
      <c r="R36" s="3"/>
      <c r="S36" s="3"/>
      <c r="T36" s="3"/>
      <c r="U36" s="3"/>
      <c r="V36" s="3"/>
      <c r="W36" s="3"/>
      <c r="X36" s="3"/>
      <c r="Y36" s="3"/>
      <c r="Z36" s="3"/>
    </row>
    <row r="37" spans="1:26" ht="39" thickBot="1">
      <c r="A37" s="4" t="s">
        <v>47</v>
      </c>
      <c r="B37" s="44"/>
      <c r="C37" s="27"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7" t="s">
        <v>153</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111</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7" t="s">
        <v>166</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136</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167</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168</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169</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170</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171</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172</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173</v>
      </c>
      <c r="D48" s="3"/>
      <c r="E48" s="3"/>
      <c r="F48" s="3"/>
      <c r="G48" s="3"/>
      <c r="H48" s="3"/>
      <c r="I48" s="3"/>
      <c r="J48" s="3"/>
      <c r="K48" s="3"/>
      <c r="L48" s="3"/>
      <c r="M48" s="3"/>
      <c r="N48" s="3"/>
      <c r="O48" s="3"/>
      <c r="P48" s="3"/>
      <c r="Q48" s="3"/>
      <c r="R48" s="3"/>
      <c r="S48" s="3"/>
      <c r="T48" s="3"/>
      <c r="U48" s="3"/>
      <c r="V48" s="3"/>
      <c r="W48" s="3"/>
      <c r="X48" s="3"/>
      <c r="Y48" s="3"/>
      <c r="Z48" s="3"/>
    </row>
    <row r="49" spans="1:26" ht="64.5" thickBot="1">
      <c r="A49" s="4" t="s">
        <v>64</v>
      </c>
      <c r="B49" s="48" t="s">
        <v>174</v>
      </c>
      <c r="C49" s="29" t="s">
        <v>175</v>
      </c>
      <c r="D49" s="3"/>
      <c r="E49" s="3"/>
      <c r="F49" s="3"/>
      <c r="G49" s="3"/>
      <c r="H49" s="3"/>
      <c r="I49" s="3"/>
      <c r="J49" s="3"/>
      <c r="K49" s="3"/>
      <c r="L49" s="3"/>
      <c r="M49" s="3"/>
      <c r="N49" s="3"/>
      <c r="O49" s="3"/>
      <c r="P49" s="3"/>
      <c r="Q49" s="3"/>
      <c r="R49" s="3"/>
      <c r="S49" s="3"/>
      <c r="T49" s="3"/>
      <c r="U49" s="3"/>
      <c r="V49" s="3"/>
      <c r="W49" s="3"/>
      <c r="X49" s="3"/>
      <c r="Y49" s="3"/>
      <c r="Z49" s="3"/>
    </row>
    <row r="50" spans="1:26" ht="51.75" thickBot="1">
      <c r="A50" s="4" t="s">
        <v>79</v>
      </c>
      <c r="B50" s="50"/>
      <c r="C50" s="29" t="s">
        <v>176</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9" t="s">
        <v>153</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9" t="s">
        <v>177</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154</v>
      </c>
      <c r="C53" s="38"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8" sqref="C18"/>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45.75" thickBot="1">
      <c r="A3" s="14" t="s">
        <v>67</v>
      </c>
      <c r="B3" s="15" t="s">
        <v>134</v>
      </c>
      <c r="C3" s="15" t="s">
        <v>135</v>
      </c>
      <c r="D3" s="16" t="s">
        <v>136</v>
      </c>
      <c r="E3" s="3"/>
      <c r="F3" s="3"/>
      <c r="G3" s="3"/>
      <c r="H3" s="3"/>
      <c r="I3" s="3"/>
      <c r="J3" s="3"/>
      <c r="K3" s="3"/>
      <c r="L3" s="3"/>
      <c r="M3" s="3"/>
      <c r="N3" s="3"/>
      <c r="O3" s="3"/>
      <c r="P3" s="3"/>
      <c r="Q3" s="3"/>
      <c r="R3" s="3"/>
      <c r="S3" s="3"/>
      <c r="T3" s="3"/>
      <c r="U3" s="3"/>
      <c r="V3" s="3"/>
      <c r="W3" s="3"/>
      <c r="X3" s="3"/>
      <c r="Y3" s="3"/>
      <c r="Z3" s="3"/>
    </row>
    <row r="4" spans="1:26" ht="15.75" thickBot="1">
      <c r="A4" s="33" t="s">
        <v>137</v>
      </c>
      <c r="B4" s="17">
        <v>4</v>
      </c>
      <c r="C4" s="17">
        <v>4</v>
      </c>
      <c r="D4" s="17">
        <v>4</v>
      </c>
      <c r="E4" s="3"/>
      <c r="F4" s="3"/>
      <c r="G4" s="3"/>
      <c r="H4" s="3"/>
      <c r="I4" s="3"/>
      <c r="J4" s="3"/>
      <c r="K4" s="3"/>
      <c r="L4" s="3"/>
      <c r="M4" s="3"/>
      <c r="N4" s="3"/>
      <c r="O4" s="3"/>
      <c r="P4" s="3"/>
      <c r="Q4" s="3"/>
      <c r="R4" s="3"/>
      <c r="S4" s="3"/>
      <c r="T4" s="3"/>
      <c r="U4" s="3"/>
      <c r="V4" s="3"/>
      <c r="W4" s="3"/>
      <c r="X4" s="3"/>
      <c r="Y4" s="3"/>
      <c r="Z4" s="3"/>
    </row>
    <row r="5" spans="1:26" ht="15.75" thickBot="1">
      <c r="A5" s="33" t="s">
        <v>138</v>
      </c>
      <c r="B5" s="17">
        <v>4</v>
      </c>
      <c r="C5" s="17">
        <v>5</v>
      </c>
      <c r="D5" s="17">
        <v>2</v>
      </c>
      <c r="E5" s="3"/>
      <c r="F5" s="3"/>
      <c r="G5" s="3"/>
      <c r="H5" s="3"/>
      <c r="I5" s="3"/>
      <c r="J5" s="3"/>
      <c r="K5" s="3"/>
      <c r="L5" s="3"/>
      <c r="M5" s="3"/>
      <c r="N5" s="3"/>
      <c r="O5" s="3"/>
      <c r="P5" s="3"/>
      <c r="Q5" s="3"/>
      <c r="R5" s="3"/>
      <c r="S5" s="3"/>
      <c r="T5" s="3"/>
      <c r="U5" s="3"/>
      <c r="V5" s="3"/>
      <c r="W5" s="3"/>
      <c r="X5" s="3"/>
      <c r="Y5" s="3"/>
      <c r="Z5" s="3"/>
    </row>
    <row r="6" spans="1:26" ht="15.75" thickBot="1">
      <c r="A6" s="33" t="s">
        <v>139</v>
      </c>
      <c r="B6" s="17">
        <v>5</v>
      </c>
      <c r="C6" s="17">
        <v>4</v>
      </c>
      <c r="D6" s="17">
        <v>1</v>
      </c>
      <c r="E6" s="3"/>
      <c r="F6" s="3"/>
      <c r="G6" s="3"/>
      <c r="H6" s="3"/>
      <c r="I6" s="3"/>
      <c r="J6" s="3"/>
      <c r="K6" s="3"/>
      <c r="L6" s="3"/>
      <c r="M6" s="3"/>
      <c r="N6" s="3"/>
      <c r="O6" s="3"/>
      <c r="P6" s="3"/>
      <c r="Q6" s="3"/>
      <c r="R6" s="3"/>
      <c r="S6" s="3"/>
      <c r="T6" s="3"/>
      <c r="U6" s="3"/>
      <c r="V6" s="3"/>
      <c r="W6" s="3"/>
      <c r="X6" s="3"/>
      <c r="Y6" s="3"/>
      <c r="Z6" s="3"/>
    </row>
    <row r="7" spans="1:26" ht="15.75" thickBot="1">
      <c r="A7" s="33" t="s">
        <v>140</v>
      </c>
      <c r="B7" s="17">
        <v>4</v>
      </c>
      <c r="C7" s="17">
        <v>4</v>
      </c>
      <c r="D7" s="17">
        <v>3</v>
      </c>
      <c r="E7" s="3"/>
      <c r="F7" s="3"/>
      <c r="G7" s="3"/>
      <c r="H7" s="3"/>
      <c r="I7" s="3"/>
      <c r="J7" s="3"/>
      <c r="K7" s="3"/>
      <c r="L7" s="3"/>
      <c r="M7" s="3"/>
      <c r="N7" s="3"/>
      <c r="O7" s="3"/>
      <c r="P7" s="3"/>
      <c r="Q7" s="3"/>
      <c r="R7" s="3"/>
      <c r="S7" s="3"/>
      <c r="T7" s="3"/>
      <c r="U7" s="3"/>
      <c r="V7" s="3"/>
      <c r="W7" s="3"/>
      <c r="X7" s="3"/>
      <c r="Y7" s="3"/>
      <c r="Z7" s="3"/>
    </row>
    <row r="8" spans="1:26" ht="15.75" thickBot="1">
      <c r="A8" s="33" t="s">
        <v>141</v>
      </c>
      <c r="B8" s="17">
        <v>4</v>
      </c>
      <c r="C8" s="17">
        <v>3</v>
      </c>
      <c r="D8" s="17">
        <v>3</v>
      </c>
      <c r="E8" s="3"/>
      <c r="F8" s="3"/>
      <c r="G8" s="3"/>
      <c r="H8" s="3"/>
      <c r="I8" s="3"/>
      <c r="J8" s="3"/>
      <c r="K8" s="3"/>
      <c r="L8" s="3"/>
      <c r="M8" s="3"/>
      <c r="N8" s="3"/>
      <c r="O8" s="3"/>
      <c r="P8" s="3"/>
      <c r="Q8" s="3"/>
      <c r="R8" s="3"/>
      <c r="S8" s="3"/>
      <c r="T8" s="3"/>
      <c r="U8" s="3"/>
      <c r="V8" s="3"/>
      <c r="W8" s="3"/>
      <c r="X8" s="3"/>
      <c r="Y8" s="3"/>
      <c r="Z8" s="3"/>
    </row>
    <row r="9" spans="1:26" ht="15" thickBot="1">
      <c r="A9" s="18" t="s">
        <v>68</v>
      </c>
      <c r="B9" s="19">
        <v>21</v>
      </c>
      <c r="C9" s="19">
        <v>20</v>
      </c>
      <c r="D9" s="19">
        <v>13</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F8" sqref="F8"/>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189</v>
      </c>
      <c r="D2" s="31"/>
      <c r="F2">
        <f>LEN(C1)</f>
        <v>0</v>
      </c>
      <c r="G2" t="s">
        <v>129</v>
      </c>
    </row>
    <row r="3" spans="2:8">
      <c r="B3" s="34"/>
      <c r="C3" s="31"/>
      <c r="D3" s="31"/>
      <c r="H3" t="s">
        <v>130</v>
      </c>
    </row>
    <row r="4" spans="2:8">
      <c r="B4" s="23" t="s">
        <v>119</v>
      </c>
      <c r="C4" s="23" t="s">
        <v>120</v>
      </c>
      <c r="D4" s="23" t="s">
        <v>121</v>
      </c>
      <c r="H4" t="s">
        <v>131</v>
      </c>
    </row>
    <row r="5" spans="2:8">
      <c r="B5" s="23" t="s">
        <v>103</v>
      </c>
      <c r="C5" s="22" t="str">
        <f>IF(C22="","",SUBSTITUTE(MID(C22,FIND("src=",C22)+5,FIND("alt",C22)-FIND("src=",C22)-7),"amp;",""))</f>
        <v>https://images-fe.ssl-images-amazon.com/images/I/212XBDjgJ7L.jpg</v>
      </c>
      <c r="D5" s="22" t="str">
        <f>アンケート!C13</f>
        <v>ミルボン　ディーセスエルジュータエマルジョン＋</v>
      </c>
      <c r="E5" t="s">
        <v>122</v>
      </c>
    </row>
    <row r="6" spans="2:8">
      <c r="B6" s="23" t="s">
        <v>102</v>
      </c>
      <c r="C6" s="22" t="str">
        <f>IF(C24="","",SUBSTITUTE(MID(C24,FIND("src=",C24)+5,FIND("alt",C24)-FIND("src=",C24)-7),"amp;",""))</f>
        <v>https://images-fe.ssl-images-amazon.com/images/I/51K4Hbrr7KL.jpg</v>
      </c>
      <c r="D6" s="22" t="str">
        <f>アンケート!C28</f>
        <v>ケラスターゼ　HUユイルスブリムティーインペリアル</v>
      </c>
      <c r="E6" t="s">
        <v>122</v>
      </c>
    </row>
    <row r="7" spans="2:8">
      <c r="B7" s="23" t="s">
        <v>101</v>
      </c>
      <c r="C7" s="22" t="str">
        <f>IF(C26="","",SUBSTITUTE(MID(C26,FIND("src=",C26)+5,FIND("alt",C26)-FIND("src=",C26)-7),"amp;",""))</f>
        <v>https://images-fe.ssl-images-amazon.com/images/I/51QF0BY574L.jpg</v>
      </c>
      <c r="D7" s="22" t="str">
        <f>アンケート!C41</f>
        <v>大島椿　大島椿（ツバキ油）</v>
      </c>
      <c r="E7" t="s">
        <v>122</v>
      </c>
    </row>
    <row r="10" spans="2:8">
      <c r="B10" s="58" t="s">
        <v>100</v>
      </c>
      <c r="C10" s="59"/>
      <c r="D10" s="59"/>
      <c r="E10" s="59"/>
      <c r="F10" s="60"/>
    </row>
    <row r="11" spans="2:8">
      <c r="B11" s="32" t="s">
        <v>106</v>
      </c>
      <c r="C11" s="32" t="s">
        <v>107</v>
      </c>
      <c r="D11" s="32" t="s">
        <v>108</v>
      </c>
      <c r="E11" s="32" t="s">
        <v>109</v>
      </c>
      <c r="F11" s="32" t="s">
        <v>110</v>
      </c>
    </row>
    <row r="12" spans="2:8">
      <c r="B12" s="65" t="s">
        <v>103</v>
      </c>
      <c r="C12" s="67" t="str">
        <f>アンケート!C27</f>
        <v>https://www.cosme.net/product/product_id/10080625/reviews</v>
      </c>
      <c r="D12" s="61">
        <f>SQL!A11+1</f>
        <v>196</v>
      </c>
      <c r="E12" s="22" t="str">
        <f>アンケート!C25</f>
        <v>30代女性</v>
      </c>
      <c r="F12" s="22" t="str">
        <f>IF(ISERROR(FIND("女",E12)),"m","w")&amp;"_"&amp;LEFT(E12,2)&amp;"_"&amp;"2"</f>
        <v>w_30_2</v>
      </c>
    </row>
    <row r="13" spans="2:8">
      <c r="B13" s="66"/>
      <c r="C13" s="67"/>
      <c r="D13" s="62"/>
      <c r="E13" s="22" t="str">
        <f>アンケート!C26</f>
        <v>30代女性</v>
      </c>
      <c r="F13" s="22" t="str">
        <f>IF(ISERROR(FIND("女",E13)),"m","w")&amp;"_"&amp;LEFT(E13,2)&amp;"_"&amp;"1"</f>
        <v>w_30_1</v>
      </c>
    </row>
    <row r="14" spans="2:8">
      <c r="B14" s="65" t="s">
        <v>102</v>
      </c>
      <c r="C14" s="67" t="str">
        <f>アンケート!C40</f>
        <v>https://www.cosme.net/product/product_id/10048107/reviews</v>
      </c>
      <c r="D14" s="61">
        <f>IF(D12="","",D12+1)</f>
        <v>197</v>
      </c>
      <c r="E14" s="22" t="str">
        <f>アンケート!C38</f>
        <v>30代女性</v>
      </c>
      <c r="F14" s="22" t="str">
        <f>IF(ISERROR(FIND("女",E14)),"m","w")&amp;"_"&amp;LEFT(E14,2)&amp;"_"&amp;"2"</f>
        <v>w_30_2</v>
      </c>
    </row>
    <row r="15" spans="2:8">
      <c r="B15" s="66"/>
      <c r="C15" s="67"/>
      <c r="D15" s="62"/>
      <c r="E15" s="22" t="str">
        <f>アンケート!C39</f>
        <v>20代女性</v>
      </c>
      <c r="F15" s="22" t="str">
        <f>IF(ISERROR(FIND("女",E15)),"m","w")&amp;"_"&amp;LEFT(E15,2)&amp;"_"&amp;"1"</f>
        <v>w_20_1</v>
      </c>
    </row>
    <row r="16" spans="2:8">
      <c r="B16" s="65" t="s">
        <v>101</v>
      </c>
      <c r="C16" s="67" t="str">
        <f>アンケート!C53</f>
        <v>https://www.cosme.net/product/product_id/267480/reviews</v>
      </c>
      <c r="D16" s="61">
        <f>IF(D14="","",D14+1)</f>
        <v>198</v>
      </c>
      <c r="E16" s="22" t="str">
        <f>アンケート!C51</f>
        <v>30代女性</v>
      </c>
      <c r="F16" s="22" t="str">
        <f>IF(ISERROR(FIND("女",E16)),"m","w")&amp;"_"&amp;LEFT(E16,2)&amp;"_"&amp;"2"</f>
        <v>w_30_2</v>
      </c>
    </row>
    <row r="17" spans="2:6">
      <c r="B17" s="66"/>
      <c r="C17" s="67"/>
      <c r="D17" s="62"/>
      <c r="E17" s="22" t="str">
        <f>アンケート!C52</f>
        <v>40代女性</v>
      </c>
      <c r="F17" s="22" t="str">
        <f t="shared" ref="F17" si="0">IF(ISERROR(FIND("女",E17)),"m","w")&amp;"_"&amp;LEFT(E17,2)&amp;"_"&amp;"1"</f>
        <v>w_40_1</v>
      </c>
    </row>
    <row r="18" spans="2:6">
      <c r="D18" s="31"/>
    </row>
    <row r="19" spans="2:6">
      <c r="D19" s="31"/>
    </row>
    <row r="20" spans="2:6">
      <c r="B20" s="63" t="s">
        <v>112</v>
      </c>
      <c r="C20" s="63"/>
      <c r="D20" s="63"/>
      <c r="E20" s="63"/>
      <c r="F20" s="63"/>
    </row>
    <row r="21" spans="2:6">
      <c r="B21" s="35" t="s">
        <v>119</v>
      </c>
      <c r="C21" s="35" t="s">
        <v>116</v>
      </c>
      <c r="D21" s="63" t="s">
        <v>117</v>
      </c>
      <c r="E21" s="63"/>
      <c r="F21" s="35" t="s">
        <v>118</v>
      </c>
    </row>
    <row r="22" spans="2:6">
      <c r="B22" s="63" t="s">
        <v>113</v>
      </c>
      <c r="C22" s="22" t="s">
        <v>183</v>
      </c>
      <c r="D22" s="64" t="str">
        <f t="shared" ref="D22:D27" si="1">IF(C22="","",SUBSTITUTE(MID(C22,FIND("href=",C22)+6,FIND("rel=",C22)-FIND("href=",C22)-8),"amp;",""))</f>
        <v>//af.moshimo.com/af/c/click?a_id=988731&amp;p_id=170&amp;pc_id=185&amp;pl_id=4062&amp;url=https%3A%2F%2Fwww.amazon.co.jp%2F%25E3%2583%259F%25E3%2583%25AB%25E3%2583%259C%25E3%2583%25B3-%25E3%2583%2587%25E3%2582%25A3%25E3%2583%25BC%25E3%2582%25BB%25E3%2582%25B9-%25E3%2582%25A8%25E3%2583%25AB%25E3%2582%25B8%25E3%2583%25A5%25E3%2583%25BC%25E3%2583%2580-%25E3%2582%25B5%25E3%2583%25B3%25E3%2583%2588%25E3%2583%25AA%25E3%2583%25BC%25E3%2583%2588%25E3%2583%25A1%25E3%2583%25B3%25E3%2583%2588-%25E3%2582%25A8%25E3%2583%259E%25E3%2583%25AB%25E3%2582%25B8%25E3%2583%25A7%25E3%2583%25B3%2Fdp%2FB01DXC965G</v>
      </c>
      <c r="E22" s="64"/>
      <c r="F22" s="22" t="str">
        <f>IF(ISERROR(FIND("amazon",C22)),IF(ISERROR(FIND("rakuten",C22)),"","楽天"),"Amazon")</f>
        <v>Amazon</v>
      </c>
    </row>
    <row r="23" spans="2:6">
      <c r="B23" s="63"/>
      <c r="C23" s="22" t="s">
        <v>184</v>
      </c>
      <c r="D23" s="64" t="str">
        <f t="shared" si="1"/>
        <v>//af.moshimo.com/af/c/click?a_id=988729&amp;p_id=54&amp;pc_id=54&amp;pl_id=616&amp;url=https%3A%2F%2Fitem.rakuten.co.jp%2Fnakano-d%2Felujuda-emp120%2F&amp;m=http%3A%2F%2Fm.rakuten.co.jp%2Fnakano-d%2Fi%2F10021282%2F&amp;r_v=g00ptlf3.9tq3e5c6.g00ptlf3.9tq3f348</v>
      </c>
      <c r="E23" s="64"/>
      <c r="F23" s="22" t="str">
        <f t="shared" ref="F23:F27" si="2">IF(ISERROR(FIND("amazon",C23)),IF(ISERROR(FIND("rakuten",C23)),"","楽天"),"Amazon")</f>
        <v>楽天</v>
      </c>
    </row>
    <row r="24" spans="2:6">
      <c r="B24" s="63" t="s">
        <v>114</v>
      </c>
      <c r="C24" s="22" t="s">
        <v>185</v>
      </c>
      <c r="D24" s="64" t="str">
        <f t="shared" si="1"/>
        <v>//af.moshimo.com/af/c/click?a_id=988731&amp;p_id=170&amp;pc_id=185&amp;pl_id=4062&amp;url=https%3A%2F%2Fwww.amazon.co.jp%2F%25E3%2582%25B1%25E3%2583%25A9%25E3%2582%25B9%25E3%2582%25BF%25E3%2583%25BC%25E3%2582%25BC-HU-%25E3%2583%25A6%25E3%2582%25A4%25E3%2583%25AB%25E3%2582%25B9%25E3%2583%2596%25E3%2583%25AA%25E3%2583%25A0-%25E3%2583%2586%25E3%2582%25A3%25E3%2583%25BC%25E3%2582%25A4%25E3%2583%25B3%25E3%2583%259A%25E3%2583%25AA%25E3%2582%25A2%25E3%2583%25AB-100ml%2Fdp%2FB01703WPX4</v>
      </c>
      <c r="E24" s="64"/>
      <c r="F24" s="22" t="str">
        <f t="shared" si="2"/>
        <v>Amazon</v>
      </c>
    </row>
    <row r="25" spans="2:6">
      <c r="B25" s="63"/>
      <c r="C25" s="22" t="s">
        <v>186</v>
      </c>
      <c r="D25" s="64" t="str">
        <f t="shared" si="1"/>
        <v>//af.moshimo.com/af/c/click?a_id=988729&amp;p_id=54&amp;pc_id=54&amp;pl_id=616&amp;url=https%3A%2F%2Fitem.rakuten.co.jp%2Fbeautypark2017%2F3474636218684%2F&amp;m=http%3A%2F%2Fm.rakuten.co.jp%2Fbeautypark2017%2Fi%2F10000412%2F&amp;r_v=g00sqjg3.9tq3edf2.g00sqjg3.9tq3f8ac</v>
      </c>
      <c r="E25" s="64"/>
      <c r="F25" s="22" t="str">
        <f t="shared" si="2"/>
        <v>楽天</v>
      </c>
    </row>
    <row r="26" spans="2:6">
      <c r="B26" s="63" t="s">
        <v>115</v>
      </c>
      <c r="C26" s="22" t="s">
        <v>187</v>
      </c>
      <c r="D26" s="64" t="str">
        <f t="shared" si="1"/>
        <v>//af.moshimo.com/af/c/click?a_id=988731&amp;p_id=170&amp;pc_id=185&amp;pl_id=4062&amp;url=https%3A%2F%2Fwww.amazon.co.jp%2F%25E5%25A4%25A7%25E5%25B3%25B6%25E6%25A4%25BF-%25E3%2583%2584%25E3%2583%2590%25E3%2582%25AD%25E6%25B2%25B9-60ml%2Fdp%2FB000FQRWNW</v>
      </c>
      <c r="E26" s="64"/>
      <c r="F26" s="22" t="str">
        <f t="shared" si="2"/>
        <v>Amazon</v>
      </c>
    </row>
    <row r="27" spans="2:6">
      <c r="B27" s="63"/>
      <c r="C27" s="22" t="s">
        <v>188</v>
      </c>
      <c r="D27" s="64" t="str">
        <f t="shared" si="1"/>
        <v>//af.moshimo.com/af/c/click?a_id=988729&amp;p_id=54&amp;pc_id=54&amp;pl_id=616&amp;url=https%3A%2F%2Fitem.rakuten.co.jp%2Fcosmecomonline%2F1000031168%2F&amp;m=http%3A%2F%2Fm.rakuten.co.jp%2Fcosmecomonline%2Fi%2F10026747%2F&amp;r_v=g00qaww3.9tq3e361.g00qaww3.9tq3fc30</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&lt;h2&gt;おすすめアウトバストリートメント3選。痛んだ髪をケア！&lt;/h2&gt;</v>
      </c>
    </row>
    <row r="2" spans="1:1">
      <c r="A2" s="20" t="s">
        <v>86</v>
      </c>
    </row>
    <row r="3" spans="1:1">
      <c r="A3" s="21" t="s">
        <v>87</v>
      </c>
    </row>
    <row r="4" spans="1:1">
      <c r="A4" s="20" t="str">
        <f>CONCATENATE("&lt;li&gt;", アンケート!C54, "&lt;/li&gt;")</f>
        <v>&lt;li&gt;髪の毛の痛みを修復してくれるアウトバストリートメントを求めている方&lt;/li&gt;</v>
      </c>
    </row>
    <row r="5" spans="1:1">
      <c r="A5" s="20" t="str">
        <f>CONCATENATE("&lt;li&gt;", アンケート!C55, "&lt;/li&gt;")</f>
        <v>&lt;li&gt;良い香りのアウトバストリートメントをも求めている方&lt;/li&gt;</v>
      </c>
    </row>
    <row r="6" spans="1:1">
      <c r="A6" s="20" t="str">
        <f>CONCATENATE("&lt;li&gt;", アンケート!C56, "&lt;/li&gt;")</f>
        <v>&lt;li&gt;コスパの良いアウトバストリートメントを求めている方&lt;/li&gt;</v>
      </c>
    </row>
    <row r="7" spans="1:1">
      <c r="A7" s="20" t="s">
        <v>88</v>
      </c>
    </row>
    <row r="8" spans="1:1">
      <c r="A8" s="20" t="s">
        <v>89</v>
      </c>
    </row>
    <row r="9" spans="1:1">
      <c r="A9" s="20"/>
    </row>
    <row r="10" spans="1:1">
      <c r="A10" s="20" t="s">
        <v>127</v>
      </c>
    </row>
    <row r="11" spans="1:1">
      <c r="A11" s="20" t="s">
        <v>90</v>
      </c>
    </row>
    <row r="12" spans="1:1">
      <c r="A12" s="20" t="str">
        <f>CONCATENATE("&lt;img src=","""http://shomty.com/wp-content/uploads/img/parts/positionMap/",アンケート!$C$6,".jpg", """ /&gt;")</f>
        <v>&lt;img src="http://shomty.com/wp-content/uploads/img/parts/positionMap/8.jpg" /&gt;</v>
      </c>
    </row>
    <row r="13" spans="1:1">
      <c r="A13" s="30" t="str">
        <f>CONCATENATE("今回紹介する『", アンケート!C2,"』は","「価格と品質」どちらを重要視したのかをあらわした図です。")</f>
        <v>今回紹介する『アウトバストリートメント』は「価格と品質」どちらを重要視したのかをあらわした図です。</v>
      </c>
    </row>
    <row r="14" spans="1:1">
      <c r="A14" s="30"/>
    </row>
    <row r="15" spans="1:1">
      <c r="A15" s="30" t="s">
        <v>128</v>
      </c>
    </row>
    <row r="16" spans="1:1">
      <c r="A16" s="30" t="s">
        <v>126</v>
      </c>
    </row>
    <row r="17" spans="1:2">
      <c r="A17" s="20" t="s">
        <v>89</v>
      </c>
    </row>
    <row r="18" spans="1:2">
      <c r="A18" t="s">
        <v>71</v>
      </c>
    </row>
    <row r="19" spans="1:2">
      <c r="A19" t="str">
        <f>CONCATENATE("&lt;h2&gt;『",アンケート!C2,"』 ランキング&lt;/h2&gt;")</f>
        <v>&lt;h2&gt;『アウトバストリートメント』 ランキング&lt;/h2&gt;</v>
      </c>
    </row>
    <row r="20" spans="1:2">
      <c r="A20" t="s">
        <v>91</v>
      </c>
    </row>
    <row r="22" spans="1:2">
      <c r="A22" t="str">
        <f>CONCATENATE("&lt;h3&gt;3位 ",アンケート!C41,"&lt;/h3&gt;")</f>
        <v>&lt;h3&gt;3位 大島椿　大島椿（ツバキ油）&lt;/h3&gt;</v>
      </c>
    </row>
    <row r="23" spans="1:2">
      <c r="A23" t="s">
        <v>92</v>
      </c>
    </row>
    <row r="24" spans="1:2">
      <c r="A24" t="s">
        <v>69</v>
      </c>
    </row>
    <row r="25" spans="1:2">
      <c r="A25" t="str">
        <f>アンケート!C48</f>
        <v>髪の痛みが激しい方</v>
      </c>
    </row>
    <row r="26" spans="1:2">
      <c r="A26" t="s">
        <v>70</v>
      </c>
    </row>
    <row r="27" spans="1:2">
      <c r="A27" s="6" t="str">
        <f>CONCATENATE("[tblStart num=5]", 入力シート!C7, "[/tblStart]")</f>
        <v>[tblStart num=5]https://images-fe.ssl-images-amazon.com/images/I/51QF0BY574L.jpg[/tblStart]</v>
      </c>
    </row>
    <row r="28" spans="1:2">
      <c r="A28" t="str">
        <f>CONCATENATE("[tdLevel type=", B28, "]", 比較表!A4, "[/tdLevel]")</f>
        <v>[tdLevel type=4]髪の毛がまとまる[/tdLevel]</v>
      </c>
      <c r="B28">
        <f>HLOOKUP(アンケート!$C$41,比較表!$B$3:$D$8,2)</f>
        <v>4</v>
      </c>
    </row>
    <row r="29" spans="1:2">
      <c r="A29" t="str">
        <f>CONCATENATE("[tdLevel type=", B29, "]", 比較表!A5, "[/tdLevel]")</f>
        <v>[tdLevel type=2]香りが良い[/tdLevel]</v>
      </c>
      <c r="B29">
        <f>HLOOKUP(アンケート!$C$41,比較表!$B$3:$D$8,3)</f>
        <v>2</v>
      </c>
    </row>
    <row r="30" spans="1:2">
      <c r="A30" t="str">
        <f>CONCATENATE("[tdLevel type=", B30, "]", 比較表!A6, "[/tdLevel]")</f>
        <v>[tdLevel type=1]べたつかない[/tdLevel]</v>
      </c>
      <c r="B30">
        <f>HLOOKUP(アンケート!$C$41,比較表!$B$3:$D$8,4)</f>
        <v>1</v>
      </c>
    </row>
    <row r="31" spans="1:2">
      <c r="A31" t="str">
        <f>CONCATENATE("[tdLevel type=", B31, "]", 比較表!A7, "[/tdLevel]")</f>
        <v>[tdLevel type=3]髪の痛みを改善できる[/tdLevel]</v>
      </c>
      <c r="B31">
        <f>HLOOKUP(アンケート!$C$41,比較表!$B$3:$D$8,5)</f>
        <v>3</v>
      </c>
    </row>
    <row r="32" spans="1:2">
      <c r="A32" t="str">
        <f>CONCATENATE("[tdLevel type=", B32, "]", 比較表!A8, "[/tdLevel]")</f>
        <v>[tdLevel type=3]コスパ[/tdLevel]</v>
      </c>
      <c r="B32">
        <f>HLOOKUP(アンケート!$C$41,比較表!$B$3:$D$8,6)</f>
        <v>3</v>
      </c>
    </row>
    <row r="33" spans="1:1">
      <c r="A33" t="s">
        <v>72</v>
      </c>
    </row>
    <row r="35" spans="1:1">
      <c r="A35" s="6" t="str">
        <f>CONCATENATE("[product_link id=",入力シート!D16,"][/product_link]")</f>
        <v>[product_link id=198][/product_link]</v>
      </c>
    </row>
    <row r="36" spans="1:1">
      <c r="A36" t="s">
        <v>93</v>
      </c>
    </row>
    <row r="37" spans="1:1">
      <c r="A37" t="s">
        <v>94</v>
      </c>
    </row>
    <row r="38" spans="1:1">
      <c r="A38" t="s">
        <v>95</v>
      </c>
    </row>
    <row r="39" spans="1:1">
      <c r="A39" t="s">
        <v>87</v>
      </c>
    </row>
    <row r="40" spans="1:1">
      <c r="A40" t="str">
        <f>CONCATENATE("&lt;li&gt;", アンケート!C42,"&lt;/li&gt;")</f>
        <v>&lt;li&gt;乾燥を防いでくれる&lt;/li&gt;</v>
      </c>
    </row>
    <row r="41" spans="1:1">
      <c r="A41" t="str">
        <f>CONCATENATE("&lt;li&gt;", アンケート!C43,"&lt;/li&gt;")</f>
        <v>&lt;li&gt;傷んだ髪の毛を潤してくれる&lt;/li&gt;</v>
      </c>
    </row>
    <row r="42" spans="1:1">
      <c r="A42" t="str">
        <f>CONCATENATE("&lt;li&gt;", アンケート!C44,"&lt;/li&gt;")</f>
        <v>&lt;li&gt;ドラッグストアでも手に入る&lt;/li&gt;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&lt;li&gt;瓶なので重い&lt;/li&gt;</v>
      </c>
    </row>
    <row r="51" spans="1:1">
      <c r="A51" t="str">
        <f>CONCATENATE("&lt;li&gt;", アンケート!C46,"&lt;/li&gt;")</f>
        <v>&lt;li&gt;量を少なめにしないと、かなりべたつく&lt;/li&gt;</v>
      </c>
    </row>
    <row r="52" spans="1:1">
      <c r="A52" t="str">
        <f>CONCATENATE("&lt;li&gt;", アンケート!C47,"&lt;/li&gt;")</f>
        <v>&lt;li&gt;プッシュ式ではないので、使いにくい&lt;/li&gt;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 xml:space="preserve">髪の毛の痛みが激しくパサつきを抑えたかったので、有名なこちらを購入しました。
かなりしっとりし、髪の毛がまとまります。
付けすぎて多少べたつくこともありましたが、慣れればしっかり髪の毛の痛みを修復してくれるオイルです。
</v>
      </c>
    </row>
    <row r="59" spans="1:1">
      <c r="A59" t="s">
        <v>104</v>
      </c>
    </row>
    <row r="60" spans="1:1">
      <c r="A60" t="str">
        <f>CONCATENATE("[voice icon=","""http://shomty.com/wp-content/uploads/img/parts/review/", 入力シート!F17, ".jpg", """ name=""", 入力シート!E17, """ type=""", "r", """]")</f>
        <v>[voice icon="http://shomty.com/wp-content/uploads/img/parts/review/w_40_1.jpg" name="40代女性" type="r"]</v>
      </c>
    </row>
    <row r="61" spans="1:1">
      <c r="A61" t="str">
        <f>アンケート!C50</f>
        <v xml:space="preserve">大島椿のオイルは少量でしっかりケアしてくれるので、コスパが良いです。
髪の毛がつやつやになり、パサつきが軽減したように感じます。
ドラッグストアにも売っているので、なくなったらいつでも購入できるところも嬉しいです。
</v>
      </c>
    </row>
    <row r="62" spans="1:1">
      <c r="A62" t="s">
        <v>104</v>
      </c>
    </row>
    <row r="63" spans="1:1">
      <c r="A63" t="s">
        <v>99</v>
      </c>
    </row>
    <row r="64" spans="1:1">
      <c r="A64" t="str">
        <f>CONCATENATE("[reviewLink id=","""", 入力シート!D16,"""][/reviewLink]")</f>
        <v>[reviewLink id="198"][/reviewLink]</v>
      </c>
    </row>
    <row r="66" spans="1:2">
      <c r="A66" t="str">
        <f>CONCATENATE("&lt;h3&gt;2位 ",アンケート!C28,"&lt;/h3&gt;")</f>
        <v>&lt;h3&gt;2位 ケラスターゼ　HUユイルスブリムティーインペリアル&lt;/h3&gt;</v>
      </c>
    </row>
    <row r="67" spans="1:2">
      <c r="A67" t="s">
        <v>92</v>
      </c>
    </row>
    <row r="68" spans="1:2">
      <c r="A68" t="s">
        <v>69</v>
      </c>
    </row>
    <row r="69" spans="1:2">
      <c r="A69" t="str">
        <f>アンケート!C35</f>
        <v>良い香りのアウトバストリートメントを使用したい方</v>
      </c>
    </row>
    <row r="70" spans="1:2">
      <c r="A70" t="s">
        <v>70</v>
      </c>
    </row>
    <row r="71" spans="1:2">
      <c r="A71" s="6" t="str">
        <f>CONCATENATE("[tblStart num=5]", 入力シート!$C$6, "[/tblStart]")</f>
        <v>[tblStart num=5]https://images-fe.ssl-images-amazon.com/images/I/51K4Hbrr7KL.jpg[/tblStart]</v>
      </c>
    </row>
    <row r="72" spans="1:2">
      <c r="A72" t="str">
        <f>CONCATENATE("[tdLevel type=", B72, "]", 比較表!A4, "[/tdLevel]")</f>
        <v>[tdLevel type=4]髪の毛がまとまる[/tdLevel]</v>
      </c>
      <c r="B72">
        <f>HLOOKUP(アンケート!$C$28,比較表!$B$3:$D$8,2,FALSE)</f>
        <v>4</v>
      </c>
    </row>
    <row r="73" spans="1:2">
      <c r="A73" t="str">
        <f>CONCATENATE("[tdLevel type=", B73, "]", 比較表!A5, "[/tdLevel]")</f>
        <v>[tdLevel type=5]香りが良い[/tdLevel]</v>
      </c>
      <c r="B73">
        <f>HLOOKUP(アンケート!$C$28,比較表!$B$3:$D$8,3,FALSE)</f>
        <v>5</v>
      </c>
    </row>
    <row r="74" spans="1:2">
      <c r="A74" t="str">
        <f>CONCATENATE("[tdLevel type=", B74, "]", 比較表!A6, "[/tdLevel]")</f>
        <v>[tdLevel type=4]べたつかない[/tdLevel]</v>
      </c>
      <c r="B74">
        <f>HLOOKUP(アンケート!$C$28,比較表!$B$3:$D$8,4,FALSE)</f>
        <v>4</v>
      </c>
    </row>
    <row r="75" spans="1:2">
      <c r="A75" t="str">
        <f>CONCATENATE("[tdLevel type=", B75, "]", 比較表!A7, "[/tdLevel]")</f>
        <v>[tdLevel type=4]髪の痛みを改善できる[/tdLevel]</v>
      </c>
      <c r="B75">
        <f>HLOOKUP(アンケート!$C$28,比較表!$B$3:$D$8,5,FALSE)</f>
        <v>4</v>
      </c>
    </row>
    <row r="76" spans="1:2">
      <c r="A76" t="str">
        <f>CONCATENATE("[tdLevel type=", B76, "]", 比較表!A8, "[/tdLevel]")</f>
        <v>[tdLevel type=3]コスパ[/tdLevel]</v>
      </c>
      <c r="B76">
        <f>HLOOKUP(アンケート!$C$28,比較表!$B$3:$D$8,6,FALSE)</f>
        <v>3</v>
      </c>
    </row>
    <row r="77" spans="1:2">
      <c r="A77" t="s">
        <v>72</v>
      </c>
    </row>
    <row r="79" spans="1:2">
      <c r="A79" s="6" t="str">
        <f>CONCATENATE("[product_link id=",入力シート!D14,"][/product_link]")</f>
        <v>[product_link id=197][/product_link]</v>
      </c>
    </row>
    <row r="80" spans="1:2">
      <c r="A80" t="s">
        <v>93</v>
      </c>
    </row>
    <row r="81" spans="1:1">
      <c r="A81" t="s">
        <v>94</v>
      </c>
    </row>
    <row r="82" spans="1:1">
      <c r="A82" t="s">
        <v>95</v>
      </c>
    </row>
    <row r="83" spans="1:1">
      <c r="A83" t="s">
        <v>87</v>
      </c>
    </row>
    <row r="84" spans="1:1">
      <c r="A84" t="str">
        <f>CONCATENATE("&lt;li&gt;", アンケート!C29,"&lt;/li&gt;")</f>
        <v>&lt;li&gt;香水のような良い香りがする&lt;/li&gt;</v>
      </c>
    </row>
    <row r="85" spans="1:1">
      <c r="A85" t="str">
        <f>CONCATENATE("&lt;li&gt;", アンケート!C30,"&lt;/li&gt;")</f>
        <v>&lt;li&gt;オイルなのに、べたつかない&lt;/li&gt;</v>
      </c>
    </row>
    <row r="86" spans="1:1">
      <c r="A86" t="str">
        <f>CONCATENATE("&lt;li&gt;", アンケート!C31,"&lt;/li&gt;")</f>
        <v>&lt;li&gt;プッシュ式で使いやすい&lt;/li&gt;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&lt;li&gt;香水の匂いが苦手な人には合わない&lt;/li&gt;</v>
      </c>
    </row>
    <row r="95" spans="1:1">
      <c r="A95" t="str">
        <f>CONCATENATE("&lt;li&gt;", アンケート!C33,"&lt;/li&gt;")</f>
        <v>&lt;li&gt;少し大きいので、持ち運びに不便&lt;/li&gt;</v>
      </c>
    </row>
    <row r="96" spans="1:1">
      <c r="A96" t="str">
        <f>CONCATENATE("&lt;li&gt;", アンケート!C34,"&lt;/li&gt;")</f>
        <v>&lt;li&gt;ケラスターゼの商品なので、美容院で取り扱うには必用条件があり、通ってる美容院では仕入れてもらうことのできない場合がある&lt;/li&gt;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ケラスターゼのトリートメントでは、オレオソワンリラックスが有名なので迷いましたが、こちらの香りが良いと口コミを見て購入しました。
香水を付けているかのような香りで、いい女になった気分です。
髪の毛もさらさらになり満足です。
</v>
      </c>
    </row>
    <row r="103" spans="1:1">
      <c r="A103" t="s">
        <v>104</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美容院で進められ、見た目もピンクで可愛かったのでこちらを購入しました。
オイルはべたつくイメージがあったのですが、出しすぎてもまったくべたつかず驚きました。
香りも良いので、またリピートしたいと思っています。</v>
      </c>
    </row>
    <row r="106" spans="1:1">
      <c r="A106" t="s">
        <v>104</v>
      </c>
    </row>
    <row r="107" spans="1:1">
      <c r="A107" t="s">
        <v>99</v>
      </c>
    </row>
    <row r="108" spans="1:1">
      <c r="A108" t="str">
        <f>CONCATENATE("[reviewLink id=","""", 入力シート!D14,"""][/reviewLink]")</f>
        <v>[reviewLink id="197"][/reviewLink]</v>
      </c>
    </row>
    <row r="110" spans="1:1">
      <c r="A110" t="str">
        <f>CONCATENATE("&lt;h3&gt;1位 ",アンケート!C13,"&lt;/h3&gt;")</f>
        <v>&lt;h3&gt;1位 ミルボン　ディーセスエルジュータエマルジョン＋&lt;/h3&gt;</v>
      </c>
    </row>
    <row r="111" spans="1:1">
      <c r="A111" t="s">
        <v>92</v>
      </c>
    </row>
    <row r="112" spans="1:1">
      <c r="A112" t="s">
        <v>69</v>
      </c>
    </row>
    <row r="113" spans="1:2">
      <c r="A113" t="str">
        <f>アンケート!C22</f>
        <v>オイルのべたつきが苦手な方</v>
      </c>
    </row>
    <row r="114" spans="1:2">
      <c r="A114" t="s">
        <v>70</v>
      </c>
    </row>
    <row r="115" spans="1:2" ht="27">
      <c r="A115" s="6" t="str">
        <f>CONCATENATE("[tblStart num=5]", 入力シート!C5, "[/tblStart]")</f>
        <v>[tblStart num=5]https://images-fe.ssl-images-amazon.com/images/I/212XBDjgJ7L.jpg[/tblStart]</v>
      </c>
    </row>
    <row r="116" spans="1:2">
      <c r="A116" t="str">
        <f>CONCATENATE("[tdLevel type=", B116, "]", 比較表!A4, "[/tdLevel]")</f>
        <v>[tdLevel type=4]髪の毛がまとまる[/tdLevel]</v>
      </c>
      <c r="B116">
        <f>HLOOKUP(アンケート!$C$13,比較表!$B$3:$D$8,2,FALSE)</f>
        <v>4</v>
      </c>
    </row>
    <row r="117" spans="1:2">
      <c r="A117" t="str">
        <f>CONCATENATE("[tdLevel type=", B117, "]", 比較表!A5, "[/tdLevel]")</f>
        <v>[tdLevel type=4]香りが良い[/tdLevel]</v>
      </c>
      <c r="B117">
        <f>HLOOKUP(アンケート!$C$13,比較表!$B$3:$D$8,3,FALSE)</f>
        <v>4</v>
      </c>
    </row>
    <row r="118" spans="1:2">
      <c r="A118" t="str">
        <f>CONCATENATE("[tdLevel type=", B118, "]", 比較表!A6, "[/tdLevel]")</f>
        <v>[tdLevel type=5]べたつかない[/tdLevel]</v>
      </c>
      <c r="B118">
        <f>HLOOKUP(アンケート!$C$13,比較表!$B$3:$D$8,4,FALSE)</f>
        <v>5</v>
      </c>
    </row>
    <row r="119" spans="1:2">
      <c r="A119" t="str">
        <f>CONCATENATE("[tdLevel type=", B119, "]", 比較表!A7, "[/tdLevel]")</f>
        <v>[tdLevel type=4]髪の痛みを改善できる[/tdLevel]</v>
      </c>
      <c r="B119">
        <f>HLOOKUP(アンケート!$C$13,比較表!$B$3:$D$8,5,FALSE)</f>
        <v>4</v>
      </c>
    </row>
    <row r="120" spans="1:2">
      <c r="A120" t="str">
        <f>CONCATENATE("[tdLevel type=", B120, "]", 比較表!A8, "[/tdLevel]")</f>
        <v>[tdLevel type=4]コスパ[/tdLevel]</v>
      </c>
      <c r="B120">
        <f>HLOOKUP(アンケート!$C$13,比較表!$B$3:$D$8,6,FALSE)</f>
        <v>4</v>
      </c>
    </row>
    <row r="121" spans="1:2">
      <c r="A121" t="s">
        <v>72</v>
      </c>
    </row>
    <row r="123" spans="1:2">
      <c r="A123" s="6" t="str">
        <f>CONCATENATE("[product_link id=",入力シート!D12,"][/product_link]")</f>
        <v>[product_link id=196][/product_link]</v>
      </c>
    </row>
    <row r="124" spans="1:2">
      <c r="A124" t="s">
        <v>93</v>
      </c>
    </row>
    <row r="125" spans="1:2">
      <c r="A125" t="s">
        <v>94</v>
      </c>
    </row>
    <row r="126" spans="1:2">
      <c r="A126" t="s">
        <v>95</v>
      </c>
    </row>
    <row r="127" spans="1:2">
      <c r="A127" t="s">
        <v>87</v>
      </c>
    </row>
    <row r="128" spans="1:2">
      <c r="A128" t="str">
        <f>CONCATENATE("&lt;li&gt;", アンケート!C14,"&lt;/li&gt;")</f>
        <v>&lt;li&gt;ミルクタイプなので、オイルが苦手な方でも使いやすい&lt;/li&gt;</v>
      </c>
    </row>
    <row r="129" spans="1:1">
      <c r="A129" t="str">
        <f>CONCATENATE("&lt;li&gt;", アンケート!C15,"&lt;/li&gt;")</f>
        <v>&lt;li&gt;太い髪用・細い髪用がある&lt;/li&gt;</v>
      </c>
    </row>
    <row r="130" spans="1:1">
      <c r="A130" t="str">
        <f>CONCATENATE("&lt;li&gt;", アンケート!C16,"&lt;/li&gt;")</f>
        <v>&lt;li&gt;髪の毛がまとまる&lt;/li&gt;</v>
      </c>
    </row>
    <row r="131" spans="1:1">
      <c r="A131" t="str">
        <f>CONCATENATE("&lt;li&gt;", アンケート!C17,"&lt;/li&gt;")</f>
        <v>&lt;li&gt;ボトルが可愛い&lt;/li&gt;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&lt;li&gt;ミルクタイプなので、オイルに比べると保湿力は弱め&lt;/li&gt;</v>
      </c>
    </row>
    <row r="140" spans="1:1">
      <c r="A140" t="str">
        <f>CONCATENATE("&lt;li&gt;", アンケート!C19,"&lt;/li&gt;")</f>
        <v>&lt;li&gt;ドラッグストアには置いていない&lt;/li&gt;</v>
      </c>
    </row>
    <row r="141" spans="1:1">
      <c r="A141" t="str">
        <f>CONCATENATE("&lt;li&gt;", アンケート!C20,"&lt;/li&gt;")</f>
        <v>&lt;li&gt;太い髪用・細い髪用のボトルのカラー・名前が似ているので使いにくい&lt;/li&gt;</v>
      </c>
    </row>
    <row r="142" spans="1:1">
      <c r="A142" t="str">
        <f>CONCATENATE("&lt;li&gt;", アンケート!C21,"&lt;/li&gt;")</f>
        <v>&lt;li&gt;口コミの評価が良すぎるので、期待しすぎると物足りないかもしれない&lt;/li&gt;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ミルボンの商品を扱っている美容院に通っているのですが、美容師さんにこちらを勧められ購入しました。
ミルクタイプなので、お風呂上がりのタオルドライ時だけでなく、お出かけ前にも乾燥を潤すために使用しています。
</v>
      </c>
    </row>
    <row r="149" spans="1:1">
      <c r="A149" t="s">
        <v>104</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 xml:space="preserve">今まで別のオイルを使用していたのですが、口コミの評価が高かったので、購入しました。
しっとりし、つるんと髪の毛をまとめてくれます。
良く髪をよく巻いたりストレートにするので、コテやアイロンを使用する時もつけています。
</v>
      </c>
    </row>
    <row r="152" spans="1:1">
      <c r="A152" t="s">
        <v>104</v>
      </c>
    </row>
    <row r="153" spans="1:1">
      <c r="A153" t="s">
        <v>99</v>
      </c>
    </row>
    <row r="154" spans="1:1">
      <c r="A154" t="str">
        <f>CONCATENATE("[reviewLink id=","""", 入力シート!D12,"""][/reviewLink]")</f>
        <v>[reviewLink id="196"][/reviewLink]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(196,'//af.moshimo.com/af/c/click?a_id=988731&amp;p_id=170&amp;pc_id=185&amp;pl_id=4062&amp;url=https%3A%2F%2Fwww.amazon.co.jp%2F%25E3%2583%259F%25E3%2583%25AB%25E3%2583%259C%25E3%2583%25B3-%25E3%2583%2587%25E3%2582%25A3%25E3%2583%25BC%25E3%2582%25BB%25E3%2582%25B9-%25E3%2582%25A8%25E3%2583%25AB%25E3%2582%25B8%25E3%2583%25A5%25E3%2583%25BC%25E3%2583%2580-%25E3%2582%25B5%25E3%2583%25B3%25E3%2583%2588%25E3%2583%25AA%25E3%2583%25BC%25E3%2583%2588%25E3%2583%25A1%25E3%2583%25B3%25E3%2583%2588-%25E3%2582%25A8%25E3%2583%259E%25E3%2583%25AB%25E3%2582%25B8%25E3%2583%25A7%25E3%2583%25B3%2Fdp%2FB01DXC965G', '//af.moshimo.com/af/c/click?a_id=988729&amp;p_id=54&amp;pc_id=54&amp;pl_id=616&amp;url=https%3A%2F%2Fitem.rakuten.co.jp%2Fnakano-d%2Felujuda-emp120%2F&amp;m=http%3A%2F%2Fm.rakuten.co.jp%2Fnakano-d%2Fi%2F10021282%2F&amp;r_v=g00ptlf3.9tq3e5c6.g00ptlf3.9tq3f348', 'https://www.cosme.net/product/product_id/10080625/reviews', 'https://images-fe.ssl-images-amazon.com/images/I/212XBDjgJ7L.jpg', 'ミルボン　ディーセスエルジュータエマルジョン＋'),</v>
      </c>
    </row>
    <row r="3" spans="1:1">
      <c r="A3" t="str">
        <f>"("&amp;入力シート!D14&amp;","&amp;"'"&amp;入力シート!D24&amp;"', '"&amp;入力シート!D25&amp;"', '"&amp;入力シート!C14&amp;"', '"&amp;入力シート!C6&amp;"', '"&amp;入力シート!D6&amp;"'),"</f>
        <v>(197,'//af.moshimo.com/af/c/click?a_id=988731&amp;p_id=170&amp;pc_id=185&amp;pl_id=4062&amp;url=https%3A%2F%2Fwww.amazon.co.jp%2F%25E3%2582%25B1%25E3%2583%25A9%25E3%2582%25B9%25E3%2582%25BF%25E3%2583%25BC%25E3%2582%25BC-HU-%25E3%2583%25A6%25E3%2582%25A4%25E3%2583%25AB%25E3%2582%25B9%25E3%2583%2596%25E3%2583%25AA%25E3%2583%25A0-%25E3%2583%2586%25E3%2582%25A3%25E3%2583%25BC%25E3%2582%25A4%25E3%2583%25B3%25E3%2583%259A%25E3%2583%25AA%25E3%2582%25A2%25E3%2583%25AB-100ml%2Fdp%2FB01703WPX4', '//af.moshimo.com/af/c/click?a_id=988729&amp;p_id=54&amp;pc_id=54&amp;pl_id=616&amp;url=https%3A%2F%2Fitem.rakuten.co.jp%2Fbeautypark2017%2F3474636218684%2F&amp;m=http%3A%2F%2Fm.rakuten.co.jp%2Fbeautypark2017%2Fi%2F10000412%2F&amp;r_v=g00sqjg3.9tq3edf2.g00sqjg3.9tq3f8ac', 'https://www.cosme.net/product/product_id/10048107/reviews', 'https://images-fe.ssl-images-amazon.com/images/I/51K4Hbrr7KL.jpg', 'ケラスターゼ　HUユイルスブリムティーインペリアル'),</v>
      </c>
    </row>
    <row r="4" spans="1:1">
      <c r="A4" t="str">
        <f>"("&amp;入力シート!D16&amp;","&amp;"'"&amp;入力シート!D26&amp;"', '"&amp;入力シート!D27&amp;"', '"&amp;入力シート!C16&amp;"', '"&amp;入力シート!C7&amp;"', '"&amp;入力シート!D7&amp;"');"</f>
        <v>(198,'//af.moshimo.com/af/c/click?a_id=988731&amp;p_id=170&amp;pc_id=185&amp;pl_id=4062&amp;url=https%3A%2F%2Fwww.amazon.co.jp%2F%25E5%25A4%25A7%25E5%25B3%25B6%25E6%25A4%25BF-%25E3%2583%2584%25E3%2583%2590%25E3%2582%25AD%25E6%25B2%25B9-60ml%2Fdp%2FB000FQRWNW', '//af.moshimo.com/af/c/click?a_id=988729&amp;p_id=54&amp;pc_id=54&amp;pl_id=616&amp;url=https%3A%2F%2Fitem.rakuten.co.jp%2Fcosmecomonline%2F1000031168%2F&amp;m=http%3A%2F%2Fm.rakuten.co.jp%2Fcosmecomonline%2Fi%2F10026747%2F&amp;r_v=g00qaww3.9tq3e361.g00qaww3.9tq3fc30', 'https://www.cosme.net/product/product_id/267480/reviews', 'https://images-fe.ssl-images-amazon.com/images/I/51QF0BY574L.jpg', '大島椿　大島椿（ツバキ油）');</v>
      </c>
    </row>
    <row r="9" spans="1:1">
      <c r="A9" s="36" t="s">
        <v>124</v>
      </c>
    </row>
    <row r="10" spans="1:1" ht="14.25" thickBot="1">
      <c r="A10" t="s">
        <v>123</v>
      </c>
    </row>
    <row r="11" spans="1:1" ht="14.25" thickBot="1">
      <c r="A11" s="39">
        <v>195</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2018-07-23T04:00:06Z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