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<sst xmlns="http://schemas.openxmlformats.org/spreadsheetml/2006/main" count="268" uniqueCount="191">
  <si>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</si>
  <si>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</si>
  <si>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</si>
  <si>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</si>
  <si>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</si>
  <si>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</si>
  <si>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</si>
  <si>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</si>
  <si>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</si>
  <si>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</si>
  <si>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</si>
  <si>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</si>
  <si>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</si>
  <si>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</si>
  <si>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</si>
  <si>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</si>
  <si>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</si>
  <si>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</si>
  <si>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</si>
  <si>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</si>
  <si>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</si>
  <si>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</si>
  <si>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</si>
  <si>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</si>
  <si>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</si>
  <si>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</si>
  <si>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</si>
  <si>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</si>
  <si>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</si>
  <si>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</si>
  <si>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</si>
  <si>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</si>
  <si>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</si>
  <si>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</si>
  <si>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</si>
  <si>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</si>
  <si>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</si>
  <si>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</si>
  <si>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</si>
  <si>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</si>
  <si>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</si>
  <si>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</si>
  <si>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</si>
  <si>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</si>
  <si>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</si>
  <si>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</si>
  <si>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</si>
  <si>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</si>
  <si>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</si>
  <si>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</si>
  <si>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</si>
  <si>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</si>
  <si>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</si>
  <si>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</si>
  <si>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</si>
  <si>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</si>
  <si>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</si>
  <si>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</si>
  <si>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</si>
  <si>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</si>
  <si>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</si>
  <si>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</si>
  <si>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</si>
  <si>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</si>
  <si>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</si>
  <si>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</si>
  <si>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</si>
  <si>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</si>
  <si>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</si>
  <si>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</si>
  <si>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</si>
  <si>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</si>
  <si>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</si>
  <si>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</si>
  <si>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</si>
  <si>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</si>
  <si>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</si>
  <si>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</si>
  <si>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</si>
  <si>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</si>
  <si>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</si>
  <si>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</si>
  <si>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</si>
  <si>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</si>
  <si>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</si>
  <si>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</si>
  <si>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</si>
  <si>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</si>
  <si>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</si>
  <si>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</si>
  <si>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</si>
  <si>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</si>
  <si>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</si>
  <si>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</si>
  <si>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</si>
  <si>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</si>
  <si>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</si>
  <si>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</si>
  <si>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</si>
  <si>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</si>
  <si>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</si>
  <si>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</si>
  <si>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</si>
  <si>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</si>
  <si>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</si>
  <si>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</si>
  <si>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</si>
  <si>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</si>
  <si>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</si>
  <si>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</si>
  <si>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</si>
  <si>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</si>
  <si>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</si>
  <si>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</si>
  <si>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</si>
  <si>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</si>
  <si>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</si>
  <si>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</si>
  <si>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</si>
  <si>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</si>
  <si>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</si>
  <si>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</si>
  <si>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</si>
  <si>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</si>
  <si>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</si>
  <si>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</si>
  <si>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</si>
  <si>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</si>
  <si>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</si>
  <si>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</si>
  <si>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</si>
  <si>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</si>
  <si>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</si>
  <si>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</si>
  <si>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</si>
  <si>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</si>
  <si>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</si>
  <si>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タンブラー</t>
  </si>
  <si>
    <t>サーモス 水筒 真空断熱ケータイタンブラー360ml</t>
  </si>
  <si>
    <t>ドウシシャ コンビ二マグCBCT400</t>
  </si>
  <si>
    <t>スターバックス ロゴタンブラー350ml</t>
  </si>
  <si>
    <t>保温力</t>
  </si>
  <si>
    <t>使いやすさ</t>
  </si>
  <si>
    <t>値段</t>
  </si>
  <si>
    <t>デザイン</t>
  </si>
  <si>
    <t>色展開</t>
  </si>
  <si>
    <t>ワンタッチで開けられて使いやすい</t>
  </si>
  <si>
    <t>数時間後でもまだ熱々が飲める</t>
  </si>
  <si>
    <t>洗いやすい</t>
  </si>
  <si>
    <t>色味が好み（3色展開）</t>
  </si>
  <si>
    <t>ギリギリまで飲み物を入れると、漏れることがある</t>
  </si>
  <si>
    <t>値段が張る</t>
  </si>
  <si>
    <t>ステンレス製なので落とすと凹む</t>
  </si>
  <si>
    <t>飲み口が大きいので、いっきに液体が出てくる</t>
  </si>
  <si>
    <t>使いやすさを重視したい人</t>
  </si>
  <si>
    <t>口元が樹脂素材で出来ているので、口当たりが良く気に入っています。</t>
  </si>
  <si>
    <t>数時間たっても、入れたてのような温かい飲み物が飲めるので、冬場に大活躍です。</t>
  </si>
  <si>
    <t>50代　男性</t>
  </si>
  <si>
    <t>20代　女性</t>
  </si>
  <si>
    <t>https://www.thermos.jp/info/detail/20140000010010.html</t>
  </si>
  <si>
    <t>真空二重構造で温かさが持続</t>
  </si>
  <si>
    <t>コンビニのコーヒーマシンに対応</t>
  </si>
  <si>
    <t>蓋が固くて閉めにくい</t>
  </si>
  <si>
    <t>傷がつきやすい</t>
  </si>
  <si>
    <t>地味な色（3色展開）</t>
  </si>
  <si>
    <t>コンビニでコーヒーを買うことが多い人</t>
  </si>
  <si>
    <t>いつもコンビニでコーヒーを購入しています。これまでは紙コップゆえにこぼしてしまうこともありましたが、このタンブラーは自分にぴったりでした！</t>
  </si>
  <si>
    <t>車の運転をする際にも、ドリンクホルダーにフィットするので重宝しています。</t>
  </si>
  <si>
    <t>40代　男性</t>
  </si>
  <si>
    <t>http://www.do-cooking.com/convenimug/index.html</t>
  </si>
  <si>
    <t>おしゃれなデザイン</t>
  </si>
  <si>
    <t>手頃な値段</t>
  </si>
  <si>
    <t>タンブラー購入時に、ドリンク1杯無料券がもらえる</t>
  </si>
  <si>
    <t>完全密閉ではないので漏れる</t>
  </si>
  <si>
    <t>保温力が弱い</t>
  </si>
  <si>
    <t>人とかぶりやすい</t>
  </si>
  <si>
    <t>若い子向き。スターバックスヘビーユーザーにおすすめ。</t>
  </si>
  <si>
    <t>大好きなスタバのタンブラーが欲しくて、やっとGETできました。横にしたりすると漏れるけど、学校で使うのにとても気に入っています！</t>
  </si>
  <si>
    <t>スタバが好きですが毎回は高いので、自宅で入れたコーヒーを持参しています。でもタンブラーがスタバ柄なので、スタバ気分を味わえてよいです！</t>
  </si>
  <si>
    <t>10代　女性</t>
  </si>
  <si>
    <t>http://www.starbucks.co.jp/goods/tumbler/4524785178885/?category=goods&amp;place=2</t>
  </si>
  <si>
    <t>タンブラーの購入を検討している人</t>
  </si>
  <si>
    <t>コーヒー好きな人</t>
  </si>
  <si>
    <t>お弁当を持参している人</t>
  </si>
  <si>
    <t>&lt;a target="_blank" href="//af.moshimo.com/af/c/click?a_id=988731&amp;amp;p_id=170&amp;amp;pc_id=185&amp;amp;pl_id=4062&amp;amp;url=https%3A%2F%2Fwww.amazon.co.jp%2F%25E3%2582%25B5%25E3%2583%25BC%25E3%2583%25A2%25E3%2582%25B9-%25E7%259C%259F%25E7%25A9%25BA%25E6%2596%25AD%25E7%2586%25B1%25E3%2582%25B1%25E3%2583%25BC%25E3%2582%25BF%25E3%2582%25A4%25E3%2582%25BF%25E3%2583%25B3%25E3%2583%2596%25E3%2583%25A9%25E3%2583%25BC-%25E3%2580%2590%25E3%2583%25AF%25E3%2583%25B3%25E3%2582%25BF%25E3%2583%2583%25E3%2583%2581%25E3%2582%25AA%25E3%2583%25BC%25E3%2583%2597%25E3%2583%25B3%25E3%2582%25BF%25E3%2582%25A4%25E3%2583%2597%25E3%2580%2591-JNM-360-WH%2Fdp%2FB00M1EC4WA" rel="nofollow"&gt;&lt;img src="https://images-fe.ssl-images-amazon.com/images/I/31tMsB6AgsL.jpg" alt="" style="border: none;" /&gt;&lt;br /&gt;サーモス 水筒 真空断熱ケータイタンブラー 【ワンタッチオープンタイプ】 360ml ホワイト JNM-360 WH&lt;/a&gt;&lt;img src="//i.moshimo.com/af/i/impression?a_id=988731&amp;amp;p_id=170&amp;amp;pc_id=185&amp;amp;pl_id=4062" alt="" width="1" height="1" style="border: 0px;" /&gt;</t>
  </si>
  <si>
    <t>&lt;a target="_blank" href="//af.moshimo.com/af/c/click?a_id=988729&amp;amp;p_id=54&amp;amp;pc_id=54&amp;amp;pl_id=616&amp;amp;url=https%3A%2F%2Fitem.rakuten.co.jp%2Filoiloislandimport%2Fr_b00m1ec4wa%2F&amp;amp;m=http%3A%2F%2Fm.rakuten.co.jp%2Filoiloislandimport%2Fi%2F10156392%2F&amp;amp;r_v=g00s98r3.9tq3e420.g00s98r3.9tq3f48c" rel="nofollow"&gt;&lt;img src="//thumbnail.image.rakuten.co.jp/@0_mall/iloiloislandimport/cabinet/img_116/r_b00m1ec4wa_1.jpg?_ex=128x128" alt="" style="border: none;" /&gt;&lt;br /&gt;サーモス 水筒 真空断熱ケータイタンブラー 【ワンタッチオープンタイプ】 360ml ホワイト JNM-360 WH&lt;/a&gt;&lt;img src="//i.moshimo.com/af/i/impression?a_id=988729&amp;amp;p_id=54&amp;amp;pc_id=54&amp;amp;pl_id=616" alt="" width="1" height="1" style="border: 0px;" /&gt;</t>
  </si>
  <si>
    <t>&lt;a target="_blank" href="//af.moshimo.com/af/c/click?a_id=988731&amp;amp;p_id=170&amp;amp;pc_id=185&amp;amp;pl_id=4062&amp;amp;url=https%3A%2F%2Fwww.amazon.co.jp%2F%25E3%2583%2589%25E3%2582%25A6%25E3%2582%25B7%25E3%2582%25B7%25E3%2583%25A3-%25E3%2582%25B3%25E3%2583%25B3%25E3%2583%2593%25E3%2583%258B%25E3%2583%259E%25E3%2582%25B0-%25E3%2583%2580%25E3%2582%25A4%25E3%2583%25AC%25E3%2582%25AF%25E3%2583%2588%25E3%2582%25BF%25E3%2582%25A4%25E3%2583%2597-%25E7%259B%25B4%25E6%258E%25A5%25E3%2583%2589%25E3%2583%25AA%25E3%2583%2583%25E3%2583%2597-CBCT400BK%2Fdp%2FB00NBM1XEG" rel="nofollow"&gt;&lt;img src="https://images-fe.ssl-images-amazon.com/images/I/31LCT0gihmL.jpg" alt="" style="border: none;" /&gt;&lt;br /&gt;ドウシシャ タンブラー ふた付き コンビニマグ ダイレクトタイプ 真空断熱 直接ドリップ 0.36L ブラック CBCT400BK&lt;/a&gt;&lt;img src="//i.moshimo.com/af/i/impression?a_id=988731&amp;amp;p_id=170&amp;amp;pc_id=185&amp;amp;pl_id=4062" alt="" width="1" height="1" style="border: 0px;" /&gt;</t>
  </si>
  <si>
    <t>&lt;a target="_blank" href="//af.moshimo.com/af/c/click?a_id=988729&amp;amp;p_id=54&amp;amp;pc_id=54&amp;amp;pl_id=616&amp;amp;url=https%3A%2F%2Fitem.rakuten.co.jp%2Fjism%2F4549549062590-24-20766-n%2F&amp;amp;m=http%3A%2F%2Fm.rakuten.co.jp%2Fjism%2Fi%2F11635498%2F&amp;amp;r_v=g00pukw3.9tq3ef2d.g00pukw3.9tq3fd6f" rel="nofollow"&gt;&lt;img src="//thumbnail.image.rakuten.co.jp/@0_mall/jism/cabinet/0419/4549549062590.jpg?_ex=128x128" alt="" style="border: none;" /&gt;&lt;br /&gt;CBCT-400-WH ドウシシャ コンビニマグ　ダイレクトタイプ　0.36L　ホワイト DOSHISHA [CBCT400WH]【返品種別A】&lt;/a&gt;&lt;img src="//i.moshimo.com/af/i/impression?a_id=988729&amp;amp;p_id=54&amp;amp;pc_id=54&amp;amp;pl_id=616" alt="" width="1" height="1" style="border: 0px;" /&gt;</t>
  </si>
  <si>
    <t>&lt;a target="_blank" href="//af.moshimo.com/af/c/click?a_id=988731&amp;amp;p_id=170&amp;amp;pc_id=185&amp;amp;pl_id=4062&amp;amp;url=https%3A%2F%2Fwww.amazon.co.jp%2FStarbucks-%25E3%2582%25B9%25E3%2582%25BF%25E3%2583%25BC%25E3%2583%2590%25E3%2583%2583%25E3%2582%25AF%25E3%2582%25B9-4524785222250-%25E3%2582%25B9%25E3%2583%2586%25E3%2583%25B3%25E3%2583%25AC%25E3%2582%25B9-ToGo%25E3%2583%25AD%25E3%2582%25B4%25E3%2582%25BF%25E3%2583%25B3%25E3%2583%2596%25E3%2583%25A9%25E3%2583%25BC%25E3%2583%259E%25E3%2583%2583%25E3%2583%2588%25E3%2583%259B%25E3%2583%25AF%25E3%2582%25A4%25E3%2583%2588%2Fdp%2FB00JV99CGY" rel="nofollow"&gt;&lt;img src="https://images-fe.ssl-images-amazon.com/images/I/31t88WthviL.jpg" alt="" style="border: none;" /&gt;&lt;br /&gt;ステンレス ToGoロゴタンブラーマットホワイト トール 350ml&lt;/a&gt;&lt;img src="//i.moshimo.com/af/i/impression?a_id=988731&amp;amp;p_id=170&amp;amp;pc_id=185&amp;amp;pl_id=4062" alt="" width="1" height="1" style="border: 0px;" /&gt;</t>
  </si>
  <si>
    <t>&lt;a target="_blank" href="//af.moshimo.com/af/c/click?a_id=988729&amp;amp;p_id=54&amp;amp;pc_id=54&amp;amp;pl_id=616&amp;amp;url=https%3A%2F%2Fitem.rakuten.co.jp%2Fmoncachette%2F152012450%2F&amp;amp;m=http%3A%2F%2Fm.rakuten.co.jp%2Fmoncachette%2Fi%2F10009948%2F&amp;amp;r_v=g00r7x73.9tq3ed4c.g00r7x73.9tq3f5a5" rel="nofollow"&gt;&lt;img src="//thumbnail.image.rakuten.co.jp/@0_mall/moncachette/cabinet/g13-2/152012450_1.jpg?_ex=128x128" alt="" style="border: none;" /&gt;&lt;br /&gt;スターバックス STARBUCKS スタバ ☆ タンブラー マイボトル ペーパーカップ ToGo 350ml 食器 ロゴ 女神 人魚 セイレーン 白 ホワイト ステンレス 真空二重構造 水筒 ブランド クリスマス ハロウィン バレンタイン&lt;/a&gt;&lt;img src="//i.moshimo.com/af/i/impression?a_id=988729&amp;amp;p_id=54&amp;amp;pc_id=54&amp;amp;pl_id=616" alt="" width="1" height="1" style="border: 0px;" /&gt;</t>
  </si>
  <si>
    <t>タンブラーのおすすめ3選。あなたはおしゃれ派？機能派？</t>
    <rPh sb="11" eb="12">
      <t>セン</t>
    </rPh>
    <rPh sb="21" eb="22">
      <t>ハ</t>
    </rPh>
    <rPh sb="23" eb="25">
      <t>キノウ</t>
    </rPh>
    <rPh sb="25" eb="26">
      <t>ハ</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</si>
</sst>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5" borderId="12" xfId="0" applyFont="1" applyFill="1" applyBorder="1">
      <alignment vertical="center"/>
    </xf>
    <xf numFmtId="0" fontId="3" fillId="6" borderId="12" xfId="0" applyFont="1" applyFill="1" applyBorder="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tarbucks.co.jp/goods/tumbler/4524785178885/?category=goods&amp;place=2" TargetMode="External"/><Relationship Id="rId2" Type="http://schemas.openxmlformats.org/officeDocument/2006/relationships/hyperlink" Target="http://www.do-cooking.com/convenimug/index.html" TargetMode="External"/><Relationship Id="rId1" Type="http://schemas.openxmlformats.org/officeDocument/2006/relationships/hyperlink" Target="https://www.thermos.jp/info/detail/20140000010010.html"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9" t="s">
        <v>137</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138</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139</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140</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141</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142</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143</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144</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145</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138</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146</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147</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148</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149</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150</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151</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152</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153</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154</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0" t="s">
        <v>77</v>
      </c>
      <c r="C23" s="9" t="s">
        <v>155</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1"/>
      <c r="C24" s="9" t="s">
        <v>156</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78</v>
      </c>
      <c r="C25" s="9" t="s">
        <v>157</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158</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6" t="s">
        <v>79</v>
      </c>
      <c r="C27" s="37" t="s">
        <v>159</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139</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160</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148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2" t="s">
        <v>80</v>
      </c>
      <c r="C36" s="68"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27"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81</v>
      </c>
      <c r="C38" s="27" t="s">
        <v>168</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157</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8" t="s">
        <v>79</v>
      </c>
      <c r="C40" s="38" t="s">
        <v>169</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140</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176</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82</v>
      </c>
      <c r="C49" s="6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83</v>
      </c>
      <c r="B50" s="50"/>
      <c r="C50" s="6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84</v>
      </c>
      <c r="B51" s="48" t="s">
        <v>81</v>
      </c>
      <c r="C51" s="29" t="s">
        <v>179</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85</v>
      </c>
      <c r="B52" s="50"/>
      <c r="C52" s="29" t="s">
        <v>179</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86</v>
      </c>
      <c r="B53" s="11" t="s">
        <v>79</v>
      </c>
      <c r="C53" s="39" t="s">
        <v>180</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87</v>
      </c>
      <c r="B54" s="45" t="s">
        <v>88</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89</v>
      </c>
      <c r="B55" s="46"/>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90</v>
      </c>
      <c r="B56" s="47"/>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6" sqref="C16"/>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138</v>
      </c>
      <c r="C3" s="15" t="s">
        <v>139</v>
      </c>
      <c r="D3" s="16" t="s">
        <v>140</v>
      </c>
      <c r="E3" s="3"/>
      <c r="F3" s="3"/>
      <c r="G3" s="3"/>
      <c r="H3" s="3"/>
      <c r="I3" s="3"/>
      <c r="J3" s="3"/>
      <c r="K3" s="3"/>
      <c r="L3" s="3"/>
      <c r="M3" s="3"/>
      <c r="N3" s="3"/>
      <c r="O3" s="3"/>
      <c r="P3" s="3"/>
      <c r="Q3" s="3"/>
      <c r="R3" s="3"/>
      <c r="S3" s="3"/>
      <c r="T3" s="3"/>
      <c r="U3" s="3"/>
      <c r="V3" s="3"/>
      <c r="W3" s="3"/>
      <c r="X3" s="3"/>
      <c r="Y3" s="3"/>
      <c r="Z3" s="3"/>
    </row>
    <row r="4" spans="1:26" ht="15.75" thickBot="1">
      <c r="A4" s="33" t="s">
        <v>141</v>
      </c>
      <c r="B4" s="17">
        <v>5</v>
      </c>
      <c r="C4" s="17">
        <v>5</v>
      </c>
      <c r="D4" s="17">
        <v>2</v>
      </c>
      <c r="E4" s="3"/>
      <c r="F4" s="3"/>
      <c r="G4" s="3"/>
      <c r="H4" s="3"/>
      <c r="I4" s="3"/>
      <c r="J4" s="3"/>
      <c r="K4" s="3"/>
      <c r="L4" s="3"/>
      <c r="M4" s="3"/>
      <c r="N4" s="3"/>
      <c r="O4" s="3"/>
      <c r="P4" s="3"/>
      <c r="Q4" s="3"/>
      <c r="R4" s="3"/>
      <c r="S4" s="3"/>
      <c r="T4" s="3"/>
      <c r="U4" s="3"/>
      <c r="V4" s="3"/>
      <c r="W4" s="3"/>
      <c r="X4" s="3"/>
      <c r="Y4" s="3"/>
      <c r="Z4" s="3"/>
    </row>
    <row r="5" spans="1:26" ht="15.75" thickBot="1">
      <c r="A5" s="33" t="s">
        <v>142</v>
      </c>
      <c r="B5" s="17">
        <v>5</v>
      </c>
      <c r="C5" s="17">
        <v>4</v>
      </c>
      <c r="D5" s="17">
        <v>4</v>
      </c>
      <c r="E5" s="3"/>
      <c r="F5" s="3"/>
      <c r="G5" s="3"/>
      <c r="H5" s="3"/>
      <c r="I5" s="3"/>
      <c r="J5" s="3"/>
      <c r="K5" s="3"/>
      <c r="L5" s="3"/>
      <c r="M5" s="3"/>
      <c r="N5" s="3"/>
      <c r="O5" s="3"/>
      <c r="P5" s="3"/>
      <c r="Q5" s="3"/>
      <c r="R5" s="3"/>
      <c r="S5" s="3"/>
      <c r="T5" s="3"/>
      <c r="U5" s="3"/>
      <c r="V5" s="3"/>
      <c r="W5" s="3"/>
      <c r="X5" s="3"/>
      <c r="Y5" s="3"/>
      <c r="Z5" s="3"/>
    </row>
    <row r="6" spans="1:26" ht="15.75" thickBot="1">
      <c r="A6" s="33" t="s">
        <v>143</v>
      </c>
      <c r="B6" s="17">
        <v>3</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144</v>
      </c>
      <c r="B7" s="17">
        <v>5</v>
      </c>
      <c r="C7" s="17">
        <v>4</v>
      </c>
      <c r="D7" s="17">
        <v>5</v>
      </c>
      <c r="E7" s="3"/>
      <c r="F7" s="3"/>
      <c r="G7" s="3"/>
      <c r="H7" s="3"/>
      <c r="I7" s="3"/>
      <c r="J7" s="3"/>
      <c r="K7" s="3"/>
      <c r="L7" s="3"/>
      <c r="M7" s="3"/>
      <c r="N7" s="3"/>
      <c r="O7" s="3"/>
      <c r="P7" s="3"/>
      <c r="Q7" s="3"/>
      <c r="R7" s="3"/>
      <c r="S7" s="3"/>
      <c r="T7" s="3"/>
      <c r="U7" s="3"/>
      <c r="V7" s="3"/>
      <c r="W7" s="3"/>
      <c r="X7" s="3"/>
      <c r="Y7" s="3"/>
      <c r="Z7" s="3"/>
    </row>
    <row r="8" spans="1:26" ht="15.75" thickBot="1">
      <c r="A8" s="33" t="s">
        <v>145</v>
      </c>
      <c r="B8" s="17">
        <v>5</v>
      </c>
      <c r="C8" s="17">
        <v>3</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23</v>
      </c>
      <c r="C9" s="19">
        <v>19</v>
      </c>
      <c r="D9" s="19">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14" sqref="C14:C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110</v>
      </c>
      <c r="C2" s="22" t="s">
        <v>190</v>
      </c>
      <c r="D2" s="31"/>
      <c r="F2">
        <f>LEN(C1)</f>
        <v>0</v>
      </c>
      <c r="G2" t="s">
        <v>133</v>
      </c>
    </row>
    <row r="3" spans="2:8">
      <c r="B3" s="34"/>
      <c r="C3" s="31"/>
      <c r="D3" s="31"/>
      <c r="H3" t="s">
        <v>134</v>
      </c>
    </row>
    <row r="4" spans="2:8">
      <c r="B4" s="23" t="s">
        <v>123</v>
      </c>
      <c r="C4" s="23" t="s">
        <v>124</v>
      </c>
      <c r="D4" s="23" t="s">
        <v>125</v>
      </c>
      <c r="H4" t="s">
        <v>135</v>
      </c>
    </row>
    <row r="5" spans="2:8">
      <c r="B5" s="23" t="s">
        <v>108</v>
      </c>
      <c r="C5" s="22" t="str">
        <f>IF(C22="","",SUBSTITUTE(MID(C22,FIND("src=",C22)+5,FIND("alt",C22)-FIND("src=",C22)-7),"amp;",""))</f>
        <v>https://images-fe.ssl-images-amazon.com/images/I/31tMsB6AgsL.jpg</v>
      </c>
      <c r="D5" s="22" t="str">
        <f>アンケート!C13</f>
        <v>サーモス 水筒 真空断熱ケータイタンブラー360ml</v>
      </c>
      <c r="E5" t="s">
        <v>126</v>
      </c>
    </row>
    <row r="6" spans="2:8">
      <c r="B6" s="23" t="s">
        <v>107</v>
      </c>
      <c r="C6" s="22" t="str">
        <f>IF(C24="","",SUBSTITUTE(MID(C24,FIND("src=",C24)+5,FIND("alt",C24)-FIND("src=",C24)-7),"amp;",""))</f>
        <v>https://images-fe.ssl-images-amazon.com/images/I/31LCT0gihmL.jpg</v>
      </c>
      <c r="D6" s="22" t="str">
        <f>アンケート!C28</f>
        <v>ドウシシャ コンビ二マグCBCT400</v>
      </c>
      <c r="E6" t="s">
        <v>126</v>
      </c>
    </row>
    <row r="7" spans="2:8">
      <c r="B7" s="23" t="s">
        <v>106</v>
      </c>
      <c r="C7" s="22" t="str">
        <f>IF(C26="","",SUBSTITUTE(MID(C26,FIND("src=",C26)+5,FIND("alt",C26)-FIND("src=",C26)-7),"amp;",""))</f>
        <v>https://images-fe.ssl-images-amazon.com/images/I/31t88WthviL.jpg</v>
      </c>
      <c r="D7" s="22" t="str">
        <f>アンケート!C41</f>
        <v>スターバックス ロゴタンブラー350ml</v>
      </c>
      <c r="E7" t="s">
        <v>126</v>
      </c>
    </row>
    <row r="10" spans="2:8">
      <c r="B10" s="58" t="s">
        <v>105</v>
      </c>
      <c r="C10" s="59"/>
      <c r="D10" s="59"/>
      <c r="E10" s="59"/>
      <c r="F10" s="60"/>
    </row>
    <row r="11" spans="2:8">
      <c r="B11" s="32" t="s">
        <v>111</v>
      </c>
      <c r="C11" s="32" t="s">
        <v>112</v>
      </c>
      <c r="D11" s="32" t="s">
        <v>113</v>
      </c>
      <c r="E11" s="32" t="s">
        <v>114</v>
      </c>
      <c r="F11" s="32" t="s">
        <v>115</v>
      </c>
    </row>
    <row r="12" spans="2:8">
      <c r="B12" s="65" t="s">
        <v>108</v>
      </c>
      <c r="C12" s="67" t="str">
        <f>アンケート!C27</f>
        <v>https://www.thermos.jp/info/detail/20140000010010.html</v>
      </c>
      <c r="D12" s="61">
        <f>SQL!A11+1</f>
        <v>154</v>
      </c>
      <c r="E12" s="22" t="str">
        <f>アンケート!C25</f>
        <v>50代　男性</v>
      </c>
      <c r="F12" s="22" t="str">
        <f>IF(ISERROR(FIND("女",E12)),"m","w")&amp;"_"&amp;LEFT(E12,2)&amp;"_"&amp;"2"</f>
        <v>m_50_2</v>
      </c>
    </row>
    <row r="13" spans="2:8">
      <c r="B13" s="66"/>
      <c r="C13" s="67"/>
      <c r="D13" s="62"/>
      <c r="E13" s="22" t="str">
        <f>アンケート!C26</f>
        <v>20代　女性</v>
      </c>
      <c r="F13" s="22" t="str">
        <f>IF(ISERROR(FIND("女",E13)),"m","w")&amp;"_"&amp;LEFT(E13,2)&amp;"_"&amp;"1"</f>
        <v>w_20_1</v>
      </c>
    </row>
    <row r="14" spans="2:8">
      <c r="B14" s="65" t="s">
        <v>107</v>
      </c>
      <c r="C14" s="67" t="str">
        <f>アンケート!C40</f>
        <v>http://www.do-cooking.com/convenimug/index.html</v>
      </c>
      <c r="D14" s="61">
        <f>IF(D12="","",D12+1)</f>
        <v>155</v>
      </c>
      <c r="E14" s="22" t="str">
        <f>アンケート!C38</f>
        <v>40代　男性</v>
      </c>
      <c r="F14" s="22" t="str">
        <f>IF(ISERROR(FIND("女",E14)),"m","w")&amp;"_"&amp;LEFT(E14,2)&amp;"_"&amp;"2"</f>
        <v>m_40_2</v>
      </c>
    </row>
    <row r="15" spans="2:8">
      <c r="B15" s="66"/>
      <c r="C15" s="67"/>
      <c r="D15" s="62"/>
      <c r="E15" s="22" t="str">
        <f>アンケート!C39</f>
        <v>50代　男性</v>
      </c>
      <c r="F15" s="22" t="str">
        <f>IF(ISERROR(FIND("女",E15)),"m","w")&amp;"_"&amp;LEFT(E15,2)&amp;"_"&amp;"1"</f>
        <v>m_50_1</v>
      </c>
    </row>
    <row r="16" spans="2:8">
      <c r="B16" s="65" t="s">
        <v>106</v>
      </c>
      <c r="C16" s="67" t="str">
        <f>アンケート!C53</f>
        <v>http://www.starbucks.co.jp/goods/tumbler/4524785178885/?category=goods&amp;place=2</v>
      </c>
      <c r="D16" s="61">
        <f>IF(D14="","",D14+1)</f>
        <v>156</v>
      </c>
      <c r="E16" s="22" t="str">
        <f>アンケート!C51</f>
        <v>10代　女性</v>
      </c>
      <c r="F16" s="22" t="str">
        <f>IF(ISERROR(FIND("女",E16)),"m","w")&amp;"_"&amp;LEFT(E16,2)&amp;"_"&amp;"2"</f>
        <v>w_10_2</v>
      </c>
    </row>
    <row r="17" spans="2:6">
      <c r="B17" s="66"/>
      <c r="C17" s="67"/>
      <c r="D17" s="62"/>
      <c r="E17" s="22" t="str">
        <f>アンケート!C52</f>
        <v>10代　女性</v>
      </c>
      <c r="F17" s="22" t="str">
        <f t="shared" ref="F17" si="0">IF(ISERROR(FIND("女",E17)),"m","w")&amp;"_"&amp;LEFT(E17,2)&amp;"_"&amp;"1"</f>
        <v>w_10_1</v>
      </c>
    </row>
    <row r="18" spans="2:6">
      <c r="D18" s="31"/>
    </row>
    <row r="19" spans="2:6">
      <c r="D19" s="31"/>
    </row>
    <row r="20" spans="2:6">
      <c r="B20" s="63" t="s">
        <v>116</v>
      </c>
      <c r="C20" s="63"/>
      <c r="D20" s="63"/>
      <c r="E20" s="63"/>
      <c r="F20" s="63"/>
    </row>
    <row r="21" spans="2:6">
      <c r="B21" s="35" t="s">
        <v>123</v>
      </c>
      <c r="C21" s="35" t="s">
        <v>120</v>
      </c>
      <c r="D21" s="63" t="s">
        <v>121</v>
      </c>
      <c r="E21" s="63"/>
      <c r="F21" s="35" t="s">
        <v>122</v>
      </c>
    </row>
    <row r="22" spans="2:6">
      <c r="B22" s="63" t="s">
        <v>117</v>
      </c>
      <c r="C22" s="22" t="s">
        <v>184</v>
      </c>
      <c r="D22" s="64" t="str">
        <f t="shared" ref="D22:D27" si="1">IF(C22="","",SUBSTITUTE(MID(C22,FIND("href=",C22)+6,FIND("rel=",C22)-FIND("href=",C22)-8),"amp;",""))</f>
        <v>//af.moshimo.com/af/c/click?a_id=988731&amp;p_id=170&amp;pc_id=185&amp;pl_id=4062&amp;url=https%3A%2F%2Fwww.amazon.co.jp%2F%25E3%2582%25B5%25E3%2583%25BC%25E3%2583%25A2%25E3%2582%25B9-%25E7%259C%259F%25E7%25A9%25BA%25E6%2596%25AD%25E7%2586%25B1%25E3%2582%25B1%25E3%2583%25BC%25E3%2582%25BF%25E3%2582%25A4%25E3%2582%25BF%25E3%2583%25B3%25E3%2583%2596%25E3%2583%25A9%25E3%2583%25BC-%25E3%2580%2590%25E3%2583%25AF%25E3%2583%25B3%25E3%2582%25BF%25E3%2583%2583%25E3%2583%2581%25E3%2582%25AA%25E3%2583%25BC%25E3%2583%2597%25E3%2583%25B3%25E3%2582%25BF%25E3%2582%25A4%25E3%2583%2597%25E3%2580%2591-JNM-360-WH%2Fdp%2FB00M1EC4WA</v>
      </c>
      <c r="E22" s="64"/>
      <c r="F22" s="22" t="str">
        <f>IF(ISERROR(FIND("amazon",C22)),IF(ISERROR(FIND("rakuten",C22)),"","楽天"),"Amazon")</f>
        <v>Amazon</v>
      </c>
    </row>
    <row r="23" spans="2:6">
      <c r="B23" s="63"/>
      <c r="C23" s="22" t="s">
        <v>185</v>
      </c>
      <c r="D23" s="64" t="str">
        <f t="shared" si="1"/>
        <v>//af.moshimo.com/af/c/click?a_id=988729&amp;p_id=54&amp;pc_id=54&amp;pl_id=616&amp;url=https%3A%2F%2Fitem.rakuten.co.jp%2Filoiloislandimport%2Fr_b00m1ec4wa%2F&amp;m=http%3A%2F%2Fm.rakuten.co.jp%2Filoiloislandimport%2Fi%2F10156392%2F&amp;r_v=g00s98r3.9tq3e420.g00s98r3.9tq3f48c</v>
      </c>
      <c r="E23" s="64"/>
      <c r="F23" s="22" t="str">
        <f t="shared" ref="F23:F27" si="2">IF(ISERROR(FIND("amazon",C23)),IF(ISERROR(FIND("rakuten",C23)),"","楽天"),"Amazon")</f>
        <v>楽天</v>
      </c>
    </row>
    <row r="24" spans="2:6">
      <c r="B24" s="63" t="s">
        <v>118</v>
      </c>
      <c r="C24" s="22" t="s">
        <v>186</v>
      </c>
      <c r="D24" s="64" t="str">
        <f t="shared" si="1"/>
        <v>//af.moshimo.com/af/c/click?a_id=988731&amp;p_id=170&amp;pc_id=185&amp;pl_id=4062&amp;url=https%3A%2F%2Fwww.amazon.co.jp%2F%25E3%2583%2589%25E3%2582%25A6%25E3%2582%25B7%25E3%2582%25B7%25E3%2583%25A3-%25E3%2582%25B3%25E3%2583%25B3%25E3%2583%2593%25E3%2583%258B%25E3%2583%259E%25E3%2582%25B0-%25E3%2583%2580%25E3%2582%25A4%25E3%2583%25AC%25E3%2582%25AF%25E3%2583%2588%25E3%2582%25BF%25E3%2582%25A4%25E3%2583%2597-%25E7%259B%25B4%25E6%258E%25A5%25E3%2583%2589%25E3%2583%25AA%25E3%2583%2583%25E3%2583%2597-CBCT400BK%2Fdp%2FB00NBM1XEG</v>
      </c>
      <c r="E24" s="64"/>
      <c r="F24" s="22" t="str">
        <f t="shared" si="2"/>
        <v>Amazon</v>
      </c>
    </row>
    <row r="25" spans="2:6">
      <c r="B25" s="63"/>
      <c r="C25" s="22" t="s">
        <v>187</v>
      </c>
      <c r="D25" s="64" t="str">
        <f t="shared" si="1"/>
        <v>//af.moshimo.com/af/c/click?a_id=988729&amp;p_id=54&amp;pc_id=54&amp;pl_id=616&amp;url=https%3A%2F%2Fitem.rakuten.co.jp%2Fjism%2F4549549062590-24-20766-n%2F&amp;m=http%3A%2F%2Fm.rakuten.co.jp%2Fjism%2Fi%2F11635498%2F&amp;r_v=g00pukw3.9tq3ef2d.g00pukw3.9tq3fd6f</v>
      </c>
      <c r="E25" s="64"/>
      <c r="F25" s="22" t="str">
        <f t="shared" si="2"/>
        <v>楽天</v>
      </c>
    </row>
    <row r="26" spans="2:6">
      <c r="B26" s="63" t="s">
        <v>119</v>
      </c>
      <c r="C26" s="22" t="s">
        <v>188</v>
      </c>
      <c r="D26" s="64" t="str">
        <f t="shared" si="1"/>
        <v>//af.moshimo.com/af/c/click?a_id=988731&amp;p_id=170&amp;pc_id=185&amp;pl_id=4062&amp;url=https%3A%2F%2Fwww.amazon.co.jp%2FStarbucks-%25E3%2582%25B9%25E3%2582%25BF%25E3%2583%25BC%25E3%2583%2590%25E3%2583%2583%25E3%2582%25AF%25E3%2582%25B9-4524785222250-%25E3%2582%25B9%25E3%2583%2586%25E3%2583%25B3%25E3%2583%25AC%25E3%2582%25B9-ToGo%25E3%2583%25AD%25E3%2582%25B4%25E3%2582%25BF%25E3%2583%25B3%25E3%2583%2596%25E3%2583%25A9%25E3%2583%25BC%25E3%2583%259E%25E3%2583%2583%25E3%2583%2588%25E3%2583%259B%25E3%2583%25AF%25E3%2582%25A4%25E3%2583%2588%2Fdp%2FB00JV99CGY</v>
      </c>
      <c r="E26" s="64"/>
      <c r="F26" s="22" t="str">
        <f t="shared" si="2"/>
        <v>Amazon</v>
      </c>
    </row>
    <row r="27" spans="2:6">
      <c r="B27" s="63"/>
      <c r="C27" s="22" t="s">
        <v>189</v>
      </c>
      <c r="D27" s="64" t="str">
        <f t="shared" si="1"/>
        <v>//af.moshimo.com/af/c/click?a_id=988729&amp;p_id=54&amp;pc_id=54&amp;pl_id=616&amp;url=https%3A%2F%2Fitem.rakuten.co.jp%2Fmoncachette%2F152012450%2F&amp;m=http%3A%2F%2Fm.rakuten.co.jp%2Fmoncachette%2Fi%2F10009948%2F&amp;r_v=g00r7x73.9tq3ed4c.g00r7x73.9tq3f5a5</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activeCell="C12" sqref="C11:C12"/>
    </sheetView>
  </sheetViews>
  <sheetFormatPr defaultRowHeight="13.5"/>
  <cols>
    <col min="1" max="1" width="67.375" bestFit="1" customWidth="1"/>
  </cols>
  <sheetData>
    <row r="1" spans="1:1">
      <c r="A1" s="20" t="str">
        <f>CONCATENATE("&lt;h2&gt;",入力シート!C2,"&lt;/h2&gt;")</f>
        <v>&lt;h2&gt;タンブラーのおすすめ3選。あなたはおしゃれ派？機能派？&lt;/h2&gt;</v>
      </c>
    </row>
    <row r="2" spans="1:1">
      <c r="A2" s="20" t="s">
        <v>91</v>
      </c>
    </row>
    <row r="3" spans="1:1">
      <c r="A3" s="21" t="s">
        <v>92</v>
      </c>
    </row>
    <row r="4" spans="1:1">
      <c r="A4" s="20" t="str">
        <f>CONCATENATE("&lt;li&gt;", アンケート!C54, "&lt;/li&gt;")</f>
        <v>&lt;li&gt;タンブラーの購入を検討している人&lt;/li&gt;</v>
      </c>
    </row>
    <row r="5" spans="1:1">
      <c r="A5" s="20" t="str">
        <f>CONCATENATE("&lt;li&gt;", アンケート!C55, "&lt;/li&gt;")</f>
        <v>&lt;li&gt;コーヒー好きな人&lt;/li&gt;</v>
      </c>
    </row>
    <row r="6" spans="1:1">
      <c r="A6" s="20" t="str">
        <f>CONCATENATE("&lt;li&gt;", アンケート!C56, "&lt;/li&gt;")</f>
        <v>&lt;li&gt;お弁当を持参している人&lt;/li&gt;</v>
      </c>
    </row>
    <row r="7" spans="1:1">
      <c r="A7" s="20" t="s">
        <v>93</v>
      </c>
    </row>
    <row r="8" spans="1:1">
      <c r="A8" s="20" t="s">
        <v>94</v>
      </c>
    </row>
    <row r="9" spans="1:1">
      <c r="A9" s="20"/>
    </row>
    <row r="10" spans="1:1">
      <c r="A10" s="20" t="s">
        <v>131</v>
      </c>
    </row>
    <row r="11" spans="1:1">
      <c r="A11" s="20" t="s">
        <v>95</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今回紹介する『タンブラー』は「価格と品質」どちらを重要視したのかをあらわした図です。</v>
      </c>
    </row>
    <row r="14" spans="1:1">
      <c r="A14" s="30"/>
    </row>
    <row r="15" spans="1:1">
      <c r="A15" s="30" t="s">
        <v>132</v>
      </c>
    </row>
    <row r="16" spans="1:1">
      <c r="A16" s="30" t="s">
        <v>130</v>
      </c>
    </row>
    <row r="17" spans="1:2">
      <c r="A17" s="20" t="s">
        <v>94</v>
      </c>
    </row>
    <row r="18" spans="1:2">
      <c r="A18" t="s">
        <v>71</v>
      </c>
    </row>
    <row r="19" spans="1:2">
      <c r="A19" t="str">
        <f>CONCATENATE("&lt;h2&gt;『",アンケート!C2,"』 ランキング&lt;/h2&gt;")</f>
        <v>&lt;h2&gt;『タンブラー』 ランキング&lt;/h2&gt;</v>
      </c>
    </row>
    <row r="20" spans="1:2">
      <c r="A20" t="s">
        <v>96</v>
      </c>
    </row>
    <row r="22" spans="1:2">
      <c r="A22" t="str">
        <f>CONCATENATE("&lt;h3&gt;3位 ",アンケート!C41,"&lt;/h3&gt;")</f>
        <v>&lt;h3&gt;3位 スターバックス ロゴタンブラー350ml&lt;/h3&gt;</v>
      </c>
    </row>
    <row r="23" spans="1:2">
      <c r="A23" t="s">
        <v>97</v>
      </c>
    </row>
    <row r="24" spans="1:2">
      <c r="A24" t="s">
        <v>69</v>
      </c>
    </row>
    <row r="25" spans="1:2">
      <c r="A25" t="str">
        <f>アンケート!C48</f>
        <v>若い子向き。スターバックスヘビーユーザーにおすすめ。</v>
      </c>
    </row>
    <row r="26" spans="1:2">
      <c r="A26" t="s">
        <v>70</v>
      </c>
    </row>
    <row r="27" spans="1:2">
      <c r="A27" s="6" t="str">
        <f>CONCATENATE("[tblStart num=5]", 入力シート!C7, "[/tblStart]")</f>
        <v>[tblStart num=5]https://images-fe.ssl-images-amazon.com/images/I/31t88WthviL.jpg[/tblStart]</v>
      </c>
    </row>
    <row r="28" spans="1:2">
      <c r="A28" t="str">
        <f>CONCATENATE("[tdLevel type=", B28, "]", 比較表!A4, "[/tdLevel]")</f>
        <v>[tdLevel type=5]保温力[/tdLevel]</v>
      </c>
      <c r="B28">
        <f>HLOOKUP(アンケート!$C$41,比較表!$B$3:$D$8,2)</f>
        <v>5</v>
      </c>
    </row>
    <row r="29" spans="1:2">
      <c r="A29" t="str">
        <f>CONCATENATE("[tdLevel type=", B29, "]", 比較表!A5, "[/tdLevel]")</f>
        <v>[tdLevel type=5]使いやすさ[/tdLevel]</v>
      </c>
      <c r="B29">
        <f>HLOOKUP(アンケート!$C$41,比較表!$B$3:$D$8,3)</f>
        <v>5</v>
      </c>
    </row>
    <row r="30" spans="1:2">
      <c r="A30" t="str">
        <f>CONCATENATE("[tdLevel type=", B30, "]", 比較表!A6, "[/tdLevel]")</f>
        <v>[tdLevel type=3]値段[/tdLevel]</v>
      </c>
      <c r="B30">
        <f>HLOOKUP(アンケート!$C$41,比較表!$B$3:$D$8,4)</f>
        <v>3</v>
      </c>
    </row>
    <row r="31" spans="1:2">
      <c r="A31" t="str">
        <f>CONCATENATE("[tdLevel type=", B31, "]", 比較表!A7, "[/tdLevel]")</f>
        <v>[tdLevel type=5]デザイン[/tdLevel]</v>
      </c>
      <c r="B31">
        <f>HLOOKUP(アンケート!$C$41,比較表!$B$3:$D$8,5)</f>
        <v>5</v>
      </c>
    </row>
    <row r="32" spans="1:2">
      <c r="A32" t="str">
        <f>CONCATENATE("[tdLevel type=", B32, "]", 比較表!A8, "[/tdLevel]")</f>
        <v>[tdLevel type=5]色展開[/tdLevel]</v>
      </c>
      <c r="B32">
        <f>HLOOKUP(アンケート!$C$41,比較表!$B$3:$D$8,6)</f>
        <v>5</v>
      </c>
    </row>
    <row r="33" spans="1:1">
      <c r="A33" t="s">
        <v>72</v>
      </c>
    </row>
    <row r="35" spans="1:1">
      <c r="A35" s="6" t="str">
        <f>CONCATENATE("[product_link id=",入力シート!D16,"][/product_link]")</f>
        <v>[product_link id=156][/product_link]</v>
      </c>
    </row>
    <row r="36" spans="1:1">
      <c r="A36" t="s">
        <v>98</v>
      </c>
    </row>
    <row r="37" spans="1:1">
      <c r="A37" t="s">
        <v>99</v>
      </c>
    </row>
    <row r="38" spans="1:1">
      <c r="A38" t="s">
        <v>100</v>
      </c>
    </row>
    <row r="39" spans="1:1">
      <c r="A39" t="s">
        <v>92</v>
      </c>
    </row>
    <row r="40" spans="1:1">
      <c r="A40" t="str">
        <f>CONCATENATE("&lt;li&gt;", アンケート!C42,"&lt;/li&gt;")</f>
        <v>&lt;li&gt;おしゃれなデザイン&lt;/li&gt;</v>
      </c>
    </row>
    <row r="41" spans="1:1">
      <c r="A41" t="str">
        <f>CONCATENATE("&lt;li&gt;", アンケート!C43,"&lt;/li&gt;")</f>
        <v>&lt;li&gt;手頃な値段&lt;/li&gt;</v>
      </c>
    </row>
    <row r="42" spans="1:1">
      <c r="A42" t="str">
        <f>CONCATENATE("&lt;li&gt;", アンケート!C44,"&lt;/li&gt;")</f>
        <v>&lt;li&gt;タンブラー購入時に、ドリンク1杯無料券がもらえる&lt;/li&gt;</v>
      </c>
    </row>
    <row r="43" spans="1:1">
      <c r="A43" t="s">
        <v>93</v>
      </c>
    </row>
    <row r="44" spans="1:1">
      <c r="A44" t="s">
        <v>94</v>
      </c>
    </row>
    <row r="45" spans="1:1">
      <c r="A45" t="s">
        <v>101</v>
      </c>
    </row>
    <row r="46" spans="1:1">
      <c r="A46" t="s">
        <v>102</v>
      </c>
    </row>
    <row r="47" spans="1:1">
      <c r="A47" t="s">
        <v>99</v>
      </c>
    </row>
    <row r="48" spans="1:1">
      <c r="A48" t="s">
        <v>103</v>
      </c>
    </row>
    <row r="49" spans="1:1">
      <c r="A49" t="s">
        <v>92</v>
      </c>
    </row>
    <row r="50" spans="1:1">
      <c r="A50" t="str">
        <f>CONCATENATE("&lt;li&gt;", アンケート!C45,"&lt;/li&gt;")</f>
        <v>&lt;li&gt;完全密閉ではないので漏れる&lt;/li&gt;</v>
      </c>
    </row>
    <row r="51" spans="1:1">
      <c r="A51" t="str">
        <f>CONCATENATE("&lt;li&gt;", アンケート!C46,"&lt;/li&gt;")</f>
        <v>&lt;li&gt;保温力が弱い&lt;/li&gt;</v>
      </c>
    </row>
    <row r="52" spans="1:1">
      <c r="A52" t="str">
        <f>CONCATENATE("&lt;li&gt;", アンケート!C47,"&lt;/li&gt;")</f>
        <v>&lt;li&gt;人とかぶりやすい&lt;/li&gt;</v>
      </c>
    </row>
    <row r="53" spans="1:1">
      <c r="A53" t="s">
        <v>93</v>
      </c>
    </row>
    <row r="54" spans="1:1">
      <c r="A54" t="s">
        <v>94</v>
      </c>
    </row>
    <row r="55" spans="1:1">
      <c r="A55" t="s">
        <v>101</v>
      </c>
    </row>
    <row r="56" spans="1:1">
      <c r="A56" t="s">
        <v>136</v>
      </c>
    </row>
    <row r="57" spans="1:1">
      <c r="A57" t="str">
        <f>CONCATENATE("[voice icon=","""http://shomty.com/wp-content/uploads/img/parts/review/", 入力シート!F16, ".jpg", """ name=""", 入力シート!E16, """ type=""", "l", """]")</f>
        <v>[voice icon="http://shomty.com/wp-content/uploads/img/parts/review/w_10_2.jpg" name="10代　女性" type="l"]</v>
      </c>
    </row>
    <row r="58" spans="1:1">
      <c r="A58" t="str">
        <f>アンケート!C49</f>
        <v>大好きなスタバのタンブラーが欲しくて、やっとGETできました。横にしたりすると漏れるけど、学校で使うのにとても気に入っています！</v>
      </c>
    </row>
    <row r="59" spans="1:1">
      <c r="A59" t="s">
        <v>109</v>
      </c>
    </row>
    <row r="60" spans="1:1">
      <c r="A60" t="str">
        <f>CONCATENATE("[voice icon=","""http://shomty.com/wp-content/uploads/img/parts/review/", 入力シート!F17, ".jpg", """ name=""", 入力シート!E17, """ type=""", "r", """]")</f>
        <v>[voice icon="http://shomty.com/wp-content/uploads/img/parts/review/w_10_1.jpg" name="10代　女性" type="r"]</v>
      </c>
    </row>
    <row r="61" spans="1:1">
      <c r="A61" t="str">
        <f>アンケート!C50</f>
        <v>スタバが好きですが毎回は高いので、自宅で入れたコーヒーを持参しています。でもタンブラーがスタバ柄なので、スタバ気分を味わえてよいです！</v>
      </c>
    </row>
    <row r="62" spans="1:1">
      <c r="A62" t="s">
        <v>109</v>
      </c>
    </row>
    <row r="63" spans="1:1">
      <c r="A63" t="s">
        <v>104</v>
      </c>
    </row>
    <row r="64" spans="1:1">
      <c r="A64" t="str">
        <f>CONCATENATE("[reviewLink id=","""", 入力シート!D16,"""][/reviewLink]")</f>
        <v>[reviewLink id="156"][/reviewLink]</v>
      </c>
    </row>
    <row r="66" spans="1:2">
      <c r="A66" t="str">
        <f>CONCATENATE("&lt;h3&gt;2位 ",アンケート!C28,"&lt;/h3&gt;")</f>
        <v>&lt;h3&gt;2位 ドウシシャ コンビ二マグCBCT400&lt;/h3&gt;</v>
      </c>
    </row>
    <row r="67" spans="1:2">
      <c r="A67" t="s">
        <v>97</v>
      </c>
    </row>
    <row r="68" spans="1:2">
      <c r="A68" t="s">
        <v>69</v>
      </c>
    </row>
    <row r="69" spans="1:2">
      <c r="A69" t="str">
        <f>アンケート!C35</f>
        <v>コンビニでコーヒーを買うことが多い人</v>
      </c>
    </row>
    <row r="70" spans="1:2">
      <c r="A70" t="s">
        <v>70</v>
      </c>
    </row>
    <row r="71" spans="1:2">
      <c r="A71" s="6" t="str">
        <f>CONCATENATE("[tblStart num=5]", 入力シート!$C$6, "[/tblStart]")</f>
        <v>[tblStart num=5]https://images-fe.ssl-images-amazon.com/images/I/31LCT0gihmL.jpg[/tblStart]</v>
      </c>
    </row>
    <row r="72" spans="1:2">
      <c r="A72" t="str">
        <f>CONCATENATE("[tdLevel type=", B72, "]", 比較表!A4, "[/tdLevel]")</f>
        <v>[tdLevel type=5]保温力[/tdLevel]</v>
      </c>
      <c r="B72">
        <f>HLOOKUP(アンケート!$C$28,比較表!$B$3:$D$8,2,FALSE)</f>
        <v>5</v>
      </c>
    </row>
    <row r="73" spans="1:2">
      <c r="A73" t="str">
        <f>CONCATENATE("[tdLevel type=", B73, "]", 比較表!A5, "[/tdLevel]")</f>
        <v>[tdLevel type=4]使いやすさ[/tdLevel]</v>
      </c>
      <c r="B73">
        <f>HLOOKUP(アンケート!$C$28,比較表!$B$3:$D$8,3,FALSE)</f>
        <v>4</v>
      </c>
    </row>
    <row r="74" spans="1:2">
      <c r="A74" t="str">
        <f>CONCATENATE("[tdLevel type=", B74, "]", 比較表!A6, "[/tdLevel]")</f>
        <v>[tdLevel type=3]値段[/tdLevel]</v>
      </c>
      <c r="B74">
        <f>HLOOKUP(アンケート!$C$28,比較表!$B$3:$D$8,4,FALSE)</f>
        <v>3</v>
      </c>
    </row>
    <row r="75" spans="1:2">
      <c r="A75" t="str">
        <f>CONCATENATE("[tdLevel type=", B75, "]", 比較表!A7, "[/tdLevel]")</f>
        <v>[tdLevel type=4]デザイン[/tdLevel]</v>
      </c>
      <c r="B75">
        <f>HLOOKUP(アンケート!$C$28,比較表!$B$3:$D$8,5,FALSE)</f>
        <v>4</v>
      </c>
    </row>
    <row r="76" spans="1:2">
      <c r="A76" t="str">
        <f>CONCATENATE("[tdLevel type=", B76, "]", 比較表!A8, "[/tdLevel]")</f>
        <v>[tdLevel type=3]色展開[/tdLevel]</v>
      </c>
      <c r="B76">
        <f>HLOOKUP(アンケート!$C$28,比較表!$B$3:$D$8,6,FALSE)</f>
        <v>3</v>
      </c>
    </row>
    <row r="77" spans="1:2">
      <c r="A77" t="s">
        <v>72</v>
      </c>
    </row>
    <row r="79" spans="1:2">
      <c r="A79" s="6" t="str">
        <f>CONCATENATE("[product_link id=",入力シート!D14,"][/product_link]")</f>
        <v>[product_link id=155][/product_link]</v>
      </c>
    </row>
    <row r="80" spans="1:2">
      <c r="A80" t="s">
        <v>98</v>
      </c>
    </row>
    <row r="81" spans="1:1">
      <c r="A81" t="s">
        <v>99</v>
      </c>
    </row>
    <row r="82" spans="1:1">
      <c r="A82" t="s">
        <v>100</v>
      </c>
    </row>
    <row r="83" spans="1:1">
      <c r="A83" t="s">
        <v>92</v>
      </c>
    </row>
    <row r="84" spans="1:1">
      <c r="A84" t="str">
        <f>CONCATENATE("&lt;li&gt;", アンケート!C29,"&lt;/li&gt;")</f>
        <v>&lt;li&gt;真空二重構造で温かさが持続&lt;/li&gt;</v>
      </c>
    </row>
    <row r="85" spans="1:1">
      <c r="A85" t="str">
        <f>CONCATENATE("&lt;li&gt;", アンケート!C30,"&lt;/li&gt;")</f>
        <v>&lt;li&gt;洗いやすい&lt;/li&gt;</v>
      </c>
    </row>
    <row r="86" spans="1:1">
      <c r="A86" t="str">
        <f>CONCATENATE("&lt;li&gt;", アンケート!C31,"&lt;/li&gt;")</f>
        <v>&lt;li&gt;コンビニのコーヒーマシンに対応&lt;/li&gt;</v>
      </c>
    </row>
    <row r="87" spans="1:1">
      <c r="A87" t="s">
        <v>93</v>
      </c>
    </row>
    <row r="88" spans="1:1">
      <c r="A88" t="s">
        <v>94</v>
      </c>
    </row>
    <row r="89" spans="1:1">
      <c r="A89" t="s">
        <v>101</v>
      </c>
    </row>
    <row r="90" spans="1:1">
      <c r="A90" t="s">
        <v>102</v>
      </c>
    </row>
    <row r="91" spans="1:1">
      <c r="A91" t="s">
        <v>99</v>
      </c>
    </row>
    <row r="92" spans="1:1">
      <c r="A92" t="s">
        <v>103</v>
      </c>
    </row>
    <row r="93" spans="1:1">
      <c r="A93" t="s">
        <v>92</v>
      </c>
    </row>
    <row r="94" spans="1:1">
      <c r="A94" t="str">
        <f>CONCATENATE("&lt;li&gt;", アンケート!C32,"&lt;/li&gt;")</f>
        <v>&lt;li&gt;蓋が固くて閉めにくい&lt;/li&gt;</v>
      </c>
    </row>
    <row r="95" spans="1:1">
      <c r="A95" t="str">
        <f>CONCATENATE("&lt;li&gt;", アンケート!C33,"&lt;/li&gt;")</f>
        <v>&lt;li&gt;傷がつきやすい&lt;/li&gt;</v>
      </c>
    </row>
    <row r="96" spans="1:1">
      <c r="A96" t="str">
        <f>CONCATENATE("&lt;li&gt;", アンケート!C34,"&lt;/li&gt;")</f>
        <v>&lt;li&gt;地味な色（3色展開）&lt;/li&gt;</v>
      </c>
    </row>
    <row r="97" spans="1:1">
      <c r="A97" t="s">
        <v>93</v>
      </c>
    </row>
    <row r="98" spans="1:1">
      <c r="A98" t="s">
        <v>94</v>
      </c>
    </row>
    <row r="99" spans="1:1">
      <c r="A99" t="s">
        <v>101</v>
      </c>
    </row>
    <row r="100" spans="1:1">
      <c r="A100" t="s">
        <v>136</v>
      </c>
    </row>
    <row r="101" spans="1:1">
      <c r="A101" t="str">
        <f>CONCATENATE("[voice icon=","""http://shomty.com/wp-content/uploads/img/parts/review/", 入力シート!F14, ".jpg", """ name=""", 入力シート!E14, """ type=""", "l", """]")</f>
        <v>[voice icon="http://shomty.com/wp-content/uploads/img/parts/review/m_40_2.jpg" name="40代　男性" type="l"]</v>
      </c>
    </row>
    <row r="102" spans="1:1">
      <c r="A102" t="str">
        <f>アンケート!C36</f>
        <v>いつもコンビニでコーヒーを購入しています。これまでは紙コップゆえにこぼしてしまうこともありましたが、このタンブラーは自分にぴったりでした！</v>
      </c>
    </row>
    <row r="103" spans="1:1">
      <c r="A103" t="s">
        <v>109</v>
      </c>
    </row>
    <row r="104" spans="1:1">
      <c r="A104" t="str">
        <f>CONCATENATE("[voice icon=","""http://shomty.com/wp-content/uploads/img/parts/review/", 入力シート!F15, ".jpg", """ name=""", 入力シート!E15, """ type=""", "r", """]")</f>
        <v>[voice icon="http://shomty.com/wp-content/uploads/img/parts/review/m_50_1.jpg" name="50代　男性" type="r"]</v>
      </c>
    </row>
    <row r="105" spans="1:1">
      <c r="A105" t="str">
        <f>アンケート!C37</f>
        <v>車の運転をする際にも、ドリンクホルダーにフィットするので重宝しています。</v>
      </c>
    </row>
    <row r="106" spans="1:1">
      <c r="A106" t="s">
        <v>109</v>
      </c>
    </row>
    <row r="107" spans="1:1">
      <c r="A107" t="s">
        <v>104</v>
      </c>
    </row>
    <row r="108" spans="1:1">
      <c r="A108" t="str">
        <f>CONCATENATE("[reviewLink id=","""", 入力シート!D14,"""][/reviewLink]")</f>
        <v>[reviewLink id="155"][/reviewLink]</v>
      </c>
    </row>
    <row r="110" spans="1:1">
      <c r="A110" t="str">
        <f>CONCATENATE("&lt;h3&gt;1位 ",アンケート!C13,"&lt;/h3&gt;")</f>
        <v>&lt;h3&gt;1位 サーモス 水筒 真空断熱ケータイタンブラー360ml&lt;/h3&gt;</v>
      </c>
    </row>
    <row r="111" spans="1:1">
      <c r="A111" t="s">
        <v>97</v>
      </c>
    </row>
    <row r="112" spans="1:1">
      <c r="A112" t="s">
        <v>69</v>
      </c>
    </row>
    <row r="113" spans="1:2">
      <c r="A113" t="str">
        <f>アンケート!C22</f>
        <v>使いやすさを重視したい人</v>
      </c>
    </row>
    <row r="114" spans="1:2">
      <c r="A114" t="s">
        <v>70</v>
      </c>
    </row>
    <row r="115" spans="1:2" ht="27">
      <c r="A115" s="6" t="str">
        <f>CONCATENATE("[tblStart num=5]", 入力シート!C5, "[/tblStart]")</f>
        <v>[tblStart num=5]https://images-fe.ssl-images-amazon.com/images/I/31tMsB6AgsL.jpg[/tblStart]</v>
      </c>
    </row>
    <row r="116" spans="1:2">
      <c r="A116" t="str">
        <f>CONCATENATE("[tdLevel type=", B116, "]", 比較表!A4, "[/tdLevel]")</f>
        <v>[tdLevel type=5]保温力[/tdLevel]</v>
      </c>
      <c r="B116">
        <f>HLOOKUP(アンケート!$C$13,比較表!$B$3:$D$8,2,FALSE)</f>
        <v>5</v>
      </c>
    </row>
    <row r="117" spans="1:2">
      <c r="A117" t="str">
        <f>CONCATENATE("[tdLevel type=", B117, "]", 比較表!A5, "[/tdLevel]")</f>
        <v>[tdLevel type=5]使いやすさ[/tdLevel]</v>
      </c>
      <c r="B117">
        <f>HLOOKUP(アンケート!$C$13,比較表!$B$3:$D$8,3,FALSE)</f>
        <v>5</v>
      </c>
    </row>
    <row r="118" spans="1:2">
      <c r="A118" t="str">
        <f>CONCATENATE("[tdLevel type=", B118, "]", 比較表!A6, "[/tdLevel]")</f>
        <v>[tdLevel type=3]値段[/tdLevel]</v>
      </c>
      <c r="B118">
        <f>HLOOKUP(アンケート!$C$13,比較表!$B$3:$D$8,4,FALSE)</f>
        <v>3</v>
      </c>
    </row>
    <row r="119" spans="1:2">
      <c r="A119" t="str">
        <f>CONCATENATE("[tdLevel type=", B119, "]", 比較表!A7, "[/tdLevel]")</f>
        <v>[tdLevel type=5]デザイン[/tdLevel]</v>
      </c>
      <c r="B119">
        <f>HLOOKUP(アンケート!$C$13,比較表!$B$3:$D$8,5,FALSE)</f>
        <v>5</v>
      </c>
    </row>
    <row r="120" spans="1:2">
      <c r="A120" t="str">
        <f>CONCATENATE("[tdLevel type=", B120, "]", 比較表!A8, "[/tdLevel]")</f>
        <v>[tdLevel type=5]色展開[/tdLevel]</v>
      </c>
      <c r="B120">
        <f>HLOOKUP(アンケート!$C$13,比較表!$B$3:$D$8,6,FALSE)</f>
        <v>5</v>
      </c>
    </row>
    <row r="121" spans="1:2">
      <c r="A121" t="s">
        <v>72</v>
      </c>
    </row>
    <row r="123" spans="1:2">
      <c r="A123" s="6" t="str">
        <f>CONCATENATE("[product_link id=",入力シート!D12,"][/product_link]")</f>
        <v>[product_link id=154][/product_link]</v>
      </c>
    </row>
    <row r="124" spans="1:2">
      <c r="A124" t="s">
        <v>98</v>
      </c>
    </row>
    <row r="125" spans="1:2">
      <c r="A125" t="s">
        <v>99</v>
      </c>
    </row>
    <row r="126" spans="1:2">
      <c r="A126" t="s">
        <v>100</v>
      </c>
    </row>
    <row r="127" spans="1:2">
      <c r="A127" t="s">
        <v>92</v>
      </c>
    </row>
    <row r="128" spans="1:2">
      <c r="A128" t="str">
        <f>CONCATENATE("&lt;li&gt;", アンケート!C14,"&lt;/li&gt;")</f>
        <v>&lt;li&gt;ワンタッチで開けられて使いやすい&lt;/li&gt;</v>
      </c>
    </row>
    <row r="129" spans="1:1">
      <c r="A129" t="str">
        <f>CONCATENATE("&lt;li&gt;", アンケート!C15,"&lt;/li&gt;")</f>
        <v>&lt;li&gt;数時間後でもまだ熱々が飲める&lt;/li&gt;</v>
      </c>
    </row>
    <row r="130" spans="1:1">
      <c r="A130" t="str">
        <f>CONCATENATE("&lt;li&gt;", アンケート!C16,"&lt;/li&gt;")</f>
        <v>&lt;li&gt;洗いやすい&lt;/li&gt;</v>
      </c>
    </row>
    <row r="131" spans="1:1">
      <c r="A131" t="str">
        <f>CONCATENATE("&lt;li&gt;", アンケート!C17,"&lt;/li&gt;")</f>
        <v>&lt;li&gt;色味が好み（3色展開）&lt;/li&gt;</v>
      </c>
    </row>
    <row r="132" spans="1:1">
      <c r="A132" t="s">
        <v>93</v>
      </c>
    </row>
    <row r="133" spans="1:1">
      <c r="A133" t="s">
        <v>94</v>
      </c>
    </row>
    <row r="134" spans="1:1">
      <c r="A134" t="s">
        <v>101</v>
      </c>
    </row>
    <row r="135" spans="1:1">
      <c r="A135" t="s">
        <v>102</v>
      </c>
    </row>
    <row r="136" spans="1:1">
      <c r="A136" t="s">
        <v>99</v>
      </c>
    </row>
    <row r="137" spans="1:1">
      <c r="A137" t="s">
        <v>103</v>
      </c>
    </row>
    <row r="138" spans="1:1">
      <c r="A138" t="s">
        <v>92</v>
      </c>
    </row>
    <row r="139" spans="1:1">
      <c r="A139" t="str">
        <f>CONCATENATE("&lt;li&gt;", アンケート!C18,"&lt;/li&gt;")</f>
        <v>&lt;li&gt;ギリギリまで飲み物を入れると、漏れることがある&lt;/li&gt;</v>
      </c>
    </row>
    <row r="140" spans="1:1">
      <c r="A140" t="str">
        <f>CONCATENATE("&lt;li&gt;", アンケート!C19,"&lt;/li&gt;")</f>
        <v>&lt;li&gt;値段が張る&lt;/li&gt;</v>
      </c>
    </row>
    <row r="141" spans="1:1">
      <c r="A141" t="str">
        <f>CONCATENATE("&lt;li&gt;", アンケート!C20,"&lt;/li&gt;")</f>
        <v>&lt;li&gt;ステンレス製なので落とすと凹む&lt;/li&gt;</v>
      </c>
    </row>
    <row r="142" spans="1:1">
      <c r="A142" t="str">
        <f>CONCATENATE("&lt;li&gt;", アンケート!C21,"&lt;/li&gt;")</f>
        <v>&lt;li&gt;飲み口が大きいので、いっきに液体が出てくる&lt;/li&gt;</v>
      </c>
    </row>
    <row r="143" spans="1:1">
      <c r="A143" t="s">
        <v>93</v>
      </c>
    </row>
    <row r="144" spans="1:1">
      <c r="A144" t="s">
        <v>94</v>
      </c>
    </row>
    <row r="145" spans="1:1">
      <c r="A145" t="s">
        <v>101</v>
      </c>
    </row>
    <row r="146" spans="1:1">
      <c r="A146" t="s">
        <v>136</v>
      </c>
    </row>
    <row r="147" spans="1:1">
      <c r="A147" t="str">
        <f>CONCATENATE("[voice icon=","""http://shomty.com/wp-content/uploads/img/parts/review/", 入力シート!F12, ".jpg", """ name=""", 入力シート!E12, """ type=""", "l", """]")</f>
        <v>[voice icon="http://shomty.com/wp-content/uploads/img/parts/review/m_50_2.jpg" name="50代　男性" type="l"]</v>
      </c>
    </row>
    <row r="148" spans="1:1">
      <c r="A148" t="str">
        <f>アンケート!C23</f>
        <v>口元が樹脂素材で出来ているので、口当たりが良く気に入っています。</v>
      </c>
    </row>
    <row r="149" spans="1:1">
      <c r="A149" t="s">
        <v>109</v>
      </c>
    </row>
    <row r="150" spans="1:1">
      <c r="A150" t="str">
        <f>CONCATENATE("[voice icon=","""http://shomty.com/wp-content/uploads/img/parts/review/", 入力シート!F13, ".jpg", """ name=""", 入力シート!E13, """ type=""", "r", """]")</f>
        <v>[voice icon="http://shomty.com/wp-content/uploads/img/parts/review/w_20_1.jpg" name="20代　女性" type="r"]</v>
      </c>
    </row>
    <row r="151" spans="1:1">
      <c r="A151" t="str">
        <f>アンケート!C24</f>
        <v>数時間たっても、入れたてのような温かい飲み物が飲めるので、冬場に大活躍です。</v>
      </c>
    </row>
    <row r="152" spans="1:1">
      <c r="A152" t="s">
        <v>109</v>
      </c>
    </row>
    <row r="153" spans="1:1">
      <c r="A153" t="s">
        <v>104</v>
      </c>
    </row>
    <row r="154" spans="1:1">
      <c r="A154" t="str">
        <f>CONCATENATE("[reviewLink id=","""", 入力シート!D12,"""][/reviewLink]")</f>
        <v>[reviewLink id="154"][/reviewLink]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129</v>
      </c>
    </row>
    <row r="2" spans="1:1">
      <c r="A2" t="str">
        <f>"("&amp;入力シート!D12&amp;","&amp;"'"&amp;入力シート!D22&amp;"', '"&amp;入力シート!D23&amp;"', '"&amp;入力シート!C12&amp;"', '"&amp;入力シート!C5&amp;"', '"&amp;入力シート!D5&amp;"'),"</f>
        <v>(154,'//af.moshimo.com/af/c/click?a_id=988731&amp;p_id=170&amp;pc_id=185&amp;pl_id=4062&amp;url=https%3A%2F%2Fwww.amazon.co.jp%2F%25E3%2582%25B5%25E3%2583%25BC%25E3%2583%25A2%25E3%2582%25B9-%25E7%259C%259F%25E7%25A9%25BA%25E6%2596%25AD%25E7%2586%25B1%25E3%2582%25B1%25E3%2583%25BC%25E3%2582%25BF%25E3%2582%25A4%25E3%2582%25BF%25E3%2583%25B3%25E3%2583%2596%25E3%2583%25A9%25E3%2583%25BC-%25E3%2580%2590%25E3%2583%25AF%25E3%2583%25B3%25E3%2582%25BF%25E3%2583%2583%25E3%2583%2581%25E3%2582%25AA%25E3%2583%25BC%25E3%2583%2597%25E3%2583%25B3%25E3%2582%25BF%25E3%2582%25A4%25E3%2583%2597%25E3%2580%2591-JNM-360-WH%2Fdp%2FB00M1EC4WA', '//af.moshimo.com/af/c/click?a_id=988729&amp;p_id=54&amp;pc_id=54&amp;pl_id=616&amp;url=https%3A%2F%2Fitem.rakuten.co.jp%2Filoiloislandimport%2Fr_b00m1ec4wa%2F&amp;m=http%3A%2F%2Fm.rakuten.co.jp%2Filoiloislandimport%2Fi%2F10156392%2F&amp;r_v=g00s98r3.9tq3e420.g00s98r3.9tq3f48c', 'https://www.thermos.jp/info/detail/20140000010010.html', 'https://images-fe.ssl-images-amazon.com/images/I/31tMsB6AgsL.jpg', 'サーモス 水筒 真空断熱ケータイタンブラー360ml'),</v>
      </c>
    </row>
    <row r="3" spans="1:1">
      <c r="A3" t="str">
        <f>"("&amp;入力シート!D14&amp;","&amp;"'"&amp;入力シート!D24&amp;"', '"&amp;入力シート!D25&amp;"', '"&amp;入力シート!C14&amp;"', '"&amp;入力シート!C6&amp;"', '"&amp;入力シート!D6&amp;"'),"</f>
        <v>(155,'//af.moshimo.com/af/c/click?a_id=988731&amp;p_id=170&amp;pc_id=185&amp;pl_id=4062&amp;url=https%3A%2F%2Fwww.amazon.co.jp%2F%25E3%2583%2589%25E3%2582%25A6%25E3%2582%25B7%25E3%2582%25B7%25E3%2583%25A3-%25E3%2582%25B3%25E3%2583%25B3%25E3%2583%2593%25E3%2583%258B%25E3%2583%259E%25E3%2582%25B0-%25E3%2583%2580%25E3%2582%25A4%25E3%2583%25AC%25E3%2582%25AF%25E3%2583%2588%25E3%2582%25BF%25E3%2582%25A4%25E3%2583%2597-%25E7%259B%25B4%25E6%258E%25A5%25E3%2583%2589%25E3%2583%25AA%25E3%2583%2583%25E3%2583%2597-CBCT400BK%2Fdp%2FB00NBM1XEG', '//af.moshimo.com/af/c/click?a_id=988729&amp;p_id=54&amp;pc_id=54&amp;pl_id=616&amp;url=https%3A%2F%2Fitem.rakuten.co.jp%2Fjism%2F4549549062590-24-20766-n%2F&amp;m=http%3A%2F%2Fm.rakuten.co.jp%2Fjism%2Fi%2F11635498%2F&amp;r_v=g00pukw3.9tq3ef2d.g00pukw3.9tq3fd6f', 'http://www.do-cooking.com/convenimug/index.html', 'https://images-fe.ssl-images-amazon.com/images/I/31LCT0gihmL.jpg', 'ドウシシャ コンビ二マグCBCT400'),</v>
      </c>
    </row>
    <row r="4" spans="1:1">
      <c r="A4" t="str">
        <f>"("&amp;入力シート!D16&amp;","&amp;"'"&amp;入力シート!D26&amp;"', '"&amp;入力シート!D27&amp;"', '"&amp;入力シート!C16&amp;"', '"&amp;入力シート!C7&amp;"', '"&amp;入力シート!D7&amp;"');"</f>
        <v>(156,'//af.moshimo.com/af/c/click?a_id=988731&amp;p_id=170&amp;pc_id=185&amp;pl_id=4062&amp;url=https%3A%2F%2Fwww.amazon.co.jp%2FStarbucks-%25E3%2582%25B9%25E3%2582%25BF%25E3%2583%25BC%25E3%2583%2590%25E3%2583%2583%25E3%2582%25AF%25E3%2582%25B9-4524785222250-%25E3%2582%25B9%25E3%2583%2586%25E3%2583%25B3%25E3%2583%25AC%25E3%2582%25B9-ToGo%25E3%2583%25AD%25E3%2582%25B4%25E3%2582%25BF%25E3%2583%25B3%25E3%2583%2596%25E3%2583%25A9%25E3%2583%25BC%25E3%2583%259E%25E3%2583%2583%25E3%2583%2588%25E3%2583%259B%25E3%2583%25AF%25E3%2582%25A4%25E3%2583%2588%2Fdp%2FB00JV99CGY', '//af.moshimo.com/af/c/click?a_id=988729&amp;p_id=54&amp;pc_id=54&amp;pl_id=616&amp;url=https%3A%2F%2Fitem.rakuten.co.jp%2Fmoncachette%2F152012450%2F&amp;m=http%3A%2F%2Fm.rakuten.co.jp%2Fmoncachette%2Fi%2F10009948%2F&amp;r_v=g00r7x73.9tq3ed4c.g00r7x73.9tq3f5a5', 'http://www.starbucks.co.jp/goods/tumbler/4524785178885/?category=goods&amp;place=2', 'https://images-fe.ssl-images-amazon.com/images/I/31t88WthviL.jpg', 'スターバックス ロゴタンブラー350ml');</v>
      </c>
    </row>
    <row r="9" spans="1:1">
      <c r="A9" s="36" t="s">
        <v>128</v>
      </c>
    </row>
    <row r="10" spans="1:1">
      <c r="A10" t="s">
        <v>127</v>
      </c>
    </row>
    <row r="11" spans="1:1" ht="18.75">
      <c r="A11" s="70">
        <v>153</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2018-07-05T02:23:07Z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