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<sst xmlns="http://schemas.openxmlformats.org/spreadsheetml/2006/main" count="268" uniqueCount="186">
  <si>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</si>
  <si>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</si>
  <si>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</si>
  <si>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</si>
  <si>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</si>
  <si>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</si>
  <si>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</si>
  <si>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</si>
  <si>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</si>
  <si>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</si>
  <si>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</si>
  <si>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</si>
  <si>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</si>
  <si>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</si>
  <si>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</si>
  <si>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</si>
  <si>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</si>
  <si>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</si>
  <si>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</si>
  <si>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</si>
  <si>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</si>
  <si>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</si>
  <si>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</si>
  <si>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</si>
  <si>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</si>
  <si>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</si>
  <si>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</si>
  <si>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</si>
  <si>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</si>
  <si>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</si>
  <si>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</si>
  <si>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</si>
  <si>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</si>
  <si>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</si>
  <si>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</si>
  <si>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</si>
  <si>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</si>
  <si>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</si>
  <si>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</si>
  <si>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</si>
  <si>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</si>
  <si>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</si>
  <si>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</si>
  <si>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</si>
  <si>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</si>
  <si>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</si>
  <si>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</si>
  <si>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</si>
  <si>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</si>
  <si>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</si>
  <si>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</si>
  <si>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</si>
  <si>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</si>
  <si>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</si>
  <si>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</si>
  <si>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</si>
  <si>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</si>
  <si>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</si>
  <si>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</si>
  <si>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</si>
  <si>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</si>
  <si>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</si>
  <si>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</si>
  <si>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</si>
  <si>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</si>
  <si>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</si>
  <si>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</si>
  <si>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</si>
  <si>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</si>
  <si>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</si>
  <si>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</si>
  <si>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</si>
  <si>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</si>
  <si>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</si>
  <si>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</si>
  <si>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</si>
  <si>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</si>
  <si>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</si>
  <si>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</si>
  <si>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</si>
  <si>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</si>
  <si>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</si>
  <si>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</si>
  <si>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</si>
  <si>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</si>
  <si>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</si>
  <si>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</si>
  <si>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</si>
  <si>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</si>
  <si>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</si>
  <si>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</si>
  <si>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</si>
  <si>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</si>
  <si>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</si>
  <si>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</si>
  <si>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</si>
  <si>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</si>
  <si>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</si>
  <si>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</si>
  <si>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</si>
  <si>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</si>
  <si>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</si>
  <si>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</si>
  <si>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</si>
  <si>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</si>
  <si>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</si>
  <si>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</si>
  <si>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</si>
  <si>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</si>
  <si>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</si>
  <si>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</si>
  <si>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</si>
  <si>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</si>
  <si>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</si>
  <si>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</si>
  <si>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</si>
  <si>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</si>
  <si>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</si>
  <si>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</si>
  <si>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</si>
  <si>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</si>
  <si>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</si>
  <si>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</si>
  <si>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</si>
  <si>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</si>
  <si>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</si>
  <si>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コスパが良い</t>
  </si>
  <si>
    <t>値段が高い</t>
  </si>
  <si>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</si>
  <si>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</si>
  <si>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</si>
  <si>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</si>
  <si>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</si>
  <si>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</si>
  <si>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</si>
  <si>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</si>
  <si>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ビタミン美容液</t>
  </si>
  <si>
    <t>メンソレータム　メラノCC薬用シミ集中対策液</t>
  </si>
  <si>
    <t>オバジ　オバジC10セラム</t>
  </si>
  <si>
    <t>ESS　エステVCエッセンスN</t>
  </si>
  <si>
    <t>シミが薄くなる</t>
  </si>
  <si>
    <t>肌への刺激が少ない</t>
  </si>
  <si>
    <t>コスパ</t>
  </si>
  <si>
    <t>購入しやすい</t>
  </si>
  <si>
    <t>使いやすい</t>
  </si>
  <si>
    <t>消炎効果もある</t>
  </si>
  <si>
    <t>ドラッグストアでも手に入る</t>
  </si>
  <si>
    <t>人気すぎて欠品している場合がある</t>
  </si>
  <si>
    <t>評価が高すぎて、期待しすぎていると使用してみて思ったほどの効果を感じられない場合もある</t>
  </si>
  <si>
    <t>ビタミンなので、朝使用すると日焼けしやすくなる可能性がある</t>
  </si>
  <si>
    <t>頑固なシミを消すのは難しい</t>
  </si>
  <si>
    <t>手軽にシミ対策がしたい方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</si>
  <si>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</si>
  <si>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メラノCCは美容系ユーチューバーさんが、アクアレーベルの化粧水と混ぜて使用すると肌が白くなると言っていたので、購入しました。
消炎効果もあるので、肌トラブルに悩むことが減りました。
シミも若干薄くなってきて嬉しいです。
</t>
  </si>
  <si>
    <t xml:space="preserve">SNSで話題になっていて、ニキビ跡にも効果があると聞いたので、使用してみましたが、徐々に薄くなってきたように感じます。
肌への刺激もなくコスパもいいので、とても気に入っています。
これからもリピートしたいと思います。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</si>
  <si>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</si>
  <si>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</si>
  <si>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https://www.cosme.net/product/product_id/10086817/reviews</t>
  </si>
  <si>
    <t>毛穴が小さくなる</t>
  </si>
  <si>
    <t>ネットでしか販売していない</t>
  </si>
  <si>
    <t>詰め替え用は生産終了になる</t>
  </si>
  <si>
    <t>コスパは悪くはないが価格が高めなので、最初の購入は勇気がいる</t>
  </si>
  <si>
    <t>シミ・毛穴対策したい方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</si>
  <si>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</si>
  <si>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パパウォッシュの酵素洗顔とエステVCエッセンスNのお得なお試しセットがあったので、購入しました。
お肌にスーッと伸びてくれて、しっかり浸透してくれます。
べたつきもなく乾燥もしないうえ、シミも薄くなってきているので、気に入っています。
</t>
  </si>
  <si>
    <t xml:space="preserve">脂性なのでさっぱりしていて使用感がとてもよかったです。
シミもかなり薄くなりましたし、毛穴も小さくなったように感じます。
肌に透明感もでてきたので、期待以上の効果に驚いています。
最初は高く感じましたが、少量で済むのでコスパも良いと思います。
</t>
  </si>
  <si>
    <t>https://shopping.yahoo.co.jp/review/item/list?store_id=ess-shop&amp;page_key=263600&amp;sc_i=shp_pc_item_review_c</t>
  </si>
  <si>
    <t>肌のざらつきが軽減する</t>
  </si>
  <si>
    <t>瓶なので、旅行など持ち運びに不便</t>
  </si>
  <si>
    <t>肌が弱い方は刺激を感じる場合がある</t>
  </si>
  <si>
    <t>高くてもシミに効果のある商品を試してい方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</si>
  <si>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</si>
  <si>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とても肌に綺麗な友人に教えてもらい、購入しました。
使用し始めて1週間で、肌の調子が良くなり効果を実感しました。
にきびができ始めていたのですが、にきびがなくなり、肌の肌理が細かくなってきました。
これからもリピートしたいと思います。
</t>
  </si>
  <si>
    <t xml:space="preserve">オバジCを使用し始めてから、長年コンプレックスだった毛穴の開きや黒ずみが以前に比べ気にならなくなりました。
こういった商品で実際にわかりやすい効果を感じられる商品はなかなかないので、とても嬉しかったです。
</t>
  </si>
  <si>
    <t>https://www.cosme.net/product/product_id/10074421/reviews</t>
  </si>
  <si>
    <t>今回取り上げたアイテムは、「何を求めてる人」にピッタリだと思いますか？
具体的に3つ記入してください。</t>
  </si>
  <si>
    <t>シミを薄くできる美容液を求めている方</t>
  </si>
  <si>
    <t>毛穴の開き・黒ずみ改善に効果のある美容液を求めている方</t>
  </si>
  <si>
    <t>肌荒れ予防にも効果のある美容液を求めている方</t>
  </si>
  <si>
    <t>&lt;a target="_blank" href="//af.moshimo.com/af/c/click?a_id=988731&amp;amp;p_id=170&amp;amp;pc_id=185&amp;amp;pl_id=4062&amp;amp;url=https%3A%2F%2Fwww.amazon.co.jp%2F%25E3%2583%25A1%25E3%2583%25A9%25E3%2583%258ECC-%25E8%2596%25AC%25E7%2594%25A8%25E3%2581%2597%25E3%2581%25BF-%25E9%259B%2586%25E4%25B8%25AD%25E5%25AF%25BE%25E7%25AD%2596-W%25E3%2583%2593%25E3%2582%25BF%25E3%2583%259F%25E3%2583%25B3%25E6%25B5%25B8%25E9%2580%258F%25E7%25BE%258E%25E5%25AE%25B9%25E6%25B6%25B2-%25E3%2580%2590%25E5%258C%25BB%25E8%2596%25AC%25E9%2583%25A8%25E5%25A4%2596%25E5%2593%2581%25E3%2580%2591%2Fdp%2FB00ITAP8P0" rel="nofollow"&gt;&lt;img src="https://images-fe.ssl-images-amazon.com/images/I/51w7yImV2uL.jpg" alt="" style="border: none;" /&gt;&lt;br /&gt;メラノCC 薬用しみ 集中対策 Wビタミン浸透美容液 20mL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</si>
  <si>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osharecafe%2F6024732%2F&amp;amp;m=http%3A%2F%2Fm.rakuten.co.jp%2Fosharecafe%2Fi%2F10040123%2F&amp;amp;r_v=g00quio3.9tq3e9d6.g00quio3.9tq3f2bc" rel="nofollow"&gt;&lt;img src="//thumbnail.image.rakuten.co.jp/@0_mall/osharecafe/cabinet/product/other3/rocc-6024732.jpg?_ex=128x128" alt="" style="border: none;" /&gt;&lt;br /&gt;ロート製薬 メラノCC薬用シミ集中対策美容液 20ml【メール便対応商品】【60サイズ】【コンビニ受取対応商品】 (6024732)&lt;/a&gt;&lt;img src="//i.moshimo.com/af/i/impression?a_id=988729&amp;amp;p_id=54&amp;amp;pc_id=54&amp;amp;pl_id=616" alt="" width="1" height="1" style="border: 0px;" /&gt;</t>
  </si>
  <si>
    <t>&lt;a target="_blank" href="//af.moshimo.com/af/c/click?a_id=988729&amp;amp;p_id=54&amp;amp;pc_id=54&amp;amp;pl_id=616&amp;amp;url=https%3A%2F%2Fitem.rakuten.co.jp%2Fess-shop%2F2636%2F&amp;amp;m=http%3A%2F%2Fm.rakuten.co.jp%2Fess-shop%2Fi%2F10000179%2F&amp;amp;r_v=g00rkab3.9tq3e7b4.g00rkab3.9tq3ffa1" rel="nofollow"&gt;&lt;img src="//thumbnail.image.rakuten.co.jp/@0_mall/ess-shop/cabinet/500jpg/imgrc0066249665.jpg?_ex=500x500" alt="" style="border: none;" /&gt;&lt;br /&gt;ESS エステVCエッセンスN (60mL)【送料無料】ビタミンC美容液　【 毛穴 引き締め 透明感 】05P03Dec16&lt;/a&gt;&lt;img src="//i.moshimo.com/af/i/impression?a_id=988729&amp;amp;p_id=54&amp;amp;pc_id=54&amp;amp;pl_id=616" alt="" width="1" height="1" style="border: 0px;" /&gt;</t>
  </si>
  <si>
    <t>https://www.papawash.co.jp/upload/save_image/263600M0L.jpg</t>
  </si>
  <si>
    <t>&lt;a target="_blank" href="//af.moshimo.com/af/c/click?a_id=988731&amp;amp;p_id=170&amp;amp;pc_id=185&amp;amp;pl_id=4062&amp;amp;url=https%3A%2F%2Fwww.amazon.co.jp%2F%25E3%2582%25AA%25E3%2583%2590%25E3%2582%25B8-4987241834502-%25E3%2583%25AD%25E3%2583%25BC%25E3%2583%2588%25E8%25A3%25BD%25E8%2596%25AC-%25E3%2582%25AA%25E3%2583%2590%25E3%2582%25B8C10%25E3%2582%25BB%25E3%2583%25A9%25E3%2583%25A0-134502%2Fdp%2FB00J028IEE" rel="nofollow"&gt;&lt;img src="https://images-fe.ssl-images-amazon.com/images/I/41i%2BTL0BP3L.jpg" alt="" style="border: none;" /&gt;&lt;br /&gt;ロート製薬 オバジC10セラム 26ml [134502]&lt;/a&gt;&lt;img src="//i.moshimo.com/af/i/impression?a_id=988731&amp;amp;p_id=170&amp;amp;pc_id=185&amp;amp;pl_id=4062" alt="" width="1" height="1" style="border: 0px;" /&gt;</t>
  </si>
  <si>
    <t>&lt;a target="_blank" href="//af.moshimo.com/af/c/click?a_id=988729&amp;amp;p_id=54&amp;amp;pc_id=54&amp;amp;pl_id=616&amp;amp;url=https%3A%2F%2Fitem.rakuten.co.jp%2Fat-beaute%2F4987241134502%2F&amp;amp;m=http%3A%2F%2Fm.rakuten.co.jp%2Fat-beaute%2Fi%2F10032124%2F&amp;amp;r_v=g00s6u03.9tq3e06b.g00s6u03.9tq3fd36" rel="nofollow"&gt;&lt;img src="//thumbnail.image.rakuten.co.jp/@0_mall/at-beaute/cabinet/a/12/4987241134502.jpg?_ex=128x128" alt="" style="border: none;" /&gt;&lt;br /&gt;オバジC10セラム （ラージサイズ）　26ml　Obagi&lt;/a&gt;&lt;img src="//i.moshimo.com/af/i/impression?a_id=988729&amp;amp;p_id=54&amp;amp;pc_id=54&amp;amp;pl_id=616" alt="" width="1" height="1" style="border: 0px;" /&gt;</t>
  </si>
  <si>
    <t>ビタミン美容液のおすすめ３選。シミや黒ズミに効くのは？</t>
    <rPh sb="4" eb="7">
      <t>ビヨウエキ</t>
    </rPh>
    <rPh sb="13" eb="14">
      <t>セン</t>
    </rPh>
    <rPh sb="18" eb="19">
      <t>クロ</t>
    </rPh>
    <rPh sb="22" eb="23">
      <t>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</si>
</sst>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74421/reviews" TargetMode="External"/><Relationship Id="rId2" Type="http://schemas.openxmlformats.org/officeDocument/2006/relationships/hyperlink" Target="https://shopping.yahoo.co.jp/review/item/list?store_id=ess-shop&amp;page_key=263600&amp;sc_i=shp_pc_item_review_c" TargetMode="External"/><Relationship Id="rId1" Type="http://schemas.openxmlformats.org/officeDocument/2006/relationships/hyperlink" Target="https://www.cosme.net/product/product_id/10086817/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B7" sqref="B7:B11"/>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137</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138</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139</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140</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141</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142</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143</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144</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126</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145</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146</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140</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152</v>
      </c>
      <c r="C23" s="68" t="s">
        <v>153</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128</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139</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140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141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2"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44"/>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155</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146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140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167</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168</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127</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169</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170</v>
      </c>
      <c r="D48" s="3"/>
      <c r="E48" s="3"/>
      <c r="F48" s="3"/>
      <c r="G48" s="3"/>
      <c r="H48" s="3"/>
      <c r="I48" s="3"/>
      <c r="J48" s="3"/>
      <c r="K48" s="3"/>
      <c r="L48" s="3"/>
      <c r="M48" s="3"/>
      <c r="N48" s="3"/>
      <c r="O48" s="3"/>
      <c r="P48" s="3"/>
      <c r="Q48" s="3"/>
      <c r="R48" s="3"/>
      <c r="S48" s="3"/>
      <c r="T48" s="3"/>
      <c r="U48" s="3"/>
      <c r="V48" s="3"/>
      <c r="W48" s="3"/>
      <c r="X48" s="3"/>
      <c r="Y48" s="3"/>
      <c r="Z48" s="3"/>
    </row>
    <row r="49" spans="1:26" ht="64.5" thickBot="1">
      <c r="A49" s="4" t="s">
        <v>64</v>
      </c>
      <c r="B49" s="48" t="s">
        <v>171</v>
      </c>
      <c r="C49" s="29" t="s">
        <v>172</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79</v>
      </c>
      <c r="B50" s="50"/>
      <c r="C50" s="29" t="s">
        <v>173</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155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174</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175</v>
      </c>
      <c r="C54" s="5" t="s">
        <v>176</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177</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178</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9" sqref="B9"/>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137</v>
      </c>
      <c r="C3" s="15" t="s">
        <v>138</v>
      </c>
      <c r="D3" s="16" t="s">
        <v>139</v>
      </c>
      <c r="E3" s="3"/>
      <c r="F3" s="3"/>
      <c r="G3" s="3"/>
      <c r="H3" s="3"/>
      <c r="I3" s="3"/>
      <c r="J3" s="3"/>
      <c r="K3" s="3"/>
      <c r="L3" s="3"/>
      <c r="M3" s="3"/>
      <c r="N3" s="3"/>
      <c r="O3" s="3"/>
      <c r="P3" s="3"/>
      <c r="Q3" s="3"/>
      <c r="R3" s="3"/>
      <c r="S3" s="3"/>
      <c r="T3" s="3"/>
      <c r="U3" s="3"/>
      <c r="V3" s="3"/>
      <c r="W3" s="3"/>
      <c r="X3" s="3"/>
      <c r="Y3" s="3"/>
      <c r="Z3" s="3"/>
    </row>
    <row r="4" spans="1:26" ht="15.75" thickBot="1">
      <c r="A4" s="33" t="s">
        <v>140</v>
      </c>
      <c r="B4" s="17">
        <v>4</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141</v>
      </c>
      <c r="B5" s="17">
        <v>3</v>
      </c>
      <c r="C5" s="17">
        <v>2</v>
      </c>
      <c r="D5" s="17">
        <v>3</v>
      </c>
      <c r="E5" s="3"/>
      <c r="F5" s="3"/>
      <c r="G5" s="3"/>
      <c r="H5" s="3"/>
      <c r="I5" s="3"/>
      <c r="J5" s="3"/>
      <c r="K5" s="3"/>
      <c r="L5" s="3"/>
      <c r="M5" s="3"/>
      <c r="N5" s="3"/>
      <c r="O5" s="3"/>
      <c r="P5" s="3"/>
      <c r="Q5" s="3"/>
      <c r="R5" s="3"/>
      <c r="S5" s="3"/>
      <c r="T5" s="3"/>
      <c r="U5" s="3"/>
      <c r="V5" s="3"/>
      <c r="W5" s="3"/>
      <c r="X5" s="3"/>
      <c r="Y5" s="3"/>
      <c r="Z5" s="3"/>
    </row>
    <row r="6" spans="1:26" ht="15.75" thickBot="1">
      <c r="A6" s="33" t="s">
        <v>142</v>
      </c>
      <c r="B6" s="17">
        <v>5</v>
      </c>
      <c r="C6" s="17">
        <v>1</v>
      </c>
      <c r="D6" s="17">
        <v>3</v>
      </c>
      <c r="E6" s="3"/>
      <c r="F6" s="3"/>
      <c r="G6" s="3"/>
      <c r="H6" s="3"/>
      <c r="I6" s="3"/>
      <c r="J6" s="3"/>
      <c r="K6" s="3"/>
      <c r="L6" s="3"/>
      <c r="M6" s="3"/>
      <c r="N6" s="3"/>
      <c r="O6" s="3"/>
      <c r="P6" s="3"/>
      <c r="Q6" s="3"/>
      <c r="R6" s="3"/>
      <c r="S6" s="3"/>
      <c r="T6" s="3"/>
      <c r="U6" s="3"/>
      <c r="V6" s="3"/>
      <c r="W6" s="3"/>
      <c r="X6" s="3"/>
      <c r="Y6" s="3"/>
      <c r="Z6" s="3"/>
    </row>
    <row r="7" spans="1:26" ht="15.75" thickBot="1">
      <c r="A7" s="33" t="s">
        <v>143</v>
      </c>
      <c r="B7" s="17">
        <v>4</v>
      </c>
      <c r="C7" s="17">
        <v>4</v>
      </c>
      <c r="D7" s="17">
        <v>2</v>
      </c>
      <c r="E7" s="3"/>
      <c r="F7" s="3"/>
      <c r="G7" s="3"/>
      <c r="H7" s="3"/>
      <c r="I7" s="3"/>
      <c r="J7" s="3"/>
      <c r="K7" s="3"/>
      <c r="L7" s="3"/>
      <c r="M7" s="3"/>
      <c r="N7" s="3"/>
      <c r="O7" s="3"/>
      <c r="P7" s="3"/>
      <c r="Q7" s="3"/>
      <c r="R7" s="3"/>
      <c r="S7" s="3"/>
      <c r="T7" s="3"/>
      <c r="U7" s="3"/>
      <c r="V7" s="3"/>
      <c r="W7" s="3"/>
      <c r="X7" s="3"/>
      <c r="Y7" s="3"/>
      <c r="Z7" s="3"/>
    </row>
    <row r="8" spans="1:26" ht="15.75" thickBot="1">
      <c r="A8" s="33" t="s">
        <v>144</v>
      </c>
      <c r="B8" s="17">
        <v>4</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20</v>
      </c>
      <c r="C9" s="19">
        <v>14</v>
      </c>
      <c r="D9" s="19">
        <v>15</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6" sqref="H1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185</v>
      </c>
      <c r="D2" s="31"/>
      <c r="F2">
        <f>LEN(C1)</f>
        <v>0</v>
      </c>
      <c r="G2" t="s">
        <v>132</v>
      </c>
    </row>
    <row r="3" spans="2:8">
      <c r="B3" s="34"/>
      <c r="C3" s="31"/>
      <c r="D3" s="31"/>
      <c r="H3" t="s">
        <v>133</v>
      </c>
    </row>
    <row r="4" spans="2:8">
      <c r="B4" s="23" t="s">
        <v>119</v>
      </c>
      <c r="C4" s="23" t="s">
        <v>120</v>
      </c>
      <c r="D4" s="23" t="s">
        <v>121</v>
      </c>
      <c r="H4" t="s">
        <v>134</v>
      </c>
    </row>
    <row r="5" spans="2:8">
      <c r="B5" s="23" t="s">
        <v>103</v>
      </c>
      <c r="C5" s="22" t="str">
        <f>IF(C22="","",SUBSTITUTE(MID(C22,FIND("src=",C22)+5,FIND("alt",C22)-FIND("src=",C22)-7),"amp;",""))</f>
        <v>https://images-fe.ssl-images-amazon.com/images/I/51w7yImV2uL.jpg</v>
      </c>
      <c r="D5" s="22" t="str">
        <f>アンケート!C13</f>
        <v>メンソレータム　メラノCC薬用シミ集中対策液</v>
      </c>
      <c r="E5" t="s">
        <v>122</v>
      </c>
    </row>
    <row r="6" spans="2:8">
      <c r="B6" s="23" t="s">
        <v>102</v>
      </c>
      <c r="C6" s="22" t="s">
        <v>182</v>
      </c>
      <c r="D6" s="22" t="str">
        <f>アンケート!C28</f>
        <v>ESS　エステVCエッセンスN</v>
      </c>
      <c r="E6" t="s">
        <v>122</v>
      </c>
    </row>
    <row r="7" spans="2:8">
      <c r="B7" s="23" t="s">
        <v>101</v>
      </c>
      <c r="C7" s="22" t="str">
        <f>IF(C26="","",SUBSTITUTE(MID(C26,FIND("src=",C26)+5,FIND("alt",C26)-FIND("src=",C26)-7),"amp;",""))</f>
        <v>https://images-fe.ssl-images-amazon.com/images/I/41i%2BTL0BP3L.jpg</v>
      </c>
      <c r="D7" s="22" t="str">
        <f>アンケート!C41</f>
        <v>オバジ　オバジC10セラム</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https://www.cosme.net/product/product_id/10086817/reviews</v>
      </c>
      <c r="D12" s="61">
        <f>SQL!A11+1</f>
        <v>229</v>
      </c>
      <c r="E12" s="22" t="str">
        <f>アンケート!C25</f>
        <v>30代女性</v>
      </c>
      <c r="F12" s="22" t="str">
        <f>IF(ISERROR(FIND("女",E12)),"m","w")&amp;"_"&amp;LEFT(E12,2)&amp;"_"&amp;"2"</f>
        <v>w_30_2</v>
      </c>
    </row>
    <row r="13" spans="2:8">
      <c r="B13" s="66"/>
      <c r="C13" s="67"/>
      <c r="D13" s="62"/>
      <c r="E13" s="22" t="str">
        <f>アンケート!C26</f>
        <v>10代女性</v>
      </c>
      <c r="F13" s="22" t="str">
        <f>IF(ISERROR(FIND("女",E13)),"m","w")&amp;"_"&amp;LEFT(E13,2)&amp;"_"&amp;"1"</f>
        <v>w_10_1</v>
      </c>
    </row>
    <row r="14" spans="2:8">
      <c r="B14" s="65" t="s">
        <v>102</v>
      </c>
      <c r="C14" s="67" t="str">
        <f>アンケート!C40</f>
        <v>https://shopping.yahoo.co.jp/review/item/list?store_id=ess-shop&amp;page_key=263600&amp;sc_i=shp_pc_item_review_c</v>
      </c>
      <c r="D14" s="61">
        <f>IF(D12="","",D12+1)</f>
        <v>230</v>
      </c>
      <c r="E14" s="22" t="str">
        <f>アンケート!C38</f>
        <v>20代女性</v>
      </c>
      <c r="F14" s="22" t="str">
        <f>IF(ISERROR(FIND("女",E14)),"m","w")&amp;"_"&amp;LEFT(E14,2)&amp;"_"&amp;"2"</f>
        <v>w_20_2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https://www.cosme.net/product/product_id/10074421/reviews</v>
      </c>
      <c r="D16" s="61">
        <f>IF(D14="","",D14+1)</f>
        <v>231</v>
      </c>
      <c r="E16" s="22" t="str">
        <f>アンケート!C51</f>
        <v>20代女性</v>
      </c>
      <c r="F16" s="22" t="str">
        <f>IF(ISERROR(FIND("女",E16)),"m","w")&amp;"_"&amp;LEFT(E16,2)&amp;"_"&amp;"2"</f>
        <v>w_20_2</v>
      </c>
    </row>
    <row r="17" spans="2:6">
      <c r="B17" s="66"/>
      <c r="C17" s="67"/>
      <c r="D17" s="62"/>
      <c r="E17" s="22" t="str">
        <f>アンケート!C52</f>
        <v>30代女性</v>
      </c>
      <c r="F17" s="22" t="str">
        <f t="shared" ref="F17" si="0">IF(ISERROR(FIND("女",E17)),"m","w")&amp;"_"&amp;LEFT(E17,2)&amp;"_"&amp;"1"</f>
        <v>w_30_1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179</v>
      </c>
      <c r="D22" s="64" t="str">
        <f t="shared" ref="D22:D27" si="1">IF(C22="","",SUBSTITUTE(MID(C22,FIND("href=",C22)+6,FIND("rel=",C22)-FIND("href=",C22)-8),"amp;",""))</f>
        <v>//af.moshimo.com/af/c/click?a_id=988731&amp;p_id=170&amp;pc_id=185&amp;pl_id=4062&amp;url=https%3A%2F%2Fwww.amazon.co.jp%2F%25E3%2583%25A1%25E3%2583%25A9%25E3%2583%258ECC-%25E8%2596%25AC%25E7%2594%25A8%25E3%2581%2597%25E3%2581%25BF-%25E9%259B%2586%25E4%25B8%25AD%25E5%25AF%25BE%25E7%25AD%2596-W%25E3%2583%2593%25E3%2582%25BF%25E3%2583%259F%25E3%2583%25B3%25E6%25B5%25B8%25E9%2580%258F%25E7%25BE%258E%25E5%25AE%25B9%25E6%25B6%25B2-%25E3%2580%2590%25E5%258C%25BB%25E8%2596%25AC%25E9%2583%25A8%25E5%25A4%2596%25E5%2593%2581%25E3%2580%2591%2Fdp%2FB00ITAP8P0</v>
      </c>
      <c r="E22" s="64"/>
      <c r="F22" s="22" t="str">
        <f>IF(ISERROR(FIND("amazon",C22)),IF(ISERROR(FIND("rakuten",C22)),"","楽天"),"Amazon")</f>
        <v>Amazon</v>
      </c>
    </row>
    <row r="23" spans="2:6">
      <c r="B23" s="63"/>
      <c r="C23" s="22" t="s">
        <v>180</v>
      </c>
      <c r="D23" s="64" t="str">
        <f t="shared" si="1"/>
        <v>//af.moshimo.com/af/c/click?a_id=988729&amp;p_id=54&amp;pc_id=54&amp;pl_id=616&amp;url=https%3A%2F%2Fitem.rakuten.co.jp%2Fosharecafe%2F6024732%2F&amp;m=http%3A%2F%2Fm.rakuten.co.jp%2Fosharecafe%2Fi%2F10040123%2F&amp;r_v=g00quio3.9tq3e9d6.g00quio3.9tq3f2bc</v>
      </c>
      <c r="E23" s="64"/>
      <c r="F23" s="22" t="str">
        <f t="shared" ref="F23:F27" si="2">IF(ISERROR(FIND("amazon",C23)),IF(ISERROR(FIND("rakuten",C23)),"","楽天"),"Amazon")</f>
        <v>楽天</v>
      </c>
    </row>
    <row r="24" spans="2:6">
      <c r="B24" s="63" t="s">
        <v>114</v>
      </c>
      <c r="C24" s="22"/>
      <c r="D24" s="64" t="str">
        <f t="shared" si="1"/>
        <v/>
      </c>
      <c r="E24" s="64"/>
      <c r="F24" s="22" t="str">
        <f t="shared" si="2"/>
        <v/>
      </c>
    </row>
    <row r="25" spans="2:6">
      <c r="B25" s="63"/>
      <c r="C25" s="22" t="s">
        <v>181</v>
      </c>
      <c r="D25" s="64" t="str">
        <f t="shared" si="1"/>
        <v>//af.moshimo.com/af/c/click?a_id=988729&amp;p_id=54&amp;pc_id=54&amp;pl_id=616&amp;url=https%3A%2F%2Fitem.rakuten.co.jp%2Fess-shop%2F2636%2F&amp;m=http%3A%2F%2Fm.rakuten.co.jp%2Fess-shop%2Fi%2F10000179%2F&amp;r_v=g00rkab3.9tq3e7b4.g00rkab3.9tq3ffa1</v>
      </c>
      <c r="E25" s="64"/>
      <c r="F25" s="22" t="str">
        <f t="shared" si="2"/>
        <v>楽天</v>
      </c>
    </row>
    <row r="26" spans="2:6">
      <c r="B26" s="63" t="s">
        <v>115</v>
      </c>
      <c r="C26" s="22" t="s">
        <v>183</v>
      </c>
      <c r="D26" s="64" t="str">
        <f t="shared" si="1"/>
        <v>//af.moshimo.com/af/c/click?a_id=988731&amp;p_id=170&amp;pc_id=185&amp;pl_id=4062&amp;url=https%3A%2F%2Fwww.amazon.co.jp%2F%25E3%2582%25AA%25E3%2583%2590%25E3%2582%25B8-4987241834502-%25E3%2583%25AD%25E3%2583%25BC%25E3%2583%2588%25E8%25A3%25BD%25E8%2596%25AC-%25E3%2582%25AA%25E3%2583%2590%25E3%2582%25B8C10%25E3%2582%25BB%25E3%2583%25A9%25E3%2583%25A0-134502%2Fdp%2FB00J028IEE</v>
      </c>
      <c r="E26" s="64"/>
      <c r="F26" s="22" t="str">
        <f t="shared" si="2"/>
        <v>Amazon</v>
      </c>
    </row>
    <row r="27" spans="2:6">
      <c r="B27" s="63"/>
      <c r="C27" s="22" t="s">
        <v>184</v>
      </c>
      <c r="D27" s="64" t="str">
        <f t="shared" si="1"/>
        <v>//af.moshimo.com/af/c/click?a_id=988729&amp;p_id=54&amp;pc_id=54&amp;pl_id=616&amp;url=https%3A%2F%2Fitem.rakuten.co.jp%2Fat-beaute%2F4987241134502%2F&amp;m=http%3A%2F%2Fm.rakuten.co.jp%2Fat-beaute%2Fi%2F10032124%2F&amp;r_v=g00s6u03.9tq3e06b.g00s6u03.9tq3fd36</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&lt;h2&gt;ビタミン美容液のおすすめ３選。シミや黒ズミに効くのは？&lt;/h2&gt;</v>
      </c>
    </row>
    <row r="2" spans="1:1">
      <c r="A2" s="20" t="s">
        <v>86</v>
      </c>
    </row>
    <row r="3" spans="1:1">
      <c r="A3" s="21" t="s">
        <v>87</v>
      </c>
    </row>
    <row r="4" spans="1:1">
      <c r="A4" s="20" t="str">
        <f>CONCATENATE("&lt;li&gt;", アンケート!C54, "&lt;/li&gt;")</f>
        <v>&lt;li&gt;シミを薄くできる美容液を求めている方&lt;/li&gt;</v>
      </c>
    </row>
    <row r="5" spans="1:1">
      <c r="A5" s="20" t="str">
        <f>CONCATENATE("&lt;li&gt;", アンケート!C55, "&lt;/li&gt;")</f>
        <v>&lt;li&gt;毛穴の開き・黒ずみ改善に効果のある美容液を求めている方&lt;/li&gt;</v>
      </c>
    </row>
    <row r="6" spans="1:1">
      <c r="A6" s="20" t="str">
        <f>CONCATENATE("&lt;li&gt;", アンケート!C56, "&lt;/li&gt;")</f>
        <v>&lt;li&gt;肌荒れ予防にも効果のある美容液を求めている方&lt;/li&gt;</v>
      </c>
    </row>
    <row r="7" spans="1:1">
      <c r="A7" s="20" t="s">
        <v>88</v>
      </c>
    </row>
    <row r="8" spans="1:1">
      <c r="A8" s="20" t="s">
        <v>89</v>
      </c>
    </row>
    <row r="9" spans="1:1">
      <c r="A9" s="20"/>
    </row>
    <row r="10" spans="1:1">
      <c r="A10" s="20" t="s">
        <v>130</v>
      </c>
    </row>
    <row r="11" spans="1:1">
      <c r="A11" s="20" t="s">
        <v>90</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今回紹介する『ビタミン美容液』は「価格と品質」どちらを重要視したのかをあらわした図です。</v>
      </c>
    </row>
    <row r="14" spans="1:1">
      <c r="A14" s="30"/>
    </row>
    <row r="15" spans="1:1">
      <c r="A15" s="30" t="s">
        <v>131</v>
      </c>
    </row>
    <row r="16" spans="1:1">
      <c r="A16" s="30" t="s">
        <v>129</v>
      </c>
    </row>
    <row r="17" spans="1:2">
      <c r="A17" s="20" t="s">
        <v>89</v>
      </c>
    </row>
    <row r="18" spans="1:2">
      <c r="A18" t="s">
        <v>71</v>
      </c>
    </row>
    <row r="19" spans="1:2">
      <c r="A19" t="str">
        <f>CONCATENATE("&lt;h2&gt;『",アンケート!C2,"』 ランキング&lt;/h2&gt;")</f>
        <v>&lt;h2&gt;『ビタミン美容液』 ランキング&lt;/h2&gt;</v>
      </c>
    </row>
    <row r="20" spans="1:2">
      <c r="A20" t="s">
        <v>91</v>
      </c>
    </row>
    <row r="22" spans="1:2">
      <c r="A22" t="str">
        <f>CONCATENATE("&lt;h3&gt;3位 ",アンケート!C41,"&lt;/h3&gt;")</f>
        <v>&lt;h3&gt;3位 オバジ　オバジC10セラム&lt;/h3&gt;</v>
      </c>
    </row>
    <row r="23" spans="1:2">
      <c r="A23" t="s">
        <v>92</v>
      </c>
    </row>
    <row r="24" spans="1:2">
      <c r="A24" t="s">
        <v>69</v>
      </c>
    </row>
    <row r="25" spans="1:2">
      <c r="A25" t="str">
        <f>アンケート!C48</f>
        <v>高くてもシミに効果のある商品を試してい方</v>
      </c>
    </row>
    <row r="26" spans="1:2">
      <c r="A26" t="s">
        <v>70</v>
      </c>
    </row>
    <row r="27" spans="1:2">
      <c r="A27" s="6" t="str">
        <f>CONCATENATE("[tblStart num=5]", 入力シート!C7, "[/tblStart]")</f>
        <v>[tblStart num=5]https://images-fe.ssl-images-amazon.com/images/I/41i%2BTL0BP3L.jpg[/tblStart]</v>
      </c>
    </row>
    <row r="28" spans="1:2">
      <c r="A28" t="str">
        <f>CONCATENATE("[tdLevel type=", B28, "]", 比較表!A4, "[/tdLevel]")</f>
        <v>[tdLevel type=4]シミが薄くなる[/tdLevel]</v>
      </c>
      <c r="B28">
        <f>HLOOKUP(アンケート!$C$41,比較表!$B$3:$D$8,2)</f>
        <v>4</v>
      </c>
    </row>
    <row r="29" spans="1:2">
      <c r="A29" t="str">
        <f>CONCATENATE("[tdLevel type=", B29, "]", 比較表!A5, "[/tdLevel]")</f>
        <v>[tdLevel type=2]肌への刺激が少ない[/tdLevel]</v>
      </c>
      <c r="B29">
        <f>HLOOKUP(アンケート!$C$41,比較表!$B$3:$D$8,3)</f>
        <v>2</v>
      </c>
    </row>
    <row r="30" spans="1:2">
      <c r="A30" t="str">
        <f>CONCATENATE("[tdLevel type=", B30, "]", 比較表!A6, "[/tdLevel]")</f>
        <v>[tdLevel type=1]コスパ[/tdLevel]</v>
      </c>
      <c r="B30">
        <f>HLOOKUP(アンケート!$C$41,比較表!$B$3:$D$8,4)</f>
        <v>1</v>
      </c>
    </row>
    <row r="31" spans="1:2">
      <c r="A31" t="str">
        <f>CONCATENATE("[tdLevel type=", B31, "]", 比較表!A7, "[/tdLevel]")</f>
        <v>[tdLevel type=4]購入しやすい[/tdLevel]</v>
      </c>
      <c r="B31">
        <f>HLOOKUP(アンケート!$C$41,比較表!$B$3:$D$8,5)</f>
        <v>4</v>
      </c>
    </row>
    <row r="32" spans="1:2">
      <c r="A32" t="str">
        <f>CONCATENATE("[tdLevel type=", B32, "]", 比較表!A8, "[/tdLevel]")</f>
        <v>[tdLevel type=3]使いやすい[/tdLevel]</v>
      </c>
      <c r="B32">
        <f>HLOOKUP(アンケート!$C$41,比較表!$B$3:$D$8,6)</f>
        <v>3</v>
      </c>
    </row>
    <row r="33" spans="1:1">
      <c r="A33" t="s">
        <v>72</v>
      </c>
    </row>
    <row r="35" spans="1:1">
      <c r="A35" s="6" t="str">
        <f>CONCATENATE("[product_link id=",入力シート!D16,"][/product_link]")</f>
        <v>[product_link id=231][/product_link]</v>
      </c>
    </row>
    <row r="36" spans="1:1">
      <c r="A36" t="s">
        <v>93</v>
      </c>
    </row>
    <row r="37" spans="1:1">
      <c r="A37" t="s">
        <v>94</v>
      </c>
    </row>
    <row r="38" spans="1:1">
      <c r="A38" t="s">
        <v>95</v>
      </c>
    </row>
    <row r="39" spans="1:1">
      <c r="A39" t="s">
        <v>87</v>
      </c>
    </row>
    <row r="40" spans="1:1">
      <c r="A40" t="str">
        <f>CONCATENATE("&lt;li&gt;", アンケート!C42,"&lt;/li&gt;")</f>
        <v>&lt;li&gt;ドラッグストアでも手に入る&lt;/li&gt;</v>
      </c>
    </row>
    <row r="41" spans="1:1">
      <c r="A41" t="str">
        <f>CONCATENATE("&lt;li&gt;", アンケート!C43,"&lt;/li&gt;")</f>
        <v>&lt;li&gt;シミが薄くなる&lt;/li&gt;</v>
      </c>
    </row>
    <row r="42" spans="1:1">
      <c r="A42" t="str">
        <f>CONCATENATE("&lt;li&gt;", アンケート!C44,"&lt;/li&gt;")</f>
        <v>&lt;li&gt;肌のざらつきが軽減する&lt;/li&gt;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&lt;li&gt;瓶なので、旅行など持ち運びに不便&lt;/li&gt;</v>
      </c>
    </row>
    <row r="51" spans="1:1">
      <c r="A51" t="str">
        <f>CONCATENATE("&lt;li&gt;", アンケート!C46,"&lt;/li&gt;")</f>
        <v>&lt;li&gt;値段が高い&lt;/li&gt;</v>
      </c>
    </row>
    <row r="52" spans="1:1">
      <c r="A52" t="str">
        <f>CONCATENATE("&lt;li&gt;", アンケート!C47,"&lt;/li&gt;")</f>
        <v>&lt;li&gt;肌が弱い方は刺激を感じる場合がある&lt;/li&gt;</v>
      </c>
    </row>
    <row r="53" spans="1:1">
      <c r="A53" t="s">
        <v>88</v>
      </c>
    </row>
    <row r="54" spans="1:1">
      <c r="A54" t="s">
        <v>89</v>
      </c>
    </row>
    <row r="55" spans="1:1">
      <c r="A55" t="s">
        <v>96</v>
      </c>
    </row>
    <row r="56" spans="1:1">
      <c r="A56" t="s">
        <v>135</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とても肌に綺麗な友人に教えてもらい、購入しました。
使用し始めて1週間で、肌の調子が良くなり効果を実感しました。
にきびができ始めていたのですが、にきびがなくなり、肌の肌理が細かくなってきました。
これからもリピートしたいと思います。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オバジCを使用し始めてから、長年コンプレックスだった毛穴の開きや黒ずみが以前に比べ気にならなくなりました。
こういった商品で実際にわかりやすい効果を感じられる商品はなかなかないので、とても嬉しかったです。
</v>
      </c>
    </row>
    <row r="62" spans="1:1">
      <c r="A62" t="s">
        <v>104</v>
      </c>
    </row>
    <row r="63" spans="1:1">
      <c r="A63" t="s">
        <v>99</v>
      </c>
    </row>
    <row r="64" spans="1:1">
      <c r="A64" t="str">
        <f>CONCATENATE("[reviewLink id=","""", 入力シート!D16,"""][/reviewLink]")</f>
        <v>[reviewLink id="231"][/reviewLink]</v>
      </c>
    </row>
    <row r="66" spans="1:2">
      <c r="A66" t="str">
        <f>CONCATENATE("&lt;h3&gt;2位 ",アンケート!C28,"&lt;/h3&gt;")</f>
        <v>&lt;h3&gt;2位 ESS　エステVCエッセンスN&lt;/h3&gt;</v>
      </c>
    </row>
    <row r="67" spans="1:2">
      <c r="A67" t="s">
        <v>92</v>
      </c>
    </row>
    <row r="68" spans="1:2">
      <c r="A68" t="s">
        <v>69</v>
      </c>
    </row>
    <row r="69" spans="1:2">
      <c r="A69" t="str">
        <f>アンケート!C35</f>
        <v>シミ・毛穴対策したい方</v>
      </c>
    </row>
    <row r="70" spans="1:2">
      <c r="A70" t="s">
        <v>70</v>
      </c>
    </row>
    <row r="71" spans="1:2">
      <c r="A71" s="6" t="str">
        <f>CONCATENATE("[tblStart num=5]", 入力シート!$C$6, "[/tblStart]")</f>
        <v>[tblStart num=5]https://www.papawash.co.jp/upload/save_image/263600M0L.jpg[/tblStart]</v>
      </c>
    </row>
    <row r="72" spans="1:2">
      <c r="A72" t="str">
        <f>CONCATENATE("[tdLevel type=", B72, "]", 比較表!A4, "[/tdLevel]")</f>
        <v>[tdLevel type=4]シミが薄くなる[/tdLevel]</v>
      </c>
      <c r="B72">
        <f>HLOOKUP(アンケート!$C$28,比較表!$B$3:$D$8,2,FALSE)</f>
        <v>4</v>
      </c>
    </row>
    <row r="73" spans="1:2">
      <c r="A73" t="str">
        <f>CONCATENATE("[tdLevel type=", B73, "]", 比較表!A5, "[/tdLevel]")</f>
        <v>[tdLevel type=3]肌への刺激が少ない[/tdLevel]</v>
      </c>
      <c r="B73">
        <f>HLOOKUP(アンケート!$C$28,比較表!$B$3:$D$8,3,FALSE)</f>
        <v>3</v>
      </c>
    </row>
    <row r="74" spans="1:2">
      <c r="A74" t="str">
        <f>CONCATENATE("[tdLevel type=", B74, "]", 比較表!A6, "[/tdLevel]")</f>
        <v>[tdLevel type=3]コスパ[/tdLevel]</v>
      </c>
      <c r="B74">
        <f>HLOOKUP(アンケート!$C$28,比較表!$B$3:$D$8,4,FALSE)</f>
        <v>3</v>
      </c>
    </row>
    <row r="75" spans="1:2">
      <c r="A75" t="str">
        <f>CONCATENATE("[tdLevel type=", B75, "]", 比較表!A7, "[/tdLevel]")</f>
        <v>[tdLevel type=2]購入しやすい[/tdLevel]</v>
      </c>
      <c r="B75">
        <f>HLOOKUP(アンケート!$C$28,比較表!$B$3:$D$8,5,FALSE)</f>
        <v>2</v>
      </c>
    </row>
    <row r="76" spans="1:2">
      <c r="A76" t="str">
        <f>CONCATENATE("[tdLevel type=", B76, "]", 比較表!A8, "[/tdLevel]")</f>
        <v>[tdLevel type=3]使いやすい[/tdLevel]</v>
      </c>
      <c r="B76">
        <f>HLOOKUP(アンケート!$C$28,比較表!$B$3:$D$8,6,FALSE)</f>
        <v>3</v>
      </c>
    </row>
    <row r="77" spans="1:2">
      <c r="A77" t="s">
        <v>72</v>
      </c>
    </row>
    <row r="79" spans="1:2">
      <c r="A79" s="6" t="str">
        <f>CONCATENATE("[product_link id=",入力シート!D14,"][/product_link]")</f>
        <v>[product_link id=230][/product_link]</v>
      </c>
    </row>
    <row r="80" spans="1:2">
      <c r="A80" t="s">
        <v>93</v>
      </c>
    </row>
    <row r="81" spans="1:1">
      <c r="A81" t="s">
        <v>94</v>
      </c>
    </row>
    <row r="82" spans="1:1">
      <c r="A82" t="s">
        <v>95</v>
      </c>
    </row>
    <row r="83" spans="1:1">
      <c r="A83" t="s">
        <v>87</v>
      </c>
    </row>
    <row r="84" spans="1:1">
      <c r="A84" t="str">
        <f>CONCATENATE("&lt;li&gt;", アンケート!C29,"&lt;/li&gt;")</f>
        <v>&lt;li&gt;毛穴が小さくなる&lt;/li&gt;</v>
      </c>
    </row>
    <row r="85" spans="1:1">
      <c r="A85" t="str">
        <f>CONCATENATE("&lt;li&gt;", アンケート!C30,"&lt;/li&gt;")</f>
        <v>&lt;li&gt;シミが薄くなる&lt;/li&gt;</v>
      </c>
    </row>
    <row r="86" spans="1:1">
      <c r="A86" t="str">
        <f>CONCATENATE("&lt;li&gt;", アンケート!C31,"&lt;/li&gt;")</f>
        <v>&lt;li&gt;肌への刺激が少ない&lt;/li&gt;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&lt;li&gt;ネットでしか販売していない&lt;/li&gt;</v>
      </c>
    </row>
    <row r="95" spans="1:1">
      <c r="A95" t="str">
        <f>CONCATENATE("&lt;li&gt;", アンケート!C33,"&lt;/li&gt;")</f>
        <v>&lt;li&gt;詰め替え用は生産終了になる&lt;/li&gt;</v>
      </c>
    </row>
    <row r="96" spans="1:1">
      <c r="A96" t="str">
        <f>CONCATENATE("&lt;li&gt;", アンケート!C34,"&lt;/li&gt;")</f>
        <v>&lt;li&gt;コスパは悪くはないが価格が高めなので、最初の購入は勇気がいる&lt;/li&gt;</v>
      </c>
    </row>
    <row r="97" spans="1:1">
      <c r="A97" t="s">
        <v>88</v>
      </c>
    </row>
    <row r="98" spans="1:1">
      <c r="A98" t="s">
        <v>89</v>
      </c>
    </row>
    <row r="99" spans="1:1">
      <c r="A99" t="s">
        <v>96</v>
      </c>
    </row>
    <row r="100" spans="1:1">
      <c r="A100" t="s">
        <v>135</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パパウォッシュの酵素洗顔とエステVCエッセンスNのお得なお試しセットがあったので、購入しました。
お肌にスーッと伸びてくれて、しっかり浸透してくれます。
べたつきもなく乾燥もしないうえ、シミも薄くなってきているので、気に入っています。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脂性なのでさっぱりしていて使用感がとてもよかったです。
シミもかなり薄くなりましたし、毛穴も小さくなったように感じます。
肌に透明感もでてきたので、期待以上の効果に驚いています。
最初は高く感じましたが、少量で済むのでコスパも良いと思います。
</v>
      </c>
    </row>
    <row r="106" spans="1:1">
      <c r="A106" t="s">
        <v>104</v>
      </c>
    </row>
    <row r="107" spans="1:1">
      <c r="A107" t="s">
        <v>99</v>
      </c>
    </row>
    <row r="108" spans="1:1">
      <c r="A108" t="str">
        <f>CONCATENATE("[reviewLink id=","""", 入力シート!D14,"""][/reviewLink]")</f>
        <v>[reviewLink id="230"][/reviewLink]</v>
      </c>
    </row>
    <row r="110" spans="1:1">
      <c r="A110" t="str">
        <f>CONCATENATE("&lt;h3&gt;1位 ",アンケート!C13,"&lt;/h3&gt;")</f>
        <v>&lt;h3&gt;1位 メンソレータム　メラノCC薬用シミ集中対策液&lt;/h3&gt;</v>
      </c>
    </row>
    <row r="111" spans="1:1">
      <c r="A111" t="s">
        <v>92</v>
      </c>
    </row>
    <row r="112" spans="1:1">
      <c r="A112" t="s">
        <v>69</v>
      </c>
    </row>
    <row r="113" spans="1:2">
      <c r="A113" t="str">
        <f>アンケート!C22</f>
        <v>手軽にシミ対策がしたい方</v>
      </c>
    </row>
    <row r="114" spans="1:2">
      <c r="A114" t="s">
        <v>70</v>
      </c>
    </row>
    <row r="115" spans="1:2" ht="27">
      <c r="A115" s="6" t="str">
        <f>CONCATENATE("[tblStart num=5]", 入力シート!C5, "[/tblStart]")</f>
        <v>[tblStart num=5]https://images-fe.ssl-images-amazon.com/images/I/51w7yImV2uL.jpg[/tblStart]</v>
      </c>
    </row>
    <row r="116" spans="1:2">
      <c r="A116" t="str">
        <f>CONCATENATE("[tdLevel type=", B116, "]", 比較表!A4, "[/tdLevel]")</f>
        <v>[tdLevel type=4]シミが薄くなる[/tdLevel]</v>
      </c>
      <c r="B116">
        <f>HLOOKUP(アンケート!$C$13,比較表!$B$3:$D$8,2,FALSE)</f>
        <v>4</v>
      </c>
    </row>
    <row r="117" spans="1:2">
      <c r="A117" t="str">
        <f>CONCATENATE("[tdLevel type=", B117, "]", 比較表!A5, "[/tdLevel]")</f>
        <v>[tdLevel type=3]肌への刺激が少ない[/tdLevel]</v>
      </c>
      <c r="B117">
        <f>HLOOKUP(アンケート!$C$13,比較表!$B$3:$D$8,3,FALSE)</f>
        <v>3</v>
      </c>
    </row>
    <row r="118" spans="1:2">
      <c r="A118" t="str">
        <f>CONCATENATE("[tdLevel type=", B118, "]", 比較表!A6, "[/tdLevel]")</f>
        <v>[tdLevel type=5]コスパ[/tdLevel]</v>
      </c>
      <c r="B118">
        <f>HLOOKUP(アンケート!$C$13,比較表!$B$3:$D$8,4,FALSE)</f>
        <v>5</v>
      </c>
    </row>
    <row r="119" spans="1:2">
      <c r="A119" t="str">
        <f>CONCATENATE("[tdLevel type=", B119, "]", 比較表!A7, "[/tdLevel]")</f>
        <v>[tdLevel type=4]購入しやすい[/tdLevel]</v>
      </c>
      <c r="B119">
        <f>HLOOKUP(アンケート!$C$13,比較表!$B$3:$D$8,5,FALSE)</f>
        <v>4</v>
      </c>
    </row>
    <row r="120" spans="1:2">
      <c r="A120" t="str">
        <f>CONCATENATE("[tdLevel type=", B120, "]", 比較表!A8, "[/tdLevel]")</f>
        <v>[tdLevel type=4]使いやすい[/tdLevel]</v>
      </c>
      <c r="B120">
        <f>HLOOKUP(アンケート!$C$13,比較表!$B$3:$D$8,6,FALSE)</f>
        <v>4</v>
      </c>
    </row>
    <row r="121" spans="1:2">
      <c r="A121" t="s">
        <v>72</v>
      </c>
    </row>
    <row r="123" spans="1:2">
      <c r="A123" s="6" t="str">
        <f>CONCATENATE("[product_link id=",入力シート!D12,"][/product_link]")</f>
        <v>[product_link id=229][/product_link]</v>
      </c>
    </row>
    <row r="124" spans="1:2">
      <c r="A124" t="s">
        <v>93</v>
      </c>
    </row>
    <row r="125" spans="1:2">
      <c r="A125" t="s">
        <v>94</v>
      </c>
    </row>
    <row r="126" spans="1:2">
      <c r="A126" t="s">
        <v>95</v>
      </c>
    </row>
    <row r="127" spans="1:2">
      <c r="A127" t="s">
        <v>87</v>
      </c>
    </row>
    <row r="128" spans="1:2">
      <c r="A128" t="str">
        <f>CONCATENATE("&lt;li&gt;", アンケート!C14,"&lt;/li&gt;")</f>
        <v>&lt;li&gt;コスパが良い&lt;/li&gt;</v>
      </c>
    </row>
    <row r="129" spans="1:1">
      <c r="A129" t="str">
        <f>CONCATENATE("&lt;li&gt;", アンケート!C15,"&lt;/li&gt;")</f>
        <v>&lt;li&gt;消炎効果もある&lt;/li&gt;</v>
      </c>
    </row>
    <row r="130" spans="1:1">
      <c r="A130" t="str">
        <f>CONCATENATE("&lt;li&gt;", アンケート!C16,"&lt;/li&gt;")</f>
        <v>&lt;li&gt;ドラッグストアでも手に入る&lt;/li&gt;</v>
      </c>
    </row>
    <row r="131" spans="1:1">
      <c r="A131" t="str">
        <f>CONCATENATE("&lt;li&gt;", アンケート!C17,"&lt;/li&gt;")</f>
        <v>&lt;li&gt;シミが薄くなる&lt;/li&gt;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&lt;li&gt;人気すぎて欠品している場合がある&lt;/li&gt;</v>
      </c>
    </row>
    <row r="140" spans="1:1">
      <c r="A140" t="str">
        <f>CONCATENATE("&lt;li&gt;", アンケート!C19,"&lt;/li&gt;")</f>
        <v>&lt;li&gt;評価が高すぎて、期待しすぎていると使用してみて思ったほどの効果を感じられない場合もある&lt;/li&gt;</v>
      </c>
    </row>
    <row r="141" spans="1:1">
      <c r="A141" t="str">
        <f>CONCATENATE("&lt;li&gt;", アンケート!C20,"&lt;/li&gt;")</f>
        <v>&lt;li&gt;ビタミンなので、朝使用すると日焼けしやすくなる可能性がある&lt;/li&gt;</v>
      </c>
    </row>
    <row r="142" spans="1:1">
      <c r="A142" t="str">
        <f>CONCATENATE("&lt;li&gt;", アンケート!C21,"&lt;/li&gt;")</f>
        <v>&lt;li&gt;頑固なシミを消すのは難しい&lt;/li&gt;</v>
      </c>
    </row>
    <row r="143" spans="1:1">
      <c r="A143" t="s">
        <v>88</v>
      </c>
    </row>
    <row r="144" spans="1:1">
      <c r="A144" t="s">
        <v>89</v>
      </c>
    </row>
    <row r="145" spans="1:1">
      <c r="A145" t="s">
        <v>96</v>
      </c>
    </row>
    <row r="146" spans="1:1">
      <c r="A146" t="s">
        <v>135</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メラノCCは美容系ユーチューバーさんが、アクアレーベルの化粧水と混ぜて使用すると肌が白くなると言っていたので、購入しました。
消炎効果もあるので、肌トラブルに悩むことが減りました。
シミも若干薄くなってきて嬉しいです。
</v>
      </c>
    </row>
    <row r="149" spans="1:1">
      <c r="A149" t="s">
        <v>104</v>
      </c>
    </row>
    <row r="150" spans="1:1">
      <c r="A150" t="str">
        <f>CONCATENATE("[voice icon=","""http://shomty.com/wp-content/uploads/img/parts/review/", 入力シート!F13, ".jpg", """ name=""", 入力シート!E13, """ type=""", "r", """]")</f>
        <v>[voice icon="http://shomty.com/wp-content/uploads/img/parts/review/w_10_1.jpg" name="10代女性" type="r"]</v>
      </c>
    </row>
    <row r="151" spans="1:1">
      <c r="A151" t="str">
        <f>アンケート!C24</f>
        <v xml:space="preserve">SNSで話題になっていて、ニキビ跡にも効果があると聞いたので、使用してみましたが、徐々に薄くなってきたように感じます。
肌への刺激もなくコスパもいいので、とても気に入っています。
これからもリピートしたいと思います。
</v>
      </c>
    </row>
    <row r="152" spans="1:1">
      <c r="A152" t="s">
        <v>104</v>
      </c>
    </row>
    <row r="153" spans="1:1">
      <c r="A153" t="s">
        <v>99</v>
      </c>
    </row>
    <row r="154" spans="1:1">
      <c r="A154" t="str">
        <f>CONCATENATE("[reviewLink id=","""", 入力シート!D12,"""][/reviewLink]")</f>
        <v>[reviewLink id="229"][/reviewLink]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(229,'//af.moshimo.com/af/c/click?a_id=988731&amp;p_id=170&amp;pc_id=185&amp;pl_id=4062&amp;url=https%3A%2F%2Fwww.amazon.co.jp%2F%25E3%2583%25A1%25E3%2583%25A9%25E3%2583%258ECC-%25E8%2596%25AC%25E7%2594%25A8%25E3%2581%2597%25E3%2581%25BF-%25E9%259B%2586%25E4%25B8%25AD%25E5%25AF%25BE%25E7%25AD%2596-W%25E3%2583%2593%25E3%2582%25BF%25E3%2583%259F%25E3%2583%25B3%25E6%25B5%25B8%25E9%2580%258F%25E7%25BE%258E%25E5%25AE%25B9%25E6%25B6%25B2-%25E3%2580%2590%25E5%258C%25BB%25E8%2596%25AC%25E9%2583%25A8%25E5%25A4%2596%25E5%2593%2581%25E3%2580%2591%2Fdp%2FB00ITAP8P0', '//af.moshimo.com/af/c/click?a_id=988729&amp;p_id=54&amp;pc_id=54&amp;pl_id=616&amp;url=https%3A%2F%2Fitem.rakuten.co.jp%2Fosharecafe%2F6024732%2F&amp;m=http%3A%2F%2Fm.rakuten.co.jp%2Fosharecafe%2Fi%2F10040123%2F&amp;r_v=g00quio3.9tq3e9d6.g00quio3.9tq3f2bc', 'https://www.cosme.net/product/product_id/10086817/reviews', 'https://images-fe.ssl-images-amazon.com/images/I/51w7yImV2uL.jpg', 'メンソレータム　メラノCC薬用シミ集中対策液'),</v>
      </c>
    </row>
    <row r="3" spans="1:1">
      <c r="A3" t="str">
        <f>"("&amp;入力シート!D14&amp;","&amp;"'"&amp;入力シート!D24&amp;"', '"&amp;入力シート!D25&amp;"', '"&amp;入力シート!C14&amp;"', '"&amp;入力シート!C6&amp;"', '"&amp;入力シート!D6&amp;"'),"</f>
        <v>(230,'', '//af.moshimo.com/af/c/click?a_id=988729&amp;p_id=54&amp;pc_id=54&amp;pl_id=616&amp;url=https%3A%2F%2Fitem.rakuten.co.jp%2Fess-shop%2F2636%2F&amp;m=http%3A%2F%2Fm.rakuten.co.jp%2Fess-shop%2Fi%2F10000179%2F&amp;r_v=g00rkab3.9tq3e7b4.g00rkab3.9tq3ffa1', 'https://shopping.yahoo.co.jp/review/item/list?store_id=ess-shop&amp;page_key=263600&amp;sc_i=shp_pc_item_review_c', 'https://www.papawash.co.jp/upload/save_image/263600M0L.jpg', 'ESS　エステVCエッセンスN'),</v>
      </c>
    </row>
    <row r="4" spans="1:1">
      <c r="A4" t="str">
        <f>"("&amp;入力シート!D16&amp;","&amp;"'"&amp;入力シート!D26&amp;"', '"&amp;入力シート!D27&amp;"', '"&amp;入力シート!C16&amp;"', '"&amp;入力シート!C7&amp;"', '"&amp;入力シート!D7&amp;"');"</f>
        <v>(231,'//af.moshimo.com/af/c/click?a_id=988731&amp;p_id=170&amp;pc_id=185&amp;pl_id=4062&amp;url=https%3A%2F%2Fwww.amazon.co.jp%2F%25E3%2582%25AA%25E3%2583%2590%25E3%2582%25B8-4987241834502-%25E3%2583%25AD%25E3%2583%25BC%25E3%2583%2588%25E8%25A3%25BD%25E8%2596%25AC-%25E3%2582%25AA%25E3%2583%2590%25E3%2582%25B8C10%25E3%2582%25BB%25E3%2583%25A9%25E3%2583%25A0-134502%2Fdp%2FB00J028IEE', '//af.moshimo.com/af/c/click?a_id=988729&amp;p_id=54&amp;pc_id=54&amp;pl_id=616&amp;url=https%3A%2F%2Fitem.rakuten.co.jp%2Fat-beaute%2F4987241134502%2F&amp;m=http%3A%2F%2Fm.rakuten.co.jp%2Fat-beaute%2Fi%2F10032124%2F&amp;r_v=g00s6u03.9tq3e06b.g00s6u03.9tq3fd36', 'https://www.cosme.net/product/product_id/10074421/reviews', 'https://images-fe.ssl-images-amazon.com/images/I/41i%2BTL0BP3L.jpg', 'オバジ　オバジC10セラム');</v>
      </c>
    </row>
    <row r="9" spans="1:1">
      <c r="A9" s="36" t="s">
        <v>124</v>
      </c>
    </row>
    <row r="10" spans="1:1">
      <c r="A10" t="s">
        <v>123</v>
      </c>
    </row>
    <row r="11" spans="1:1" ht="18.75">
      <c r="A11" s="69">
        <v>228</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2018-08-10T22:42:03Z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