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C9" i="2" l="1"/>
  <c r="D9" i="2"/>
  <c r="B9" i="2"/>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<sst xmlns="http://schemas.openxmlformats.org/spreadsheetml/2006/main" count="268" uniqueCount="191">
  <si>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</si>
  <si>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</si>
  <si>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</si>
  <si>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</si>
  <si>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</si>
  <si>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</si>
  <si>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</si>
  <si>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</si>
  <si>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</si>
  <si>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</si>
  <si>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</si>
  <si>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</si>
  <si>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</si>
  <si>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</si>
  <si>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</si>
  <si>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</si>
  <si>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</si>
  <si>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</si>
  <si>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</si>
  <si>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</si>
  <si>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</si>
  <si>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</si>
  <si>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</si>
  <si>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</si>
  <si>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</si>
  <si>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</si>
  <si>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</si>
  <si>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</si>
  <si>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</si>
  <si>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</si>
  <si>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</si>
  <si>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</si>
  <si>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</si>
  <si>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</si>
  <si>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</si>
  <si>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</si>
  <si>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</si>
  <si>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</si>
  <si>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</si>
  <si>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</si>
  <si>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</si>
  <si>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</si>
  <si>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</si>
  <si>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</si>
  <si>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</si>
  <si>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</si>
  <si>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</si>
  <si>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</si>
  <si>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</si>
  <si>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</si>
  <si>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</si>
  <si>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</si>
  <si>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</si>
  <si>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</si>
  <si>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</si>
  <si>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</si>
  <si>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</si>
  <si>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</si>
  <si>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</si>
  <si>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</si>
  <si>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</si>
  <si>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</si>
  <si>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</si>
  <si>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</si>
  <si>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</si>
  <si>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</si>
  <si>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</si>
  <si>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</si>
  <si>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</si>
  <si>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</si>
  <si>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</si>
  <si>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</si>
  <si>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</si>
  <si>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</si>
  <si>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</si>
  <si>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</si>
  <si>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</si>
  <si>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</si>
  <si>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</si>
  <si>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</si>
  <si>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</si>
  <si>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</si>
  <si>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</si>
  <si>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</si>
  <si>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</si>
  <si>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</si>
  <si>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</si>
  <si>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</si>
  <si>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</si>
  <si>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</si>
  <si>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</si>
  <si>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</si>
  <si>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</si>
  <si>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</si>
  <si>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</si>
  <si>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</si>
  <si>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</si>
  <si>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</si>
  <si>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</si>
  <si>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</si>
  <si>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</si>
  <si>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</si>
  <si>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</si>
  <si>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</si>
  <si>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</si>
  <si>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</si>
  <si>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</si>
  <si>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</si>
  <si>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</si>
  <si>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</si>
  <si>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</si>
  <si>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</si>
  <si>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</si>
  <si>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</si>
  <si>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</si>
  <si>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</si>
  <si>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</si>
  <si>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</si>
  <si>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</si>
  <si>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</si>
  <si>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</si>
  <si>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</si>
  <si>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</si>
  <si>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</si>
  <si>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</si>
  <si>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</si>
  <si>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</si>
  <si>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</si>
  <si>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</si>
  <si>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</si>
  <si>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北海道の定番お土産</t>
  </si>
  <si>
    <t>じゃがポックル</t>
  </si>
  <si>
    <t>白い恋人</t>
  </si>
  <si>
    <t>生キャラメル</t>
  </si>
  <si>
    <t>日持ちはするのか</t>
  </si>
  <si>
    <t>たくさんの人に配れるのか</t>
  </si>
  <si>
    <t>手は汚れないか</t>
  </si>
  <si>
    <t>ほとんどの人に受け入れてもらえるおいしさか</t>
  </si>
  <si>
    <t>持ち運びやすいか</t>
  </si>
  <si>
    <t>※比較表に記入</t>
  </si>
  <si>
    <t>たくさんの人に配ることができる</t>
  </si>
  <si>
    <t>ほとんどの人が嫌わない</t>
  </si>
  <si>
    <t>軽くてかさばらないので持ち運びにも便利</t>
  </si>
  <si>
    <t>北海道と言ったらこれという代表的なお菓子</t>
  </si>
  <si>
    <t>定番過ぎる</t>
  </si>
  <si>
    <t>暑いと溶けてしまう</t>
  </si>
  <si>
    <t>割れやすい</t>
  </si>
  <si>
    <t>甘すぎると感じてしまう人もいる</t>
  </si>
  <si>
    <t>たくさんの人にお土産を配りたい人</t>
  </si>
  <si>
    <r>
      <t xml:space="preserve">１位の商品のためになった（なる）口コミやレビューを２つ記入してください。
</t>
    </r>
    <r>
      <rPr>
        <sz val="9"/>
        <color rgb="FFFF0000"/>
        <rFont val="Arial"/>
        <family val="2"/>
      </rPr>
      <t>※短文すぎない（100文字程度）口コミをお願いします。</t>
    </r>
  </si>
  <si>
    <t>知人が北海道旅行へ行った際にお土産として買ってきてくれ食べました。一つずつ袋入りなのが手も汚れなくて食べやすかったです。味も美味しく子供達にも人気でしたね。近場で売って欲しいくらいです。</t>
  </si>
  <si>
    <t>いわずと知れた大定番です。
食べ過ぎて、お土産で頂いても「やったー！」とは思いませんが、食べるとやっぱり美味しい。
サクサクしたランクドシャとホワイトチョコの組み合わせは鉄板です。
あまりこのお菓子を嫌いな人はいないのではないでしょうか。</t>
  </si>
  <si>
    <t>３０代女性</t>
  </si>
  <si>
    <t>４０代女性</t>
  </si>
  <si>
    <r>
      <t xml:space="preserve">参考にしたサイトのURLを記入してください。
</t>
    </r>
    <r>
      <rPr>
        <sz val="9"/>
        <color rgb="FFFF0000"/>
        <rFont val="Arial"/>
        <family val="2"/>
      </rPr>
      <t>（※レビューや口コミが一覧になっているページを添付してください。）</t>
    </r>
  </si>
  <si>
    <t>https://minhyo.jp/shiroikoibito</t>
  </si>
  <si>
    <t>100％北海道産のジャガイモを使用</t>
  </si>
  <si>
    <t>デザイン、設定がかわいい</t>
  </si>
  <si>
    <t>ジャガイモのうまみを感じられる味付け</t>
  </si>
  <si>
    <t>手が汚れてしまう</t>
  </si>
  <si>
    <t>たくさんの人に配ることができない</t>
  </si>
  <si>
    <t>じゃがビーと味が似ている</t>
  </si>
  <si>
    <t>おいしさを追求する人</t>
  </si>
  <si>
    <r>
      <t xml:space="preserve">２位の商品のためになった（なる）口コミやレビューを２つ記入してください。
</t>
    </r>
    <r>
      <rPr>
        <sz val="9"/>
        <color rgb="FFFF0000"/>
        <rFont val="Arial"/>
        <family val="2"/>
      </rPr>
      <t>※短文すぎない（100文字程度）口コミをお願いします。</t>
    </r>
  </si>
  <si>
    <t>北海道へ旅行に行った時にバスガイドさんから人気の北海道お土産だよと教えて貰い購入しました。一言で言うならこれはハマりますっ！塩が効いていてサクサクしていて子供から大人まで楽しめる食感です。通販でもかなりの人気商品だそうですよ。</t>
  </si>
  <si>
    <t>"カルビーで出しているじゃがビーに似ているけど、こちらの方が北海道だけあって、ジャガイモの味が良い気がします。
お菓子として、これが嫌いな人はいないのではないでしょうか。"</t>
  </si>
  <si>
    <t>２０代女性</t>
  </si>
  <si>
    <t>https://minhyo.jp/jagapokkuru</t>
  </si>
  <si>
    <t>とろけるおいしさ</t>
  </si>
  <si>
    <t>話題になったので有名</t>
  </si>
  <si>
    <t>特別なお土産として使うことも可能</t>
  </si>
  <si>
    <t>矯正している方は食べることができない</t>
  </si>
  <si>
    <t>量があまりない</t>
  </si>
  <si>
    <t>溶けやすい</t>
  </si>
  <si>
    <t>特別な方へお土産を渡したい方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</si>
  <si>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</si>
  <si>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生キャラメル。 
生キャラメル好きの主人のアツイ要望で、 
プレーンと夕張メロンを購入しました。 
私も数粒ずつ頂いたのですが、 
気が付けばあっと言う間に主人の口の中でした; 
変わらずスルッととろける口あたり、おいしいですね。</t>
  </si>
  <si>
    <t>まずは食べたことの無いチョコレートはとろ～り ８５０円で12粒 一揆に6粒食べちゃえるほど美味しすぎました、あと3人に2粒ずつ渡しましたが目の色がかわるほど喜ばれました</t>
  </si>
  <si>
    <t>https://review.rakuten.co.jp/item/1/238096_10000099/1.1/</t>
  </si>
  <si>
    <t>今回取り上げたアイテムは、「何を求めてる人」にピッタリだと思いますか？
具体的に3つ記入してください。</t>
  </si>
  <si>
    <t>お土産で喜んでもらいたい人</t>
  </si>
  <si>
    <t>外したくない人</t>
  </si>
  <si>
    <t>特別な思い出商品を購入したい人</t>
  </si>
  <si>
    <t>合計点数</t>
  </si>
  <si>
    <t>&lt;a target="_blank" href="//af.moshimo.com/af/c/click?a_id=988731&amp;amp;p_id=170&amp;amp;pc_id=185&amp;amp;pl_id=4062&amp;amp;url=https%3A%2F%2Fwww.amazon.co.jp%2F%25E7%259F%25B3%25E5%25B1%258B%25E8%25A3%25BD%25E8%258F%2593-%25E7%2599%25BD%25E3%2581%2584%25E6%2581%258B%25E4%25BA%25BA-24%25E6%259E%259A%25E5%2585%25A5%25E3%2583%259F%25E3%2583%2583%25E3%2582%25AF%25E3%2582%25B9-%25E7%259F%25B3%25E5%25B1%258B%25E8%25A3%25BD%25E8%258F%2593%2Fdp%2FB003GYRNLQ" rel="nofollow"&gt;&lt;img src="https://images-fe.ssl-images-amazon.com/images/I/515p3hmHvdL.jpg" alt="" style="border: none;" /&gt;&lt;br /&gt;白い恋人　24枚入ミックス　石屋製菓&lt;/a&gt;&lt;img src="//i.moshimo.com/af/i/impression?a_id=988731&amp;amp;p_id=170&amp;amp;pc_id=185&amp;amp;pl_id=4062" alt="" width="1" height="1" style="border: 0px;" /&gt;</t>
  </si>
  <si>
    <t>&lt;a target="_blank" href="//af.moshimo.com/af/c/click?a_id=988729&amp;amp;p_id=54&amp;amp;pc_id=54&amp;amp;pl_id=616&amp;amp;url=https%3A%2F%2Fitem.rakuten.co.jp%2Fhokkaido-omiyage%2F369177%2F&amp;amp;m=http%3A%2F%2Fm.rakuten.co.jp%2Fhokkaido-omiyage%2Fi%2F10001918%2F&amp;amp;r_v=g00pm4t3.9tq3ea28.g00pm4t3.9tq3f553" rel="nofollow"&gt;&lt;img src="//thumbnail.image.rakuten.co.jp/@0_mall/hokkaido-omiyage/cabinet/koibito/shirokoi_w12p.jpg?_ex=128x128" alt="" style="border: none;" /&gt;&lt;br /&gt;石屋製菓 白い恋人 ホワイト 12枚入&lt;/a&gt;&lt;img src="//i.moshimo.com/af/i/impression?a_id=988729&amp;amp;p_id=54&amp;amp;pc_id=54&amp;amp;pl_id=616" alt="" width="1" height="1" style="border: 0px;" /&gt;</t>
  </si>
  <si>
    <t>&lt;a target="_blank" href="//af.moshimo.com/af/c/click?a_id=988731&amp;amp;p_id=170&amp;amp;pc_id=185&amp;amp;pl_id=4062&amp;amp;url=https%3A%2F%2Fwww.amazon.co.jp%2F%25E3%2583%259D%25E3%2583%2586%25E3%2583%2588%25E3%2583%2595%25E3%2582%25A1%25E3%2583%25BC%25E3%2583%25A0-%25E3%2580%2590%25E5%258C%2597%25E6%25B5%25B7%25E9%2581%2593%25E9%2599%2590%25E5%25AE%259A%25E3%2580%2591%25E3%2581%2598%25E3%2582%2583%25E3%2581%258C%25E3%2583%259D%25E3%2583%2583%25E3%2582%25AF%25E3%2583%25AB-10%25E8%25A2%258B%25E5%2585%25A5%25C3%2597%25EF%25BC%2592%25E7%25AE%25B1%2Fdp%2FB074BPPGLF" rel="nofollow"&gt;&lt;img src="https://images-fe.ssl-images-amazon.com/images/I/51104isWXnL.jpg" alt="" style="border: none;" /&gt;&lt;br /&gt;【北海道限定】じゃがポックル 10袋入×２箱&lt;/a&gt;&lt;img src="//i.moshimo.com/af/i/impression?a_id=988731&amp;amp;p_id=170&amp;amp;pc_id=185&amp;amp;pl_id=4062" alt="" width="1" height="1" style="border: 0px;" /&gt;</t>
  </si>
  <si>
    <t>&lt;a target="_blank" href="//af.moshimo.com/af/c/click?a_id=988729&amp;amp;p_id=54&amp;amp;pc_id=54&amp;amp;pl_id=616&amp;amp;url=https%3A%2F%2Fitem.rakuten.co.jp%2Fhokkaido-passion%2F4901330802851%2F&amp;amp;m=http%3A%2F%2Fm.rakuten.co.jp%2Fhokkaido-passion%2Fi%2F10000050%2F&amp;amp;r_v=g00swbh3.9tq3e17c.g00swbh3.9tq3f20f" rel="nofollow"&gt;&lt;img src="//thumbnail.image.rakuten.co.jp/@0_mall/hokkaido-passion/cabinet/05851423/4901330802851.jpg?_ex=128x128" alt="" style="border: none;" /&gt;&lt;br /&gt;カルビー じゃがポックル10袋入【お菓子 北海道産じゃがいも お土産 贈り物 ギフト お取り寄せ プレゼント スナック菓子】&lt;/a&gt;&lt;img src="//i.moshimo.com/af/i/impression?a_id=988729&amp;amp;p_id=54&amp;amp;pc_id=54&amp;amp;pl_id=616" alt="" width="1" height="1" style="border: 0px;" /&gt;</t>
  </si>
  <si>
    <t>&lt;a target="_blank" href="//af.moshimo.com/af/c/click?a_id=988731&amp;amp;p_id=170&amp;amp;pc_id=185&amp;amp;pl_id=4062&amp;amp;url=https%3A%2F%2Fwww.amazon.co.jp%2F%25E8%258A%25B1%25E7%2595%2591%25E7%2589%25A7%25E5%25A0%25B4-%25E7%2594%259F%25E3%2582%25AD%25E3%2583%25A3%25E3%2583%25A9%25E3%2583%25A1%25E3%2583%25AB-%25E3%2583%2597%25E3%2583%25AC%25E3%2583%25BC%25E3%2583%25B3%25EF%25BC%2588%25E5%25B8%25B8%25E6%25B8%25A9%25E3%2582%25BF%25E3%2582%25A4%25E3%2583%2597%25EF%25BC%2589-72g%2Fdp%2FB07512PCBX" rel="nofollow"&gt;&lt;img src="https://images-fe.ssl-images-amazon.com/images/I/51wiGv-TDJL.jpg" alt="" style="border: none;" /&gt;&lt;br /&gt;生キャラメル プレーン（常温タイプ） 72g&lt;/a&gt;&lt;img src="//i.moshimo.com/af/i/impression?a_id=988731&amp;amp;p_id=170&amp;amp;pc_id=185&amp;amp;pl_id=4062" alt="" width="1" height="1" style="border: 0px;" /&gt;</t>
  </si>
  <si>
    <t>&lt;a target="_blank" href="//af.moshimo.com/af/c/click?a_id=988729&amp;amp;p_id=54&amp;amp;pc_id=54&amp;amp;pl_id=616&amp;amp;url=https%3A%2F%2Fitem.rakuten.co.jp%2Fhanabatake%2F140503%2F&amp;amp;m=http%3A%2F%2Fm.rakuten.co.jp%2Fhanabatake%2Fi%2F10000428%2F&amp;amp;r_v=g00qjbk3.9tq3ec01.g00qjbk3.9tq3fae1" rel="nofollow"&gt;&lt;img src="//thumbnail.image.rakuten.co.jp/@0_mall/hanabatake/cabinet/04225695/imgrc0061836769.jpg?_ex=128x128" alt="" style="border: none;" /&gt;&lt;br /&gt;北海道 お土産 花畑牧場 生キャラメル5種5個セット【送料込み】&lt;/a&gt;&lt;img src="//i.moshimo.com/af/i/impression?a_id=988729&amp;amp;p_id=54&amp;amp;pc_id=54&amp;amp;pl_id=616" alt="" width="1" height="1" style="border: 0px;" /&gt;</t>
  </si>
  <si>
    <t>北海道お土産のおすすめ３選。定番のお土産はこれ！</t>
    <rPh sb="0" eb="3">
      <t>ホッカイドウ</t>
    </rPh>
    <rPh sb="4" eb="6">
      <t>ミヤゲ</t>
    </rPh>
    <rPh sb="12" eb="13">
      <t>セン</t>
    </rPh>
    <rPh sb="14" eb="16">
      <t>テイバン</t>
    </rPh>
    <rPh sb="18" eb="20">
      <t>ミヤゲ</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</si>
</sst>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CCCCCC"/>
      </right>
      <top style="medium">
        <color rgb="FFCCCCCC"/>
      </top>
      <bottom style="medium">
        <color rgb="FF000000"/>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8" fillId="0" borderId="3" xfId="0" applyFont="1" applyBorder="1" applyAlignment="1">
      <alignment wrapText="1"/>
    </xf>
    <xf numFmtId="0" fontId="8"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lignment vertical="center"/>
    </xf>
    <xf numFmtId="0" fontId="4" fillId="5" borderId="12" xfId="0" applyFont="1" applyFill="1" applyBorder="1">
      <alignment vertical="center"/>
    </xf>
    <xf numFmtId="0" fontId="3" fillId="6" borderId="12" xfId="0" applyFont="1" applyFill="1" applyBorder="1">
      <alignment vertical="center"/>
    </xf>
    <xf numFmtId="0" fontId="3" fillId="0" borderId="5" xfId="0" applyFont="1" applyBorder="1" applyAlignment="1">
      <alignment wrapText="1"/>
    </xf>
    <xf numFmtId="0" fontId="14" fillId="0" borderId="19" xfId="0" applyFont="1" applyBorder="1">
      <alignment vertical="center"/>
    </xf>
    <xf numFmtId="0" fontId="16"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item/1/238096_10000099/1.1/" TargetMode="External"/><Relationship Id="rId2" Type="http://schemas.openxmlformats.org/officeDocument/2006/relationships/hyperlink" Target="https://minhyo.jp/jagapokkuru" TargetMode="External"/><Relationship Id="rId1" Type="http://schemas.openxmlformats.org/officeDocument/2006/relationships/hyperlink" Target="https://minhyo.jp/shiroikoibito"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7"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8"/>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39"/>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2" t="s">
        <v>72</v>
      </c>
      <c r="C6" s="22">
        <v>6</v>
      </c>
      <c r="D6" s="23"/>
      <c r="E6" s="23"/>
      <c r="F6" s="23"/>
      <c r="G6" s="23"/>
      <c r="H6" s="23"/>
      <c r="I6" s="23"/>
      <c r="J6" s="23"/>
      <c r="K6" s="23"/>
      <c r="L6" s="23"/>
      <c r="M6" s="23"/>
      <c r="N6" s="23"/>
      <c r="O6" s="23"/>
      <c r="P6" s="23"/>
      <c r="Q6" s="23"/>
      <c r="R6" s="23"/>
      <c r="S6" s="23"/>
      <c r="T6" s="23"/>
      <c r="U6" s="23"/>
      <c r="V6" s="23"/>
      <c r="W6" s="23"/>
      <c r="X6" s="23"/>
      <c r="Y6" s="23"/>
      <c r="Z6" s="23"/>
    </row>
    <row r="7" spans="1:26" ht="14.25" thickBot="1">
      <c r="A7" s="4" t="s">
        <v>9</v>
      </c>
      <c r="B7" s="40" t="s">
        <v>73</v>
      </c>
      <c r="C7" s="7" t="s">
        <v>134</v>
      </c>
      <c r="D7" s="23"/>
      <c r="E7" s="23"/>
      <c r="F7" s="23"/>
      <c r="G7" s="23"/>
      <c r="H7" s="23"/>
      <c r="I7" s="23"/>
      <c r="J7" s="23"/>
      <c r="K7" s="23"/>
      <c r="L7" s="23"/>
      <c r="M7" s="23"/>
      <c r="N7" s="23"/>
      <c r="O7" s="23"/>
      <c r="P7" s="23"/>
      <c r="Q7" s="23"/>
      <c r="R7" s="23"/>
      <c r="S7" s="23"/>
      <c r="T7" s="23"/>
      <c r="U7" s="23"/>
      <c r="V7" s="23"/>
      <c r="W7" s="23"/>
      <c r="X7" s="23"/>
      <c r="Y7" s="23"/>
      <c r="Z7" s="23"/>
    </row>
    <row r="8" spans="1:26" ht="14.25" thickBot="1">
      <c r="A8" s="4" t="s">
        <v>10</v>
      </c>
      <c r="B8" s="41"/>
      <c r="C8" s="7" t="s">
        <v>135</v>
      </c>
      <c r="D8" s="23"/>
      <c r="E8" s="23"/>
      <c r="F8" s="23"/>
      <c r="G8" s="23"/>
      <c r="H8" s="23"/>
      <c r="I8" s="23"/>
      <c r="J8" s="23"/>
      <c r="K8" s="23"/>
      <c r="L8" s="23"/>
      <c r="M8" s="23"/>
      <c r="N8" s="23"/>
      <c r="O8" s="23"/>
      <c r="P8" s="23"/>
      <c r="Q8" s="23"/>
      <c r="R8" s="23"/>
      <c r="S8" s="23"/>
      <c r="T8" s="23"/>
      <c r="U8" s="23"/>
      <c r="V8" s="23"/>
      <c r="W8" s="23"/>
      <c r="X8" s="23"/>
      <c r="Y8" s="23"/>
      <c r="Z8" s="23"/>
    </row>
    <row r="9" spans="1:26" ht="14.25" thickBot="1">
      <c r="A9" s="4" t="s">
        <v>11</v>
      </c>
      <c r="B9" s="41"/>
      <c r="C9" s="7" t="s">
        <v>136</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4" t="s">
        <v>12</v>
      </c>
      <c r="B10" s="41"/>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2"/>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3"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4"/>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4"/>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5"/>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3"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4"/>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4"/>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5"/>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3" t="s">
        <v>149</v>
      </c>
      <c r="C23" s="65" t="s">
        <v>150</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5"/>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3"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5"/>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4" t="s">
        <v>154</v>
      </c>
      <c r="C27" s="34"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10"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6" t="s">
        <v>42</v>
      </c>
      <c r="C29" s="10"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7"/>
      <c r="C30" s="10"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8"/>
      <c r="C31" s="10"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6" t="s">
        <v>46</v>
      </c>
      <c r="C32" s="10"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7"/>
      <c r="C33" s="10"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8"/>
      <c r="C34" s="10"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10"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6" t="s">
        <v>163</v>
      </c>
      <c r="C36" s="66" t="s">
        <v>164</v>
      </c>
      <c r="D36" s="3"/>
      <c r="E36" s="3"/>
      <c r="F36" s="3"/>
      <c r="G36" s="3"/>
      <c r="H36" s="3"/>
      <c r="I36" s="3"/>
      <c r="J36" s="3"/>
      <c r="K36" s="3"/>
      <c r="L36" s="3"/>
      <c r="M36" s="3"/>
      <c r="N36" s="3"/>
      <c r="O36" s="3"/>
      <c r="P36" s="3"/>
      <c r="Q36" s="3"/>
      <c r="R36" s="3"/>
      <c r="S36" s="3"/>
      <c r="T36" s="3"/>
      <c r="U36" s="3"/>
      <c r="V36" s="3"/>
      <c r="W36" s="3"/>
      <c r="X36" s="3"/>
      <c r="Y36" s="3"/>
      <c r="Z36" s="3"/>
    </row>
    <row r="37" spans="1:26" ht="24.75" thickBot="1">
      <c r="A37" s="4" t="s">
        <v>47</v>
      </c>
      <c r="B37" s="48"/>
      <c r="C37" s="10"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6" t="s">
        <v>76</v>
      </c>
      <c r="C38" s="10"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8"/>
      <c r="C39" s="10" t="s">
        <v>152</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5" t="s">
        <v>154</v>
      </c>
      <c r="C40" s="35"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6"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6"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6"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6"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6"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6"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6"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6" t="s">
        <v>174</v>
      </c>
      <c r="D48" s="3"/>
      <c r="E48" s="3"/>
      <c r="F48" s="3"/>
      <c r="G48" s="3"/>
      <c r="H48" s="3"/>
      <c r="I48" s="3"/>
      <c r="J48" s="3"/>
      <c r="K48" s="3"/>
      <c r="L48" s="3"/>
      <c r="M48" s="3"/>
      <c r="N48" s="3"/>
      <c r="O48" s="3"/>
      <c r="P48" s="3"/>
      <c r="Q48" s="3"/>
      <c r="R48" s="3"/>
      <c r="S48" s="3"/>
      <c r="T48" s="3"/>
      <c r="U48" s="3"/>
      <c r="V48" s="3"/>
      <c r="W48" s="3"/>
      <c r="X48" s="3"/>
      <c r="Y48" s="3"/>
      <c r="Z48" s="3"/>
    </row>
    <row r="49" spans="1:26" ht="90" thickBot="1">
      <c r="A49" s="4" t="s">
        <v>64</v>
      </c>
      <c r="B49" s="49" t="s">
        <v>175</v>
      </c>
      <c r="C49" s="26"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1"/>
      <c r="C50" s="67"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49" t="s">
        <v>76</v>
      </c>
      <c r="C51" s="26"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1"/>
      <c r="C52" s="26" t="s">
        <v>166</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6"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7"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38"/>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39"/>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0" sqref="D10"/>
    </sheetView>
  </sheetViews>
  <sheetFormatPr defaultRowHeight="13.5"/>
  <cols>
    <col min="1" max="1" width="23.75" customWidth="1"/>
    <col min="2" max="2" width="23.125" bestFit="1" customWidth="1"/>
    <col min="3" max="4" width="40.625" customWidth="1"/>
  </cols>
  <sheetData>
    <row r="1" spans="1:26" ht="88.5" customHeight="1" thickBot="1">
      <c r="A1" s="12" t="s">
        <v>65</v>
      </c>
      <c r="B1" s="52" t="s">
        <v>66</v>
      </c>
      <c r="C1" s="53"/>
      <c r="D1" s="54"/>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0" t="s">
        <v>134</v>
      </c>
      <c r="B4" s="68">
        <v>5</v>
      </c>
      <c r="C4" s="68">
        <v>4</v>
      </c>
      <c r="D4" s="68">
        <v>2</v>
      </c>
      <c r="E4" s="3"/>
      <c r="F4" s="3"/>
      <c r="G4" s="3"/>
      <c r="H4" s="3"/>
      <c r="I4" s="3"/>
      <c r="J4" s="3"/>
      <c r="K4" s="3"/>
      <c r="L4" s="3"/>
      <c r="M4" s="3"/>
      <c r="N4" s="3"/>
      <c r="O4" s="3"/>
      <c r="P4" s="3"/>
      <c r="Q4" s="3"/>
      <c r="R4" s="3"/>
      <c r="S4" s="3"/>
      <c r="T4" s="3"/>
      <c r="U4" s="3"/>
      <c r="V4" s="3"/>
      <c r="W4" s="3"/>
      <c r="X4" s="3"/>
      <c r="Y4" s="3"/>
      <c r="Z4" s="3"/>
    </row>
    <row r="5" spans="1:26" ht="30.75" thickBot="1">
      <c r="A5" s="30" t="s">
        <v>135</v>
      </c>
      <c r="B5" s="68">
        <v>5</v>
      </c>
      <c r="C5" s="68">
        <v>5</v>
      </c>
      <c r="D5" s="68">
        <v>1</v>
      </c>
      <c r="E5" s="3"/>
      <c r="F5" s="3"/>
      <c r="G5" s="3"/>
      <c r="H5" s="3"/>
      <c r="I5" s="3"/>
      <c r="J5" s="3"/>
      <c r="K5" s="3"/>
      <c r="L5" s="3"/>
      <c r="M5" s="3"/>
      <c r="N5" s="3"/>
      <c r="O5" s="3"/>
      <c r="P5" s="3"/>
      <c r="Q5" s="3"/>
      <c r="R5" s="3"/>
      <c r="S5" s="3"/>
      <c r="T5" s="3"/>
      <c r="U5" s="3"/>
      <c r="V5" s="3"/>
      <c r="W5" s="3"/>
      <c r="X5" s="3"/>
      <c r="Y5" s="3"/>
      <c r="Z5" s="3"/>
    </row>
    <row r="6" spans="1:26" ht="15.75" thickBot="1">
      <c r="A6" s="30" t="s">
        <v>136</v>
      </c>
      <c r="B6" s="68">
        <v>1</v>
      </c>
      <c r="C6" s="68">
        <v>3</v>
      </c>
      <c r="D6" s="68">
        <v>5</v>
      </c>
      <c r="E6" s="3"/>
      <c r="F6" s="3"/>
      <c r="G6" s="3"/>
      <c r="H6" s="3"/>
      <c r="I6" s="3"/>
      <c r="J6" s="3"/>
      <c r="K6" s="3"/>
      <c r="L6" s="3"/>
      <c r="M6" s="3"/>
      <c r="N6" s="3"/>
      <c r="O6" s="3"/>
      <c r="P6" s="3"/>
      <c r="Q6" s="3"/>
      <c r="R6" s="3"/>
      <c r="S6" s="3"/>
      <c r="T6" s="3"/>
      <c r="U6" s="3"/>
      <c r="V6" s="3"/>
      <c r="W6" s="3"/>
      <c r="X6" s="3"/>
      <c r="Y6" s="3"/>
      <c r="Z6" s="3"/>
    </row>
    <row r="7" spans="1:26" ht="15.75" thickBot="1">
      <c r="A7" s="69" t="s">
        <v>137</v>
      </c>
      <c r="B7" s="68">
        <v>4</v>
      </c>
      <c r="C7" s="68">
        <v>5</v>
      </c>
      <c r="D7" s="68">
        <v>2</v>
      </c>
      <c r="E7" s="3"/>
      <c r="F7" s="3"/>
      <c r="G7" s="3"/>
      <c r="H7" s="3"/>
      <c r="I7" s="3"/>
      <c r="J7" s="3"/>
      <c r="K7" s="3"/>
      <c r="L7" s="3"/>
      <c r="M7" s="3"/>
      <c r="N7" s="3"/>
      <c r="O7" s="3"/>
      <c r="P7" s="3"/>
      <c r="Q7" s="3"/>
      <c r="R7" s="3"/>
      <c r="S7" s="3"/>
      <c r="T7" s="3"/>
      <c r="U7" s="3"/>
      <c r="V7" s="3"/>
      <c r="W7" s="3"/>
      <c r="X7" s="3"/>
      <c r="Y7" s="3"/>
      <c r="Z7" s="3"/>
    </row>
    <row r="8" spans="1:26" ht="15.75" thickBot="1">
      <c r="A8" s="30" t="s">
        <v>138</v>
      </c>
      <c r="B8" s="68">
        <v>3</v>
      </c>
      <c r="C8" s="68">
        <v>4</v>
      </c>
      <c r="D8" s="68">
        <v>3</v>
      </c>
      <c r="E8" s="3"/>
      <c r="F8" s="3"/>
      <c r="G8" s="3"/>
      <c r="H8" s="3"/>
      <c r="I8" s="3"/>
      <c r="J8" s="3"/>
      <c r="K8" s="3"/>
      <c r="L8" s="3"/>
      <c r="M8" s="3"/>
      <c r="N8" s="3"/>
      <c r="O8" s="3"/>
      <c r="P8" s="3"/>
      <c r="Q8" s="3"/>
      <c r="R8" s="3"/>
      <c r="S8" s="3"/>
      <c r="T8" s="3"/>
      <c r="U8" s="3"/>
      <c r="V8" s="3"/>
      <c r="W8" s="3"/>
      <c r="X8" s="3"/>
      <c r="Y8" s="3"/>
      <c r="Z8" s="3"/>
    </row>
    <row r="9" spans="1:26" ht="15" thickBot="1">
      <c r="A9" s="16" t="s">
        <v>183</v>
      </c>
      <c r="B9" s="17">
        <f>SUM(B4:B8)</f>
        <v>18</v>
      </c>
      <c r="C9" s="17">
        <f t="shared" ref="C9:D9" si="0">SUM(C4:C8)</f>
        <v>21</v>
      </c>
      <c r="D9" s="17">
        <f t="shared" si="0"/>
        <v>13</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12" sqref="E1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103</v>
      </c>
      <c r="C2" s="20" t="s">
        <v>190</v>
      </c>
      <c r="D2" s="28"/>
      <c r="F2">
        <f>LEN(C1)</f>
        <v>0</v>
      </c>
      <c r="G2" t="s">
        <v>126</v>
      </c>
    </row>
    <row r="3" spans="2:8">
      <c r="B3" s="31"/>
      <c r="C3" s="28"/>
      <c r="D3" s="28"/>
      <c r="H3" t="s">
        <v>127</v>
      </c>
    </row>
    <row r="4" spans="2:8">
      <c r="B4" s="21" t="s">
        <v>116</v>
      </c>
      <c r="C4" s="21" t="s">
        <v>117</v>
      </c>
      <c r="D4" s="21" t="s">
        <v>118</v>
      </c>
      <c r="H4" t="s">
        <v>128</v>
      </c>
    </row>
    <row r="5" spans="2:8">
      <c r="B5" s="21" t="s">
        <v>101</v>
      </c>
      <c r="C5" s="20" t="str">
        <f>IF(C22="","",SUBSTITUTE(MID(C22,FIND("src=",C22)+5,FIND("alt",C22)-FIND("src=",C22)-7),"amp;",""))</f>
        <v>https://images-fe.ssl-images-amazon.com/images/I/515p3hmHvdL.jpg</v>
      </c>
      <c r="D5" s="20" t="str">
        <f>アンケート!C13</f>
        <v>白い恋人</v>
      </c>
      <c r="E5" t="s">
        <v>119</v>
      </c>
    </row>
    <row r="6" spans="2:8">
      <c r="B6" s="21" t="s">
        <v>100</v>
      </c>
      <c r="C6" s="20" t="str">
        <f>IF(C24="","",SUBSTITUTE(MID(C24,FIND("src=",C24)+5,FIND("alt",C24)-FIND("src=",C24)-7),"amp;",""))</f>
        <v>https://images-fe.ssl-images-amazon.com/images/I/51104isWXnL.jpg</v>
      </c>
      <c r="D6" s="20" t="str">
        <f>アンケート!C28</f>
        <v>じゃがポックル</v>
      </c>
      <c r="E6" t="s">
        <v>119</v>
      </c>
    </row>
    <row r="7" spans="2:8">
      <c r="B7" s="21" t="s">
        <v>99</v>
      </c>
      <c r="C7" s="20" t="str">
        <f>IF(C26="","",SUBSTITUTE(MID(C26,FIND("src=",C26)+5,FIND("alt",C26)-FIND("src=",C26)-7),"amp;",""))</f>
        <v>https://images-fe.ssl-images-amazon.com/images/I/51wiGv-TDJL.jpg</v>
      </c>
      <c r="D7" s="20" t="str">
        <f>アンケート!C41</f>
        <v>生キャラメル</v>
      </c>
      <c r="E7" t="s">
        <v>119</v>
      </c>
    </row>
    <row r="10" spans="2:8">
      <c r="B10" s="58" t="s">
        <v>98</v>
      </c>
      <c r="C10" s="59"/>
      <c r="D10" s="59"/>
      <c r="E10" s="59"/>
      <c r="F10" s="60"/>
    </row>
    <row r="11" spans="2:8">
      <c r="B11" s="29" t="s">
        <v>104</v>
      </c>
      <c r="C11" s="29" t="s">
        <v>105</v>
      </c>
      <c r="D11" s="29" t="s">
        <v>106</v>
      </c>
      <c r="E11" s="29" t="s">
        <v>107</v>
      </c>
      <c r="F11" s="29" t="s">
        <v>108</v>
      </c>
    </row>
    <row r="12" spans="2:8">
      <c r="B12" s="55" t="s">
        <v>101</v>
      </c>
      <c r="C12" s="57" t="str">
        <f>アンケート!C27</f>
        <v>https://minhyo.jp/shiroikoibito</v>
      </c>
      <c r="D12" s="61">
        <f>SQL!A11+1</f>
        <v>247</v>
      </c>
      <c r="E12" s="20" t="str">
        <f>アンケート!C25</f>
        <v>３０代女性</v>
      </c>
      <c r="F12" s="20" t="str">
        <f>IF(ISERROR(FIND("女",E12)),"m","w")&amp;"_"&amp;LEFT(E12,2)&amp;"_"&amp;"2"</f>
        <v>w_３０_2</v>
      </c>
    </row>
    <row r="13" spans="2:8">
      <c r="B13" s="56"/>
      <c r="C13" s="57"/>
      <c r="D13" s="62"/>
      <c r="E13" s="20" t="str">
        <f>アンケート!C26</f>
        <v>４０代女性</v>
      </c>
      <c r="F13" s="20" t="str">
        <f>IF(ISERROR(FIND("女",E13)),"m","w")&amp;"_"&amp;LEFT(E13,2)&amp;"_"&amp;"1"</f>
        <v>w_４０_1</v>
      </c>
    </row>
    <row r="14" spans="2:8">
      <c r="B14" s="55" t="s">
        <v>100</v>
      </c>
      <c r="C14" s="57" t="str">
        <f>アンケート!C40</f>
        <v>https://minhyo.jp/jagapokkuru</v>
      </c>
      <c r="D14" s="61">
        <f>IF(D12="","",D12+1)</f>
        <v>248</v>
      </c>
      <c r="E14" s="20" t="str">
        <f>アンケート!C38</f>
        <v>２０代女性</v>
      </c>
      <c r="F14" s="20" t="str">
        <f>IF(ISERROR(FIND("女",E14)),"m","w")&amp;"_"&amp;LEFT(E14,2)&amp;"_"&amp;"2"</f>
        <v>w_２０_2</v>
      </c>
    </row>
    <row r="15" spans="2:8">
      <c r="B15" s="56"/>
      <c r="C15" s="57"/>
      <c r="D15" s="62"/>
      <c r="E15" s="20" t="str">
        <f>アンケート!C39</f>
        <v>３０代女性</v>
      </c>
      <c r="F15" s="20" t="str">
        <f>IF(ISERROR(FIND("女",E15)),"m","w")&amp;"_"&amp;LEFT(E15,2)&amp;"_"&amp;"1"</f>
        <v>w_３０_1</v>
      </c>
    </row>
    <row r="16" spans="2:8">
      <c r="B16" s="55" t="s">
        <v>99</v>
      </c>
      <c r="C16" s="57" t="str">
        <f>アンケート!C53</f>
        <v>https://review.rakuten.co.jp/item/1/238096_10000099/1.1/</v>
      </c>
      <c r="D16" s="61">
        <f>IF(D14="","",D14+1)</f>
        <v>249</v>
      </c>
      <c r="E16" s="20" t="str">
        <f>アンケート!C51</f>
        <v>３０代女性</v>
      </c>
      <c r="F16" s="20" t="str">
        <f>IF(ISERROR(FIND("女",E16)),"m","w")&amp;"_"&amp;LEFT(E16,2)&amp;"_"&amp;"2"</f>
        <v>w_３０_2</v>
      </c>
    </row>
    <row r="17" spans="2:6">
      <c r="B17" s="56"/>
      <c r="C17" s="57"/>
      <c r="D17" s="62"/>
      <c r="E17" s="20" t="str">
        <f>アンケート!C52</f>
        <v>２０代女性</v>
      </c>
      <c r="F17" s="20" t="str">
        <f t="shared" ref="F17" si="0">IF(ISERROR(FIND("女",E17)),"m","w")&amp;"_"&amp;LEFT(E17,2)&amp;"_"&amp;"1"</f>
        <v>w_２０_1</v>
      </c>
    </row>
    <row r="18" spans="2:6">
      <c r="D18" s="28"/>
    </row>
    <row r="19" spans="2:6">
      <c r="D19" s="28"/>
    </row>
    <row r="20" spans="2:6">
      <c r="B20" s="63" t="s">
        <v>109</v>
      </c>
      <c r="C20" s="63"/>
      <c r="D20" s="63"/>
      <c r="E20" s="63"/>
      <c r="F20" s="63"/>
    </row>
    <row r="21" spans="2:6">
      <c r="B21" s="32" t="s">
        <v>116</v>
      </c>
      <c r="C21" s="32" t="s">
        <v>113</v>
      </c>
      <c r="D21" s="63" t="s">
        <v>114</v>
      </c>
      <c r="E21" s="63"/>
      <c r="F21" s="32" t="s">
        <v>115</v>
      </c>
    </row>
    <row r="22" spans="2:6">
      <c r="B22" s="63" t="s">
        <v>110</v>
      </c>
      <c r="C22" s="20" t="s">
        <v>184</v>
      </c>
      <c r="D22" s="64" t="str">
        <f t="shared" ref="D22:D27" si="1">IF(C22="","",SUBSTITUTE(MID(C22,FIND("href=",C22)+6,FIND("rel=",C22)-FIND("href=",C22)-8),"amp;",""))</f>
        <v>//af.moshimo.com/af/c/click?a_id=988731&amp;p_id=170&amp;pc_id=185&amp;pl_id=4062&amp;url=https%3A%2F%2Fwww.amazon.co.jp%2F%25E7%259F%25B3%25E5%25B1%258B%25E8%25A3%25BD%25E8%258F%2593-%25E7%2599%25BD%25E3%2581%2584%25E6%2581%258B%25E4%25BA%25BA-24%25E6%259E%259A%25E5%2585%25A5%25E3%2583%259F%25E3%2583%2583%25E3%2582%25AF%25E3%2582%25B9-%25E7%259F%25B3%25E5%25B1%258B%25E8%25A3%25BD%25E8%258F%2593%2Fdp%2FB003GYRNLQ</v>
      </c>
      <c r="E22" s="64"/>
      <c r="F22" s="20" t="str">
        <f>IF(ISERROR(FIND("amazon",C22)),IF(ISERROR(FIND("rakuten",C22)),"","楽天"),"Amazon")</f>
        <v>Amazon</v>
      </c>
    </row>
    <row r="23" spans="2:6">
      <c r="B23" s="63"/>
      <c r="C23" s="20" t="s">
        <v>185</v>
      </c>
      <c r="D23" s="64" t="str">
        <f t="shared" si="1"/>
        <v>//af.moshimo.com/af/c/click?a_id=988729&amp;p_id=54&amp;pc_id=54&amp;pl_id=616&amp;url=https%3A%2F%2Fitem.rakuten.co.jp%2Fhokkaido-omiyage%2F369177%2F&amp;m=http%3A%2F%2Fm.rakuten.co.jp%2Fhokkaido-omiyage%2Fi%2F10001918%2F&amp;r_v=g00pm4t3.9tq3ea28.g00pm4t3.9tq3f553</v>
      </c>
      <c r="E23" s="64"/>
      <c r="F23" s="20" t="str">
        <f t="shared" ref="F23:F27" si="2">IF(ISERROR(FIND("amazon",C23)),IF(ISERROR(FIND("rakuten",C23)),"","楽天"),"Amazon")</f>
        <v>楽天</v>
      </c>
    </row>
    <row r="24" spans="2:6">
      <c r="B24" s="63" t="s">
        <v>111</v>
      </c>
      <c r="C24" s="20" t="s">
        <v>186</v>
      </c>
      <c r="D24" s="64" t="str">
        <f t="shared" si="1"/>
        <v>//af.moshimo.com/af/c/click?a_id=988731&amp;p_id=170&amp;pc_id=185&amp;pl_id=4062&amp;url=https%3A%2F%2Fwww.amazon.co.jp%2F%25E3%2583%259D%25E3%2583%2586%25E3%2583%2588%25E3%2583%2595%25E3%2582%25A1%25E3%2583%25BC%25E3%2583%25A0-%25E3%2580%2590%25E5%258C%2597%25E6%25B5%25B7%25E9%2581%2593%25E9%2599%2590%25E5%25AE%259A%25E3%2580%2591%25E3%2581%2598%25E3%2582%2583%25E3%2581%258C%25E3%2583%259D%25E3%2583%2583%25E3%2582%25AF%25E3%2583%25AB-10%25E8%25A2%258B%25E5%2585%25A5%25C3%2597%25EF%25BC%2592%25E7%25AE%25B1%2Fdp%2FB074BPPGLF</v>
      </c>
      <c r="E24" s="64"/>
      <c r="F24" s="20" t="str">
        <f t="shared" si="2"/>
        <v>Amazon</v>
      </c>
    </row>
    <row r="25" spans="2:6">
      <c r="B25" s="63"/>
      <c r="C25" s="20" t="s">
        <v>187</v>
      </c>
      <c r="D25" s="64" t="str">
        <f t="shared" si="1"/>
        <v>//af.moshimo.com/af/c/click?a_id=988729&amp;p_id=54&amp;pc_id=54&amp;pl_id=616&amp;url=https%3A%2F%2Fitem.rakuten.co.jp%2Fhokkaido-passion%2F4901330802851%2F&amp;m=http%3A%2F%2Fm.rakuten.co.jp%2Fhokkaido-passion%2Fi%2F10000050%2F&amp;r_v=g00swbh3.9tq3e17c.g00swbh3.9tq3f20f</v>
      </c>
      <c r="E25" s="64"/>
      <c r="F25" s="20" t="str">
        <f t="shared" si="2"/>
        <v>楽天</v>
      </c>
    </row>
    <row r="26" spans="2:6">
      <c r="B26" s="63" t="s">
        <v>112</v>
      </c>
      <c r="C26" s="20" t="s">
        <v>188</v>
      </c>
      <c r="D26" s="64" t="str">
        <f t="shared" si="1"/>
        <v>//af.moshimo.com/af/c/click?a_id=988731&amp;p_id=170&amp;pc_id=185&amp;pl_id=4062&amp;url=https%3A%2F%2Fwww.amazon.co.jp%2F%25E8%258A%25B1%25E7%2595%2591%25E7%2589%25A7%25E5%25A0%25B4-%25E7%2594%259F%25E3%2582%25AD%25E3%2583%25A3%25E3%2583%25A9%25E3%2583%25A1%25E3%2583%25AB-%25E3%2583%2597%25E3%2583%25AC%25E3%2583%25BC%25E3%2583%25B3%25EF%25BC%2588%25E5%25B8%25B8%25E6%25B8%25A9%25E3%2582%25BF%25E3%2582%25A4%25E3%2583%2597%25EF%25BC%2589-72g%2Fdp%2FB07512PCBX</v>
      </c>
      <c r="E26" s="64"/>
      <c r="F26" s="20" t="str">
        <f t="shared" si="2"/>
        <v>Amazon</v>
      </c>
    </row>
    <row r="27" spans="2:6">
      <c r="B27" s="63"/>
      <c r="C27" s="20" t="s">
        <v>189</v>
      </c>
      <c r="D27" s="64" t="str">
        <f t="shared" si="1"/>
        <v>//af.moshimo.com/af/c/click?a_id=988729&amp;p_id=54&amp;pc_id=54&amp;pl_id=616&amp;url=https%3A%2F%2Fitem.rakuten.co.jp%2Fhanabatake%2F140503%2F&amp;m=http%3A%2F%2Fm.rakuten.co.jp%2Fhanabatake%2Fi%2F10000428%2F&amp;r_v=g00qjbk3.9tq3ec01.g00qjbk3.9tq3fae1</v>
      </c>
      <c r="E27" s="64"/>
      <c r="F27" s="20" t="str">
        <f t="shared" si="2"/>
        <v>楽天</v>
      </c>
    </row>
    <row r="28" spans="2:6">
      <c r="D28" s="28"/>
    </row>
    <row r="29" spans="2:6">
      <c r="D29" s="28"/>
    </row>
    <row r="30" spans="2:6">
      <c r="D30" s="28"/>
    </row>
    <row r="31" spans="2:6">
      <c r="D31" s="28"/>
    </row>
    <row r="32" spans="2:6">
      <c r="D32" s="28"/>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(247,'//af.moshimo.com/af/c/click?a_id=988731&amp;p_id=170&amp;pc_id=185&amp;pl_id=4062&amp;url=https%3A%2F%2Fwww.amazon.co.jp%2F%25E7%259F%25B3%25E5%25B1%258B%25E8%25A3%25BD%25E8%258F%2593-%25E7%2599%25BD%25E3%2581%2584%25E6%2581%258B%25E4%25BA%25BA-24%25E6%259E%259A%25E5%2585%25A5%25E3%2583%259F%25E3%2583%2583%25E3%2582%25AF%25E3%2582%25B9-%25E7%259F%25B3%25E5%25B1%258B%25E8%25A3%25BD%25E8%258F%2593%2Fdp%2FB003GYRNLQ', '//af.moshimo.com/af/c/click?a_id=988729&amp;p_id=54&amp;pc_id=54&amp;pl_id=616&amp;url=https%3A%2F%2Fitem.rakuten.co.jp%2Fhokkaido-omiyage%2F369177%2F&amp;m=http%3A%2F%2Fm.rakuten.co.jp%2Fhokkaido-omiyage%2Fi%2F10001918%2F&amp;r_v=g00pm4t3.9tq3ea28.g00pm4t3.9tq3f553', 'https://minhyo.jp/shiroikoibito', 'https://images-fe.ssl-images-amazon.com/images/I/515p3hmHvdL.jpg', '白い恋人'),</v>
      </c>
    </row>
    <row r="3" spans="1:1">
      <c r="A3" t="str">
        <f>"("&amp;入力シート!D14&amp;","&amp;"'"&amp;入力シート!D24&amp;"', '"&amp;入力シート!D25&amp;"', '"&amp;入力シート!C14&amp;"', '"&amp;入力シート!C6&amp;"', '"&amp;入力シート!D6&amp;"'),"</f>
        <v>(248,'//af.moshimo.com/af/c/click?a_id=988731&amp;p_id=170&amp;pc_id=185&amp;pl_id=4062&amp;url=https%3A%2F%2Fwww.amazon.co.jp%2F%25E3%2583%259D%25E3%2583%2586%25E3%2583%2588%25E3%2583%2595%25E3%2582%25A1%25E3%2583%25BC%25E3%2583%25A0-%25E3%2580%2590%25E5%258C%2597%25E6%25B5%25B7%25E9%2581%2593%25E9%2599%2590%25E5%25AE%259A%25E3%2580%2591%25E3%2581%2598%25E3%2582%2583%25E3%2581%258C%25E3%2583%259D%25E3%2583%2583%25E3%2582%25AF%25E3%2583%25AB-10%25E8%25A2%258B%25E5%2585%25A5%25C3%2597%25EF%25BC%2592%25E7%25AE%25B1%2Fdp%2FB074BPPGLF', '//af.moshimo.com/af/c/click?a_id=988729&amp;p_id=54&amp;pc_id=54&amp;pl_id=616&amp;url=https%3A%2F%2Fitem.rakuten.co.jp%2Fhokkaido-passion%2F4901330802851%2F&amp;m=http%3A%2F%2Fm.rakuten.co.jp%2Fhokkaido-passion%2Fi%2F10000050%2F&amp;r_v=g00swbh3.9tq3e17c.g00swbh3.9tq3f20f', 'https://minhyo.jp/jagapokkuru', 'https://images-fe.ssl-images-amazon.com/images/I/51104isWXnL.jpg', 'じゃがポックル'),</v>
      </c>
    </row>
    <row r="4" spans="1:1">
      <c r="A4" t="str">
        <f>"("&amp;入力シート!D16&amp;","&amp;"'"&amp;入力シート!D26&amp;"', '"&amp;入力シート!D27&amp;"', '"&amp;入力シート!C16&amp;"', '"&amp;入力シート!C7&amp;"', '"&amp;入力シート!D7&amp;"');"</f>
        <v>(249,'//af.moshimo.com/af/c/click?a_id=988731&amp;p_id=170&amp;pc_id=185&amp;pl_id=4062&amp;url=https%3A%2F%2Fwww.amazon.co.jp%2F%25E8%258A%25B1%25E7%2595%2591%25E7%2589%25A7%25E5%25A0%25B4-%25E7%2594%259F%25E3%2582%25AD%25E3%2583%25A3%25E3%2583%25A9%25E3%2583%25A1%25E3%2583%25AB-%25E3%2583%2597%25E3%2583%25AC%25E3%2583%25BC%25E3%2583%25B3%25EF%25BC%2588%25E5%25B8%25B8%25E6%25B8%25A9%25E3%2582%25BF%25E3%2582%25A4%25E3%2583%2597%25EF%25BC%2589-72g%2Fdp%2FB07512PCBX', '//af.moshimo.com/af/c/click?a_id=988729&amp;p_id=54&amp;pc_id=54&amp;pl_id=616&amp;url=https%3A%2F%2Fitem.rakuten.co.jp%2Fhanabatake%2F140503%2F&amp;m=http%3A%2F%2Fm.rakuten.co.jp%2Fhanabatake%2Fi%2F10000428%2F&amp;r_v=g00qjbk3.9tq3ec01.g00qjbk3.9tq3fae1', 'https://review.rakuten.co.jp/item/1/238096_10000099/1.1/', 'https://images-fe.ssl-images-amazon.com/images/I/51wiGv-TDJL.jpg', '生キャラメル');</v>
      </c>
    </row>
    <row r="9" spans="1:1">
      <c r="A9" s="33" t="s">
        <v>121</v>
      </c>
    </row>
    <row r="10" spans="1:1">
      <c r="A10" t="s">
        <v>120</v>
      </c>
    </row>
    <row r="11" spans="1:1" ht="18.75">
      <c r="A11" s="70">
        <v>246</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82" workbookViewId="0">
      <selection activeCell="A82" sqref="A1:A1048576"/>
    </sheetView>
  </sheetViews>
  <sheetFormatPr defaultRowHeight="13.5"/>
  <cols>
    <col min="1" max="1" width="67.375" bestFit="1" customWidth="1"/>
  </cols>
  <sheetData>
    <row r="1" spans="1:1">
      <c r="A1" s="18" t="str">
        <f>CONCATENATE("&lt;h2&gt;",入力シート!C2,"&lt;/h2&gt;")</f>
        <v>&lt;h2&gt;北海道お土産のおすすめ３選。定番のお土産はこれ！&lt;/h2&gt;</v>
      </c>
    </row>
    <row r="2" spans="1:1">
      <c r="A2" s="18" t="s">
        <v>84</v>
      </c>
    </row>
    <row r="3" spans="1:1">
      <c r="A3" s="19" t="s">
        <v>85</v>
      </c>
    </row>
    <row r="4" spans="1:1">
      <c r="A4" s="18" t="str">
        <f>CONCATENATE("&lt;li&gt;", アンケート!C54, "&lt;/li&gt;")</f>
        <v>&lt;li&gt;お土産で喜んでもらいたい人&lt;/li&gt;</v>
      </c>
    </row>
    <row r="5" spans="1:1">
      <c r="A5" s="18" t="str">
        <f>CONCATENATE("&lt;li&gt;", アンケート!C55, "&lt;/li&gt;")</f>
        <v>&lt;li&gt;外したくない人&lt;/li&gt;</v>
      </c>
    </row>
    <row r="6" spans="1:1">
      <c r="A6" s="18" t="str">
        <f>CONCATENATE("&lt;li&gt;", アンケート!C56, "&lt;/li&gt;")</f>
        <v>&lt;li&gt;特別な思い出商品を購入したい人&lt;/li&gt;</v>
      </c>
    </row>
    <row r="7" spans="1:1">
      <c r="A7" s="18" t="s">
        <v>86</v>
      </c>
    </row>
    <row r="8" spans="1:1">
      <c r="A8" s="18" t="s">
        <v>87</v>
      </c>
    </row>
    <row r="9" spans="1:1">
      <c r="A9" s="18"/>
    </row>
    <row r="10" spans="1:1">
      <c r="A10" s="18" t="s">
        <v>124</v>
      </c>
    </row>
    <row r="11" spans="1:1">
      <c r="A11" s="18" t="s">
        <v>88</v>
      </c>
    </row>
    <row r="12" spans="1:1">
      <c r="A12" s="18" t="str">
        <f>CONCATENATE("&lt;img src=","""http://shomty.com/wp-content/uploads/img/parts/positionMap/",アンケート!$C$6,".jpg", """ /&gt;")</f>
        <v>&lt;img src="http://shomty.com/wp-content/uploads/img/parts/positionMap/6.jpg" /&gt;</v>
      </c>
    </row>
    <row r="13" spans="1:1">
      <c r="A13" s="27" t="str">
        <f>CONCATENATE("今回紹介する『", アンケート!C2,"』は","「価格と品質」どちらを重要視したのかをあらわした図です。")</f>
        <v>今回紹介する『北海道の定番お土産』は「価格と品質」どちらを重要視したのかをあらわした図です。</v>
      </c>
    </row>
    <row r="14" spans="1:1">
      <c r="A14" s="27"/>
    </row>
    <row r="15" spans="1:1">
      <c r="A15" s="27" t="s">
        <v>125</v>
      </c>
    </row>
    <row r="16" spans="1:1">
      <c r="A16" s="27" t="s">
        <v>123</v>
      </c>
    </row>
    <row r="17" spans="1:2">
      <c r="A17" s="18" t="s">
        <v>87</v>
      </c>
    </row>
    <row r="18" spans="1:2">
      <c r="A18" t="s">
        <v>70</v>
      </c>
    </row>
    <row r="19" spans="1:2">
      <c r="A19" t="str">
        <f>CONCATENATE("&lt;h2&gt;『",アンケート!C2,"』 ランキング&lt;/h2&gt;")</f>
        <v>&lt;h2&gt;『北海道の定番お土産』 ランキング&lt;/h2&gt;</v>
      </c>
    </row>
    <row r="20" spans="1:2">
      <c r="A20" t="s">
        <v>89</v>
      </c>
    </row>
    <row r="22" spans="1:2">
      <c r="A22" t="str">
        <f>CONCATENATE("&lt;h3&gt;3位 ",アンケート!C41,"&lt;/h3&gt;")</f>
        <v>&lt;h3&gt;3位 生キャラメル&lt;/h3&gt;</v>
      </c>
    </row>
    <row r="23" spans="1:2">
      <c r="A23" t="s">
        <v>90</v>
      </c>
    </row>
    <row r="24" spans="1:2">
      <c r="A24" t="s">
        <v>68</v>
      </c>
    </row>
    <row r="25" spans="1:2">
      <c r="A25" t="str">
        <f>アンケート!C48</f>
        <v>特別な方へお土産を渡したい方</v>
      </c>
    </row>
    <row r="26" spans="1:2">
      <c r="A26" t="s">
        <v>69</v>
      </c>
    </row>
    <row r="27" spans="1:2">
      <c r="A27" s="6" t="str">
        <f>CONCATENATE("[tblStart num=5]", 入力シート!C7, "[/tblStart]")</f>
        <v>[tblStart num=5]https://images-fe.ssl-images-amazon.com/images/I/51wiGv-TDJL.jpg[/tblStart]</v>
      </c>
    </row>
    <row r="28" spans="1:2">
      <c r="A28" t="str">
        <f>CONCATENATE("[tdLevel type=", B28, "]", 比較表!A4, "[/tdLevel]")</f>
        <v>[tdLevel type=5]日持ちはするのか[/tdLevel]</v>
      </c>
      <c r="B28">
        <f>HLOOKUP(アンケート!$C$41,比較表!$B$3:$D$8,2)</f>
        <v>5</v>
      </c>
    </row>
    <row r="29" spans="1:2">
      <c r="A29" t="str">
        <f>CONCATENATE("[tdLevel type=", B29, "]", 比較表!A5, "[/tdLevel]")</f>
        <v>[tdLevel type=5]たくさんの人に配れるのか[/tdLevel]</v>
      </c>
      <c r="B29">
        <f>HLOOKUP(アンケート!$C$41,比較表!$B$3:$D$8,3)</f>
        <v>5</v>
      </c>
    </row>
    <row r="30" spans="1:2">
      <c r="A30" t="str">
        <f>CONCATENATE("[tdLevel type=", B30, "]", 比較表!A6, "[/tdLevel]")</f>
        <v>[tdLevel type=1]手は汚れないか[/tdLevel]</v>
      </c>
      <c r="B30">
        <f>HLOOKUP(アンケート!$C$41,比較表!$B$3:$D$8,4)</f>
        <v>1</v>
      </c>
    </row>
    <row r="31" spans="1:2">
      <c r="A31" t="str">
        <f>CONCATENATE("[tdLevel type=", B31, "]", 比較表!A7, "[/tdLevel]")</f>
        <v>[tdLevel type=4]ほとんどの人に受け入れてもらえるおいしさか[/tdLevel]</v>
      </c>
      <c r="B31">
        <f>HLOOKUP(アンケート!$C$41,比較表!$B$3:$D$8,5)</f>
        <v>4</v>
      </c>
    </row>
    <row r="32" spans="1:2">
      <c r="A32" t="str">
        <f>CONCATENATE("[tdLevel type=", B32, "]", 比較表!A8, "[/tdLevel]")</f>
        <v>[tdLevel type=3]持ち運びやすいか[/tdLevel]</v>
      </c>
      <c r="B32">
        <f>HLOOKUP(アンケート!$C$41,比較表!$B$3:$D$8,6)</f>
        <v>3</v>
      </c>
    </row>
    <row r="33" spans="1:1">
      <c r="A33" t="s">
        <v>71</v>
      </c>
    </row>
    <row r="35" spans="1:1">
      <c r="A35" s="6" t="str">
        <f>CONCATENATE("[product_link id=",入力シート!D16,"][/product_link]")</f>
        <v>[product_link id=249][/product_link]</v>
      </c>
    </row>
    <row r="36" spans="1:1">
      <c r="A36" t="s">
        <v>91</v>
      </c>
    </row>
    <row r="37" spans="1:1">
      <c r="A37" t="s">
        <v>92</v>
      </c>
    </row>
    <row r="38" spans="1:1">
      <c r="A38" t="s">
        <v>93</v>
      </c>
    </row>
    <row r="39" spans="1:1">
      <c r="A39" t="s">
        <v>85</v>
      </c>
    </row>
    <row r="40" spans="1:1">
      <c r="A40" t="str">
        <f>CONCATENATE("&lt;li&gt;", アンケート!C42,"&lt;/li&gt;")</f>
        <v>&lt;li&gt;とろけるおいしさ&lt;/li&gt;</v>
      </c>
    </row>
    <row r="41" spans="1:1">
      <c r="A41" t="str">
        <f>CONCATENATE("&lt;li&gt;", アンケート!C43,"&lt;/li&gt;")</f>
        <v>&lt;li&gt;話題になったので有名&lt;/li&gt;</v>
      </c>
    </row>
    <row r="42" spans="1:1">
      <c r="A42" t="str">
        <f>CONCATENATE("&lt;li&gt;", アンケート!C44,"&lt;/li&gt;")</f>
        <v>&lt;li&gt;特別なお土産として使うことも可能&lt;/li&gt;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&lt;li&gt;矯正している方は食べることができない&lt;/li&gt;</v>
      </c>
    </row>
    <row r="51" spans="1:1">
      <c r="A51" t="str">
        <f>CONCATENATE("&lt;li&gt;", アンケート!C46,"&lt;/li&gt;")</f>
        <v>&lt;li&gt;量があまりない&lt;/li&gt;</v>
      </c>
    </row>
    <row r="52" spans="1:1">
      <c r="A52" t="str">
        <f>CONCATENATE("&lt;li&gt;", アンケート!C47,"&lt;/li&gt;")</f>
        <v>&lt;li&gt;溶けやすい&lt;/li&gt;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icon="http://shomty.com/wp-content/uploads/img/parts/review/w_３０_2.jpg" name="３０代女性" type="l"]</v>
      </c>
    </row>
    <row r="58" spans="1:1">
      <c r="A58" t="str">
        <f>アンケート!C49</f>
        <v>生キャラメル。 
生キャラメル好きの主人のアツイ要望で、 
プレーンと夕張メロンを購入しました。 
私も数粒ずつ頂いたのですが、 
気が付けばあっと言う間に主人の口の中でした; 
変わらずスルッととろける口あたり、おいしいですね。</v>
      </c>
    </row>
    <row r="59" spans="1:1">
      <c r="A59" t="s">
        <v>102</v>
      </c>
    </row>
    <row r="60" spans="1:1">
      <c r="A60" t="str">
        <f>CONCATENATE("[voice icon=","""http://shomty.com/wp-content/uploads/img/parts/review/", 入力シート!F17, ".jpg", """ name=""", 入力シート!E17, """ type=""", "r", """]")</f>
        <v>[voice icon="http://shomty.com/wp-content/uploads/img/parts/review/w_２０_1.jpg" name="２０代女性" type="r"]</v>
      </c>
    </row>
    <row r="61" spans="1:1">
      <c r="A61" t="str">
        <f>アンケート!C50</f>
        <v>まずは食べたことの無いチョコレートはとろ～り ８５０円で12粒 一揆に6粒食べちゃえるほど美味しすぎました、あと3人に2粒ずつ渡しましたが目の色がかわるほど喜ばれました</v>
      </c>
    </row>
    <row r="62" spans="1:1">
      <c r="A62" t="s">
        <v>102</v>
      </c>
    </row>
    <row r="63" spans="1:1">
      <c r="A63" t="s">
        <v>97</v>
      </c>
    </row>
    <row r="64" spans="1:1">
      <c r="A64" t="str">
        <f>CONCATENATE("[reviewLink id=","""", 入力シート!D16,"""][/reviewLink]")</f>
        <v>[reviewLink id="249"][/reviewLink]</v>
      </c>
    </row>
    <row r="66" spans="1:2">
      <c r="A66" t="str">
        <f>CONCATENATE("&lt;h3&gt;2位 ",アンケート!C28,"&lt;/h3&gt;")</f>
        <v>&lt;h3&gt;2位 じゃがポックル&lt;/h3&gt;</v>
      </c>
    </row>
    <row r="67" spans="1:2">
      <c r="A67" t="s">
        <v>90</v>
      </c>
    </row>
    <row r="68" spans="1:2">
      <c r="A68" t="s">
        <v>68</v>
      </c>
    </row>
    <row r="69" spans="1:2">
      <c r="A69" t="str">
        <f>アンケート!C35</f>
        <v>おいしさを追求する人</v>
      </c>
    </row>
    <row r="70" spans="1:2">
      <c r="A70" t="s">
        <v>69</v>
      </c>
    </row>
    <row r="71" spans="1:2" ht="27">
      <c r="A71" s="6" t="str">
        <f>CONCATENATE("[tblStart num=5]", 入力シート!$C$6, "[/tblStart]")</f>
        <v>[tblStart num=5]https://images-fe.ssl-images-amazon.com/images/I/51104isWXnL.jpg[/tblStart]</v>
      </c>
    </row>
    <row r="72" spans="1:2">
      <c r="A72" t="str">
        <f>CONCATENATE("[tdLevel type=", B72, "]", 比較表!A4, "[/tdLevel]")</f>
        <v>[tdLevel type=5]日持ちはするのか[/tdLevel]</v>
      </c>
      <c r="B72">
        <f>HLOOKUP(アンケート!$C$28,比較表!$B$3:$D$8,2,FALSE)</f>
        <v>5</v>
      </c>
    </row>
    <row r="73" spans="1:2">
      <c r="A73" t="str">
        <f>CONCATENATE("[tdLevel type=", B73, "]", 比較表!A5, "[/tdLevel]")</f>
        <v>[tdLevel type=5]たくさんの人に配れるのか[/tdLevel]</v>
      </c>
      <c r="B73">
        <f>HLOOKUP(アンケート!$C$28,比較表!$B$3:$D$8,3,FALSE)</f>
        <v>5</v>
      </c>
    </row>
    <row r="74" spans="1:2">
      <c r="A74" t="str">
        <f>CONCATENATE("[tdLevel type=", B74, "]", 比較表!A6, "[/tdLevel]")</f>
        <v>[tdLevel type=1]手は汚れないか[/tdLevel]</v>
      </c>
      <c r="B74">
        <f>HLOOKUP(アンケート!$C$28,比較表!$B$3:$D$8,4,FALSE)</f>
        <v>1</v>
      </c>
    </row>
    <row r="75" spans="1:2">
      <c r="A75" t="str">
        <f>CONCATENATE("[tdLevel type=", B75, "]", 比較表!A7, "[/tdLevel]")</f>
        <v>[tdLevel type=4]ほとんどの人に受け入れてもらえるおいしさか[/tdLevel]</v>
      </c>
      <c r="B75">
        <f>HLOOKUP(アンケート!$C$28,比較表!$B$3:$D$8,5,FALSE)</f>
        <v>4</v>
      </c>
    </row>
    <row r="76" spans="1:2">
      <c r="A76" t="str">
        <f>CONCATENATE("[tdLevel type=", B76, "]", 比較表!A8, "[/tdLevel]")</f>
        <v>[tdLevel type=3]持ち運びやすいか[/tdLevel]</v>
      </c>
      <c r="B76">
        <f>HLOOKUP(アンケート!$C$28,比較表!$B$3:$D$8,6,FALSE)</f>
        <v>3</v>
      </c>
    </row>
    <row r="77" spans="1:2">
      <c r="A77" t="s">
        <v>71</v>
      </c>
    </row>
    <row r="79" spans="1:2">
      <c r="A79" s="6" t="str">
        <f>CONCATENATE("[product_link id=",入力シート!D14,"][/product_link]")</f>
        <v>[product_link id=248][/product_link]</v>
      </c>
    </row>
    <row r="80" spans="1:2">
      <c r="A80" t="s">
        <v>91</v>
      </c>
    </row>
    <row r="81" spans="1:1">
      <c r="A81" t="s">
        <v>92</v>
      </c>
    </row>
    <row r="82" spans="1:1">
      <c r="A82" t="s">
        <v>93</v>
      </c>
    </row>
    <row r="83" spans="1:1">
      <c r="A83" t="s">
        <v>85</v>
      </c>
    </row>
    <row r="84" spans="1:1">
      <c r="A84" t="str">
        <f>CONCATENATE("&lt;li&gt;", アンケート!C29,"&lt;/li&gt;")</f>
        <v>&lt;li&gt;100％北海道産のジャガイモを使用&lt;/li&gt;</v>
      </c>
    </row>
    <row r="85" spans="1:1">
      <c r="A85" t="str">
        <f>CONCATENATE("&lt;li&gt;", アンケート!C30,"&lt;/li&gt;")</f>
        <v>&lt;li&gt;デザイン、設定がかわいい&lt;/li&gt;</v>
      </c>
    </row>
    <row r="86" spans="1:1">
      <c r="A86" t="str">
        <f>CONCATENATE("&lt;li&gt;", アンケート!C31,"&lt;/li&gt;")</f>
        <v>&lt;li&gt;ジャガイモのうまみを感じられる味付け&lt;/li&gt;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&lt;li&gt;手が汚れてしまう&lt;/li&gt;</v>
      </c>
    </row>
    <row r="95" spans="1:1">
      <c r="A95" t="str">
        <f>CONCATENATE("&lt;li&gt;", アンケート!C33,"&lt;/li&gt;")</f>
        <v>&lt;li&gt;たくさんの人に配ることができない&lt;/li&gt;</v>
      </c>
    </row>
    <row r="96" spans="1:1">
      <c r="A96" t="str">
        <f>CONCATENATE("&lt;li&gt;", アンケート!C34,"&lt;/li&gt;")</f>
        <v>&lt;li&gt;じゃがビーと味が似ている&lt;/li&gt;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icon="http://shomty.com/wp-content/uploads/img/parts/review/w_２０_2.jpg" name="２０代女性" type="l"]</v>
      </c>
    </row>
    <row r="102" spans="1:1">
      <c r="A102" t="str">
        <f>アンケート!C36</f>
        <v>北海道へ旅行に行った時にバスガイドさんから人気の北海道お土産だよと教えて貰い購入しました。一言で言うならこれはハマりますっ！塩が効いていてサクサクしていて子供から大人まで楽しめる食感です。通販でもかなりの人気商品だそうですよ。</v>
      </c>
    </row>
    <row r="103" spans="1:1">
      <c r="A103" t="s">
        <v>102</v>
      </c>
    </row>
    <row r="104" spans="1:1">
      <c r="A104" t="str">
        <f>CONCATENATE("[voice icon=","""http://shomty.com/wp-content/uploads/img/parts/review/", 入力シート!F15, ".jpg", """ name=""", 入力シート!E15, """ type=""", "r", """]")</f>
        <v>[voice icon="http://shomty.com/wp-content/uploads/img/parts/review/w_３０_1.jpg" name="３０代女性" type="r"]</v>
      </c>
    </row>
    <row r="105" spans="1:1">
      <c r="A105" t="str">
        <f>アンケート!C37</f>
        <v>"カルビーで出しているじゃがビーに似ているけど、こちらの方が北海道だけあって、ジャガイモの味が良い気がします。
お菓子として、これが嫌いな人はいないのではないでしょうか。"</v>
      </c>
    </row>
    <row r="106" spans="1:1">
      <c r="A106" t="s">
        <v>102</v>
      </c>
    </row>
    <row r="107" spans="1:1">
      <c r="A107" t="s">
        <v>97</v>
      </c>
    </row>
    <row r="108" spans="1:1">
      <c r="A108" t="str">
        <f>CONCATENATE("[reviewLink id=","""", 入力シート!D14,"""][/reviewLink]")</f>
        <v>[reviewLink id="248"][/reviewLink]</v>
      </c>
    </row>
    <row r="110" spans="1:1">
      <c r="A110" t="str">
        <f>CONCATENATE("&lt;h3&gt;1位 ",アンケート!C13,"&lt;/h3&gt;")</f>
        <v>&lt;h3&gt;1位 白い恋人&lt;/h3&gt;</v>
      </c>
    </row>
    <row r="111" spans="1:1">
      <c r="A111" t="s">
        <v>90</v>
      </c>
    </row>
    <row r="112" spans="1:1">
      <c r="A112" t="s">
        <v>68</v>
      </c>
    </row>
    <row r="113" spans="1:2">
      <c r="A113" t="str">
        <f>アンケート!C22</f>
        <v>たくさんの人にお土産を配りたい人</v>
      </c>
    </row>
    <row r="114" spans="1:2">
      <c r="A114" t="s">
        <v>69</v>
      </c>
    </row>
    <row r="115" spans="1:2" ht="27">
      <c r="A115" s="6" t="str">
        <f>CONCATENATE("[tblStart num=5]", 入力シート!C5, "[/tblStart]")</f>
        <v>[tblStart num=5]https://images-fe.ssl-images-amazon.com/images/I/515p3hmHvdL.jpg[/tblStart]</v>
      </c>
    </row>
    <row r="116" spans="1:2">
      <c r="A116" t="str">
        <f>CONCATENATE("[tdLevel type=", B116, "]", 比較表!A4, "[/tdLevel]")</f>
        <v>[tdLevel type=4]日持ちはするのか[/tdLevel]</v>
      </c>
      <c r="B116">
        <f>HLOOKUP(アンケート!$C$13,比較表!$B$3:$D$8,2,FALSE)</f>
        <v>4</v>
      </c>
    </row>
    <row r="117" spans="1:2">
      <c r="A117" t="str">
        <f>CONCATENATE("[tdLevel type=", B117, "]", 比較表!A5, "[/tdLevel]")</f>
        <v>[tdLevel type=5]たくさんの人に配れるのか[/tdLevel]</v>
      </c>
      <c r="B117">
        <f>HLOOKUP(アンケート!$C$13,比較表!$B$3:$D$8,3,FALSE)</f>
        <v>5</v>
      </c>
    </row>
    <row r="118" spans="1:2">
      <c r="A118" t="str">
        <f>CONCATENATE("[tdLevel type=", B118, "]", 比較表!A6, "[/tdLevel]")</f>
        <v>[tdLevel type=3]手は汚れないか[/tdLevel]</v>
      </c>
      <c r="B118">
        <f>HLOOKUP(アンケート!$C$13,比較表!$B$3:$D$8,4,FALSE)</f>
        <v>3</v>
      </c>
    </row>
    <row r="119" spans="1:2">
      <c r="A119" t="str">
        <f>CONCATENATE("[tdLevel type=", B119, "]", 比較表!A7, "[/tdLevel]")</f>
        <v>[tdLevel type=5]ほとんどの人に受け入れてもらえるおいしさか[/tdLevel]</v>
      </c>
      <c r="B119">
        <f>HLOOKUP(アンケート!$C$13,比較表!$B$3:$D$8,5,FALSE)</f>
        <v>5</v>
      </c>
    </row>
    <row r="120" spans="1:2">
      <c r="A120" t="str">
        <f>CONCATENATE("[tdLevel type=", B120, "]", 比較表!A8, "[/tdLevel]")</f>
        <v>[tdLevel type=4]持ち運びやすいか[/tdLevel]</v>
      </c>
      <c r="B120">
        <f>HLOOKUP(アンケート!$C$13,比較表!$B$3:$D$8,6,FALSE)</f>
        <v>4</v>
      </c>
    </row>
    <row r="121" spans="1:2">
      <c r="A121" t="s">
        <v>71</v>
      </c>
    </row>
    <row r="123" spans="1:2">
      <c r="A123" s="6" t="str">
        <f>CONCATENATE("[product_link id=",入力シート!D12,"][/product_link]")</f>
        <v>[product_link id=247][/product_link]</v>
      </c>
    </row>
    <row r="124" spans="1:2">
      <c r="A124" t="s">
        <v>91</v>
      </c>
    </row>
    <row r="125" spans="1:2">
      <c r="A125" t="s">
        <v>92</v>
      </c>
    </row>
    <row r="126" spans="1:2">
      <c r="A126" t="s">
        <v>93</v>
      </c>
    </row>
    <row r="127" spans="1:2">
      <c r="A127" t="s">
        <v>85</v>
      </c>
    </row>
    <row r="128" spans="1:2">
      <c r="A128" t="str">
        <f>CONCATENATE("&lt;li&gt;", アンケート!C14,"&lt;/li&gt;")</f>
        <v>&lt;li&gt;たくさんの人に配ることができる&lt;/li&gt;</v>
      </c>
    </row>
    <row r="129" spans="1:1">
      <c r="A129" t="str">
        <f>CONCATENATE("&lt;li&gt;", アンケート!C15,"&lt;/li&gt;")</f>
        <v>&lt;li&gt;ほとんどの人が嫌わない&lt;/li&gt;</v>
      </c>
    </row>
    <row r="130" spans="1:1">
      <c r="A130" t="str">
        <f>CONCATENATE("&lt;li&gt;", アンケート!C16,"&lt;/li&gt;")</f>
        <v>&lt;li&gt;軽くてかさばらないので持ち運びにも便利&lt;/li&gt;</v>
      </c>
    </row>
    <row r="131" spans="1:1">
      <c r="A131" t="str">
        <f>CONCATENATE("&lt;li&gt;", アンケート!C17,"&lt;/li&gt;")</f>
        <v>&lt;li&gt;北海道と言ったらこれという代表的なお菓子&lt;/li&gt;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&lt;li&gt;定番過ぎる&lt;/li&gt;</v>
      </c>
    </row>
    <row r="140" spans="1:1">
      <c r="A140" t="str">
        <f>CONCATENATE("&lt;li&gt;", アンケート!C19,"&lt;/li&gt;")</f>
        <v>&lt;li&gt;暑いと溶けてしまう&lt;/li&gt;</v>
      </c>
    </row>
    <row r="141" spans="1:1">
      <c r="A141" t="str">
        <f>CONCATENATE("&lt;li&gt;", アンケート!C20,"&lt;/li&gt;")</f>
        <v>&lt;li&gt;割れやすい&lt;/li&gt;</v>
      </c>
    </row>
    <row r="142" spans="1:1">
      <c r="A142" t="str">
        <f>CONCATENATE("&lt;li&gt;", アンケート!C21,"&lt;/li&gt;")</f>
        <v>&lt;li&gt;甘すぎると感じてしまう人もいる&lt;/li&gt;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icon="http://shomty.com/wp-content/uploads/img/parts/review/w_３０_2.jpg" name="３０代女性" type="l"]</v>
      </c>
    </row>
    <row r="148" spans="1:1">
      <c r="A148" t="str">
        <f>アンケート!C23</f>
        <v>知人が北海道旅行へ行った際にお土産として買ってきてくれ食べました。一つずつ袋入りなのが手も汚れなくて食べやすかったです。味も美味しく子供達にも人気でしたね。近場で売って欲しいくらいです。</v>
      </c>
    </row>
    <row r="149" spans="1:1">
      <c r="A149" t="s">
        <v>102</v>
      </c>
    </row>
    <row r="150" spans="1:1">
      <c r="A150" t="str">
        <f>CONCATENATE("[voice icon=","""http://shomty.com/wp-content/uploads/img/parts/review/", 入力シート!F13, ".jpg", """ name=""", 入力シート!E13, """ type=""", "r", """]")</f>
        <v>[voice icon="http://shomty.com/wp-content/uploads/img/parts/review/w_４０_1.jpg" name="４０代女性" type="r"]</v>
      </c>
    </row>
    <row r="151" spans="1:1">
      <c r="A151" t="str">
        <f>アンケート!C24</f>
        <v>いわずと知れた大定番です。
食べ過ぎて、お土産で頂いても「やったー！」とは思いませんが、食べるとやっぱり美味しい。
サクサクしたランクドシャとホワイトチョコの組み合わせは鉄板です。
あまりこのお菓子を嫌いな人はいないのではないでしょうか。</v>
      </c>
    </row>
    <row r="152" spans="1:1">
      <c r="A152" t="s">
        <v>102</v>
      </c>
    </row>
    <row r="153" spans="1:1">
      <c r="A153" t="s">
        <v>97</v>
      </c>
    </row>
    <row r="154" spans="1:1">
      <c r="A154" t="str">
        <f>CONCATENATE("[reviewLink id=","""", 入力シート!D12,"""][/reviewLink]")</f>
        <v>[reviewLink id="247"][/reviewLink]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2018-08-17T01:11:04Z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