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3"/>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B32" i="3" l="1"/>
  <c r="B31" i="3"/>
  <c r="B30" i="3"/>
  <c r="B29" i="3"/>
  <c r="B28" i="3"/>
  <c r="D12" i="4" l="1"/>
  <c r="F2" i="4" l="1"/>
  <c r="B120" i="3" l="1"/>
  <c r="B119" i="3"/>
  <c r="B118" i="3"/>
  <c r="B117" i="3"/>
  <c r="B116" i="3"/>
  <c r="B76" i="3"/>
  <c r="B75" i="3"/>
  <c r="B74" i="3"/>
  <c r="B73" i="3"/>
  <c r="B72" i="3"/>
  <c r="A13" i="3" l="1"/>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<sst xmlns="http://schemas.openxmlformats.org/spreadsheetml/2006/main" count="267" uniqueCount="190">
  <si>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</si>
  <si>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</si>
  <si>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</si>
  <si>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</si>
  <si>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</si>
  <si>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</si>
  <si>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</si>
  <si>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</si>
  <si>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</si>
  <si>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</si>
  <si>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</si>
  <si>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</si>
  <si>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</si>
  <si>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</si>
  <si>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</si>
  <si>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</si>
  <si>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</si>
  <si>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</si>
  <si>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</si>
  <si>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</si>
  <si>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</si>
  <si>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</si>
  <si>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</si>
  <si>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</si>
  <si>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</si>
  <si>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</si>
  <si>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</si>
  <si>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</si>
  <si>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</si>
  <si>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</si>
  <si>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</si>
  <si>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</si>
  <si>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</si>
  <si>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</si>
  <si>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</si>
  <si>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</si>
  <si>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</si>
  <si>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</si>
  <si>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</si>
  <si>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</si>
  <si>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</si>
  <si>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</si>
  <si>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</si>
  <si>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</si>
  <si>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</si>
  <si>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</si>
  <si>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</si>
  <si>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</si>
  <si>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</si>
  <si>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</si>
  <si>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</si>
  <si>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</si>
  <si>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</si>
  <si>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</si>
  <si>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</si>
  <si>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</si>
  <si>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</si>
  <si>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</si>
  <si>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</si>
  <si>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</si>
  <si>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</si>
  <si>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</si>
  <si>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</si>
  <si>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</si>
  <si>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</si>
  <si>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</si>
  <si>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</si>
  <si>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</si>
  <si>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</si>
  <si>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</si>
  <si>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</si>
  <si>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</si>
  <si>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</si>
  <si>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</si>
  <si>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</si>
  <si>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</si>
  <si>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</si>
  <si>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</si>
  <si>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</si>
  <si>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</si>
  <si>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</si>
  <si>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</si>
  <si>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</si>
  <si>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</si>
  <si>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</si>
  <si>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</si>
  <si>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</si>
  <si>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</si>
  <si>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</si>
  <si>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</si>
  <si>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</si>
  <si>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</si>
  <si>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</si>
  <si>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</si>
  <si>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</si>
  <si>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</si>
  <si>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</si>
  <si>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</si>
  <si>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</si>
  <si>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</si>
  <si>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</si>
  <si>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</si>
  <si>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</si>
  <si>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</si>
  <si>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</si>
  <si>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</si>
  <si>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</si>
  <si>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</si>
  <si>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</si>
  <si>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</si>
  <si>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</si>
  <si>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</si>
  <si>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</si>
  <si>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</si>
  <si>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</si>
  <si>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</si>
  <si>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</si>
  <si>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</si>
  <si>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</si>
  <si>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</si>
  <si>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</si>
  <si>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</si>
  <si>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</si>
  <si>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</si>
  <si>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</si>
  <si>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</si>
  <si>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</si>
  <si>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</si>
  <si>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</si>
  <si>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</si>
  <si>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岡山のお土産にお勧めの白桃ゼリー</t>
  </si>
  <si>
    <t>岡山桃子　プレミアム桃子</t>
  </si>
  <si>
    <t>せとうち寿　白桃デザート</t>
  </si>
  <si>
    <t>ゴホウビ　フルーツコラーゲンゼリー</t>
  </si>
  <si>
    <t>おいしい</t>
  </si>
  <si>
    <t>お土産に喜ばれる</t>
  </si>
  <si>
    <t>価格が安い</t>
  </si>
  <si>
    <t>購入しやすい</t>
  </si>
  <si>
    <t>見た目がお洒落</t>
  </si>
  <si>
    <t>※比較表に記入</t>
  </si>
  <si>
    <t>ジュレとプリンの2層になっているので、1つで2つの味を楽しめる</t>
  </si>
  <si>
    <t>見た目が可愛くプレミアム感がある</t>
  </si>
  <si>
    <t>専用の長いスプーンが付いている。</t>
  </si>
  <si>
    <t>白桃の果肉が入っていておいしい</t>
  </si>
  <si>
    <t>瓶なので捨てるときに面倒</t>
  </si>
  <si>
    <t>固く開けにくい</t>
  </si>
  <si>
    <t>価格が高い</t>
  </si>
  <si>
    <t>少し重い</t>
  </si>
  <si>
    <t>プリン・ジュレ両方楽しみたい方</t>
  </si>
  <si>
    <r>
      <t xml:space="preserve">１位の商品のためになった（なる）口コミやレビューを２つ記入してください。
</t>
    </r>
    <r>
      <rPr>
        <sz val="9"/>
        <color rgb="FFFF0000"/>
        <rFont val="Arial"/>
        <family val="2"/>
      </rPr>
      <t>※短文すぎない（100文字程度）口コミをお願いします。</t>
    </r>
  </si>
  <si>
    <t>お土産にいただき両親にあげたところ、今まで色んなスイーツを食べたきたはずですが、プレミアム桃子が一番おいしいと絶賛していました。
そんな両親を見て嬉しかったので、ネットで探して購入。
とても喜んでくれて嬉しかったです。</t>
  </si>
  <si>
    <t xml:space="preserve">ピンクの箱に、赤いリボンのついた瓶が入っていて、見た目がとってもお洒落で可愛いです。
ずっと気になっていたので購入し、家族でいただきました。
ジュレ・果肉・ミルクプリンが入っていて、とってもおいしかったです。
</t>
  </si>
  <si>
    <t>30代女性</t>
  </si>
  <si>
    <t>50代女性</t>
  </si>
  <si>
    <r>
      <t xml:space="preserve">参考にしたサイトのURLを記入してください。
</t>
    </r>
    <r>
      <rPr>
        <sz val="9"/>
        <color rgb="FFFF0000"/>
        <rFont val="Arial"/>
        <family val="2"/>
      </rPr>
      <t>（※レビューや口コミが一覧になっているページを添付してください。）</t>
    </r>
  </si>
  <si>
    <t>https://www.umaina.jp/SHOP/rating_list.html?SORT_ITEM=0512&amp;YGI=</t>
  </si>
  <si>
    <t>桃の形をした見た目が可愛くユーモアもありお土産にも喜ばれる</t>
  </si>
  <si>
    <t>果肉がはいっている</t>
  </si>
  <si>
    <t>食べた後は小物入れにも使える</t>
  </si>
  <si>
    <t>2個セットからスプーンがついているが、1個売りではスプーンがついていない</t>
  </si>
  <si>
    <t>お土産にはいいが、自分のために購入するには躊躇ってしまう価格。</t>
  </si>
  <si>
    <t>1個入りは透明のビニールで包んでおり、箱に入っていない。</t>
  </si>
  <si>
    <t>可愛いもの好きな女性・子ども</t>
  </si>
  <si>
    <r>
      <t xml:space="preserve">２位の商品のためになった（なる）口コミやレビューを２つ記入してください。
</t>
    </r>
    <r>
      <rPr>
        <sz val="9"/>
        <color rgb="FFFF0000"/>
        <rFont val="Arial"/>
        <family val="2"/>
      </rPr>
      <t>※短文すぎない（100文字程度）口コミをお願いします。</t>
    </r>
  </si>
  <si>
    <t>箱を開けるとプラスチックの桃の形をした入れ物が出てきて驚きました。
桃のゼリーに桃の果肉がはいっていて、とっても濃厚でおいしいです。
桃のおいしさがぎゅっと凝縮されていて、見た目味ともに満足の商品です。</t>
  </si>
  <si>
    <t>見た目にとってもインパクトのある白桃ゼリーです。
桃の形をしていて、大きさも本物の桃と同じくらいの大きさです。
大きい果肉が入っているので、白桃そのももの味を堪能することができます。
見た目が可愛いので、子供にも喜ばれると思います。</t>
  </si>
  <si>
    <t>20代女性</t>
  </si>
  <si>
    <t>https://omicole.net/okayama/omiyage/detail/511</t>
  </si>
  <si>
    <t>スティックタイプなのでいつでも気軽に食べれる</t>
  </si>
  <si>
    <t>白桃だけでなく、苺やゆず・マスカットなどもある</t>
  </si>
  <si>
    <t>コラーゲンが入っているので美容にも良い</t>
  </si>
  <si>
    <t>果肉は入っていない</t>
  </si>
  <si>
    <t>白桃以外にも種類が豊富で迷ってしまう</t>
  </si>
  <si>
    <t>1本が少ないのですぐになくなる</t>
  </si>
  <si>
    <t>美容に気を使っている方</t>
  </si>
  <si>
    <r>
      <t xml:space="preserve">３位の商品のためになった（なる）口コミやレビューを２つ記入してください。
</t>
    </r>
    <r>
      <rPr>
        <sz val="9"/>
        <color rgb="FFFF0000"/>
        <rFont val="Arial"/>
        <family val="2"/>
      </rPr>
      <t>※短文すぎない（100文字程度）口コミをお願いします。</t>
    </r>
  </si>
  <si>
    <t>倉敷美観地区にある店舗に行ったところ、凍っているコラーゲンゼリーを店員さんが試食に下さったので、食べてみました。口当たりがよく甘すぎない白桃の味でとってもおいしかったです。
スティックタイプなので、食べやすいのもいいと思いました。</t>
  </si>
  <si>
    <t>こちらは以前お土産にもらったことがあり、岡山に行く機会があったので、初めて店舗に行ってみました。
コラーゲンが入っているので美容にもいいですし、見た目もお洒落可愛いです。
若い女性にも人気の商品だと思います。</t>
  </si>
  <si>
    <t>http://4travel.jp/domestic/area/chugoku/okayama/kurashiki/kurashiki/specialty/11362738-tips/#each_tab</t>
  </si>
  <si>
    <t>今回取り上げたアイテムは、「何を求めてる人」にピッタリだと思いますか？
具体的に3つ記入してください。</t>
  </si>
  <si>
    <t>おいしい白桃ゼリーを求めている方</t>
  </si>
  <si>
    <t>お土産に喜ばれる見た目の可愛さも重視している方</t>
  </si>
  <si>
    <t>味はもちろん美容にも良いゼリーを求めている方</t>
  </si>
  <si>
    <t>合計点数</t>
  </si>
  <si>
    <t>&lt;a target="_blank" href="//af.moshimo.com/af/c/click?a_id=988729&amp;amp;p_id=54&amp;amp;pc_id=54&amp;amp;pl_id=616&amp;amp;url=https%3A%2F%2Fitem.rakuten.co.jp%2Fumainashop%2F0512%2F&amp;amp;m=http%3A%2F%2Fm.rakuten.co.jp%2Fumainashop%2Fi%2F10000499%2F&amp;amp;r_v=g00r4fw3.9tq3e785.g00r4fw3.9tq3f1f1" rel="nofollow"&gt;&lt;img src="//thumbnail.image.rakuten.co.jp/@0_mall/umainashop/cabinet/01914393/02110331/imgrc0093748910.jpg?_ex=128x128" alt="" style="border: none;" /&gt;&lt;br /&gt;プレミアム桃子　清水白桃&lt;/a&gt;&lt;img src="//i.moshimo.com/af/i/impression?a_id=988729&amp;amp;p_id=54&amp;amp;pc_id=54&amp;amp;pl_id=616" alt="" width="1" height="1" style="border: 0px;" /&gt;</t>
  </si>
  <si>
    <t>http://image1.shopserve.jp/umaina.jp/pic-labo/puremiaumumomoko3.jpg?t=20131002090120</t>
  </si>
  <si>
    <t>&lt;a target="_blank" href="//af.moshimo.com/af/c/click?a_id=988729&amp;amp;p_id=54&amp;amp;pc_id=54&amp;amp;pl_id=616&amp;amp;url=https%3A%2F%2Fitem.rakuten.co.jp%2Fgohobi%2F10000006%2F&amp;amp;m=http%3A%2F%2Fm.rakuten.co.jp%2Fgohobi%2Fi%2F10000012%2F&amp;amp;r_v=g00st183.9tq3ec90.g00st183.9tq3fbf2" rel="nofollow"&gt;&lt;img src="//thumbnail.image.rakuten.co.jp/@0_mall/gohobi/cabinet/collagen/imgrc0065283426.jpg?_ex=128x128" alt="" style="border: none;" /&gt;&lt;br /&gt;フルーツコラーゲンゼリー　【マスカットオブアレキサンドリア】&lt;/a&gt;&lt;img src="//i.moshimo.com/af/i/impression?a_id=988729&amp;amp;p_id=54&amp;amp;pc_id=54&amp;amp;pl_id=616" alt="" width="1" height="1" style="border: 0px;" /&gt;</t>
  </si>
  <si>
    <t>https://omicole.net/images/souvenir/511/photo_640.png</t>
  </si>
  <si>
    <t>https://www.premium-j.jp/wp/wp-content/uploads/rd850_1705EAT03_GOHOBI1.jpg</t>
  </si>
  <si>
    <t>岡山のお土産に最適な白桃ゼリーおすすめ３選。岡山のお土産はこれで決まり！？</t>
    <rPh sb="4" eb="6">
      <t>ミヤゲ</t>
    </rPh>
    <rPh sb="7" eb="9">
      <t>サイテキ</t>
    </rPh>
    <rPh sb="10" eb="12">
      <t>ハクトウ</t>
    </rPh>
    <rPh sb="20" eb="21">
      <t>セン</t>
    </rPh>
    <rPh sb="22" eb="24">
      <t>オカヤマ</t>
    </rPh>
    <rPh sb="26" eb="28">
      <t>ミヤゲ</t>
    </rPh>
    <rPh sb="32" eb="33">
      <t>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</si>
</sst>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
      <sz val="9"/>
      <color rgb="FF000000"/>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xf numFmtId="0" fontId="18" fillId="0" borderId="5" xfId="0" applyFont="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4travel.jp/domestic/area/chugoku/okayama/kurashiki/kurashiki/specialty/11362738-tips/" TargetMode="External"/><Relationship Id="rId2" Type="http://schemas.openxmlformats.org/officeDocument/2006/relationships/hyperlink" Target="https://omicole.net/okayama/omiyage/detail/511" TargetMode="External"/><Relationship Id="rId1" Type="http://schemas.openxmlformats.org/officeDocument/2006/relationships/hyperlink" Target="https://www.umaina.jp/SHOP/rating_list.html?SORT_ITEM=0512&amp;YGI="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2" sqref="C2"/>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6" t="s">
        <v>149</v>
      </c>
      <c r="C23" s="68" t="s">
        <v>150</v>
      </c>
      <c r="D23" s="3"/>
      <c r="E23" s="3"/>
      <c r="F23" s="3"/>
      <c r="G23" s="3"/>
      <c r="H23" s="3"/>
      <c r="I23" s="3"/>
      <c r="J23" s="3"/>
      <c r="K23" s="3"/>
      <c r="L23" s="3"/>
      <c r="M23" s="3"/>
      <c r="N23" s="3"/>
      <c r="O23" s="3"/>
      <c r="P23" s="3"/>
      <c r="Q23" s="3"/>
      <c r="R23" s="3"/>
      <c r="S23" s="3"/>
      <c r="T23" s="3"/>
      <c r="U23" s="3"/>
      <c r="V23" s="3"/>
      <c r="W23" s="3"/>
      <c r="X23" s="3"/>
      <c r="Y23" s="3"/>
      <c r="Z23" s="3"/>
    </row>
    <row r="24" spans="1:26" ht="60.75" thickBot="1">
      <c r="A24" s="4" t="s">
        <v>29</v>
      </c>
      <c r="B24" s="48"/>
      <c r="C24" s="9"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39" thickBot="1">
      <c r="A36" s="4" t="s">
        <v>45</v>
      </c>
      <c r="B36" s="49" t="s">
        <v>163</v>
      </c>
      <c r="C36" s="27" t="s">
        <v>164</v>
      </c>
      <c r="D36" s="3"/>
      <c r="E36" s="3"/>
      <c r="F36" s="3"/>
      <c r="G36" s="3"/>
      <c r="H36" s="3"/>
      <c r="I36" s="3"/>
      <c r="J36" s="3"/>
      <c r="K36" s="3"/>
      <c r="L36" s="3"/>
      <c r="M36" s="3"/>
      <c r="N36" s="3"/>
      <c r="O36" s="3"/>
      <c r="P36" s="3"/>
      <c r="Q36" s="3"/>
      <c r="R36" s="3"/>
      <c r="S36" s="3"/>
      <c r="T36" s="3"/>
      <c r="U36" s="3"/>
      <c r="V36" s="3"/>
      <c r="W36" s="3"/>
      <c r="X36" s="3"/>
      <c r="Y36" s="3"/>
      <c r="Z36" s="3"/>
    </row>
    <row r="37" spans="1:26" ht="51.75" thickBot="1">
      <c r="A37" s="4" t="s">
        <v>47</v>
      </c>
      <c r="B37" s="51"/>
      <c r="C37" s="2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76</v>
      </c>
      <c r="C38" s="27" t="s">
        <v>152</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166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2" t="s">
        <v>175</v>
      </c>
      <c r="C49" s="69" t="s">
        <v>176</v>
      </c>
      <c r="D49" s="3"/>
      <c r="E49" s="3"/>
      <c r="F49" s="3"/>
      <c r="G49" s="3"/>
      <c r="H49" s="3"/>
      <c r="I49" s="3"/>
      <c r="J49" s="3"/>
      <c r="K49" s="3"/>
      <c r="L49" s="3"/>
      <c r="M49" s="3"/>
      <c r="N49" s="3"/>
      <c r="O49" s="3"/>
      <c r="P49" s="3"/>
      <c r="Q49" s="3"/>
      <c r="R49" s="3"/>
      <c r="S49" s="3"/>
      <c r="T49" s="3"/>
      <c r="U49" s="3"/>
      <c r="V49" s="3"/>
      <c r="W49" s="3"/>
      <c r="X49" s="3"/>
      <c r="Y49" s="3"/>
      <c r="Z49" s="3"/>
    </row>
    <row r="50" spans="1:26" ht="39" thickBot="1">
      <c r="A50" s="4" t="s">
        <v>77</v>
      </c>
      <c r="B50" s="54"/>
      <c r="C50" s="29"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2" t="s">
        <v>76</v>
      </c>
      <c r="C51" s="29" t="s">
        <v>152</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4"/>
      <c r="C52" s="29" t="s">
        <v>166</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40"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1"/>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2"/>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location="each_tab" display="http://4travel.jp/domestic/area/chugoku/okayama/kurashiki/kurashiki/specialty/11362738-tips/ - each_tab"/>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9" sqref="C9"/>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131</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5</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135</v>
      </c>
      <c r="B5" s="17">
        <v>5</v>
      </c>
      <c r="C5" s="17">
        <v>5</v>
      </c>
      <c r="D5" s="17">
        <v>4</v>
      </c>
      <c r="E5" s="3"/>
      <c r="F5" s="3"/>
      <c r="G5" s="3"/>
      <c r="H5" s="3"/>
      <c r="I5" s="3"/>
      <c r="J5" s="3"/>
      <c r="K5" s="3"/>
      <c r="L5" s="3"/>
      <c r="M5" s="3"/>
      <c r="N5" s="3"/>
      <c r="O5" s="3"/>
      <c r="P5" s="3"/>
      <c r="Q5" s="3"/>
      <c r="R5" s="3"/>
      <c r="S5" s="3"/>
      <c r="T5" s="3"/>
      <c r="U5" s="3"/>
      <c r="V5" s="3"/>
      <c r="W5" s="3"/>
      <c r="X5" s="3"/>
      <c r="Y5" s="3"/>
      <c r="Z5" s="3"/>
    </row>
    <row r="6" spans="1:26" ht="15.75" thickBot="1">
      <c r="A6" s="33" t="s">
        <v>136</v>
      </c>
      <c r="B6" s="17">
        <v>3</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137</v>
      </c>
      <c r="B7" s="17">
        <v>5</v>
      </c>
      <c r="C7" s="17">
        <v>5</v>
      </c>
      <c r="D7" s="17">
        <v>4</v>
      </c>
      <c r="E7" s="3"/>
      <c r="F7" s="3"/>
      <c r="G7" s="3"/>
      <c r="H7" s="3"/>
      <c r="I7" s="3"/>
      <c r="J7" s="3"/>
      <c r="K7" s="3"/>
      <c r="L7" s="3"/>
      <c r="M7" s="3"/>
      <c r="N7" s="3"/>
      <c r="O7" s="3"/>
      <c r="P7" s="3"/>
      <c r="Q7" s="3"/>
      <c r="R7" s="3"/>
      <c r="S7" s="3"/>
      <c r="T7" s="3"/>
      <c r="U7" s="3"/>
      <c r="V7" s="3"/>
      <c r="W7" s="3"/>
      <c r="X7" s="3"/>
      <c r="Y7" s="3"/>
      <c r="Z7" s="3"/>
    </row>
    <row r="8" spans="1:26" ht="15.75" thickBot="1">
      <c r="A8" s="33" t="s">
        <v>138</v>
      </c>
      <c r="B8" s="17">
        <v>5</v>
      </c>
      <c r="C8" s="17">
        <v>4</v>
      </c>
      <c r="D8" s="17">
        <v>4</v>
      </c>
      <c r="E8" s="3"/>
      <c r="F8" s="3"/>
      <c r="G8" s="3"/>
      <c r="H8" s="3"/>
      <c r="I8" s="3"/>
      <c r="J8" s="3"/>
      <c r="K8" s="3"/>
      <c r="L8" s="3"/>
      <c r="M8" s="3"/>
      <c r="N8" s="3"/>
      <c r="O8" s="3"/>
      <c r="P8" s="3"/>
      <c r="Q8" s="3"/>
      <c r="R8" s="3"/>
      <c r="S8" s="3"/>
      <c r="T8" s="3"/>
      <c r="U8" s="3"/>
      <c r="V8" s="3"/>
      <c r="W8" s="3"/>
      <c r="X8" s="3"/>
      <c r="Y8" s="3"/>
      <c r="Z8" s="3"/>
    </row>
    <row r="9" spans="1:26" ht="15" thickBot="1">
      <c r="A9" s="18" t="s">
        <v>183</v>
      </c>
      <c r="B9" s="19">
        <v>23</v>
      </c>
      <c r="C9" s="19">
        <v>21</v>
      </c>
      <c r="D9" s="19">
        <v>19</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2"/>
  <sheetViews>
    <sheetView workbookViewId="0">
      <selection activeCell="F7" sqref="F7"/>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1" spans="2:8" ht="14.25" thickBot="1"/>
    <row r="2" spans="2:8" ht="14.25" thickBot="1">
      <c r="B2" s="23" t="s">
        <v>103</v>
      </c>
      <c r="C2" s="71" t="s">
        <v>189</v>
      </c>
      <c r="D2" s="31"/>
      <c r="F2">
        <f>LEN(C1)</f>
        <v>0</v>
      </c>
      <c r="G2" t="s">
        <v>126</v>
      </c>
    </row>
    <row r="3" spans="2:8">
      <c r="B3" s="34"/>
      <c r="C3" s="31"/>
      <c r="D3" s="31"/>
      <c r="H3" t="s">
        <v>127</v>
      </c>
    </row>
    <row r="4" spans="2:8">
      <c r="B4" s="23" t="s">
        <v>116</v>
      </c>
      <c r="C4" s="23" t="s">
        <v>117</v>
      </c>
      <c r="D4" s="23" t="s">
        <v>118</v>
      </c>
      <c r="H4" t="s">
        <v>128</v>
      </c>
    </row>
    <row r="5" spans="2:8">
      <c r="B5" s="23" t="s">
        <v>101</v>
      </c>
      <c r="C5" s="22" t="s">
        <v>185</v>
      </c>
      <c r="D5" s="22" t="str">
        <f>アンケート!C13</f>
        <v>岡山桃子　プレミアム桃子</v>
      </c>
      <c r="E5" t="s">
        <v>119</v>
      </c>
    </row>
    <row r="6" spans="2:8">
      <c r="B6" s="23" t="s">
        <v>100</v>
      </c>
      <c r="C6" s="22" t="s">
        <v>187</v>
      </c>
      <c r="D6" s="22" t="str">
        <f>アンケート!C28</f>
        <v>せとうち寿　白桃デザート</v>
      </c>
      <c r="E6" t="s">
        <v>119</v>
      </c>
    </row>
    <row r="7" spans="2:8">
      <c r="B7" s="23" t="s">
        <v>99</v>
      </c>
      <c r="C7" s="22" t="s">
        <v>188</v>
      </c>
      <c r="D7" s="22" t="str">
        <f>アンケート!C41</f>
        <v>ゴホウビ　フルーツコラーゲンゼリー</v>
      </c>
      <c r="E7" t="s">
        <v>119</v>
      </c>
    </row>
    <row r="10" spans="2:8">
      <c r="B10" s="61" t="s">
        <v>98</v>
      </c>
      <c r="C10" s="62"/>
      <c r="D10" s="62"/>
      <c r="E10" s="62"/>
      <c r="F10" s="63"/>
    </row>
    <row r="11" spans="2:8">
      <c r="B11" s="32" t="s">
        <v>104</v>
      </c>
      <c r="C11" s="32" t="s">
        <v>105</v>
      </c>
      <c r="D11" s="32" t="s">
        <v>106</v>
      </c>
      <c r="E11" s="32" t="s">
        <v>107</v>
      </c>
      <c r="F11" s="32" t="s">
        <v>108</v>
      </c>
    </row>
    <row r="12" spans="2:8">
      <c r="B12" s="58" t="s">
        <v>101</v>
      </c>
      <c r="C12" s="60" t="str">
        <f>アンケート!C27</f>
        <v>https://www.umaina.jp/SHOP/rating_list.html?SORT_ITEM=0512&amp;YGI=</v>
      </c>
      <c r="D12" s="64">
        <f>SQL!A11+1</f>
        <v>256</v>
      </c>
      <c r="E12" s="22" t="str">
        <f>アンケート!C25</f>
        <v>30代女性</v>
      </c>
      <c r="F12" s="22" t="str">
        <f>IF(ISERROR(FIND("女",E12)),"m","w")&amp;"_"&amp;LEFT(E12,2)&amp;"_"&amp;"2"</f>
        <v>w_30_2</v>
      </c>
    </row>
    <row r="13" spans="2:8">
      <c r="B13" s="59"/>
      <c r="C13" s="60"/>
      <c r="D13" s="65"/>
      <c r="E13" s="22" t="str">
        <f>アンケート!C26</f>
        <v>50代女性</v>
      </c>
      <c r="F13" s="22" t="str">
        <f>IF(ISERROR(FIND("女",E13)),"m","w")&amp;"_"&amp;LEFT(E13,2)&amp;"_"&amp;"1"</f>
        <v>w_50_1</v>
      </c>
    </row>
    <row r="14" spans="2:8">
      <c r="B14" s="58" t="s">
        <v>100</v>
      </c>
      <c r="C14" s="60" t="str">
        <f>アンケート!C40</f>
        <v>https://omicole.net/okayama/omiyage/detail/511</v>
      </c>
      <c r="D14" s="64">
        <f>IF(D12="","",D12+1)</f>
        <v>257</v>
      </c>
      <c r="E14" s="22" t="str">
        <f>アンケート!C38</f>
        <v>30代女性</v>
      </c>
      <c r="F14" s="22" t="str">
        <f>IF(ISERROR(FIND("女",E14)),"m","w")&amp;"_"&amp;LEFT(E14,2)&amp;"_"&amp;"2"</f>
        <v>w_30_2</v>
      </c>
    </row>
    <row r="15" spans="2:8">
      <c r="B15" s="59"/>
      <c r="C15" s="60"/>
      <c r="D15" s="65"/>
      <c r="E15" s="22" t="str">
        <f>アンケート!C39</f>
        <v>20代女性</v>
      </c>
      <c r="F15" s="22" t="str">
        <f>IF(ISERROR(FIND("女",E15)),"m","w")&amp;"_"&amp;LEFT(E15,2)&amp;"_"&amp;"1"</f>
        <v>w_20_1</v>
      </c>
    </row>
    <row r="16" spans="2:8">
      <c r="B16" s="58" t="s">
        <v>99</v>
      </c>
      <c r="C16" s="60" t="str">
        <f>アンケート!C53</f>
        <v>http://4travel.jp/domestic/area/chugoku/okayama/kurashiki/kurashiki/specialty/11362738-tips/#each_tab</v>
      </c>
      <c r="D16" s="64">
        <f>IF(D14="","",D14+1)</f>
        <v>258</v>
      </c>
      <c r="E16" s="22" t="str">
        <f>アンケート!C51</f>
        <v>30代女性</v>
      </c>
      <c r="F16" s="22" t="str">
        <f>IF(ISERROR(FIND("女",E16)),"m","w")&amp;"_"&amp;LEFT(E16,2)&amp;"_"&amp;"2"</f>
        <v>w_30_2</v>
      </c>
    </row>
    <row r="17" spans="2:6">
      <c r="B17" s="59"/>
      <c r="C17" s="60"/>
      <c r="D17" s="65"/>
      <c r="E17" s="22" t="str">
        <f>アンケート!C52</f>
        <v>20代女性</v>
      </c>
      <c r="F17" s="22" t="str">
        <f t="shared" ref="F17" si="0">IF(ISERROR(FIND("女",E17)),"m","w")&amp;"_"&amp;LEFT(E17,2)&amp;"_"&amp;"1"</f>
        <v>w_20_1</v>
      </c>
    </row>
    <row r="18" spans="2:6">
      <c r="D18" s="31"/>
    </row>
    <row r="19" spans="2:6">
      <c r="D19" s="31"/>
    </row>
    <row r="20" spans="2:6">
      <c r="B20" s="66" t="s">
        <v>109</v>
      </c>
      <c r="C20" s="66"/>
      <c r="D20" s="66"/>
      <c r="E20" s="66"/>
      <c r="F20" s="66"/>
    </row>
    <row r="21" spans="2:6">
      <c r="B21" s="35" t="s">
        <v>116</v>
      </c>
      <c r="C21" s="35" t="s">
        <v>113</v>
      </c>
      <c r="D21" s="66" t="s">
        <v>114</v>
      </c>
      <c r="E21" s="66"/>
      <c r="F21" s="35" t="s">
        <v>115</v>
      </c>
    </row>
    <row r="22" spans="2:6">
      <c r="B22" s="66" t="s">
        <v>110</v>
      </c>
      <c r="C22" s="22"/>
      <c r="D22" s="67" t="str">
        <f t="shared" ref="D22:D27" si="1">IF(C22="","",SUBSTITUTE(MID(C22,FIND("href=",C22)+6,FIND("rel=",C22)-FIND("href=",C22)-8),"amp;",""))</f>
        <v/>
      </c>
      <c r="E22" s="67"/>
      <c r="F22" s="22" t="str">
        <f>IF(ISERROR(FIND("amazon",C22)),IF(ISERROR(FIND("rakuten",C22)),"","楽天"),"Amazon")</f>
        <v/>
      </c>
    </row>
    <row r="23" spans="2:6">
      <c r="B23" s="66"/>
      <c r="C23" s="22" t="s">
        <v>184</v>
      </c>
      <c r="D23" s="67" t="str">
        <f t="shared" si="1"/>
        <v>//af.moshimo.com/af/c/click?a_id=988729&amp;p_id=54&amp;pc_id=54&amp;pl_id=616&amp;url=https%3A%2F%2Fitem.rakuten.co.jp%2Fumainashop%2F0512%2F&amp;m=http%3A%2F%2Fm.rakuten.co.jp%2Fumainashop%2Fi%2F10000499%2F&amp;r_v=g00r4fw3.9tq3e785.g00r4fw3.9tq3f1f1</v>
      </c>
      <c r="E23" s="67"/>
      <c r="F23" s="22" t="str">
        <f t="shared" ref="F23:F27" si="2">IF(ISERROR(FIND("amazon",C23)),IF(ISERROR(FIND("rakuten",C23)),"","楽天"),"Amazon")</f>
        <v>楽天</v>
      </c>
    </row>
    <row r="24" spans="2:6">
      <c r="B24" s="66" t="s">
        <v>111</v>
      </c>
      <c r="C24" s="22"/>
      <c r="D24" s="67" t="str">
        <f t="shared" si="1"/>
        <v/>
      </c>
      <c r="E24" s="67"/>
      <c r="F24" s="22" t="str">
        <f t="shared" si="2"/>
        <v/>
      </c>
    </row>
    <row r="25" spans="2:6">
      <c r="B25" s="66"/>
      <c r="C25" s="22"/>
      <c r="D25" s="67" t="str">
        <f t="shared" si="1"/>
        <v/>
      </c>
      <c r="E25" s="67"/>
      <c r="F25" s="22" t="str">
        <f t="shared" si="2"/>
        <v/>
      </c>
    </row>
    <row r="26" spans="2:6">
      <c r="B26" s="66" t="s">
        <v>112</v>
      </c>
      <c r="C26" s="22"/>
      <c r="D26" s="67" t="str">
        <f t="shared" si="1"/>
        <v/>
      </c>
      <c r="E26" s="67"/>
      <c r="F26" s="22" t="str">
        <f t="shared" si="2"/>
        <v/>
      </c>
    </row>
    <row r="27" spans="2:6">
      <c r="B27" s="66"/>
      <c r="C27" s="22" t="s">
        <v>186</v>
      </c>
      <c r="D27" s="67" t="str">
        <f t="shared" si="1"/>
        <v>//af.moshimo.com/af/c/click?a_id=988729&amp;p_id=54&amp;pc_id=54&amp;pl_id=616&amp;url=https%3A%2F%2Fitem.rakuten.co.jp%2Fgohobi%2F10000006%2F&amp;m=http%3A%2F%2Fm.rakuten.co.jp%2Fgohobi%2Fi%2F10000012%2F&amp;r_v=g00st183.9tq3ec90.g00st183.9tq3fbf2</v>
      </c>
      <c r="E27" s="67"/>
      <c r="F27" s="22" t="str">
        <f t="shared" si="2"/>
        <v>楽天</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D18" sqref="D18"/>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(256,'', '//af.moshimo.com/af/c/click?a_id=988729&amp;p_id=54&amp;pc_id=54&amp;pl_id=616&amp;url=https%3A%2F%2Fitem.rakuten.co.jp%2Fumainashop%2F0512%2F&amp;m=http%3A%2F%2Fm.rakuten.co.jp%2Fumainashop%2Fi%2F10000499%2F&amp;r_v=g00r4fw3.9tq3e785.g00r4fw3.9tq3f1f1', 'https://www.umaina.jp/SHOP/rating_list.html?SORT_ITEM=0512&amp;YGI=', 'http://image1.shopserve.jp/umaina.jp/pic-labo/puremiaumumomoko3.jpg?t=20131002090120', '岡山桃子　プレミアム桃子'),</v>
      </c>
    </row>
    <row r="3" spans="1:1">
      <c r="A3" t="str">
        <f>"("&amp;入力シート!D14&amp;","&amp;"'"&amp;入力シート!D24&amp;"', '"&amp;入力シート!D25&amp;"', '"&amp;入力シート!C14&amp;"', '"&amp;入力シート!C6&amp;"', '"&amp;入力シート!D6&amp;"'),"</f>
        <v>(257,'', '', 'https://omicole.net/okayama/omiyage/detail/511', 'https://omicole.net/images/souvenir/511/photo_640.png', 'せとうち寿　白桃デザート'),</v>
      </c>
    </row>
    <row r="4" spans="1:1">
      <c r="A4" t="str">
        <f>"("&amp;入力シート!D16&amp;","&amp;"'"&amp;入力シート!D26&amp;"', '"&amp;入力シート!D27&amp;"', '"&amp;入力シート!C16&amp;"', '"&amp;入力シート!C7&amp;"', '"&amp;入力シート!D7&amp;"');"</f>
        <v>(258,'', '//af.moshimo.com/af/c/click?a_id=988729&amp;p_id=54&amp;pc_id=54&amp;pl_id=616&amp;url=https%3A%2F%2Fitem.rakuten.co.jp%2Fgohobi%2F10000006%2F&amp;m=http%3A%2F%2Fm.rakuten.co.jp%2Fgohobi%2Fi%2F10000012%2F&amp;r_v=g00st183.9tq3ec90.g00st183.9tq3fbf2', 'http://4travel.jp/domestic/area/chugoku/okayama/kurashiki/kurashiki/specialty/11362738-tips/#each_tab', 'https://www.premium-j.jp/wp/wp-content/uploads/rd850_1705EAT03_GOHOBI1.jpg', 'ゴホウビ　フルーツコラーゲンゼリー');</v>
      </c>
    </row>
    <row r="9" spans="1:1">
      <c r="A9" s="36" t="s">
        <v>121</v>
      </c>
    </row>
    <row r="10" spans="1:1">
      <c r="A10" t="s">
        <v>120</v>
      </c>
    </row>
    <row r="11" spans="1:1" ht="18.75">
      <c r="A11" s="70">
        <v>255</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sqref="A1:A1048576"/>
    </sheetView>
  </sheetViews>
  <sheetFormatPr defaultRowHeight="13.5"/>
  <cols>
    <col min="1" max="1" width="67.375" bestFit="1" customWidth="1"/>
  </cols>
  <sheetData>
    <row r="1" spans="1:1">
      <c r="A1" s="20" t="str">
        <f>CONCATENATE("&lt;h2&gt;",入力シート!C2,"&lt;/h2&gt;")</f>
        <v>&lt;h2&gt;岡山のお土産に最適な白桃ゼリーおすすめ３選。岡山のお土産はこれで決まり！？&lt;/h2&gt;</v>
      </c>
    </row>
    <row r="2" spans="1:1">
      <c r="A2" s="20" t="s">
        <v>84</v>
      </c>
    </row>
    <row r="3" spans="1:1">
      <c r="A3" s="21" t="s">
        <v>85</v>
      </c>
    </row>
    <row r="4" spans="1:1">
      <c r="A4" s="20" t="str">
        <f>CONCATENATE("&lt;li&gt;", アンケート!C54, "&lt;/li&gt;")</f>
        <v>&lt;li&gt;おいしい白桃ゼリーを求めている方&lt;/li&gt;</v>
      </c>
    </row>
    <row r="5" spans="1:1">
      <c r="A5" s="20" t="str">
        <f>CONCATENATE("&lt;li&gt;", アンケート!C55, "&lt;/li&gt;")</f>
        <v>&lt;li&gt;お土産に喜ばれる見た目の可愛さも重視している方&lt;/li&gt;</v>
      </c>
    </row>
    <row r="6" spans="1:1">
      <c r="A6" s="20" t="str">
        <f>CONCATENATE("&lt;li&gt;", アンケート!C56, "&lt;/li&gt;")</f>
        <v>&lt;li&gt;味はもちろん美容にも良いゼリーを求めている方&lt;/li&gt;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今回紹介する『岡山のお土産にお勧めの白桃ゼリー』は「価格と品質」どちらを重要視したのかをあらわした図です。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&lt;h2&gt;『岡山のお土産にお勧めの白桃ゼリー』 ランキング&lt;/h2&gt;</v>
      </c>
    </row>
    <row r="20" spans="1:2">
      <c r="A20" t="s">
        <v>89</v>
      </c>
    </row>
    <row r="22" spans="1:2">
      <c r="A22" t="str">
        <f>CONCATENATE("&lt;h3&gt;3位 ",アンケート!C41,"&lt;/h3&gt;")</f>
        <v>&lt;h3&gt;3位 ゴホウビ　フルーツコラーゲンゼリー&lt;/h3&gt;</v>
      </c>
    </row>
    <row r="23" spans="1:2">
      <c r="A23" t="s">
        <v>90</v>
      </c>
    </row>
    <row r="24" spans="1:2">
      <c r="A24" t="s">
        <v>68</v>
      </c>
    </row>
    <row r="25" spans="1:2">
      <c r="A25" t="str">
        <f>アンケート!C48</f>
        <v>美容に気を使っている方</v>
      </c>
    </row>
    <row r="26" spans="1:2">
      <c r="A26" t="s">
        <v>69</v>
      </c>
    </row>
    <row r="27" spans="1:2">
      <c r="A27" s="6" t="str">
        <f>CONCATENATE("[tblStart num=5]", 入力シート!C7, "[/tblStart]")</f>
        <v>[tblStart num=5]https://www.premium-j.jp/wp/wp-content/uploads/rd850_1705EAT03_GOHOBI1.jpg[/tblStart]</v>
      </c>
    </row>
    <row r="28" spans="1:2">
      <c r="A28" t="str">
        <f>CONCATENATE("[tdLevel type=", B28, "]", 比較表!A4, "[/tdLevel]")</f>
        <v>[tdLevel type=4]おいしい[/tdLevel]</v>
      </c>
      <c r="B28">
        <f>HLOOKUP(アンケート!$C$41,比較表!$B$3:$D$8,2,FALSE)</f>
        <v>4</v>
      </c>
    </row>
    <row r="29" spans="1:2">
      <c r="A29" t="str">
        <f>CONCATENATE("[tdLevel type=", B29, "]", 比較表!A5, "[/tdLevel]")</f>
        <v>[tdLevel type=4]お土産に喜ばれる[/tdLevel]</v>
      </c>
      <c r="B29">
        <f>HLOOKUP(アンケート!$C$41,比較表!$B$3:$D$8,3,FALSE)</f>
        <v>4</v>
      </c>
    </row>
    <row r="30" spans="1:2">
      <c r="A30" t="str">
        <f>CONCATENATE("[tdLevel type=", B30, "]", 比較表!A6, "[/tdLevel]")</f>
        <v>[tdLevel type=3]価格が安い[/tdLevel]</v>
      </c>
      <c r="B30">
        <f>HLOOKUP(アンケート!$C$41,比較表!$B$3:$D$8,4,FALSE)</f>
        <v>3</v>
      </c>
    </row>
    <row r="31" spans="1:2">
      <c r="A31" t="str">
        <f>CONCATENATE("[tdLevel type=", B31, "]", 比較表!A7, "[/tdLevel]")</f>
        <v>[tdLevel type=4]購入しやすい[/tdLevel]</v>
      </c>
      <c r="B31">
        <f>HLOOKUP(アンケート!$C$41,比較表!$B$3:$D$8,5,FALSE)</f>
        <v>4</v>
      </c>
    </row>
    <row r="32" spans="1:2">
      <c r="A32" t="str">
        <f>CONCATENATE("[tdLevel type=", B32, "]", 比較表!A8, "[/tdLevel]")</f>
        <v>[tdLevel type=4]見た目がお洒落[/tdLevel]</v>
      </c>
      <c r="B32">
        <f>HLOOKUP(アンケート!$C$41,比較表!$B$3:$D$8,6,FALSE)</f>
        <v>4</v>
      </c>
    </row>
    <row r="33" spans="1:1">
      <c r="A33" t="s">
        <v>71</v>
      </c>
    </row>
    <row r="35" spans="1:1">
      <c r="A35" s="6" t="str">
        <f>CONCATENATE("[product_link id=",入力シート!D16,"][/product_link]")</f>
        <v>[product_link id=258][/product_link]</v>
      </c>
    </row>
    <row r="36" spans="1:1">
      <c r="A36" t="s">
        <v>91</v>
      </c>
    </row>
    <row r="37" spans="1:1">
      <c r="A37" t="s">
        <v>92</v>
      </c>
    </row>
    <row r="38" spans="1:1">
      <c r="A38" t="s">
        <v>93</v>
      </c>
    </row>
    <row r="39" spans="1:1">
      <c r="A39" t="s">
        <v>85</v>
      </c>
    </row>
    <row r="40" spans="1:1">
      <c r="A40" t="str">
        <f>CONCATENATE("&lt;li&gt;", アンケート!C42,"&lt;/li&gt;")</f>
        <v>&lt;li&gt;スティックタイプなのでいつでも気軽に食べれる&lt;/li&gt;</v>
      </c>
    </row>
    <row r="41" spans="1:1">
      <c r="A41" t="str">
        <f>CONCATENATE("&lt;li&gt;", アンケート!C43,"&lt;/li&gt;")</f>
        <v>&lt;li&gt;白桃だけでなく、苺やゆず・マスカットなどもある&lt;/li&gt;</v>
      </c>
    </row>
    <row r="42" spans="1:1">
      <c r="A42" t="str">
        <f>CONCATENATE("&lt;li&gt;", アンケート!C44,"&lt;/li&gt;")</f>
        <v>&lt;li&gt;コラーゲンが入っているので美容にも良い&lt;/li&gt;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&lt;li&gt;果肉は入っていない&lt;/li&gt;</v>
      </c>
    </row>
    <row r="51" spans="1:1">
      <c r="A51" t="str">
        <f>CONCATENATE("&lt;li&gt;", アンケート!C46,"&lt;/li&gt;")</f>
        <v>&lt;li&gt;白桃以外にも種類が豊富で迷ってしまう&lt;/li&gt;</v>
      </c>
    </row>
    <row r="52" spans="1:1">
      <c r="A52" t="str">
        <f>CONCATENATE("&lt;li&gt;", アンケート!C47,"&lt;/li&gt;")</f>
        <v>&lt;li&gt;1本が少ないのですぐになくなる&lt;/li&gt;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倉敷美観地区にある店舗に行ったところ、凍っているコラーゲンゼリーを店員さんが試食に下さったので、食べてみました。口当たりがよく甘すぎない白桃の味でとってもおいしかったです。
スティックタイプなので、食べやすいのもいいと思いました。</v>
      </c>
    </row>
    <row r="59" spans="1:1">
      <c r="A59" t="s">
        <v>102</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こちらは以前お土産にもらったことがあり、岡山に行く機会があったので、初めて店舗に行ってみました。
コラーゲンが入っているので美容にもいいですし、見た目もお洒落可愛いです。
若い女性にも人気の商品だと思います。</v>
      </c>
    </row>
    <row r="62" spans="1:1">
      <c r="A62" t="s">
        <v>102</v>
      </c>
    </row>
    <row r="63" spans="1:1">
      <c r="A63" t="s">
        <v>97</v>
      </c>
    </row>
    <row r="64" spans="1:1">
      <c r="A64" t="str">
        <f>CONCATENATE("[reviewLink id=","""", 入力シート!D16,"""][/reviewLink]")</f>
        <v>[reviewLink id="258"][/reviewLink]</v>
      </c>
    </row>
    <row r="66" spans="1:2">
      <c r="A66" t="str">
        <f>CONCATENATE("&lt;h3&gt;2位 ",アンケート!C28,"&lt;/h3&gt;")</f>
        <v>&lt;h3&gt;2位 せとうち寿　白桃デザート&lt;/h3&gt;</v>
      </c>
    </row>
    <row r="67" spans="1:2">
      <c r="A67" t="s">
        <v>90</v>
      </c>
    </row>
    <row r="68" spans="1:2">
      <c r="A68" t="s">
        <v>68</v>
      </c>
    </row>
    <row r="69" spans="1:2">
      <c r="A69" t="str">
        <f>アンケート!C35</f>
        <v>可愛いもの好きな女性・子ども</v>
      </c>
    </row>
    <row r="70" spans="1:2">
      <c r="A70" t="s">
        <v>69</v>
      </c>
    </row>
    <row r="71" spans="1:2" ht="27">
      <c r="A71" s="6" t="str">
        <f>CONCATENATE("[tblStart num=5]", 入力シート!$C$6, "[/tblStart]")</f>
        <v>[tblStart num=5]https://omicole.net/images/souvenir/511/photo_640.png[/tblStart]</v>
      </c>
    </row>
    <row r="72" spans="1:2">
      <c r="A72" t="str">
        <f>CONCATENATE("[tdLevel type=", B72, "]", 比較表!A4, "[/tdLevel]")</f>
        <v>[tdLevel type=4]おいしい[/tdLevel]</v>
      </c>
      <c r="B72">
        <f>HLOOKUP(アンケート!$C$28,比較表!$B$3:$D$8,2,FALSE)</f>
        <v>4</v>
      </c>
    </row>
    <row r="73" spans="1:2">
      <c r="A73" t="str">
        <f>CONCATENATE("[tdLevel type=", B73, "]", 比較表!A5, "[/tdLevel]")</f>
        <v>[tdLevel type=5]お土産に喜ばれる[/tdLevel]</v>
      </c>
      <c r="B73">
        <f>HLOOKUP(アンケート!$C$28,比較表!$B$3:$D$8,3,FALSE)</f>
        <v>5</v>
      </c>
    </row>
    <row r="74" spans="1:2">
      <c r="A74" t="str">
        <f>CONCATENATE("[tdLevel type=", B74, "]", 比較表!A6, "[/tdLevel]")</f>
        <v>[tdLevel type=3]価格が安い[/tdLevel]</v>
      </c>
      <c r="B74">
        <f>HLOOKUP(アンケート!$C$28,比較表!$B$3:$D$8,4,FALSE)</f>
        <v>3</v>
      </c>
    </row>
    <row r="75" spans="1:2">
      <c r="A75" t="str">
        <f>CONCATENATE("[tdLevel type=", B75, "]", 比較表!A7, "[/tdLevel]")</f>
        <v>[tdLevel type=5]購入しやすい[/tdLevel]</v>
      </c>
      <c r="B75">
        <f>HLOOKUP(アンケート!$C$28,比較表!$B$3:$D$8,5,FALSE)</f>
        <v>5</v>
      </c>
    </row>
    <row r="76" spans="1:2">
      <c r="A76" t="str">
        <f>CONCATENATE("[tdLevel type=", B76, "]", 比較表!A8, "[/tdLevel]")</f>
        <v>[tdLevel type=4]見た目がお洒落[/tdLevel]</v>
      </c>
      <c r="B76">
        <f>HLOOKUP(アンケート!$C$28,比較表!$B$3:$D$8,6,FALSE)</f>
        <v>4</v>
      </c>
    </row>
    <row r="77" spans="1:2">
      <c r="A77" t="s">
        <v>71</v>
      </c>
    </row>
    <row r="79" spans="1:2">
      <c r="A79" s="6" t="str">
        <f>CONCATENATE("[product_link id=",入力シート!D14,"][/product_link]")</f>
        <v>[product_link id=257][/product_link]</v>
      </c>
    </row>
    <row r="80" spans="1:2">
      <c r="A80" t="s">
        <v>91</v>
      </c>
    </row>
    <row r="81" spans="1:1">
      <c r="A81" t="s">
        <v>92</v>
      </c>
    </row>
    <row r="82" spans="1:1">
      <c r="A82" t="s">
        <v>93</v>
      </c>
    </row>
    <row r="83" spans="1:1">
      <c r="A83" t="s">
        <v>85</v>
      </c>
    </row>
    <row r="84" spans="1:1">
      <c r="A84" t="str">
        <f>CONCATENATE("&lt;li&gt;", アンケート!C29,"&lt;/li&gt;")</f>
        <v>&lt;li&gt;桃の形をした見た目が可愛くユーモアもありお土産にも喜ばれる&lt;/li&gt;</v>
      </c>
    </row>
    <row r="85" spans="1:1">
      <c r="A85" t="str">
        <f>CONCATENATE("&lt;li&gt;", アンケート!C30,"&lt;/li&gt;")</f>
        <v>&lt;li&gt;果肉がはいっている&lt;/li&gt;</v>
      </c>
    </row>
    <row r="86" spans="1:1">
      <c r="A86" t="str">
        <f>CONCATENATE("&lt;li&gt;", アンケート!C31,"&lt;/li&gt;")</f>
        <v>&lt;li&gt;食べた後は小物入れにも使える&lt;/li&gt;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&lt;li&gt;2個セットからスプーンがついているが、1個売りではスプーンがついていない&lt;/li&gt;</v>
      </c>
    </row>
    <row r="95" spans="1:1">
      <c r="A95" t="str">
        <f>CONCATENATE("&lt;li&gt;", アンケート!C33,"&lt;/li&gt;")</f>
        <v>&lt;li&gt;お土産にはいいが、自分のために購入するには躊躇ってしまう価格。&lt;/li&gt;</v>
      </c>
    </row>
    <row r="96" spans="1:1">
      <c r="A96" t="str">
        <f>CONCATENATE("&lt;li&gt;", アンケート!C34,"&lt;/li&gt;")</f>
        <v>&lt;li&gt;1個入りは透明のビニールで包んでおり、箱に入っていない。&lt;/li&gt;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箱を開けるとプラスチックの桃の形をした入れ物が出てきて驚きました。
桃のゼリーに桃の果肉がはいっていて、とっても濃厚でおいしいです。
桃のおいしさがぎゅっと凝縮されていて、見た目味ともに満足の商品です。</v>
      </c>
    </row>
    <row r="103" spans="1:1">
      <c r="A103" t="s">
        <v>102</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見た目にとってもインパクトのある白桃ゼリーです。
桃の形をしていて、大きさも本物の桃と同じくらいの大きさです。
大きい果肉が入っているので、白桃そのももの味を堪能することができます。
見た目が可愛いので、子供にも喜ばれると思います。</v>
      </c>
    </row>
    <row r="106" spans="1:1">
      <c r="A106" t="s">
        <v>102</v>
      </c>
    </row>
    <row r="107" spans="1:1">
      <c r="A107" t="s">
        <v>97</v>
      </c>
    </row>
    <row r="108" spans="1:1">
      <c r="A108" t="str">
        <f>CONCATENATE("[reviewLink id=","""", 入力シート!D14,"""][/reviewLink]")</f>
        <v>[reviewLink id="257"][/reviewLink]</v>
      </c>
    </row>
    <row r="110" spans="1:1">
      <c r="A110" t="str">
        <f>CONCATENATE("&lt;h3&gt;1位 ",アンケート!C13,"&lt;/h3&gt;")</f>
        <v>&lt;h3&gt;1位 岡山桃子　プレミアム桃子&lt;/h3&gt;</v>
      </c>
    </row>
    <row r="111" spans="1:1">
      <c r="A111" t="s">
        <v>90</v>
      </c>
    </row>
    <row r="112" spans="1:1">
      <c r="A112" t="s">
        <v>68</v>
      </c>
    </row>
    <row r="113" spans="1:2">
      <c r="A113" t="str">
        <f>アンケート!C22</f>
        <v>プリン・ジュレ両方楽しみたい方</v>
      </c>
    </row>
    <row r="114" spans="1:2">
      <c r="A114" t="s">
        <v>69</v>
      </c>
    </row>
    <row r="115" spans="1:2" ht="27">
      <c r="A115" s="6" t="str">
        <f>CONCATENATE("[tblStart num=5]", 入力シート!C5, "[/tblStart]")</f>
        <v>[tblStart num=5]http://image1.shopserve.jp/umaina.jp/pic-labo/puremiaumumomoko3.jpg?t=20131002090120[/tblStart]</v>
      </c>
    </row>
    <row r="116" spans="1:2">
      <c r="A116" t="str">
        <f>CONCATENATE("[tdLevel type=", B116, "]", 比較表!A4, "[/tdLevel]")</f>
        <v>[tdLevel type=5]おいしい[/tdLevel]</v>
      </c>
      <c r="B116">
        <f>HLOOKUP(アンケート!$C$13,比較表!$B$3:$D$8,2,FALSE)</f>
        <v>5</v>
      </c>
    </row>
    <row r="117" spans="1:2">
      <c r="A117" t="str">
        <f>CONCATENATE("[tdLevel type=", B117, "]", 比較表!A5, "[/tdLevel]")</f>
        <v>[tdLevel type=5]お土産に喜ばれる[/tdLevel]</v>
      </c>
      <c r="B117">
        <f>HLOOKUP(アンケート!$C$13,比較表!$B$3:$D$8,3,FALSE)</f>
        <v>5</v>
      </c>
    </row>
    <row r="118" spans="1:2">
      <c r="A118" t="str">
        <f>CONCATENATE("[tdLevel type=", B118, "]", 比較表!A6, "[/tdLevel]")</f>
        <v>[tdLevel type=3]価格が安い[/tdLevel]</v>
      </c>
      <c r="B118">
        <f>HLOOKUP(アンケート!$C$13,比較表!$B$3:$D$8,4,FALSE)</f>
        <v>3</v>
      </c>
    </row>
    <row r="119" spans="1:2">
      <c r="A119" t="str">
        <f>CONCATENATE("[tdLevel type=", B119, "]", 比較表!A7, "[/tdLevel]")</f>
        <v>[tdLevel type=5]購入しやすい[/tdLevel]</v>
      </c>
      <c r="B119">
        <f>HLOOKUP(アンケート!$C$13,比較表!$B$3:$D$8,5,FALSE)</f>
        <v>5</v>
      </c>
    </row>
    <row r="120" spans="1:2">
      <c r="A120" t="str">
        <f>CONCATENATE("[tdLevel type=", B120, "]", 比較表!A8, "[/tdLevel]")</f>
        <v>[tdLevel type=5]見た目がお洒落[/tdLevel]</v>
      </c>
      <c r="B120">
        <f>HLOOKUP(アンケート!$C$13,比較表!$B$3:$D$8,6,FALSE)</f>
        <v>5</v>
      </c>
    </row>
    <row r="121" spans="1:2">
      <c r="A121" t="s">
        <v>71</v>
      </c>
    </row>
    <row r="123" spans="1:2">
      <c r="A123" s="6" t="str">
        <f>CONCATENATE("[product_link id=",入力シート!D12,"][/product_link]")</f>
        <v>[product_link id=256][/product_link]</v>
      </c>
    </row>
    <row r="124" spans="1:2">
      <c r="A124" t="s">
        <v>91</v>
      </c>
    </row>
    <row r="125" spans="1:2">
      <c r="A125" t="s">
        <v>92</v>
      </c>
    </row>
    <row r="126" spans="1:2">
      <c r="A126" t="s">
        <v>93</v>
      </c>
    </row>
    <row r="127" spans="1:2">
      <c r="A127" t="s">
        <v>85</v>
      </c>
    </row>
    <row r="128" spans="1:2">
      <c r="A128" t="str">
        <f>CONCATENATE("&lt;li&gt;", アンケート!C14,"&lt;/li&gt;")</f>
        <v>&lt;li&gt;ジュレとプリンの2層になっているので、1つで2つの味を楽しめる&lt;/li&gt;</v>
      </c>
    </row>
    <row r="129" spans="1:1">
      <c r="A129" t="str">
        <f>CONCATENATE("&lt;li&gt;", アンケート!C15,"&lt;/li&gt;")</f>
        <v>&lt;li&gt;見た目が可愛くプレミアム感がある&lt;/li&gt;</v>
      </c>
    </row>
    <row r="130" spans="1:1">
      <c r="A130" t="str">
        <f>CONCATENATE("&lt;li&gt;", アンケート!C16,"&lt;/li&gt;")</f>
        <v>&lt;li&gt;専用の長いスプーンが付いている。&lt;/li&gt;</v>
      </c>
    </row>
    <row r="131" spans="1:1">
      <c r="A131" t="str">
        <f>CONCATENATE("&lt;li&gt;", アンケート!C17,"&lt;/li&gt;")</f>
        <v>&lt;li&gt;白桃の果肉が入っていておいしい&lt;/li&gt;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&lt;li&gt;瓶なので捨てるときに面倒&lt;/li&gt;</v>
      </c>
    </row>
    <row r="140" spans="1:1">
      <c r="A140" t="str">
        <f>CONCATENATE("&lt;li&gt;", アンケート!C19,"&lt;/li&gt;")</f>
        <v>&lt;li&gt;固く開けにくい&lt;/li&gt;</v>
      </c>
    </row>
    <row r="141" spans="1:1">
      <c r="A141" t="str">
        <f>CONCATENATE("&lt;li&gt;", アンケート!C20,"&lt;/li&gt;")</f>
        <v>&lt;li&gt;価格が高い&lt;/li&gt;</v>
      </c>
    </row>
    <row r="142" spans="1:1">
      <c r="A142" t="str">
        <f>CONCATENATE("&lt;li&gt;", アンケート!C21,"&lt;/li&gt;")</f>
        <v>&lt;li&gt;少し重い&lt;/li&gt;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お土産にいただき両親にあげたところ、今まで色んなスイーツを食べたきたはずですが、プレミアム桃子が一番おいしいと絶賛していました。
そんな両親を見て嬉しかったので、ネットで探して購入。
とても喜んでくれて嬉しかったです。</v>
      </c>
    </row>
    <row r="149" spans="1:1">
      <c r="A149" t="s">
        <v>102</v>
      </c>
    </row>
    <row r="150" spans="1:1">
      <c r="A150" t="str">
        <f>CONCATENATE("[voice icon=","""http://shomty.com/wp-content/uploads/img/parts/review/", 入力シート!F13, ".jpg", """ name=""", 入力シート!E13, """ type=""", "r", """]")</f>
        <v>[voice icon="http://shomty.com/wp-content/uploads/img/parts/review/w_50_1.jpg" name="50代女性" type="r"]</v>
      </c>
    </row>
    <row r="151" spans="1:1">
      <c r="A151" t="str">
        <f>アンケート!C24</f>
        <v xml:space="preserve">ピンクの箱に、赤いリボンのついた瓶が入っていて、見た目がとってもお洒落で可愛いです。
ずっと気になっていたので購入し、家族でいただきました。
ジュレ・果肉・ミルクプリンが入っていて、とってもおいしかったです。
</v>
      </c>
    </row>
    <row r="152" spans="1:1">
      <c r="A152" t="s">
        <v>102</v>
      </c>
    </row>
    <row r="153" spans="1:1">
      <c r="A153" t="s">
        <v>97</v>
      </c>
    </row>
    <row r="154" spans="1:1">
      <c r="A154" t="str">
        <f>CONCATENATE("[reviewLink id=","""", 入力シート!D12,"""][/reviewLink]")</f>
        <v>[reviewLink id="256"][/reviewLink]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2018-09-01T01:51:53Z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