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<sst xmlns="http://schemas.openxmlformats.org/spreadsheetml/2006/main" count="261" uniqueCount="184">
  <si>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</si>
  <si>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</si>
  <si>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</si>
  <si>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</si>
  <si>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</si>
  <si>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</si>
  <si>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</si>
  <si>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</si>
  <si>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</si>
  <si>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</si>
  <si>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</si>
  <si>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</si>
  <si>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</si>
  <si>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</si>
  <si>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</si>
  <si>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</si>
  <si>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</si>
  <si>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</si>
  <si>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</si>
  <si>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</si>
  <si>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</si>
  <si>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</si>
  <si>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</si>
  <si>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</si>
  <si>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</si>
  <si>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</si>
  <si>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</si>
  <si>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</si>
  <si>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</si>
  <si>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</si>
  <si>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</si>
  <si>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</si>
  <si>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</si>
  <si>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</si>
  <si>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</si>
  <si>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</si>
  <si>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</si>
  <si>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</si>
  <si>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</si>
  <si>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</si>
  <si>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</si>
  <si>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</si>
  <si>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</si>
  <si>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</si>
  <si>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</si>
  <si>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</si>
  <si>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</si>
  <si>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</si>
  <si>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</si>
  <si>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</si>
  <si>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</si>
  <si>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</si>
  <si>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</si>
  <si>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</si>
  <si>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</si>
  <si>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</si>
  <si>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</si>
  <si>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</si>
  <si>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</si>
  <si>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</si>
  <si>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</si>
  <si>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</si>
  <si>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</si>
  <si>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</si>
  <si>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</si>
  <si>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</si>
  <si>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</si>
  <si>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</si>
  <si>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</si>
  <si>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</si>
  <si>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</si>
  <si>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</si>
  <si>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</si>
  <si>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</si>
  <si>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</si>
  <si>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</si>
  <si>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</si>
  <si>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</si>
  <si>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</si>
  <si>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</si>
  <si>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</si>
  <si>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</si>
  <si>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</si>
  <si>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</si>
  <si>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</si>
  <si>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</si>
  <si>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</si>
  <si>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</si>
  <si>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</si>
  <si>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</si>
  <si>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</si>
  <si>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</si>
  <si>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</si>
  <si>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</si>
  <si>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</si>
  <si>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</si>
  <si>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</si>
  <si>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</si>
  <si>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</si>
  <si>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</si>
  <si>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</si>
  <si>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</si>
  <si>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</si>
  <si>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</si>
  <si>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</si>
  <si>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</si>
  <si>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</si>
  <si>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</si>
  <si>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</si>
  <si>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</si>
  <si>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</si>
  <si>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</si>
  <si>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</si>
  <si>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</si>
  <si>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</si>
  <si>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</si>
  <si>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</si>
  <si>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</si>
  <si>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</si>
  <si>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</si>
  <si>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</si>
  <si>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</si>
  <si>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</si>
  <si>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</si>
  <si>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</si>
  <si>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</si>
  <si>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</si>
  <si>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</si>
  <si>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</si>
  <si>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</si>
  <si>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日傘</t>
  </si>
  <si>
    <t>サンバリア１００</t>
  </si>
  <si>
    <t>FJMOD　折りたたみ傘</t>
  </si>
  <si>
    <t>リーベン　ひんやり傘</t>
  </si>
  <si>
    <t>紫外線をカットしてくれる</t>
  </si>
  <si>
    <t>使いやすい</t>
  </si>
  <si>
    <t>価格</t>
  </si>
  <si>
    <t>デザイン</t>
  </si>
  <si>
    <t>長く使える</t>
  </si>
  <si>
    <t>※比較表に記入</t>
  </si>
  <si>
    <t>サンバリア100</t>
  </si>
  <si>
    <t>紫外線を100％カットしてくれる</t>
  </si>
  <si>
    <t>作りが丈夫でしっかりしている</t>
  </si>
  <si>
    <t>2段折り畳み・3段折り畳みなどバリエーションがある</t>
  </si>
  <si>
    <t>男性用もある</t>
  </si>
  <si>
    <t>価格が高い</t>
  </si>
  <si>
    <t>人気すぎて冬でも欠品していることが多い</t>
  </si>
  <si>
    <t>3段折り畳みはコンパクトになるが、しまうのが大変</t>
  </si>
  <si>
    <t>ネットでのみ販売</t>
  </si>
  <si>
    <t>紫外線を完全にカットしたい方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</si>
  <si>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</si>
  <si>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サンバリアの日傘は、5年以上愛用しています。
ショートとミドルを使用しているのですが、何年経過しても紫外線をしっかりカットしてくれるので、とても気に入っています。
次は折り畳みも購入したいと考えています。
</t>
  </si>
  <si>
    <t xml:space="preserve">美白したい欲が強く今年は絶対に日焼けしたくないと日傘を探していたところ、SNSでこちらの評価が高かったので、購入しました。
今まで使用していた日傘とはレベルが違います。
完全に紫外線をシャットアウトしてくれるので、高くて迷いましたが購入してよかったです。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</si>
  <si>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</si>
  <si>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</si>
  <si>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https://www.cosme.net/product/product_id/10007260/reviews</t>
  </si>
  <si>
    <t>デザインのバリエーションが豊富</t>
  </si>
  <si>
    <t>晴雨兼用</t>
  </si>
  <si>
    <t>ワンタッチで開くので使いやすい</t>
  </si>
  <si>
    <t>Uvカット率が100％ではない</t>
  </si>
  <si>
    <t>少し重い</t>
  </si>
  <si>
    <t>値段が安いだけあって造りがあまりしっかりしていないため、数回の使用で壊れる人もいる</t>
  </si>
  <si>
    <t>デザインが可愛い日傘が欲しい方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</si>
  <si>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</si>
  <si>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紫外線をほぼカットしてくれて、晴雨兼用・折り畳み傘なのでとても活躍してくれています。
特に折り畳み傘は開く時指を挟めたことがあったので苦手だったのですが、この日傘はワンタッチで開くので、そこもとってもお気に入りです。
</t>
  </si>
  <si>
    <t>とても軽くワンタッチで開くので、使いやすいです。
紫外線アレルギーなので、とても助かっています。
こんなに高品質なので、価格がとっても安いので驚きました。
デザインも可愛いので、良い商品に出会えてよかったです。</t>
  </si>
  <si>
    <t>20代女性</t>
  </si>
  <si>
    <t>https://www.amazon.co.jp/FJMOD-%E3%83%AF%E3%83%B3%E3%82%BF%E3%83%83%E3%83%81%E8%87%AA%E5%8B%95%E9%96%8B%E9%96%89-%E7%B4%AB%E5%A4%96%E7%B7%9A%E9%81%AE%E6%96%AD%E7%8E%8799%EF%BC%85%E4%BB%A5%E4%B8%8A%E6%97%A5%E5%B7%AE%E3%81%97%E3%81%AB%E8%B6%85%E5%BC%B7%E3%81%84%E3%82%A2%E3%83%8A%E3%83%AD%E3%82%B0-%E5%82%98%E5%BC%B7%E5%BA%A6%E3%82%A2%E3%83%83%E3%83%978%E6%9C%AC%E9%AA%A8%E3%82%AC%E3%83%A9%E3%82%B9%E7%B9%8A%E7%B6%AD-%E5%8F%AF%E6%84%9B%E3%81%84%E5%82%98%E8%A2%8B%E4%BB%98%E3%81%8D%EF%BC%88%E6%B5%B7%E6%A3%A0%E6%9F%84%EF%BC%89/product-reviews/B07CHL4X8R/ref=cm_cr_arp_d_viewpnt_lft?ie=UTF8&amp;filterByStar=positive&amp;reviewerType=all_reviews&amp;pageNumber=1#reviews-filter-bar</t>
  </si>
  <si>
    <t>この傘をさすと少し温度が下がる</t>
  </si>
  <si>
    <t>遮光率・UVカット率ともに100％ではない</t>
  </si>
  <si>
    <t>内側に柄があり外側が無地なので、外から見るとシンプルすぎる</t>
  </si>
  <si>
    <t>シルバーコーティングなので、傘をさす前はまぶしい</t>
  </si>
  <si>
    <t>日傘で少しでも体温を下げたい方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</si>
  <si>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</si>
  <si>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ひんやり傘と呼ばれているだけあって、この日傘をさすと少し涼しくなります。
日傘をさしている男性はほぼ見かけないので、最初は日傘に抵抗もありましたが、恥ずかしさよりも暑さに我慢できません。
もう夏はこれなしじゃ外出したくないほど気に入っています。
</t>
  </si>
  <si>
    <t xml:space="preserve">暑さに耐えきれず、初めて日傘を購入しました。
日傘がこれほど良いものだと初めて知りました。
毎日の通勤が格段に快適になったので嬉しいです。
男性用の日傘があるので、デザイン的にも使いやすいので助かっています。
</t>
  </si>
  <si>
    <t>20代男性</t>
  </si>
  <si>
    <t>30代男性</t>
  </si>
  <si>
    <t>https://www.amazon.co.jp/%E3%83%AA%E3%83%BC%E3%83%99%E3%83%B3-%E3%82%B7%E3%83%AB%E3%83%90%E3%83%BC%EF%BC%8F%E5%85%88%E6%9F%93%E3%83%81%E3%82%A7%E3%83%83%E3%82%AF-%E3%80%90LIEBEN-0561%E3%80%91-UV%E3%82%AB%E3%83%83%E3%83%88%E7%8E%8799-%E9%81%AE%E5%85%89%E7%8E%8799%EF%BC%85%E4%BB%A5%E4%B8%8A/product-reviews/B07FZYJVPS/ref=cm_cr_dp_d_show_all_top?ie=UTF8&amp;reviewerType=all_reviews</t>
  </si>
  <si>
    <t>今回取り上げたアイテムは、「何を求めてる人」にピッタリだと思いますか？
具体的に3つ記入してください。</t>
  </si>
  <si>
    <t>100％紫外線をカットしてくれる日傘を求めている方</t>
  </si>
  <si>
    <t>さしているだけで涼しくなる快適な日傘を求めている方</t>
  </si>
  <si>
    <t>使い勝手のいい日傘を求めている方</t>
  </si>
  <si>
    <t>合計点数</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</si>
</sst>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0" fillId="0" borderId="19" xfId="0" applyBorder="1">
      <alignment vertical="center"/>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pplyAlignment="1">
      <alignment vertical="center"/>
    </xf>
    <xf numFmtId="0" fontId="3" fillId="0" borderId="3" xfId="0" applyFont="1" applyBorder="1" applyAlignment="1">
      <alignment vertical="center"/>
    </xf>
    <xf numFmtId="0" fontId="13" fillId="5" borderId="12" xfId="1" applyFill="1" applyBorder="1">
      <alignment vertical="center"/>
    </xf>
    <xf numFmtId="0" fontId="3" fillId="6" borderId="12" xfId="0" applyFont="1" applyFill="1" applyBorder="1" applyAlignment="1">
      <alignment vertical="center"/>
    </xf>
    <xf numFmtId="0" fontId="13" fillId="6" borderId="12" xfId="1" applyFill="1" applyBorder="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mazon.co.jp/%E3%83%AA%E3%83%BC%E3%83%99%E3%83%B3-%E3%82%B7%E3%83%AB%E3%83%90%E3%83%BC%EF%BC%8F%E5%85%88%E6%9F%93%E3%83%81%E3%82%A7%E3%83%83%E3%82%AF-%E3%80%90LIEBEN-0561%E3%80%91-UV%E3%82%AB%E3%83%83%E3%83%88%E7%8E%8799-%E9%81%AE%E5%85%89%E7%8E%8799%EF%BC%85%E4%BB%A5%E4%B8%8A/product-reviews/B07FZYJVPS/ref=cm_cr_dp_d_show_all_top?ie=UTF8&amp;reviewerType=all_reviews" TargetMode="External"/><Relationship Id="rId2" Type="http://schemas.openxmlformats.org/officeDocument/2006/relationships/hyperlink" Target="https://www.amazon.co.jp/FJMOD-%E3%83%AF%E3%83%B3%E3%82%BF%E3%83%83%E3%83%81%E8%87%AA%E5%8B%95%E9%96%8B%E9%96%89-%E7%B4%AB%E5%A4%96%E7%B7%9A%E9%81%AE%E6%96%AD%E7%8E%8799%EF%BC%85%E4%BB%A5%E4%B8%8A%E6%97%A5%E5%B7%AE%E3%81%97%E3%81%AB%E8%B6%85%E5%BC%B7%E3%81%84%E3%82%A2%E3%83%8A%E3%83%AD%E3%82%B0-%E5%82%98%E5%BC%B7%E5%BA%A6%E3%82%A2%E3%83%83%E3%83%978%E6%9C%AC%E9%AA%A8%E3%82%AC%E3%83%A9%E3%82%B9%E7%B9%8A%E7%B6%AD-%E5%8F%AF%E6%84%9B%E3%81%84%E5%82%98%E8%A2%8B%E4%BB%98%E3%81%8D%EF%BC%88%E6%B5%B7%E6%A3%A0%E6%9F%84%EF%BC%89/product-reviews/B07CHL4X8R/ref=cm_cr_arp_d_viewpnt_lft?ie=UTF8&amp;filterByStar=positive&amp;reviewerType=all_reviews&amp;pageNumber=1" TargetMode="External"/><Relationship Id="rId1" Type="http://schemas.openxmlformats.org/officeDocument/2006/relationships/hyperlink" Target="https://www.cosme.net/product/product_id/10007260/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abSelected="1" topLeftCell="B22" workbookViewId="0">
      <selection activeCell="C28" sqref="C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8"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39"/>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0"/>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72</v>
      </c>
      <c r="C6" s="23">
        <v>9</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41" t="s">
        <v>73</v>
      </c>
      <c r="C7" s="7" t="s">
        <v>134</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42"/>
      <c r="C8" s="7" t="s">
        <v>135</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42"/>
      <c r="C9" s="7" t="s">
        <v>136</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42"/>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3"/>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140</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4" t="s">
        <v>28</v>
      </c>
      <c r="C14" s="9" t="s">
        <v>141</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5"/>
      <c r="C15" s="9" t="s">
        <v>142</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5"/>
      <c r="C16" s="9" t="s">
        <v>143</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6"/>
      <c r="C17" s="9" t="s">
        <v>144</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4" t="s">
        <v>33</v>
      </c>
      <c r="C18" s="9" t="s">
        <v>145</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5"/>
      <c r="C19" s="9" t="s">
        <v>146</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5"/>
      <c r="C20" s="9" t="s">
        <v>147</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6"/>
      <c r="C21" s="9" t="s">
        <v>148</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149</v>
      </c>
      <c r="D22" s="3"/>
      <c r="E22" s="3"/>
      <c r="F22" s="3"/>
      <c r="G22" s="3"/>
      <c r="H22" s="3"/>
      <c r="I22" s="3"/>
      <c r="J22" s="3"/>
      <c r="K22" s="3"/>
      <c r="L22" s="3"/>
      <c r="M22" s="3"/>
      <c r="N22" s="3"/>
      <c r="O22" s="3"/>
      <c r="P22" s="3"/>
      <c r="Q22" s="3"/>
      <c r="R22" s="3"/>
      <c r="S22" s="3"/>
      <c r="T22" s="3"/>
      <c r="U22" s="3"/>
      <c r="V22" s="3"/>
      <c r="W22" s="3"/>
      <c r="X22" s="3"/>
      <c r="Y22" s="3"/>
      <c r="Z22" s="3"/>
    </row>
    <row r="23" spans="1:26" ht="48.75" thickBot="1">
      <c r="A23" s="4" t="s">
        <v>27</v>
      </c>
      <c r="B23" s="44" t="s">
        <v>150</v>
      </c>
      <c r="C23" s="9" t="s">
        <v>151</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6"/>
      <c r="C24" s="66"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4" t="s">
        <v>75</v>
      </c>
      <c r="C25" s="9" t="s">
        <v>153</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6"/>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5" t="s">
        <v>154</v>
      </c>
      <c r="C27" s="36"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6" t="s">
        <v>132</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7" t="s">
        <v>42</v>
      </c>
      <c r="C29" s="26"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8"/>
      <c r="C30" s="26"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9"/>
      <c r="C31" s="26"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7" t="s">
        <v>46</v>
      </c>
      <c r="C32" s="26"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8"/>
      <c r="C33" s="26"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9"/>
      <c r="C34" s="26"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6"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7" t="s">
        <v>163</v>
      </c>
      <c r="C36" s="67" t="s">
        <v>164</v>
      </c>
      <c r="D36" s="3"/>
      <c r="E36" s="3"/>
      <c r="F36" s="3"/>
      <c r="G36" s="3"/>
      <c r="H36" s="3"/>
      <c r="I36" s="3"/>
      <c r="J36" s="3"/>
      <c r="K36" s="3"/>
      <c r="L36" s="3"/>
      <c r="M36" s="3"/>
      <c r="N36" s="3"/>
      <c r="O36" s="3"/>
      <c r="P36" s="3"/>
      <c r="Q36" s="3"/>
      <c r="R36" s="3"/>
      <c r="S36" s="3"/>
      <c r="T36" s="3"/>
      <c r="U36" s="3"/>
      <c r="V36" s="3"/>
      <c r="W36" s="3"/>
      <c r="X36" s="3"/>
      <c r="Y36" s="3"/>
      <c r="Z36" s="3"/>
    </row>
    <row r="37" spans="1:26" ht="51.75" thickBot="1">
      <c r="A37" s="4" t="s">
        <v>47</v>
      </c>
      <c r="B37" s="49"/>
      <c r="C37" s="26"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7" t="s">
        <v>76</v>
      </c>
      <c r="C38" s="26" t="s">
        <v>166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9"/>
      <c r="C39" s="26" t="s">
        <v>153</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7" t="s">
        <v>154</v>
      </c>
      <c r="C40" s="6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8"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0" t="s">
        <v>54</v>
      </c>
      <c r="C42" s="28"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1"/>
      <c r="C43" s="28" t="s">
        <v>157</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2"/>
      <c r="C44" s="28" t="s">
        <v>144</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0" t="s">
        <v>58</v>
      </c>
      <c r="C45" s="28" t="s">
        <v>169</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1"/>
      <c r="C46" s="28" t="s">
        <v>170</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2"/>
      <c r="C47" s="28" t="s">
        <v>171</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8" t="s">
        <v>172</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0" t="s">
        <v>173</v>
      </c>
      <c r="C49" s="69" t="s">
        <v>174</v>
      </c>
      <c r="D49" s="3"/>
      <c r="E49" s="3"/>
      <c r="F49" s="3"/>
      <c r="G49" s="3"/>
      <c r="H49" s="3"/>
      <c r="I49" s="3"/>
      <c r="J49" s="3"/>
      <c r="K49" s="3"/>
      <c r="L49" s="3"/>
      <c r="M49" s="3"/>
      <c r="N49" s="3"/>
      <c r="O49" s="3"/>
      <c r="P49" s="3"/>
      <c r="Q49" s="3"/>
      <c r="R49" s="3"/>
      <c r="S49" s="3"/>
      <c r="T49" s="3"/>
      <c r="U49" s="3"/>
      <c r="V49" s="3"/>
      <c r="W49" s="3"/>
      <c r="X49" s="3"/>
      <c r="Y49" s="3"/>
      <c r="Z49" s="3"/>
    </row>
    <row r="50" spans="1:26" ht="64.5" thickBot="1">
      <c r="A50" s="4" t="s">
        <v>77</v>
      </c>
      <c r="B50" s="52"/>
      <c r="C50" s="28" t="s">
        <v>175</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0" t="s">
        <v>76</v>
      </c>
      <c r="C51" s="28" t="s">
        <v>176</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2"/>
      <c r="C52" s="28" t="s">
        <v>177</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70"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38"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39"/>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0"/>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location="reviews-filter-bar" display="https://www.amazon.co.jp/FJMOD-%E3%83%AF%E3%83%B3%E3%82%BF%E3%83%83%E3%83%81%E8%87%AA%E5%8B%95%E9%96%8B%E9%96%89-%E7%B4%AB%E5%A4%96%E7%B7%9A%E9%81%AE%E6%96%AD%E7%8E%8799%EF%BC%85%E4%BB%A5%E4%B8%8A%E6%97%A5%E5%B7%AE%E3%81%97%E3%81%AB%E8%B6%85%E5%BC%B7%E3%81%84%E3%82%A2%E3%83%8A%E3%83%AD%E3%82%B0-%E5%82%98%E5%BC%B7%E5%BA%A6%E3%82%A2%E3%83%83%E3%83%978%E6%9C%AC%E9%AA%A8%E3%82%AC%E3%83%A9%E3%82%B9%E7%B9%8A%E7%B6%AD-%E5%8F%AF%E6%84%9B%E3%81%84%E5%82%98%E8%A2%8B%E4%BB%98%E3%81%8D%EF%BC%88%E6%B5%B7%E6%A3%A0%E6%9F%84%EF%BC%89/product-reviews/B07CHL4X8R/ref=cm_cr_arp_d_viewpnt_lft?ie=UTF8&amp;filterByStar=positive&amp;reviewerType=all_reviews&amp;pageNumber=1 - reviews-filter-bar"/>
    <hyperlink ref="C53" r:id="rId3" display="https://www.amazon.co.jp/%E3%83%AA%E3%83%BC%E3%83%99%E3%83%B3-%E3%82%B7%E3%83%AB%E3%83%90%E3%83%BC%EF%BC%8F%E5%85%88%E6%9F%93%E3%83%81%E3%82%A7%E3%83%83%E3%82%AF-%E3%80%90LIEBEN-0561%E3%80%91-UV%E3%82%AB%E3%83%83%E3%83%88%E7%8E%8799-%E9%81%AE%E5%85%89%E7%8E%8799%EF%BC%85%E4%BB%A5%E4%B8%8A/product-reviews/B07FZYJVPS/ref=cm_cr_dp_d_show_all_top?ie=UTF8&amp;reviewerType=all_reviews"/>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3" t="s">
        <v>66</v>
      </c>
      <c r="C1" s="54"/>
      <c r="D1" s="55"/>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15.75" thickBot="1">
      <c r="A3" s="14" t="s">
        <v>67</v>
      </c>
      <c r="B3" s="15" t="s">
        <v>131</v>
      </c>
      <c r="C3" s="15" t="s">
        <v>132</v>
      </c>
      <c r="D3" s="15" t="s">
        <v>133</v>
      </c>
      <c r="E3" s="3"/>
      <c r="F3" s="3"/>
      <c r="G3" s="3"/>
      <c r="H3" s="3"/>
      <c r="I3" s="3"/>
      <c r="J3" s="3"/>
      <c r="K3" s="3"/>
      <c r="L3" s="3"/>
      <c r="M3" s="3"/>
      <c r="N3" s="3"/>
      <c r="O3" s="3"/>
      <c r="P3" s="3"/>
      <c r="Q3" s="3"/>
      <c r="R3" s="3"/>
      <c r="S3" s="3"/>
      <c r="T3" s="3"/>
      <c r="U3" s="3"/>
      <c r="V3" s="3"/>
      <c r="W3" s="3"/>
      <c r="X3" s="3"/>
      <c r="Y3" s="3"/>
      <c r="Z3" s="3"/>
    </row>
    <row r="4" spans="1:26" ht="30.75" thickBot="1">
      <c r="A4" s="32" t="s">
        <v>134</v>
      </c>
      <c r="B4" s="16">
        <v>5</v>
      </c>
      <c r="C4" s="16">
        <v>4</v>
      </c>
      <c r="D4" s="16">
        <v>4</v>
      </c>
      <c r="E4" s="3"/>
      <c r="F4" s="3"/>
      <c r="G4" s="3"/>
      <c r="H4" s="3"/>
      <c r="I4" s="3"/>
      <c r="J4" s="3"/>
      <c r="K4" s="3"/>
      <c r="L4" s="3"/>
      <c r="M4" s="3"/>
      <c r="N4" s="3"/>
      <c r="O4" s="3"/>
      <c r="P4" s="3"/>
      <c r="Q4" s="3"/>
      <c r="R4" s="3"/>
      <c r="S4" s="3"/>
      <c r="T4" s="3"/>
      <c r="U4" s="3"/>
      <c r="V4" s="3"/>
      <c r="W4" s="3"/>
      <c r="X4" s="3"/>
      <c r="Y4" s="3"/>
      <c r="Z4" s="3"/>
    </row>
    <row r="5" spans="1:26" ht="15.75" thickBot="1">
      <c r="A5" s="32" t="s">
        <v>135</v>
      </c>
      <c r="B5" s="16">
        <v>3</v>
      </c>
      <c r="C5" s="16">
        <v>5</v>
      </c>
      <c r="D5" s="16">
        <v>3</v>
      </c>
      <c r="E5" s="3"/>
      <c r="F5" s="3"/>
      <c r="G5" s="3"/>
      <c r="H5" s="3"/>
      <c r="I5" s="3"/>
      <c r="J5" s="3"/>
      <c r="K5" s="3"/>
      <c r="L5" s="3"/>
      <c r="M5" s="3"/>
      <c r="N5" s="3"/>
      <c r="O5" s="3"/>
      <c r="P5" s="3"/>
      <c r="Q5" s="3"/>
      <c r="R5" s="3"/>
      <c r="S5" s="3"/>
      <c r="T5" s="3"/>
      <c r="U5" s="3"/>
      <c r="V5" s="3"/>
      <c r="W5" s="3"/>
      <c r="X5" s="3"/>
      <c r="Y5" s="3"/>
      <c r="Z5" s="3"/>
    </row>
    <row r="6" spans="1:26" ht="15.75" thickBot="1">
      <c r="A6" s="32" t="s">
        <v>136</v>
      </c>
      <c r="B6" s="16">
        <v>2</v>
      </c>
      <c r="C6" s="16">
        <v>5</v>
      </c>
      <c r="D6" s="16">
        <v>4</v>
      </c>
      <c r="E6" s="3"/>
      <c r="F6" s="3"/>
      <c r="G6" s="3"/>
      <c r="H6" s="3"/>
      <c r="I6" s="3"/>
      <c r="J6" s="3"/>
      <c r="K6" s="3"/>
      <c r="L6" s="3"/>
      <c r="M6" s="3"/>
      <c r="N6" s="3"/>
      <c r="O6" s="3"/>
      <c r="P6" s="3"/>
      <c r="Q6" s="3"/>
      <c r="R6" s="3"/>
      <c r="S6" s="3"/>
      <c r="T6" s="3"/>
      <c r="U6" s="3"/>
      <c r="V6" s="3"/>
      <c r="W6" s="3"/>
      <c r="X6" s="3"/>
      <c r="Y6" s="3"/>
      <c r="Z6" s="3"/>
    </row>
    <row r="7" spans="1:26" ht="15.75" thickBot="1">
      <c r="A7" s="32" t="s">
        <v>137</v>
      </c>
      <c r="B7" s="16">
        <v>3</v>
      </c>
      <c r="C7" s="16">
        <v>4</v>
      </c>
      <c r="D7" s="16">
        <v>3</v>
      </c>
      <c r="E7" s="3"/>
      <c r="F7" s="3"/>
      <c r="G7" s="3"/>
      <c r="H7" s="3"/>
      <c r="I7" s="3"/>
      <c r="J7" s="3"/>
      <c r="K7" s="3"/>
      <c r="L7" s="3"/>
      <c r="M7" s="3"/>
      <c r="N7" s="3"/>
      <c r="O7" s="3"/>
      <c r="P7" s="3"/>
      <c r="Q7" s="3"/>
      <c r="R7" s="3"/>
      <c r="S7" s="3"/>
      <c r="T7" s="3"/>
      <c r="U7" s="3"/>
      <c r="V7" s="3"/>
      <c r="W7" s="3"/>
      <c r="X7" s="3"/>
      <c r="Y7" s="3"/>
      <c r="Z7" s="3"/>
    </row>
    <row r="8" spans="1:26" ht="15.75" thickBot="1">
      <c r="A8" s="32" t="s">
        <v>138</v>
      </c>
      <c r="B8" s="16">
        <v>5</v>
      </c>
      <c r="C8" s="16">
        <v>2</v>
      </c>
      <c r="D8" s="16">
        <v>3</v>
      </c>
      <c r="E8" s="3"/>
      <c r="F8" s="3"/>
      <c r="G8" s="3"/>
      <c r="H8" s="3"/>
      <c r="I8" s="3"/>
      <c r="J8" s="3"/>
      <c r="K8" s="3"/>
      <c r="L8" s="3"/>
      <c r="M8" s="3"/>
      <c r="N8" s="3"/>
      <c r="O8" s="3"/>
      <c r="P8" s="3"/>
      <c r="Q8" s="3"/>
      <c r="R8" s="3"/>
      <c r="S8" s="3"/>
      <c r="T8" s="3"/>
      <c r="U8" s="3"/>
      <c r="V8" s="3"/>
      <c r="W8" s="3"/>
      <c r="X8" s="3"/>
      <c r="Y8" s="3"/>
      <c r="Z8" s="3"/>
    </row>
    <row r="9" spans="1:26" ht="15" thickBot="1">
      <c r="A9" s="17" t="s">
        <v>183</v>
      </c>
      <c r="B9" s="18">
        <v>18</v>
      </c>
      <c r="C9" s="18">
        <v>20</v>
      </c>
      <c r="D9" s="18">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J10" sqref="J10"/>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103</v>
      </c>
      <c r="C2" s="21"/>
      <c r="D2" s="30"/>
      <c r="F2">
        <f>LEN(C1)</f>
        <v>0</v>
      </c>
      <c r="G2" t="s">
        <v>126</v>
      </c>
    </row>
    <row r="3" spans="2:8">
      <c r="B3" s="33"/>
      <c r="C3" s="30"/>
      <c r="D3" s="30"/>
      <c r="H3" t="s">
        <v>127</v>
      </c>
    </row>
    <row r="4" spans="2:8">
      <c r="B4" s="22" t="s">
        <v>116</v>
      </c>
      <c r="C4" s="22" t="s">
        <v>117</v>
      </c>
      <c r="D4" s="22" t="s">
        <v>118</v>
      </c>
      <c r="H4" t="s">
        <v>128</v>
      </c>
    </row>
    <row r="5" spans="2:8">
      <c r="B5" s="22" t="s">
        <v>101</v>
      </c>
      <c r="C5" s="21" t="str">
        <f>IF(C22="","",SUBSTITUTE(MID(C22,FIND("src=",C22)+5,FIND("alt",C22)-FIND("src=",C22)-7),"amp;",""))</f>
        <v/>
      </c>
      <c r="D5" s="21" t="str">
        <f>アンケート!C13</f>
        <v>サンバリア100</v>
      </c>
      <c r="E5" t="s">
        <v>119</v>
      </c>
    </row>
    <row r="6" spans="2:8">
      <c r="B6" s="22" t="s">
        <v>100</v>
      </c>
      <c r="C6" s="21" t="str">
        <f>IF(C24="","",SUBSTITUTE(MID(C24,FIND("src=",C24)+5,FIND("alt",C24)-FIND("src=",C24)-7),"amp;",""))</f>
        <v/>
      </c>
      <c r="D6" s="21" t="str">
        <f>アンケート!C28</f>
        <v>FJMOD　折りたたみ傘</v>
      </c>
      <c r="E6" t="s">
        <v>119</v>
      </c>
    </row>
    <row r="7" spans="2:8">
      <c r="B7" s="22" t="s">
        <v>99</v>
      </c>
      <c r="C7" s="21" t="str">
        <f>IF(C26="","",SUBSTITUTE(MID(C26,FIND("src=",C26)+5,FIND("alt",C26)-FIND("src=",C26)-7),"amp;",""))</f>
        <v/>
      </c>
      <c r="D7" s="21" t="str">
        <f>アンケート!C41</f>
        <v>リーベン　ひんやり傘</v>
      </c>
      <c r="E7" t="s">
        <v>119</v>
      </c>
    </row>
    <row r="10" spans="2:8">
      <c r="B10" s="59" t="s">
        <v>98</v>
      </c>
      <c r="C10" s="60"/>
      <c r="D10" s="60"/>
      <c r="E10" s="60"/>
      <c r="F10" s="61"/>
    </row>
    <row r="11" spans="2:8">
      <c r="B11" s="31" t="s">
        <v>104</v>
      </c>
      <c r="C11" s="31" t="s">
        <v>105</v>
      </c>
      <c r="D11" s="31" t="s">
        <v>106</v>
      </c>
      <c r="E11" s="31" t="s">
        <v>107</v>
      </c>
      <c r="F11" s="31" t="s">
        <v>108</v>
      </c>
    </row>
    <row r="12" spans="2:8">
      <c r="B12" s="56" t="s">
        <v>101</v>
      </c>
      <c r="C12" s="58" t="str">
        <f>アンケート!C27</f>
        <v>https://www.cosme.net/product/product_id/10007260/reviews</v>
      </c>
      <c r="D12" s="62">
        <f>SQL!A11+1</f>
        <v>2</v>
      </c>
      <c r="E12" s="21" t="str">
        <f>アンケート!C25</f>
        <v>30代女性</v>
      </c>
      <c r="F12" s="21" t="str">
        <f>IF(ISERROR(FIND("女",E12)),"m","w")&amp;"_"&amp;LEFT(E12,2)&amp;"_"&amp;"2"</f>
        <v>w_30_2</v>
      </c>
    </row>
    <row r="13" spans="2:8">
      <c r="B13" s="57"/>
      <c r="C13" s="58"/>
      <c r="D13" s="63"/>
      <c r="E13" s="21" t="str">
        <f>アンケート!C26</f>
        <v>30代女性</v>
      </c>
      <c r="F13" s="21" t="str">
        <f>IF(ISERROR(FIND("女",E13)),"m","w")&amp;"_"&amp;LEFT(E13,2)&amp;"_"&amp;"1"</f>
        <v>w_30_1</v>
      </c>
    </row>
    <row r="14" spans="2:8">
      <c r="B14" s="56" t="s">
        <v>100</v>
      </c>
      <c r="C14" s="58" t="str">
        <f>アンケート!C40</f>
        <v>https://www.amazon.co.jp/FJMOD-%E3%83%AF%E3%83%B3%E3%82%BF%E3%83%83%E3%83%81%E8%87%AA%E5%8B%95%E9%96%8B%E9%96%89-%E7%B4%AB%E5%A4%96%E7%B7%9A%E9%81%AE%E6%96%AD%E7%8E%8799%EF%BC%85%E4%BB%A5%E4%B8%8A%E6%97%A5%E5%B7%AE%E3%81%97%E3%81%AB%E8%B6%85%E5%BC%B7%E3%81%84%E3%82%A2%E3%83%8A%E3%83%AD%E3%82%B0-%E5%82%98%E5%BC%B7%E5%BA%A6%E3%82%A2%E3%83%83%E3%83%978%E6%9C%AC%E9%AA%A8%E3%82%AC%E3%83%A9%E3%82%B9%E7%B9%8A%E7%B6%AD-%E5%8F%AF%E6%84%9B%E3%81%84%E5%82%98%E8%A2%8B%E4%BB%98%E3%81%8D%EF%BC%88%E6%B5%B7%E6%A3%A0%E6%9F%84%EF%BC%89/product-reviews/B07CHL4X8R/ref=cm_cr_arp_d_viewpnt_lft?ie=UTF8&amp;filterByStar=positive&amp;reviewerType=all_reviews&amp;pageNumber=1#reviews-filter-bar</v>
      </c>
      <c r="D14" s="62">
        <f>IF(D12="","",D12+1)</f>
        <v>3</v>
      </c>
      <c r="E14" s="21" t="str">
        <f>アンケート!C38</f>
        <v>20代女性</v>
      </c>
      <c r="F14" s="21" t="str">
        <f>IF(ISERROR(FIND("女",E14)),"m","w")&amp;"_"&amp;LEFT(E14,2)&amp;"_"&amp;"2"</f>
        <v>w_20_2</v>
      </c>
    </row>
    <row r="15" spans="2:8">
      <c r="B15" s="57"/>
      <c r="C15" s="58"/>
      <c r="D15" s="63"/>
      <c r="E15" s="21" t="str">
        <f>アンケート!C39</f>
        <v>30代女性</v>
      </c>
      <c r="F15" s="21" t="str">
        <f>IF(ISERROR(FIND("女",E15)),"m","w")&amp;"_"&amp;LEFT(E15,2)&amp;"_"&amp;"1"</f>
        <v>w_30_1</v>
      </c>
    </row>
    <row r="16" spans="2:8">
      <c r="B16" s="56" t="s">
        <v>99</v>
      </c>
      <c r="C16" s="58" t="str">
        <f>アンケート!C53</f>
        <v>https://www.amazon.co.jp/%E3%83%AA%E3%83%BC%E3%83%99%E3%83%B3-%E3%82%B7%E3%83%AB%E3%83%90%E3%83%BC%EF%BC%8F%E5%85%88%E6%9F%93%E3%83%81%E3%82%A7%E3%83%83%E3%82%AF-%E3%80%90LIEBEN-0561%E3%80%91-UV%E3%82%AB%E3%83%83%E3%83%88%E7%8E%8799-%E9%81%AE%E5%85%89%E7%8E%8799%EF%BC%85%E4%BB%A5%E4%B8%8A/product-reviews/B07FZYJVPS/ref=cm_cr_dp_d_show_all_top?ie=UTF8&amp;reviewerType=all_reviews</v>
      </c>
      <c r="D16" s="62">
        <f>IF(D14="","",D14+1)</f>
        <v>4</v>
      </c>
      <c r="E16" s="21" t="str">
        <f>アンケート!C51</f>
        <v>20代男性</v>
      </c>
      <c r="F16" s="21" t="str">
        <f>IF(ISERROR(FIND("女",E16)),"m","w")&amp;"_"&amp;LEFT(E16,2)&amp;"_"&amp;"2"</f>
        <v>m_20_2</v>
      </c>
    </row>
    <row r="17" spans="2:6">
      <c r="B17" s="57"/>
      <c r="C17" s="58"/>
      <c r="D17" s="63"/>
      <c r="E17" s="21" t="str">
        <f>アンケート!C52</f>
        <v>30代男性</v>
      </c>
      <c r="F17" s="21" t="str">
        <f t="shared" ref="F17" si="0">IF(ISERROR(FIND("女",E17)),"m","w")&amp;"_"&amp;LEFT(E17,2)&amp;"_"&amp;"1"</f>
        <v>m_30_1</v>
      </c>
    </row>
    <row r="18" spans="2:6">
      <c r="D18" s="30"/>
    </row>
    <row r="19" spans="2:6">
      <c r="D19" s="30"/>
    </row>
    <row r="20" spans="2:6">
      <c r="B20" s="64" t="s">
        <v>109</v>
      </c>
      <c r="C20" s="64"/>
      <c r="D20" s="64"/>
      <c r="E20" s="64"/>
      <c r="F20" s="64"/>
    </row>
    <row r="21" spans="2:6">
      <c r="B21" s="34" t="s">
        <v>116</v>
      </c>
      <c r="C21" s="34" t="s">
        <v>113</v>
      </c>
      <c r="D21" s="64" t="s">
        <v>114</v>
      </c>
      <c r="E21" s="64"/>
      <c r="F21" s="34" t="s">
        <v>115</v>
      </c>
    </row>
    <row r="22" spans="2:6">
      <c r="B22" s="64" t="s">
        <v>110</v>
      </c>
      <c r="C22" s="21"/>
      <c r="D22" s="65" t="str">
        <f t="shared" ref="D22:D27" si="1">IF(C22="","",SUBSTITUTE(MID(C22,FIND("href=",C22)+6,FIND("rel=",C22)-FIND("href=",C22)-8),"amp;",""))</f>
        <v/>
      </c>
      <c r="E22" s="65"/>
      <c r="F22" s="21" t="str">
        <f>IF(ISERROR(FIND("amazon",C22)),IF(ISERROR(FIND("rakuten",C22)),"","楽天"),"Amazon")</f>
        <v/>
      </c>
    </row>
    <row r="23" spans="2:6">
      <c r="B23" s="64"/>
      <c r="C23" s="21"/>
      <c r="D23" s="65" t="str">
        <f t="shared" si="1"/>
        <v/>
      </c>
      <c r="E23" s="65"/>
      <c r="F23" s="21" t="str">
        <f t="shared" ref="F23:F27" si="2">IF(ISERROR(FIND("amazon",C23)),IF(ISERROR(FIND("rakuten",C23)),"","楽天"),"Amazon")</f>
        <v/>
      </c>
    </row>
    <row r="24" spans="2:6">
      <c r="B24" s="64" t="s">
        <v>111</v>
      </c>
      <c r="C24" s="21"/>
      <c r="D24" s="65" t="str">
        <f t="shared" si="1"/>
        <v/>
      </c>
      <c r="E24" s="65"/>
      <c r="F24" s="21" t="str">
        <f t="shared" si="2"/>
        <v/>
      </c>
    </row>
    <row r="25" spans="2:6">
      <c r="B25" s="64"/>
      <c r="C25" s="21"/>
      <c r="D25" s="65" t="str">
        <f t="shared" si="1"/>
        <v/>
      </c>
      <c r="E25" s="65"/>
      <c r="F25" s="21" t="str">
        <f t="shared" si="2"/>
        <v/>
      </c>
    </row>
    <row r="26" spans="2:6">
      <c r="B26" s="64" t="s">
        <v>112</v>
      </c>
      <c r="C26" s="21"/>
      <c r="D26" s="65" t="str">
        <f t="shared" si="1"/>
        <v/>
      </c>
      <c r="E26" s="65"/>
      <c r="F26" s="21" t="str">
        <f t="shared" si="2"/>
        <v/>
      </c>
    </row>
    <row r="27" spans="2:6">
      <c r="B27" s="64"/>
      <c r="C27" s="21"/>
      <c r="D27" s="65" t="str">
        <f t="shared" si="1"/>
        <v/>
      </c>
      <c r="E27" s="65"/>
      <c r="F27" s="21" t="str">
        <f t="shared" si="2"/>
        <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0" sqref="A10"/>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 '', 'https://www.cosme.net/product/product_id/10007260/reviews', '', 'サンバリア100'),</v>
      </c>
    </row>
    <row r="3" spans="1:1">
      <c r="A3" t="str">
        <f>"("&amp;入力シート!D14&amp;","&amp;"'"&amp;入力シート!D24&amp;"', '"&amp;入力シート!D25&amp;"', '"&amp;入力シート!C14&amp;"', '"&amp;入力シート!C6&amp;"', '"&amp;入力シート!D6&amp;"'),"</f>
        <v>(3,'', '', 'https://www.amazon.co.jp/FJMOD-%E3%83%AF%E3%83%B3%E3%82%BF%E3%83%83%E3%83%81%E8%87%AA%E5%8B%95%E9%96%8B%E9%96%89-%E7%B4%AB%E5%A4%96%E7%B7%9A%E9%81%AE%E6%96%AD%E7%8E%8799%EF%BC%85%E4%BB%A5%E4%B8%8A%E6%97%A5%E5%B7%AE%E3%81%97%E3%81%AB%E8%B6%85%E5%BC%B7%E3%81%84%E3%82%A2%E3%83%8A%E3%83%AD%E3%82%B0-%E5%82%98%E5%BC%B7%E5%BA%A6%E3%82%A2%E3%83%83%E3%83%978%E6%9C%AC%E9%AA%A8%E3%82%AC%E3%83%A9%E3%82%B9%E7%B9%8A%E7%B6%AD-%E5%8F%AF%E6%84%9B%E3%81%84%E5%82%98%E8%A2%8B%E4%BB%98%E3%81%8D%EF%BC%88%E6%B5%B7%E6%A3%A0%E6%9F%84%EF%BC%89/product-reviews/B07CHL4X8R/ref=cm_cr_arp_d_viewpnt_lft?ie=UTF8&amp;filterByStar=positive&amp;reviewerType=all_reviews&amp;pageNumber=1#reviews-filter-bar', '', 'FJMOD　折りたたみ傘'),</v>
      </c>
    </row>
    <row r="4" spans="1:1">
      <c r="A4" t="str">
        <f>"("&amp;入力シート!D16&amp;","&amp;"'"&amp;入力シート!D26&amp;"', '"&amp;入力シート!D27&amp;"', '"&amp;入力シート!C16&amp;"', '"&amp;入力シート!C7&amp;"', '"&amp;入力シート!D7&amp;"');"</f>
        <v>(4,'', '', 'https://www.amazon.co.jp/%E3%83%AA%E3%83%BC%E3%83%99%E3%83%B3-%E3%82%B7%E3%83%AB%E3%83%90%E3%83%BC%EF%BC%8F%E5%85%88%E6%9F%93%E3%83%81%E3%82%A7%E3%83%83%E3%82%AF-%E3%80%90LIEBEN-0561%E3%80%91-UV%E3%82%AB%E3%83%83%E3%83%88%E7%8E%8799-%E9%81%AE%E5%85%89%E7%8E%8799%EF%BC%85%E4%BB%A5%E4%B8%8A/product-reviews/B07FZYJVPS/ref=cm_cr_dp_d_show_all_top?ie=UTF8&amp;reviewerType=all_reviews', '', 'リーベン　ひんやり傘');</v>
      </c>
    </row>
    <row r="9" spans="1:1">
      <c r="A9" s="35" t="s">
        <v>121</v>
      </c>
    </row>
    <row r="10" spans="1:1" ht="14.25" thickBot="1">
      <c r="A10" t="s">
        <v>120</v>
      </c>
    </row>
    <row r="11" spans="1:1" ht="14.25" thickBot="1">
      <c r="A11" s="37">
        <v>1</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opLeftCell="A10" workbookViewId="0">
      <selection activeCell="A28" sqref="A28"/>
    </sheetView>
  </sheetViews>
  <sheetFormatPr defaultRowHeight="13.5"/>
  <cols>
    <col min="1" max="1" width="67.375" bestFit="1" customWidth="1"/>
  </cols>
  <sheetData>
    <row r="1" spans="1:1">
      <c r="A1" s="19" t="str">
        <f>CONCATENATE("&lt;h2&gt;",入力シート!C2,"&lt;/h2&gt;")</f>
        <v>&lt;h2&gt;&lt;/h2&gt;</v>
      </c>
    </row>
    <row r="2" spans="1:1">
      <c r="A2" s="19" t="s">
        <v>84</v>
      </c>
    </row>
    <row r="3" spans="1:1">
      <c r="A3" s="20" t="s">
        <v>85</v>
      </c>
    </row>
    <row r="4" spans="1:1">
      <c r="A4" s="19" t="str">
        <f>CONCATENATE("&lt;li&gt;", アンケート!C54, "&lt;/li&gt;")</f>
        <v>&lt;li&gt;100％紫外線をカットしてくれる日傘を求めている方&lt;/li&gt;</v>
      </c>
    </row>
    <row r="5" spans="1:1">
      <c r="A5" s="19" t="str">
        <f>CONCATENATE("&lt;li&gt;", アンケート!C55, "&lt;/li&gt;")</f>
        <v>&lt;li&gt;さしているだけで涼しくなる快適な日傘を求めている方&lt;/li&gt;</v>
      </c>
    </row>
    <row r="6" spans="1:1">
      <c r="A6" s="19" t="str">
        <f>CONCATENATE("&lt;li&gt;", アンケート!C56, "&lt;/li&gt;")</f>
        <v>&lt;li&gt;使い勝手のいい日傘を求めている方&lt;/li&gt;</v>
      </c>
    </row>
    <row r="7" spans="1:1">
      <c r="A7" s="19" t="s">
        <v>86</v>
      </c>
    </row>
    <row r="8" spans="1:1">
      <c r="A8" s="19" t="s">
        <v>87</v>
      </c>
    </row>
    <row r="9" spans="1:1">
      <c r="A9" s="19"/>
    </row>
    <row r="10" spans="1:1">
      <c r="A10" s="19" t="s">
        <v>124</v>
      </c>
    </row>
    <row r="11" spans="1:1">
      <c r="A11" s="19" t="s">
        <v>88</v>
      </c>
    </row>
    <row r="12" spans="1:1">
      <c r="A12" s="19" t="str">
        <f>CONCATENATE("&lt;img src=","""http://shomty.com/wp-content/uploads/img/parts/positionMap/",アンケート!$C$6,".jpg", """ /&gt;")</f>
        <v>&lt;img src="http://shomty.com/wp-content/uploads/img/parts/positionMap/9.jpg" /&gt;</v>
      </c>
    </row>
    <row r="13" spans="1:1">
      <c r="A13" s="29" t="str">
        <f>CONCATENATE("今回紹介する『", アンケート!C2,"』は","「価格と品質」どちらを重要視したのかをあらわした図です。")</f>
        <v>今回紹介する『日傘』は「価格と品質」どちらを重要視したのかをあらわした図です。</v>
      </c>
    </row>
    <row r="14" spans="1:1">
      <c r="A14" s="29"/>
    </row>
    <row r="15" spans="1:1">
      <c r="A15" s="29" t="s">
        <v>125</v>
      </c>
    </row>
    <row r="16" spans="1:1">
      <c r="A16" s="29" t="s">
        <v>123</v>
      </c>
    </row>
    <row r="17" spans="1:2">
      <c r="A17" s="19" t="s">
        <v>87</v>
      </c>
    </row>
    <row r="18" spans="1:2">
      <c r="A18" t="s">
        <v>70</v>
      </c>
    </row>
    <row r="19" spans="1:2">
      <c r="A19" t="str">
        <f>CONCATENATE("&lt;h2&gt;『",アンケート!C2,"』 ランキング&lt;/h2&gt;")</f>
        <v>&lt;h2&gt;『日傘』 ランキング&lt;/h2&gt;</v>
      </c>
    </row>
    <row r="20" spans="1:2">
      <c r="A20" t="s">
        <v>89</v>
      </c>
    </row>
    <row r="22" spans="1:2">
      <c r="A22" t="str">
        <f>CONCATENATE("&lt;h3&gt;3位 ",アンケート!C41,"&lt;/h3&gt;")</f>
        <v>&lt;h3&gt;3位 リーベン　ひんやり傘&lt;/h3&gt;</v>
      </c>
    </row>
    <row r="23" spans="1:2">
      <c r="A23" t="s">
        <v>90</v>
      </c>
    </row>
    <row r="24" spans="1:2">
      <c r="A24" t="s">
        <v>68</v>
      </c>
    </row>
    <row r="25" spans="1:2">
      <c r="A25" t="str">
        <f>アンケート!C48</f>
        <v>日傘で少しでも体温を下げたい方</v>
      </c>
    </row>
    <row r="26" spans="1:2">
      <c r="A26" t="s">
        <v>69</v>
      </c>
    </row>
    <row r="27" spans="1:2">
      <c r="A27" s="6" t="str">
        <f>CONCATENATE("[tblStart num=5]", 入力シート!C7, "[/tblStart]")</f>
        <v>[tblStart num=5][/tblStart]</v>
      </c>
    </row>
    <row r="28" spans="1:2">
      <c r="A28" t="str">
        <f>CONCATENATE("[tdLevel type=", B28, "]", 比較表!A4, "[/tdLevel]")</f>
        <v>[tdLevel type=4]紫外線をカットしてくれる[/tdLevel]</v>
      </c>
      <c r="B28">
        <f>HLOOKUP(アンケート!$C$41,比較表!$B$3:$D$8,2)</f>
        <v>4</v>
      </c>
    </row>
    <row r="29" spans="1:2">
      <c r="A29" t="str">
        <f>CONCATENATE("[tdLevel type=", B29, "]", 比較表!A5, "[/tdLevel]")</f>
        <v>[tdLevel type=3]使いやすい[/tdLevel]</v>
      </c>
      <c r="B29">
        <f>HLOOKUP(アンケート!$C$41,比較表!$B$3:$D$8,3)</f>
        <v>3</v>
      </c>
    </row>
    <row r="30" spans="1:2">
      <c r="A30" t="str">
        <f>CONCATENATE("[tdLevel type=", B30, "]", 比較表!A6, "[/tdLevel]")</f>
        <v>[tdLevel type=4]価格[/tdLevel]</v>
      </c>
      <c r="B30">
        <f>HLOOKUP(アンケート!$C$41,比較表!$B$3:$D$8,4)</f>
        <v>4</v>
      </c>
    </row>
    <row r="31" spans="1:2">
      <c r="A31" t="str">
        <f>CONCATENATE("[tdLevel type=", B31, "]", 比較表!A7, "[/tdLevel]")</f>
        <v>[tdLevel type=3]デザイン[/tdLevel]</v>
      </c>
      <c r="B31">
        <f>HLOOKUP(アンケート!$C$41,比較表!$B$3:$D$8,5)</f>
        <v>3</v>
      </c>
    </row>
    <row r="32" spans="1:2">
      <c r="A32" t="str">
        <f>CONCATENATE("[tdLevel type=", B32, "]", 比較表!A8, "[/tdLevel]")</f>
        <v>[tdLevel type=3]長く使える[/tdLevel]</v>
      </c>
      <c r="B32">
        <f>HLOOKUP(アンケート!$C$41,比較表!$B$3:$D$8,6)</f>
        <v>3</v>
      </c>
    </row>
    <row r="33" spans="1:1">
      <c r="A33" t="s">
        <v>71</v>
      </c>
    </row>
    <row r="35" spans="1:1">
      <c r="A35" s="6" t="str">
        <f>CONCATENATE("[product_link id=",入力シート!D16,"][/product_link]")</f>
        <v>[product_link id=4][/product_link]</v>
      </c>
    </row>
    <row r="36" spans="1:1">
      <c r="A36" t="s">
        <v>91</v>
      </c>
    </row>
    <row r="37" spans="1:1">
      <c r="A37" t="s">
        <v>92</v>
      </c>
    </row>
    <row r="38" spans="1:1">
      <c r="A38" t="s">
        <v>93</v>
      </c>
    </row>
    <row r="39" spans="1:1">
      <c r="A39" t="s">
        <v>85</v>
      </c>
    </row>
    <row r="40" spans="1:1">
      <c r="A40" t="str">
        <f>CONCATENATE("&lt;li&gt;", アンケート!C42,"&lt;/li&gt;")</f>
        <v>&lt;li&gt;この傘をさすと少し温度が下がる&lt;/li&gt;</v>
      </c>
    </row>
    <row r="41" spans="1:1">
      <c r="A41" t="str">
        <f>CONCATENATE("&lt;li&gt;", アンケート!C43,"&lt;/li&gt;")</f>
        <v>&lt;li&gt;晴雨兼用&lt;/li&gt;</v>
      </c>
    </row>
    <row r="42" spans="1:1">
      <c r="A42" t="str">
        <f>CONCATENATE("&lt;li&gt;", アンケート!C44,"&lt;/li&gt;")</f>
        <v>&lt;li&gt;男性用もある&lt;/li&gt;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&lt;li&gt;遮光率・UVカット率ともに100％ではない&lt;/li&gt;</v>
      </c>
    </row>
    <row r="51" spans="1:1">
      <c r="A51" t="str">
        <f>CONCATENATE("&lt;li&gt;", アンケート!C46,"&lt;/li&gt;")</f>
        <v>&lt;li&gt;内側に柄があり外側が無地なので、外から見るとシンプルすぎる&lt;/li&gt;</v>
      </c>
    </row>
    <row r="52" spans="1:1">
      <c r="A52" t="str">
        <f>CONCATENATE("&lt;li&gt;", アンケート!C47,"&lt;/li&gt;")</f>
        <v>&lt;li&gt;シルバーコーティングなので、傘をさす前はまぶしい&lt;/li&gt;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icon="http://shomty.com/wp-content/uploads/img/parts/review/m_20_2.jpg" name="20代男性" type="l"]</v>
      </c>
    </row>
    <row r="58" spans="1:1">
      <c r="A58" t="str">
        <f>アンケート!C49</f>
        <v xml:space="preserve">ひんやり傘と呼ばれているだけあって、この日傘をさすと少し涼しくなります。
日傘をさしている男性はほぼ見かけないので、最初は日傘に抵抗もありましたが、恥ずかしさよりも暑さに我慢できません。
もう夏はこれなしじゃ外出したくないほど気に入っています。
</v>
      </c>
    </row>
    <row r="59" spans="1:1">
      <c r="A59" t="s">
        <v>102</v>
      </c>
    </row>
    <row r="60" spans="1:1">
      <c r="A60" t="str">
        <f>CONCATENATE("[voice icon=","""http://shomty.com/wp-content/uploads/img/parts/review/", 入力シート!F17, ".jpg", """ name=""", 入力シート!E17, """ type=""", "r", """]")</f>
        <v>[voice icon="http://shomty.com/wp-content/uploads/img/parts/review/m_30_1.jpg" name="30代男性" type="r"]</v>
      </c>
    </row>
    <row r="61" spans="1:1">
      <c r="A61" t="str">
        <f>アンケート!C50</f>
        <v xml:space="preserve">暑さに耐えきれず、初めて日傘を購入しました。
日傘がこれほど良いものだと初めて知りました。
毎日の通勤が格段に快適になったので嬉しいです。
男性用の日傘があるので、デザイン的にも使いやすいので助かっています。
</v>
      </c>
    </row>
    <row r="62" spans="1:1">
      <c r="A62" t="s">
        <v>102</v>
      </c>
    </row>
    <row r="63" spans="1:1">
      <c r="A63" t="s">
        <v>97</v>
      </c>
    </row>
    <row r="64" spans="1:1">
      <c r="A64" t="str">
        <f>CONCATENATE("[reviewLink id=","""", 入力シート!D16,"""][/reviewLink]")</f>
        <v>[reviewLink id="4"][/reviewLink]</v>
      </c>
    </row>
    <row r="66" spans="1:2">
      <c r="A66" t="str">
        <f>CONCATENATE("&lt;h3&gt;2位 ",アンケート!C28,"&lt;/h3&gt;")</f>
        <v>&lt;h3&gt;2位 FJMOD　折りたたみ傘&lt;/h3&gt;</v>
      </c>
    </row>
    <row r="67" spans="1:2">
      <c r="A67" t="s">
        <v>90</v>
      </c>
    </row>
    <row r="68" spans="1:2">
      <c r="A68" t="s">
        <v>68</v>
      </c>
    </row>
    <row r="69" spans="1:2">
      <c r="A69" t="str">
        <f>アンケート!C35</f>
        <v>デザインが可愛い日傘が欲しい方</v>
      </c>
    </row>
    <row r="70" spans="1:2">
      <c r="A70" t="s">
        <v>69</v>
      </c>
    </row>
    <row r="71" spans="1:2">
      <c r="A71" s="6" t="str">
        <f>CONCATENATE("[tblStart num=5]", 入力シート!$C$6, "[/tblStart]")</f>
        <v>[tblStart num=5][/tblStart]</v>
      </c>
    </row>
    <row r="72" spans="1:2">
      <c r="A72" t="str">
        <f>CONCATENATE("[tdLevel type=", B72, "]", 比較表!A4, "[/tdLevel]")</f>
        <v>[tdLevel type=4]紫外線をカットしてくれる[/tdLevel]</v>
      </c>
      <c r="B72">
        <f>HLOOKUP(アンケート!$C$28,比較表!$B$3:$D$8,2,FALSE)</f>
        <v>4</v>
      </c>
    </row>
    <row r="73" spans="1:2">
      <c r="A73" t="str">
        <f>CONCATENATE("[tdLevel type=", B73, "]", 比較表!A5, "[/tdLevel]")</f>
        <v>[tdLevel type=5]使いやすい[/tdLevel]</v>
      </c>
      <c r="B73">
        <f>HLOOKUP(アンケート!$C$28,比較表!$B$3:$D$8,3,FALSE)</f>
        <v>5</v>
      </c>
    </row>
    <row r="74" spans="1:2">
      <c r="A74" t="str">
        <f>CONCATENATE("[tdLevel type=", B74, "]", 比較表!A6, "[/tdLevel]")</f>
        <v>[tdLevel type=5]価格[/tdLevel]</v>
      </c>
      <c r="B74">
        <f>HLOOKUP(アンケート!$C$28,比較表!$B$3:$D$8,4,FALSE)</f>
        <v>5</v>
      </c>
    </row>
    <row r="75" spans="1:2">
      <c r="A75" t="str">
        <f>CONCATENATE("[tdLevel type=", B75, "]", 比較表!A7, "[/tdLevel]")</f>
        <v>[tdLevel type=4]デザイン[/tdLevel]</v>
      </c>
      <c r="B75">
        <f>HLOOKUP(アンケート!$C$28,比較表!$B$3:$D$8,5,FALSE)</f>
        <v>4</v>
      </c>
    </row>
    <row r="76" spans="1:2">
      <c r="A76" t="str">
        <f>CONCATENATE("[tdLevel type=", B76, "]", 比較表!A8, "[/tdLevel]")</f>
        <v>[tdLevel type=2]長く使える[/tdLevel]</v>
      </c>
      <c r="B76">
        <f>HLOOKUP(アンケート!$C$28,比較表!$B$3:$D$8,6,FALSE)</f>
        <v>2</v>
      </c>
    </row>
    <row r="77" spans="1:2">
      <c r="A77" t="s">
        <v>71</v>
      </c>
    </row>
    <row r="79" spans="1:2">
      <c r="A79" s="6" t="str">
        <f>CONCATENATE("[product_link id=",入力シート!D14,"][/product_link]")</f>
        <v>[product_link id=3][/product_link]</v>
      </c>
    </row>
    <row r="80" spans="1:2">
      <c r="A80" t="s">
        <v>91</v>
      </c>
    </row>
    <row r="81" spans="1:1">
      <c r="A81" t="s">
        <v>92</v>
      </c>
    </row>
    <row r="82" spans="1:1">
      <c r="A82" t="s">
        <v>93</v>
      </c>
    </row>
    <row r="83" spans="1:1">
      <c r="A83" t="s">
        <v>85</v>
      </c>
    </row>
    <row r="84" spans="1:1">
      <c r="A84" t="str">
        <f>CONCATENATE("&lt;li&gt;", アンケート!C29,"&lt;/li&gt;")</f>
        <v>&lt;li&gt;デザインのバリエーションが豊富&lt;/li&gt;</v>
      </c>
    </row>
    <row r="85" spans="1:1">
      <c r="A85" t="str">
        <f>CONCATENATE("&lt;li&gt;", アンケート!C30,"&lt;/li&gt;")</f>
        <v>&lt;li&gt;晴雨兼用&lt;/li&gt;</v>
      </c>
    </row>
    <row r="86" spans="1:1">
      <c r="A86" t="str">
        <f>CONCATENATE("&lt;li&gt;", アンケート!C31,"&lt;/li&gt;")</f>
        <v>&lt;li&gt;ワンタッチで開くので使いやすい&lt;/li&gt;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&lt;li&gt;Uvカット率が100％ではない&lt;/li&gt;</v>
      </c>
    </row>
    <row r="95" spans="1:1">
      <c r="A95" t="str">
        <f>CONCATENATE("&lt;li&gt;", アンケート!C33,"&lt;/li&gt;")</f>
        <v>&lt;li&gt;少し重い&lt;/li&gt;</v>
      </c>
    </row>
    <row r="96" spans="1:1">
      <c r="A96" t="str">
        <f>CONCATENATE("&lt;li&gt;", アンケート!C34,"&lt;/li&gt;")</f>
        <v>&lt;li&gt;値段が安いだけあって造りがあまりしっかりしていないため、数回の使用で壊れる人もいる&lt;/li&gt;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 xml:space="preserve">紫外線をほぼカットしてくれて、晴雨兼用・折り畳み傘なのでとても活躍してくれています。
特に折り畳み傘は開く時指を挟めたことがあったので苦手だったのですが、この日傘はワンタッチで開くので、そこもとってもお気に入りです。
</v>
      </c>
    </row>
    <row r="103" spans="1:1">
      <c r="A103" t="s">
        <v>102</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とても軽くワンタッチで開くので、使いやすいです。
紫外線アレルギーなので、とても助かっています。
こんなに高品質なので、価格がとっても安いので驚きました。
デザインも可愛いので、良い商品に出会えてよかったです。</v>
      </c>
    </row>
    <row r="106" spans="1:1">
      <c r="A106" t="s">
        <v>102</v>
      </c>
    </row>
    <row r="107" spans="1:1">
      <c r="A107" t="s">
        <v>97</v>
      </c>
    </row>
    <row r="108" spans="1:1">
      <c r="A108" t="str">
        <f>CONCATENATE("[reviewLink id=","""", 入力シート!D14,"""][/reviewLink]")</f>
        <v>[reviewLink id="3"][/reviewLink]</v>
      </c>
    </row>
    <row r="110" spans="1:1">
      <c r="A110" t="str">
        <f>CONCATENATE("&lt;h3&gt;1位 ",アンケート!C13,"&lt;/h3&gt;")</f>
        <v>&lt;h3&gt;1位 サンバリア100&lt;/h3&gt;</v>
      </c>
    </row>
    <row r="111" spans="1:1">
      <c r="A111" t="s">
        <v>90</v>
      </c>
    </row>
    <row r="112" spans="1:1">
      <c r="A112" t="s">
        <v>68</v>
      </c>
    </row>
    <row r="113" spans="1:2">
      <c r="A113" t="str">
        <f>アンケート!C22</f>
        <v>紫外線を完全にカットしたい方</v>
      </c>
    </row>
    <row r="114" spans="1:2">
      <c r="A114" t="s">
        <v>69</v>
      </c>
    </row>
    <row r="115" spans="1:2">
      <c r="A115" s="6" t="str">
        <f>CONCATENATE("[tblStart num=5]", 入力シート!C5, "[/tblStart]")</f>
        <v>[tblStart num=5][/tblStart]</v>
      </c>
    </row>
    <row r="116" spans="1:2">
      <c r="A116" t="e">
        <f>CONCATENATE("[tdLevel type=", B116, "]", 比較表!A4, "[/tdLevel]")</f>
        <v>#N/A</v>
      </c>
      <c r="B116" t="e">
        <f>HLOOKUP(アンケート!$C$13,比較表!$B$3:$D$8,2,FALSE)</f>
        <v>#N/A</v>
      </c>
    </row>
    <row r="117" spans="1:2">
      <c r="A117" t="e">
        <f>CONCATENATE("[tdLevel type=", B117, "]", 比較表!A5, "[/tdLevel]")</f>
        <v>#N/A</v>
      </c>
      <c r="B117" t="e">
        <f>HLOOKUP(アンケート!$C$13,比較表!$B$3:$D$8,3,FALSE)</f>
        <v>#N/A</v>
      </c>
    </row>
    <row r="118" spans="1:2">
      <c r="A118" t="e">
        <f>CONCATENATE("[tdLevel type=", B118, "]", 比較表!A6, "[/tdLevel]")</f>
        <v>#N/A</v>
      </c>
      <c r="B118" t="e">
        <f>HLOOKUP(アンケート!$C$13,比較表!$B$3:$D$8,4,FALSE)</f>
        <v>#N/A</v>
      </c>
    </row>
    <row r="119" spans="1:2">
      <c r="A119" t="e">
        <f>CONCATENATE("[tdLevel type=", B119, "]", 比較表!A7, "[/tdLevel]")</f>
        <v>#N/A</v>
      </c>
      <c r="B119" t="e">
        <f>HLOOKUP(アンケート!$C$13,比較表!$B$3:$D$8,5,FALSE)</f>
        <v>#N/A</v>
      </c>
    </row>
    <row r="120" spans="1:2">
      <c r="A120" t="e">
        <f>CONCATENATE("[tdLevel type=", B120, "]", 比較表!A8, "[/tdLevel]")</f>
        <v>#N/A</v>
      </c>
      <c r="B120" t="e">
        <f>HLOOKUP(アンケート!$C$13,比較表!$B$3:$D$8,6,FALSE)</f>
        <v>#N/A</v>
      </c>
    </row>
    <row r="121" spans="1:2">
      <c r="A121" t="s">
        <v>71</v>
      </c>
    </row>
    <row r="123" spans="1:2">
      <c r="A123" s="6" t="str">
        <f>CONCATENATE("[product_link id=",入力シート!D12,"][/product_link]")</f>
        <v>[product_link id=2][/product_link]</v>
      </c>
    </row>
    <row r="124" spans="1:2">
      <c r="A124" t="s">
        <v>91</v>
      </c>
    </row>
    <row r="125" spans="1:2">
      <c r="A125" t="s">
        <v>92</v>
      </c>
    </row>
    <row r="126" spans="1:2">
      <c r="A126" t="s">
        <v>93</v>
      </c>
    </row>
    <row r="127" spans="1:2">
      <c r="A127" t="s">
        <v>85</v>
      </c>
    </row>
    <row r="128" spans="1:2">
      <c r="A128" t="str">
        <f>CONCATENATE("&lt;li&gt;", アンケート!C14,"&lt;/li&gt;")</f>
        <v>&lt;li&gt;紫外線を100％カットしてくれる&lt;/li&gt;</v>
      </c>
    </row>
    <row r="129" spans="1:1">
      <c r="A129" t="str">
        <f>CONCATENATE("&lt;li&gt;", アンケート!C15,"&lt;/li&gt;")</f>
        <v>&lt;li&gt;作りが丈夫でしっかりしている&lt;/li&gt;</v>
      </c>
    </row>
    <row r="130" spans="1:1">
      <c r="A130" t="str">
        <f>CONCATENATE("&lt;li&gt;", アンケート!C16,"&lt;/li&gt;")</f>
        <v>&lt;li&gt;2段折り畳み・3段折り畳みなどバリエーションがある&lt;/li&gt;</v>
      </c>
    </row>
    <row r="131" spans="1:1">
      <c r="A131" t="str">
        <f>CONCATENATE("&lt;li&gt;", アンケート!C17,"&lt;/li&gt;")</f>
        <v>&lt;li&gt;男性用もある&lt;/li&gt;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&lt;li&gt;価格が高い&lt;/li&gt;</v>
      </c>
    </row>
    <row r="140" spans="1:1">
      <c r="A140" t="str">
        <f>CONCATENATE("&lt;li&gt;", アンケート!C19,"&lt;/li&gt;")</f>
        <v>&lt;li&gt;人気すぎて冬でも欠品していることが多い&lt;/li&gt;</v>
      </c>
    </row>
    <row r="141" spans="1:1">
      <c r="A141" t="str">
        <f>CONCATENATE("&lt;li&gt;", アンケート!C20,"&lt;/li&gt;")</f>
        <v>&lt;li&gt;3段折り畳みはコンパクトになるが、しまうのが大変&lt;/li&gt;</v>
      </c>
    </row>
    <row r="142" spans="1:1">
      <c r="A142" t="str">
        <f>CONCATENATE("&lt;li&gt;", アンケート!C21,"&lt;/li&gt;")</f>
        <v>&lt;li&gt;ネットでのみ販売&lt;/li&gt;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サンバリアの日傘は、5年以上愛用しています。
ショートとミドルを使用しているのですが、何年経過しても紫外線をしっかりカットしてくれるので、とても気に入っています。
次は折り畳みも購入したいと考えています。
</v>
      </c>
    </row>
    <row r="149" spans="1:1">
      <c r="A149" t="s">
        <v>102</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 xml:space="preserve">美白したい欲が強く今年は絶対に日焼けしたくないと日傘を探していたところ、SNSでこちらの評価が高かったので、購入しました。
今まで使用していた日傘とはレベルが違います。
完全に紫外線をシャットアウトしてくれるので、高くて迷いましたが購入してよかったです。
</v>
      </c>
    </row>
    <row r="152" spans="1:1">
      <c r="A152" t="s">
        <v>102</v>
      </c>
    </row>
    <row r="153" spans="1:1">
      <c r="A153" t="s">
        <v>97</v>
      </c>
    </row>
    <row r="154" spans="1:1">
      <c r="A154" t="str">
        <f>CONCATENATE("[reviewLink id=","""", 入力シート!D12,"""][/reviewLink]")</f>
        <v>[reviewLink id="2"][/reviewLink]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2018-08-21T00:44:17Z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