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72" i="3" l="1"/>
  <c r="D12" i="4" l="1"/>
  <c r="F2" i="4" l="1"/>
  <c r="B120" i="3" l="1"/>
  <c r="B119" i="3"/>
  <c r="B118" i="3"/>
  <c r="B117" i="3"/>
  <c r="B116" i="3"/>
  <c r="B76" i="3"/>
  <c r="B75" i="3"/>
  <c r="B74" i="3"/>
  <c r="B73" i="3"/>
  <c r="A13" i="3" l="1"/>
  <c r="B32" i="3" l="1"/>
  <c r="B31" i="3"/>
  <c r="C6" i="4" l="1"/>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<sst xmlns="http://schemas.openxmlformats.org/spreadsheetml/2006/main" count="268" uniqueCount="189">
  <si>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</si>
  <si>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</si>
  <si>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</si>
  <si>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</si>
  <si>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</si>
  <si>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</si>
  <si>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</si>
  <si>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</si>
  <si>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</si>
  <si>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</si>
  <si>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</si>
  <si>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</si>
  <si>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</si>
  <si>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</si>
  <si>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</si>
  <si>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</si>
  <si>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</si>
  <si>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</si>
  <si>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</si>
  <si>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</si>
  <si>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</si>
  <si>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</si>
  <si>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</si>
  <si>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</si>
  <si>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</si>
  <si>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</si>
  <si>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</si>
  <si>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</si>
  <si>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</si>
  <si>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</si>
  <si>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</si>
  <si>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</si>
  <si>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</si>
  <si>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</si>
  <si>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</si>
  <si>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</si>
  <si>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</si>
  <si>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</si>
  <si>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</si>
  <si>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</si>
  <si>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</si>
  <si>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</si>
  <si>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</si>
  <si>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</si>
  <si>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</si>
  <si>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</si>
  <si>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</si>
  <si>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</si>
  <si>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</si>
  <si>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</si>
  <si>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</si>
  <si>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</si>
  <si>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</si>
  <si>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</si>
  <si>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</si>
  <si>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</si>
  <si>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</si>
  <si>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</si>
  <si>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</si>
  <si>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</si>
  <si>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</si>
  <si>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</si>
  <si>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</si>
  <si>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</si>
  <si>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</si>
  <si>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</si>
  <si>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</si>
  <si>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</si>
  <si>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</si>
  <si>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</si>
  <si>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</si>
  <si>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</si>
  <si>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</si>
  <si>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</si>
  <si>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</si>
  <si>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</si>
  <si>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</si>
  <si>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</si>
  <si>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</si>
  <si>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</si>
  <si>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</si>
  <si>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</si>
  <si>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</si>
  <si>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</si>
  <si>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</si>
  <si>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</si>
  <si>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</si>
  <si>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</si>
  <si>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</si>
  <si>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</si>
  <si>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</si>
  <si>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</si>
  <si>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</si>
  <si>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</si>
  <si>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</si>
  <si>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</si>
  <si>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</si>
  <si>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</si>
  <si>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</si>
  <si>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</si>
  <si>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</si>
  <si>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</si>
  <si>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</si>
  <si>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</si>
  <si>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</si>
  <si>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</si>
  <si>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</si>
  <si>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</si>
  <si>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</si>
  <si>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</si>
  <si>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</si>
  <si>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</si>
  <si>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</si>
  <si>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</si>
  <si>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</si>
  <si>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</si>
  <si>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</si>
  <si>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</si>
  <si>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</si>
  <si>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</si>
  <si>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</si>
  <si>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</si>
  <si>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</si>
  <si>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</si>
  <si>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</si>
  <si>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</si>
  <si>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</si>
  <si>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</si>
  <si>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</si>
  <si>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</si>
  <si>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歯磨き粉以外で歯のホワイトニングができるアイテム</t>
  </si>
  <si>
    <t>ビューティーラボ　薬用パールホワイトプロ</t>
  </si>
  <si>
    <t>リーチ　ホワイトニング</t>
  </si>
  <si>
    <t>クレスト　３Dホワイトストリップス</t>
  </si>
  <si>
    <t>歯が白くなる</t>
  </si>
  <si>
    <t>歯が痛くならない</t>
  </si>
  <si>
    <t>使いやすい</t>
  </si>
  <si>
    <t>コスパ</t>
  </si>
  <si>
    <t>購入しやすい</t>
  </si>
  <si>
    <t>※比較表に記入</t>
  </si>
  <si>
    <t>ホワイトニング効果が高い</t>
  </si>
  <si>
    <t>ホームホワイトニングができる</t>
  </si>
  <si>
    <t>1回でも効果を実感できる</t>
  </si>
  <si>
    <t>慣れれば簡単に使用できる</t>
  </si>
  <si>
    <t>慣れるまでは使い方が難しい</t>
  </si>
  <si>
    <t>海外製品</t>
  </si>
  <si>
    <t>刺激が強く歯が痛くなる場合がある</t>
  </si>
  <si>
    <t>放置時間があるので、面倒</t>
  </si>
  <si>
    <t>自宅でホワイトニングをしたい方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</si>
  <si>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</si>
  <si>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コーヒーが大好きで、歯の黄ばみがひどくずっと気になっていました。
SNSでこちらの商品がいいと評判だったので試してみましたが、1回の使用で効果を実感できました。1回目ではさすがに期待していなかったので、嬉しいです。</t>
  </si>
  <si>
    <t xml:space="preserve">歯の黄ばみがコンプレックスで、今まで色んなホワイトニング効果のある歯磨き粉を試してきましたが、歯磨き粉ではだめだと初めてホームホワイトニングを購入しました。
ホワイトニング効果のある歯磨き粉よりも断然効果がありました。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</si>
  <si>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</si>
  <si>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</si>
  <si>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https://www.cosme.net/product/product_id/316694/reviews</t>
  </si>
  <si>
    <t>使い方が簡単</t>
  </si>
  <si>
    <t>刺激がない</t>
  </si>
  <si>
    <t>芸能人のステマが多い</t>
  </si>
  <si>
    <t>価格が高い</t>
  </si>
  <si>
    <t>ミントの香りが苦手な人には向かない</t>
  </si>
  <si>
    <t>楽にホワイトニングをしたい方</t>
  </si>
  <si>
    <r>
      <t xml:space="preserve">２位の商品のためになった（なる）口コミやレビューを２つ記入してください。
</t>
    </r>
    <r>
      <rPr>
        <sz val="9"/>
        <color rgb="FFFF0000"/>
        <rFont val="Arial"/>
        <family val="2"/>
      </rPr>
      <t>※短文すぎない（100文字程度）口コミをお願いします。</t>
    </r>
  </si>
  <si>
    <t>好きな芸能人がブログで紹介しているのを見て購入しました。
正直値段が高いので、とても悩みましたが使い続けているうちに、歯が白くなってきたので、購入してよかったです。
数滴でいいので、意外とコスパも良い気がします。</t>
  </si>
  <si>
    <t xml:space="preserve">歯がなかなか白くならないので、歯医者でのホワイトニングを検討していましたが、たまたま広告でこちらを見かけたので、試してみました。
歯磨きする時のように歯ブラシに付けて歯を磨くだけなので、簡単にホワイトニングできます。
歯も若干白くなったように感じます。
</t>
  </si>
  <si>
    <t>20代女性</t>
  </si>
  <si>
    <t>https://www.cosme.net/product/product_id/10066847/reviews</t>
  </si>
  <si>
    <t>毎日の歯磨きで、白い歯に近づける</t>
  </si>
  <si>
    <t>価格が安い</t>
  </si>
  <si>
    <t>歯ブラシ自体にホワイトニング効果があるので、誰でも使用できる</t>
  </si>
  <si>
    <t>気軽にホワイトニングできるが、効果は薄い</t>
  </si>
  <si>
    <t>ドラッグストアでも、美白タイプは販売していない店舗が多い</t>
  </si>
  <si>
    <t>ホワイトニング効果のあるゴムの部分がダメになるのが早い</t>
  </si>
  <si>
    <t>歯ブラシもホワイトニング効果のあるものを使用したい方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</si>
  <si>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</si>
  <si>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白い歯になりたくて、SNSで検索していたところこちらの歯ブラシの存在を知りました。
ホワイトニング効果のある歯ブラシは初めて聞いたので半信半疑でしたが、使い続けているうちに、以前に比べ黄ばみが薄れてきたように感じます。
</t>
  </si>
  <si>
    <t xml:space="preserve">アットコスメのランキングで1位だったので、購入しました。
ホワイトニング効果のある部分で磨くと、歯ブラシよりもしっかり磨けている感じます。
そして口の中がマウスウォッシュしなくてもさっぱりするので快適です。
</t>
  </si>
  <si>
    <t>https://www.cosme.net/product/product_id/10027128/reviews</t>
  </si>
  <si>
    <t>今回取り上げたアイテムは、「何を求めてる人」にピッタリだと思いますか？
具体的に3つ記入してください。</t>
  </si>
  <si>
    <t>歯を白くしたい方</t>
  </si>
  <si>
    <t>自宅で手軽にホームホワイトニングをしたい方</t>
  </si>
  <si>
    <t>歯が痛くならないホワイトニング用品を求めている方</t>
  </si>
  <si>
    <t>合計点数</t>
  </si>
  <si>
    <t>https://item-shopping.c.yimg.jp/i/i/brightonusa_12131602</t>
  </si>
  <si>
    <t>&lt;a target="_blank" href="//af.moshimo.com/af/c/click?a_id=988729&amp;amp;p_id=54&amp;amp;pc_id=54&amp;amp;pl_id=616&amp;amp;url=https%3A%2F%2Fitem.rakuten.co.jp%2Famericana%2F10000365%2F&amp;amp;m=http%3A%2F%2Fm.rakuten.co.jp%2Famericana%2Fi%2F10000365%2F&amp;amp;r_v=g00rsgy3.9tq3e111.g00rsgy3.9tq3fa75" rel="nofollow"&gt;&lt;img src="//thumbnail.image.rakuten.co.jp/@0_mall/americana/cabinet/03605119/img65071408.jpg?_ex=128x128" alt="" style="border: none;" /&gt;&lt;br /&gt;2本セット！クレスト 3Dホワイト ラディアントミント Crest 3D White Radiant Mint 153g×2本歯磨き粉&lt;/a&gt;&lt;img src="//i.moshimo.com/af/i/impression?a_id=988729&amp;amp;p_id=54&amp;amp;pc_id=54&amp;amp;pl_id=616" alt="" width="1" height="1" style="border: 0px;" /&gt;</t>
  </si>
  <si>
    <t>&lt;a target="_blank" href="//af.moshimo.com/af/c/click?a_id=988731&amp;amp;p_id=170&amp;amp;pc_id=185&amp;amp;pl_id=4062&amp;amp;url=https%3A%2F%2Fwww.amazon.co.jp%2FWhite-EX%25E3%2583%2597%25E3%2583%25A9%25E3%2582%25B91%25E6%259C%25AC-%25E3%2582%25B7%25E3%2583%25A3%25E3%2582%25A4%25E3%2583%25B340g-%25E5%25B0%2582%25E7%2594%25A8%25E6%25AD%25AF%25E3%2583%2596%25E3%2583%25A9%25E3%2582%25B7-%25E3%2583%259B%25E3%2583%25AF%25E3%2582%25A4%25E3%2583%2588%25E3%2583%258B%25E3%2583%25B3%25E3%2582%25B0%2Fdp%2FB00ZHHPBJQ" rel="nofollow"&gt;&lt;img src="https://images-fe.ssl-images-amazon.com/images/I/41uR71xt2EL.jpg" alt="" style="border: none;" /&gt;&lt;br /&gt;Pearl White 薬用パール ホワイト Pro EXプラス1本+ シャイン40g+専用歯ブラシ 限定セット ホワイトニング&lt;/a&gt;&lt;img src="//i.moshimo.com/af/i/impression?a_id=988731&amp;amp;p_id=170&amp;amp;pc_id=185&amp;amp;pl_id=4062" alt="" width="1" height="1" style="border: 0px;" /&gt;</t>
  </si>
  <si>
    <t>&lt;a target="_blank" href="//af.moshimo.com/af/c/click?a_id=988729&amp;amp;p_id=54&amp;amp;pc_id=54&amp;amp;pl_id=616&amp;amp;url=https%3A%2F%2Fitem.rakuten.co.jp%2Fmiracle-cosme%2Fd1_ex1_d41_1_nom%2F&amp;amp;m=http%3A%2F%2Fm.rakuten.co.jp%2Fmiracle-cosme%2Fi%2F10000620%2F&amp;amp;r_v=g00rdff3.9tq3e19e.g00rdff3.9tq3fe14" rel="nofollow"&gt;&lt;img src="//thumbnail.image.rakuten.co.jp/@0_mall/miracle-cosme/cabinet/syouhin/s_dental/d1_ex1_d41_1.jpg?_ex=128x128" alt="" style="border: none;" /&gt;&lt;br /&gt;デンタルホワイトニング デンタル ケア（歯磨き粉 セット）【送料無料】薬用パールホワイトプロ EXプラス 1本＋シャイン40g 1本【＠コスメ 歯磨き粉 1位】 Pearl White Pro ハミガキ粉 アットコスメ 虫歯 ヤニ 歯周病 ホワイトニング 自宅 白く 黄ばみ&lt;/a&gt;&lt;img src="//i.moshimo.com/af/i/impression?a_id=988729&amp;amp;p_id=54&amp;amp;pc_id=54&amp;amp;pl_id=616" alt="" width="1" height="1" style="border: 0px;" /&gt;</t>
  </si>
  <si>
    <t>&lt;a target="_blank" href="//af.moshimo.com/af/c/click?a_id=988731&amp;amp;p_id=170&amp;amp;pc_id=185&amp;amp;pl_id=4062&amp;amp;url=https%3A%2F%2Fwww.amazon.co.jp%2FREACH-%25E3%2583%25AA%25E3%2583%25BC%25E3%2583%2581-%25E3%2583%259B%25E3%2583%25AF%25E3%2582%25A4%25E3%2583%2588%25E3%2583%258B%25E3%2583%25B3%25E3%2582%25B0-%25E3%2581%25A8%25E3%2581%25A3%25E3%2581%25A6%25E3%2582%2582%25E3%2582%25B3%25E3%2583%25B3%25E3%2583%2591%25E3%2582%25AF%25E3%2583%2588-%25E3%2581%25B5%25E3%2581%25A4%25E3%2581%2586%2Fdp%2FB00T2K0AXG" rel="nofollow"&gt;&lt;img src="https://images-fe.ssl-images-amazon.com/images/I/41WW42CDBtL.jpg" alt="" style="border: none;" /&gt;&lt;br /&gt;リーチ ホワイトニング とってもコンパクト ふつう&lt;/a&gt;&lt;img src="//i.moshimo.com/af/i/impression?a_id=988731&amp;amp;p_id=170&amp;amp;pc_id=185&amp;amp;pl_id=4062" alt="" width="1" height="1" style="border: 0px;" /&gt;</t>
  </si>
  <si>
    <t>&lt;a target="_blank" href="//af.moshimo.com/af/c/click?a_id=988729&amp;amp;p_id=54&amp;amp;pc_id=54&amp;amp;pl_id=616&amp;amp;url=https%3A%2F%2Fitem.rakuten.co.jp%2Frakuten24%2Fe526417h%2F&amp;amp;m=http%3A%2F%2Fm.rakuten.co.jp%2Frakuten24%2Fi%2F10626887%2F&amp;amp;r_v=g00r1363.9tq3e1d4.g00r1363.9tq3fe1c" rel="nofollow"&gt;&lt;img src="//thumbnail.image.rakuten.co.jp/@0_mall/rakuten24/cabinet/515/4560279550515.jpg?_ex=128x128" alt="" style="border: none;" /&gt;&lt;br /&gt;リーチ ホワイトニング コンパクト ふつう(1本入)【REACH(リーチ)】&lt;/a&gt;&lt;img src="//i.moshimo.com/af/i/impression?a_id=988729&amp;amp;p_id=54&amp;amp;pc_id=54&amp;amp;pl_id=616" alt="" width="1" height="1" style="border: 0px;" /&gt;</t>
  </si>
  <si>
    <t>ホワイトニングアイテムのおすすめ３選。歯磨き粉以外でホワイトニングができる？</t>
    <rPh sb="17" eb="18">
      <t>セン</t>
    </rPh>
    <rPh sb="19" eb="21">
      <t>ハミガ</t>
    </rPh>
    <rPh sb="22" eb="23">
      <t>コナ</t>
    </rPh>
    <rPh sb="23" eb="25">
      <t>イガイ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</si>
</sst>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27128/reviews" TargetMode="External"/><Relationship Id="rId2" Type="http://schemas.openxmlformats.org/officeDocument/2006/relationships/hyperlink" Target="https://www.cosme.net/product/product_id/10066847/reviews" TargetMode="External"/><Relationship Id="rId1" Type="http://schemas.openxmlformats.org/officeDocument/2006/relationships/hyperlink" Target="https://www.cosme.net/product/product_id/316694/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A13" workbookViewId="0">
      <selection activeCell="C28" sqref="C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9</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133</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6" t="s">
        <v>149</v>
      </c>
      <c r="C23" s="68"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8"/>
      <c r="C24" s="68"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152</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153</v>
      </c>
      <c r="C27" s="37" t="s">
        <v>154</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5" t="s">
        <v>131</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155</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156</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134</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157</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158</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159</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160</v>
      </c>
      <c r="D35" s="3"/>
      <c r="E35" s="3"/>
      <c r="F35" s="3"/>
      <c r="G35" s="3"/>
      <c r="H35" s="3"/>
      <c r="I35" s="3"/>
      <c r="J35" s="3"/>
      <c r="K35" s="3"/>
      <c r="L35" s="3"/>
      <c r="M35" s="3"/>
      <c r="N35" s="3"/>
      <c r="O35" s="3"/>
      <c r="P35" s="3"/>
      <c r="Q35" s="3"/>
      <c r="R35" s="3"/>
      <c r="S35" s="3"/>
      <c r="T35" s="3"/>
      <c r="U35" s="3"/>
      <c r="V35" s="3"/>
      <c r="W35" s="3"/>
      <c r="X35" s="3"/>
      <c r="Y35" s="3"/>
      <c r="Z35" s="3"/>
    </row>
    <row r="36" spans="1:26" ht="51.75" thickBot="1">
      <c r="A36" s="4" t="s">
        <v>45</v>
      </c>
      <c r="B36" s="49" t="s">
        <v>161</v>
      </c>
      <c r="C36" s="27" t="s">
        <v>162</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1"/>
      <c r="C37" s="69" t="s">
        <v>163</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164</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153</v>
      </c>
      <c r="C40" s="38" t="s">
        <v>165</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132</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167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168</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2" t="s">
        <v>173</v>
      </c>
      <c r="C49" s="70" t="s">
        <v>174</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4"/>
      <c r="C50" s="29"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164</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153</v>
      </c>
      <c r="C53" s="39" t="s">
        <v>176</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177</v>
      </c>
      <c r="C54" s="5" t="s">
        <v>178</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179</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180</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2" sqref="C12"/>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25.5" thickBot="1">
      <c r="A3" s="14" t="s">
        <v>67</v>
      </c>
      <c r="B3" s="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4</v>
      </c>
      <c r="C4" s="17">
        <v>2</v>
      </c>
      <c r="D4" s="17">
        <v>5</v>
      </c>
      <c r="E4" s="3"/>
      <c r="F4" s="3"/>
      <c r="G4" s="3"/>
      <c r="H4" s="3"/>
      <c r="I4" s="3"/>
      <c r="J4" s="3"/>
      <c r="K4" s="3"/>
      <c r="L4" s="3"/>
      <c r="M4" s="3"/>
      <c r="N4" s="3"/>
      <c r="O4" s="3"/>
      <c r="P4" s="3"/>
      <c r="Q4" s="3"/>
      <c r="R4" s="3"/>
      <c r="S4" s="3"/>
      <c r="T4" s="3"/>
      <c r="U4" s="3"/>
      <c r="V4" s="3"/>
      <c r="W4" s="3"/>
      <c r="X4" s="3"/>
      <c r="Y4" s="3"/>
      <c r="Z4" s="3"/>
    </row>
    <row r="5" spans="1:26" ht="15.75" thickBot="1">
      <c r="A5" s="33" t="s">
        <v>135</v>
      </c>
      <c r="B5" s="17">
        <v>4</v>
      </c>
      <c r="C5" s="17">
        <v>5</v>
      </c>
      <c r="D5" s="17">
        <v>2</v>
      </c>
      <c r="E5" s="3"/>
      <c r="F5" s="3"/>
      <c r="G5" s="3"/>
      <c r="H5" s="3"/>
      <c r="I5" s="3"/>
      <c r="J5" s="3"/>
      <c r="K5" s="3"/>
      <c r="L5" s="3"/>
      <c r="M5" s="3"/>
      <c r="N5" s="3"/>
      <c r="O5" s="3"/>
      <c r="P5" s="3"/>
      <c r="Q5" s="3"/>
      <c r="R5" s="3"/>
      <c r="S5" s="3"/>
      <c r="T5" s="3"/>
      <c r="U5" s="3"/>
      <c r="V5" s="3"/>
      <c r="W5" s="3"/>
      <c r="X5" s="3"/>
      <c r="Y5" s="3"/>
      <c r="Z5" s="3"/>
    </row>
    <row r="6" spans="1:26" ht="15.75" thickBot="1">
      <c r="A6" s="33" t="s">
        <v>136</v>
      </c>
      <c r="B6" s="17">
        <v>3</v>
      </c>
      <c r="C6" s="17">
        <v>5</v>
      </c>
      <c r="D6" s="17">
        <v>2</v>
      </c>
      <c r="E6" s="3"/>
      <c r="F6" s="3"/>
      <c r="G6" s="3"/>
      <c r="H6" s="3"/>
      <c r="I6" s="3"/>
      <c r="J6" s="3"/>
      <c r="K6" s="3"/>
      <c r="L6" s="3"/>
      <c r="M6" s="3"/>
      <c r="N6" s="3"/>
      <c r="O6" s="3"/>
      <c r="P6" s="3"/>
      <c r="Q6" s="3"/>
      <c r="R6" s="3"/>
      <c r="S6" s="3"/>
      <c r="T6" s="3"/>
      <c r="U6" s="3"/>
      <c r="V6" s="3"/>
      <c r="W6" s="3"/>
      <c r="X6" s="3"/>
      <c r="Y6" s="3"/>
      <c r="Z6" s="3"/>
    </row>
    <row r="7" spans="1:26" ht="15.75" thickBot="1">
      <c r="A7" s="33" t="s">
        <v>137</v>
      </c>
      <c r="B7" s="17">
        <v>1</v>
      </c>
      <c r="C7" s="17">
        <v>4</v>
      </c>
      <c r="D7" s="17">
        <v>2</v>
      </c>
      <c r="E7" s="3"/>
      <c r="F7" s="3"/>
      <c r="G7" s="3"/>
      <c r="H7" s="3"/>
      <c r="I7" s="3"/>
      <c r="J7" s="3"/>
      <c r="K7" s="3"/>
      <c r="L7" s="3"/>
      <c r="M7" s="3"/>
      <c r="N7" s="3"/>
      <c r="O7" s="3"/>
      <c r="P7" s="3"/>
      <c r="Q7" s="3"/>
      <c r="R7" s="3"/>
      <c r="S7" s="3"/>
      <c r="T7" s="3"/>
      <c r="U7" s="3"/>
      <c r="V7" s="3"/>
      <c r="W7" s="3"/>
      <c r="X7" s="3"/>
      <c r="Y7" s="3"/>
      <c r="Z7" s="3"/>
    </row>
    <row r="8" spans="1:26" ht="15.75" thickBot="1">
      <c r="A8" s="33" t="s">
        <v>138</v>
      </c>
      <c r="B8" s="17">
        <v>2</v>
      </c>
      <c r="C8" s="17">
        <v>5</v>
      </c>
      <c r="D8" s="17">
        <v>2</v>
      </c>
      <c r="E8" s="3"/>
      <c r="F8" s="3"/>
      <c r="G8" s="3"/>
      <c r="H8" s="3"/>
      <c r="I8" s="3"/>
      <c r="J8" s="3"/>
      <c r="K8" s="3"/>
      <c r="L8" s="3"/>
      <c r="M8" s="3"/>
      <c r="N8" s="3"/>
      <c r="O8" s="3"/>
      <c r="P8" s="3"/>
      <c r="Q8" s="3"/>
      <c r="R8" s="3"/>
      <c r="S8" s="3"/>
      <c r="T8" s="3"/>
      <c r="U8" s="3"/>
      <c r="V8" s="3"/>
      <c r="W8" s="3"/>
      <c r="X8" s="3"/>
      <c r="Y8" s="3"/>
      <c r="Z8" s="3"/>
    </row>
    <row r="9" spans="1:26" ht="15" thickBot="1">
      <c r="A9" s="18" t="s">
        <v>181</v>
      </c>
      <c r="B9" s="19">
        <v>14</v>
      </c>
      <c r="C9" s="19">
        <v>21</v>
      </c>
      <c r="D9" s="19">
        <v>13</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H14" sqref="H14"/>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188</v>
      </c>
      <c r="D2" s="31"/>
      <c r="F2">
        <f>LEN(C1)</f>
        <v>0</v>
      </c>
      <c r="G2" t="s">
        <v>126</v>
      </c>
    </row>
    <row r="3" spans="2:8">
      <c r="B3" s="34"/>
      <c r="C3" s="31"/>
      <c r="D3" s="31"/>
      <c r="H3" t="s">
        <v>127</v>
      </c>
    </row>
    <row r="4" spans="2:8">
      <c r="B4" s="23" t="s">
        <v>116</v>
      </c>
      <c r="C4" s="23" t="s">
        <v>117</v>
      </c>
      <c r="D4" s="23" t="s">
        <v>118</v>
      </c>
      <c r="H4" t="s">
        <v>128</v>
      </c>
    </row>
    <row r="5" spans="2:8">
      <c r="B5" s="23" t="s">
        <v>101</v>
      </c>
      <c r="C5" s="22" t="s">
        <v>182</v>
      </c>
      <c r="D5" s="22" t="str">
        <f>アンケート!C13</f>
        <v>クレスト　３Dホワイトストリップス</v>
      </c>
      <c r="E5" t="s">
        <v>119</v>
      </c>
    </row>
    <row r="6" spans="2:8">
      <c r="B6" s="23" t="s">
        <v>100</v>
      </c>
      <c r="C6" s="22" t="str">
        <f>IF(C24="","",SUBSTITUTE(MID(C24,FIND("src=",C24)+5,FIND("alt",C24)-FIND("src=",C24)-7),"amp;",""))</f>
        <v>https://images-fe.ssl-images-amazon.com/images/I/41uR71xt2EL.jpg</v>
      </c>
      <c r="D6" s="22" t="str">
        <f>アンケート!C28</f>
        <v>ビューティーラボ　薬用パールホワイトプロ</v>
      </c>
      <c r="E6" t="s">
        <v>119</v>
      </c>
    </row>
    <row r="7" spans="2:8">
      <c r="B7" s="23" t="s">
        <v>99</v>
      </c>
      <c r="C7" s="22" t="str">
        <f>IF(C26="","",SUBSTITUTE(MID(C26,FIND("src=",C26)+5,FIND("alt",C26)-FIND("src=",C26)-7),"amp;",""))</f>
        <v>https://images-fe.ssl-images-amazon.com/images/I/41WW42CDBtL.jpg</v>
      </c>
      <c r="D7" s="22" t="str">
        <f>アンケート!C41</f>
        <v>リーチ　ホワイトニング</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https://www.cosme.net/product/product_id/316694/reviews</v>
      </c>
      <c r="D12" s="64">
        <f>SQL!A11+1</f>
        <v>253</v>
      </c>
      <c r="E12" s="22" t="str">
        <f>アンケート!C25</f>
        <v>30代女性</v>
      </c>
      <c r="F12" s="22" t="str">
        <f>IF(ISERROR(FIND("女",E12)),"m","w")&amp;"_"&amp;LEFT(E12,2)&amp;"_"&amp;"2"</f>
        <v>w_30_2</v>
      </c>
    </row>
    <row r="13" spans="2:8">
      <c r="B13" s="59"/>
      <c r="C13" s="60"/>
      <c r="D13" s="65"/>
      <c r="E13" s="22" t="str">
        <f>アンケート!C26</f>
        <v>30代女性</v>
      </c>
      <c r="F13" s="22" t="str">
        <f>IF(ISERROR(FIND("女",E13)),"m","w")&amp;"_"&amp;LEFT(E13,2)&amp;"_"&amp;"1"</f>
        <v>w_30_1</v>
      </c>
    </row>
    <row r="14" spans="2:8">
      <c r="B14" s="58" t="s">
        <v>100</v>
      </c>
      <c r="C14" s="60" t="str">
        <f>アンケート!C40</f>
        <v>https://www.cosme.net/product/product_id/10066847/reviews</v>
      </c>
      <c r="D14" s="64">
        <f>IF(D12="","",D12+1)</f>
        <v>254</v>
      </c>
      <c r="E14" s="22" t="str">
        <f>アンケート!C38</f>
        <v>30代女性</v>
      </c>
      <c r="F14" s="22" t="str">
        <f>IF(ISERROR(FIND("女",E14)),"m","w")&amp;"_"&amp;LEFT(E14,2)&amp;"_"&amp;"2"</f>
        <v>w_30_2</v>
      </c>
    </row>
    <row r="15" spans="2:8">
      <c r="B15" s="59"/>
      <c r="C15" s="60"/>
      <c r="D15" s="65"/>
      <c r="E15" s="22" t="str">
        <f>アンケート!C39</f>
        <v>20代女性</v>
      </c>
      <c r="F15" s="22" t="str">
        <f>IF(ISERROR(FIND("女",E15)),"m","w")&amp;"_"&amp;LEFT(E15,2)&amp;"_"&amp;"1"</f>
        <v>w_20_1</v>
      </c>
    </row>
    <row r="16" spans="2:8">
      <c r="B16" s="58" t="s">
        <v>99</v>
      </c>
      <c r="C16" s="60" t="str">
        <f>アンケート!C53</f>
        <v>https://www.cosme.net/product/product_id/10027128/reviews</v>
      </c>
      <c r="D16" s="64">
        <f>IF(D14="","",D14+1)</f>
        <v>255</v>
      </c>
      <c r="E16" s="22" t="str">
        <f>アンケート!C51</f>
        <v>30代女性</v>
      </c>
      <c r="F16" s="22" t="str">
        <f>IF(ISERROR(FIND("女",E16)),"m","w")&amp;"_"&amp;LEFT(E16,2)&amp;"_"&amp;"2"</f>
        <v>w_30_2</v>
      </c>
    </row>
    <row r="17" spans="2:6">
      <c r="B17" s="59"/>
      <c r="C17" s="60"/>
      <c r="D17" s="65"/>
      <c r="E17" s="22" t="str">
        <f>アンケート!C52</f>
        <v>20代女性</v>
      </c>
      <c r="F17" s="22" t="str">
        <f t="shared" ref="F17" si="0">IF(ISERROR(FIND("女",E17)),"m","w")&amp;"_"&amp;LEFT(E17,2)&amp;"_"&amp;"1"</f>
        <v>w_20_1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c r="D22" s="67" t="str">
        <f t="shared" ref="D22:D27" si="1">IF(C22="","",SUBSTITUTE(MID(C22,FIND("href=",C22)+6,FIND("rel=",C22)-FIND("href=",C22)-8),"amp;",""))</f>
        <v/>
      </c>
      <c r="E22" s="67"/>
      <c r="F22" s="22" t="str">
        <f>IF(ISERROR(FIND("amazon",C22)),IF(ISERROR(FIND("rakuten",C22)),"","楽天"),"Amazon")</f>
        <v/>
      </c>
    </row>
    <row r="23" spans="2:6">
      <c r="B23" s="66"/>
      <c r="C23" s="22" t="s">
        <v>183</v>
      </c>
      <c r="D23" s="67" t="str">
        <f t="shared" si="1"/>
        <v>//af.moshimo.com/af/c/click?a_id=988729&amp;p_id=54&amp;pc_id=54&amp;pl_id=616&amp;url=https%3A%2F%2Fitem.rakuten.co.jp%2Famericana%2F10000365%2F&amp;m=http%3A%2F%2Fm.rakuten.co.jp%2Famericana%2Fi%2F10000365%2F&amp;r_v=g00rsgy3.9tq3e111.g00rsgy3.9tq3fa75</v>
      </c>
      <c r="E23" s="67"/>
      <c r="F23" s="22" t="str">
        <f t="shared" ref="F23:F27" si="2">IF(ISERROR(FIND("amazon",C23)),IF(ISERROR(FIND("rakuten",C23)),"","楽天"),"Amazon")</f>
        <v>楽天</v>
      </c>
    </row>
    <row r="24" spans="2:6">
      <c r="B24" s="66" t="s">
        <v>111</v>
      </c>
      <c r="C24" s="22" t="s">
        <v>184</v>
      </c>
      <c r="D24" s="67" t="str">
        <f t="shared" si="1"/>
        <v>//af.moshimo.com/af/c/click?a_id=988731&amp;p_id=170&amp;pc_id=185&amp;pl_id=4062&amp;url=https%3A%2F%2Fwww.amazon.co.jp%2FWhite-EX%25E3%2583%2597%25E3%2583%25A9%25E3%2582%25B91%25E6%259C%25AC-%25E3%2582%25B7%25E3%2583%25A3%25E3%2582%25A4%25E3%2583%25B340g-%25E5%25B0%2582%25E7%2594%25A8%25E6%25AD%25AF%25E3%2583%2596%25E3%2583%25A9%25E3%2582%25B7-%25E3%2583%259B%25E3%2583%25AF%25E3%2582%25A4%25E3%2583%2588%25E3%2583%258B%25E3%2583%25B3%25E3%2582%25B0%2Fdp%2FB00ZHHPBJQ</v>
      </c>
      <c r="E24" s="67"/>
      <c r="F24" s="22" t="str">
        <f t="shared" si="2"/>
        <v>Amazon</v>
      </c>
    </row>
    <row r="25" spans="2:6">
      <c r="B25" s="66"/>
      <c r="C25" s="22" t="s">
        <v>185</v>
      </c>
      <c r="D25" s="67" t="str">
        <f t="shared" si="1"/>
        <v>//af.moshimo.com/af/c/click?a_id=988729&amp;p_id=54&amp;pc_id=54&amp;pl_id=616&amp;url=https%3A%2F%2Fitem.rakuten.co.jp%2Fmiracle-cosme%2Fd1_ex1_d41_1_nom%2F&amp;m=http%3A%2F%2Fm.rakuten.co.jp%2Fmiracle-cosme%2Fi%2F10000620%2F&amp;r_v=g00rdff3.9tq3e19e.g00rdff3.9tq3fe14</v>
      </c>
      <c r="E25" s="67"/>
      <c r="F25" s="22" t="str">
        <f t="shared" si="2"/>
        <v>楽天</v>
      </c>
    </row>
    <row r="26" spans="2:6">
      <c r="B26" s="66" t="s">
        <v>112</v>
      </c>
      <c r="C26" s="22" t="s">
        <v>186</v>
      </c>
      <c r="D26" s="67" t="str">
        <f t="shared" si="1"/>
        <v>//af.moshimo.com/af/c/click?a_id=988731&amp;p_id=170&amp;pc_id=185&amp;pl_id=4062&amp;url=https%3A%2F%2Fwww.amazon.co.jp%2FREACH-%25E3%2583%25AA%25E3%2583%25BC%25E3%2583%2581-%25E3%2583%259B%25E3%2583%25AF%25E3%2582%25A4%25E3%2583%2588%25E3%2583%258B%25E3%2583%25B3%25E3%2582%25B0-%25E3%2581%25A8%25E3%2581%25A3%25E3%2581%25A6%25E3%2582%2582%25E3%2582%25B3%25E3%2583%25B3%25E3%2583%2591%25E3%2582%25AF%25E3%2583%2588-%25E3%2581%25B5%25E3%2581%25A4%25E3%2581%2586%2Fdp%2FB00T2K0AXG</v>
      </c>
      <c r="E26" s="67"/>
      <c r="F26" s="22" t="str">
        <f t="shared" si="2"/>
        <v>Amazon</v>
      </c>
    </row>
    <row r="27" spans="2:6">
      <c r="B27" s="66"/>
      <c r="C27" s="22" t="s">
        <v>187</v>
      </c>
      <c r="D27" s="67" t="str">
        <f t="shared" si="1"/>
        <v>//af.moshimo.com/af/c/click?a_id=988729&amp;p_id=54&amp;pc_id=54&amp;pl_id=616&amp;url=https%3A%2F%2Fitem.rakuten.co.jp%2Frakuten24%2Fe526417h%2F&amp;m=http%3A%2F%2Fm.rakuten.co.jp%2Frakuten24%2Fi%2F10626887%2F&amp;r_v=g00r1363.9tq3e1d4.g00r1363.9tq3fe1c</v>
      </c>
      <c r="E27" s="67"/>
      <c r="F27" s="22" t="str">
        <f t="shared" si="2"/>
        <v>楽天</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(253,'', '//af.moshimo.com/af/c/click?a_id=988729&amp;p_id=54&amp;pc_id=54&amp;pl_id=616&amp;url=https%3A%2F%2Fitem.rakuten.co.jp%2Famericana%2F10000365%2F&amp;m=http%3A%2F%2Fm.rakuten.co.jp%2Famericana%2Fi%2F10000365%2F&amp;r_v=g00rsgy3.9tq3e111.g00rsgy3.9tq3fa75', 'https://www.cosme.net/product/product_id/316694/reviews', 'https://item-shopping.c.yimg.jp/i/i/brightonusa_12131602', 'クレスト　３Dホワイトストリップス'),</v>
      </c>
    </row>
    <row r="3" spans="1:1">
      <c r="A3" t="str">
        <f>"("&amp;入力シート!D14&amp;","&amp;"'"&amp;入力シート!D24&amp;"', '"&amp;入力シート!D25&amp;"', '"&amp;入力シート!C14&amp;"', '"&amp;入力シート!C6&amp;"', '"&amp;入力シート!D6&amp;"'),"</f>
        <v>(254,'//af.moshimo.com/af/c/click?a_id=988731&amp;p_id=170&amp;pc_id=185&amp;pl_id=4062&amp;url=https%3A%2F%2Fwww.amazon.co.jp%2FWhite-EX%25E3%2583%2597%25E3%2583%25A9%25E3%2582%25B91%25E6%259C%25AC-%25E3%2582%25B7%25E3%2583%25A3%25E3%2582%25A4%25E3%2583%25B340g-%25E5%25B0%2582%25E7%2594%25A8%25E6%25AD%25AF%25E3%2583%2596%25E3%2583%25A9%25E3%2582%25B7-%25E3%2583%259B%25E3%2583%25AF%25E3%2582%25A4%25E3%2583%2588%25E3%2583%258B%25E3%2583%25B3%25E3%2582%25B0%2Fdp%2FB00ZHHPBJQ', '//af.moshimo.com/af/c/click?a_id=988729&amp;p_id=54&amp;pc_id=54&amp;pl_id=616&amp;url=https%3A%2F%2Fitem.rakuten.co.jp%2Fmiracle-cosme%2Fd1_ex1_d41_1_nom%2F&amp;m=http%3A%2F%2Fm.rakuten.co.jp%2Fmiracle-cosme%2Fi%2F10000620%2F&amp;r_v=g00rdff3.9tq3e19e.g00rdff3.9tq3fe14', 'https://www.cosme.net/product/product_id/10066847/reviews', 'https://images-fe.ssl-images-amazon.com/images/I/41uR71xt2EL.jpg', 'ビューティーラボ　薬用パールホワイトプロ'),</v>
      </c>
    </row>
    <row r="4" spans="1:1">
      <c r="A4" t="str">
        <f>"("&amp;入力シート!D16&amp;","&amp;"'"&amp;入力シート!D26&amp;"', '"&amp;入力シート!D27&amp;"', '"&amp;入力シート!C16&amp;"', '"&amp;入力シート!C7&amp;"', '"&amp;入力シート!D7&amp;"');"</f>
        <v>(255,'//af.moshimo.com/af/c/click?a_id=988731&amp;p_id=170&amp;pc_id=185&amp;pl_id=4062&amp;url=https%3A%2F%2Fwww.amazon.co.jp%2FREACH-%25E3%2583%25AA%25E3%2583%25BC%25E3%2583%2581-%25E3%2583%259B%25E3%2583%25AF%25E3%2582%25A4%25E3%2583%2588%25E3%2583%258B%25E3%2583%25B3%25E3%2582%25B0-%25E3%2581%25A8%25E3%2581%25A3%25E3%2581%25A6%25E3%2582%2582%25E3%2582%25B3%25E3%2583%25B3%25E3%2583%2591%25E3%2582%25AF%25E3%2583%2588-%25E3%2581%25B5%25E3%2581%25A4%25E3%2581%2586%2Fdp%2FB00T2K0AXG', '//af.moshimo.com/af/c/click?a_id=988729&amp;p_id=54&amp;pc_id=54&amp;pl_id=616&amp;url=https%3A%2F%2Fitem.rakuten.co.jp%2Frakuten24%2Fe526417h%2F&amp;m=http%3A%2F%2Fm.rakuten.co.jp%2Frakuten24%2Fi%2F10626887%2F&amp;r_v=g00r1363.9tq3e1d4.g00r1363.9tq3fe1c', 'https://www.cosme.net/product/product_id/10027128/reviews', 'https://images-fe.ssl-images-amazon.com/images/I/41WW42CDBtL.jpg', 'リーチ　ホワイトニング');</v>
      </c>
    </row>
    <row r="9" spans="1:1">
      <c r="A9" s="36" t="s">
        <v>121</v>
      </c>
    </row>
    <row r="10" spans="1:1">
      <c r="A10" t="s">
        <v>120</v>
      </c>
    </row>
    <row r="11" spans="1:1" ht="18.75">
      <c r="A11" s="71">
        <v>252</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&lt;h2&gt;ホワイトニングアイテムのおすすめ３選。歯磨き粉以外でホワイトニングができる？&lt;/h2&gt;</v>
      </c>
    </row>
    <row r="2" spans="1:1">
      <c r="A2" s="20" t="s">
        <v>84</v>
      </c>
    </row>
    <row r="3" spans="1:1">
      <c r="A3" s="21" t="s">
        <v>85</v>
      </c>
    </row>
    <row r="4" spans="1:1">
      <c r="A4" s="20" t="str">
        <f>CONCATENATE("&lt;li&gt;", アンケート!C54, "&lt;/li&gt;")</f>
        <v>&lt;li&gt;歯を白くしたい方&lt;/li&gt;</v>
      </c>
    </row>
    <row r="5" spans="1:1">
      <c r="A5" s="20" t="str">
        <f>CONCATENATE("&lt;li&gt;", アンケート!C55, "&lt;/li&gt;")</f>
        <v>&lt;li&gt;自宅で手軽にホームホワイトニングをしたい方&lt;/li&gt;</v>
      </c>
    </row>
    <row r="6" spans="1:1">
      <c r="A6" s="20" t="str">
        <f>CONCATENATE("&lt;li&gt;", アンケート!C56, "&lt;/li&gt;")</f>
        <v>&lt;li&gt;歯が痛くならないホワイトニング用品を求めている方&lt;/li&gt;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src="http://shomty.com/wp-content/uploads/img/parts/positionMap/9.jpg" /&gt;</v>
      </c>
    </row>
    <row r="13" spans="1:1">
      <c r="A13" s="30" t="str">
        <f>CONCATENATE("今回紹介する『", アンケート!C2,"』は","「価格と品質」どちらを重要視したのかをあらわした図です。")</f>
        <v>今回紹介する『歯磨き粉以外で歯のホワイトニングができるアイテム』は「価格と品質」どちらを重要視したのかをあらわした図です。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&lt;h2&gt;『歯磨き粉以外で歯のホワイトニングができるアイテム』 ランキング&lt;/h2&gt;</v>
      </c>
    </row>
    <row r="20" spans="1:2">
      <c r="A20" t="s">
        <v>89</v>
      </c>
    </row>
    <row r="22" spans="1:2">
      <c r="A22" t="str">
        <f>CONCATENATE("&lt;h3&gt;3位 ",アンケート!C41,"&lt;/h3&gt;")</f>
        <v>&lt;h3&gt;3位 リーチ　ホワイトニング&lt;/h3&gt;</v>
      </c>
    </row>
    <row r="23" spans="1:2">
      <c r="A23" t="s">
        <v>90</v>
      </c>
    </row>
    <row r="24" spans="1:2">
      <c r="A24" t="s">
        <v>68</v>
      </c>
    </row>
    <row r="25" spans="1:2">
      <c r="A25" t="str">
        <f>アンケート!C48</f>
        <v>歯ブラシもホワイトニング効果のあるものを使用したい方</v>
      </c>
    </row>
    <row r="26" spans="1:2">
      <c r="A26" t="s">
        <v>69</v>
      </c>
    </row>
    <row r="27" spans="1:2">
      <c r="A27" s="6" t="str">
        <f>CONCATENATE("[tblStart num=5]", 入力シート!C7, "[/tblStart]")</f>
        <v>[tblStart num=5]https://images-fe.ssl-images-amazon.com/images/I/41WW42CDBtL.jpg[/tblStart]</v>
      </c>
    </row>
    <row r="28" spans="1:2">
      <c r="A28" t="str">
        <f>CONCATENATE("[tdLevel type=", B28, "]", 比較表!A4, "[/tdLevel]")</f>
        <v>[tdLevel type=2]歯が白くなる[/tdLevel]</v>
      </c>
      <c r="B28">
        <f>HLOOKUP(アンケート!$C$41,比較表!$B$3:$D$8,2)</f>
        <v>2</v>
      </c>
    </row>
    <row r="29" spans="1:2">
      <c r="A29" t="str">
        <f>CONCATENATE("[tdLevel type=", B29, "]", 比較表!A5, "[/tdLevel]")</f>
        <v>[tdLevel type=5]歯が痛くならない[/tdLevel]</v>
      </c>
      <c r="B29">
        <f>HLOOKUP(アンケート!$C$41,比較表!$B$3:$D$8,3)</f>
        <v>5</v>
      </c>
    </row>
    <row r="30" spans="1:2">
      <c r="A30" t="str">
        <f>CONCATENATE("[tdLevel type=", B30, "]", 比較表!A6, "[/tdLevel]")</f>
        <v>[tdLevel type=5]使いやすい[/tdLevel]</v>
      </c>
      <c r="B30">
        <f>HLOOKUP(アンケート!$C$41,比較表!$B$3:$D$8,4)</f>
        <v>5</v>
      </c>
    </row>
    <row r="31" spans="1:2">
      <c r="A31" t="str">
        <f>CONCATENATE("[tdLevel type=", B31, "]", 比較表!A7, "[/tdLevel]")</f>
        <v>[tdLevel type=4]コスパ[/tdLevel]</v>
      </c>
      <c r="B31">
        <f>HLOOKUP(アンケート!$C$41,比較表!$B$3:$D$8,5)</f>
        <v>4</v>
      </c>
    </row>
    <row r="32" spans="1:2">
      <c r="A32" t="str">
        <f>CONCATENATE("[tdLevel type=", B32, "]", 比較表!A8, "[/tdLevel]")</f>
        <v>[tdLevel type=5]購入しやすい[/tdLevel]</v>
      </c>
      <c r="B32">
        <f>HLOOKUP(アンケート!$C$41,比較表!$B$3:$D$8,6)</f>
        <v>5</v>
      </c>
    </row>
    <row r="33" spans="1:1">
      <c r="A33" t="s">
        <v>71</v>
      </c>
    </row>
    <row r="35" spans="1:1">
      <c r="A35" s="6" t="str">
        <f>CONCATENATE("[product_link id=",入力シート!D16,"][/product_link]")</f>
        <v>[product_link id=255][/product_link]</v>
      </c>
    </row>
    <row r="36" spans="1:1">
      <c r="A36" t="s">
        <v>91</v>
      </c>
    </row>
    <row r="37" spans="1:1">
      <c r="A37" t="s">
        <v>92</v>
      </c>
    </row>
    <row r="38" spans="1:1">
      <c r="A38" t="s">
        <v>93</v>
      </c>
    </row>
    <row r="39" spans="1:1">
      <c r="A39" t="s">
        <v>85</v>
      </c>
    </row>
    <row r="40" spans="1:1">
      <c r="A40" t="str">
        <f>CONCATENATE("&lt;li&gt;", アンケート!C42,"&lt;/li&gt;")</f>
        <v>&lt;li&gt;毎日の歯磨きで、白い歯に近づける&lt;/li&gt;</v>
      </c>
    </row>
    <row r="41" spans="1:1">
      <c r="A41" t="str">
        <f>CONCATENATE("&lt;li&gt;", アンケート!C43,"&lt;/li&gt;")</f>
        <v>&lt;li&gt;価格が安い&lt;/li&gt;</v>
      </c>
    </row>
    <row r="42" spans="1:1">
      <c r="A42" t="str">
        <f>CONCATENATE("&lt;li&gt;", アンケート!C44,"&lt;/li&gt;")</f>
        <v>&lt;li&gt;歯ブラシ自体にホワイトニング効果があるので、誰でも使用できる&lt;/li&gt;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&lt;li&gt;気軽にホワイトニングできるが、効果は薄い&lt;/li&gt;</v>
      </c>
    </row>
    <row r="51" spans="1:1">
      <c r="A51" t="str">
        <f>CONCATENATE("&lt;li&gt;", アンケート!C46,"&lt;/li&gt;")</f>
        <v>&lt;li&gt;ドラッグストアでも、美白タイプは販売していない店舗が多い&lt;/li&gt;</v>
      </c>
    </row>
    <row r="52" spans="1:1">
      <c r="A52" t="str">
        <f>CONCATENATE("&lt;li&gt;", アンケート!C47,"&lt;/li&gt;")</f>
        <v>&lt;li&gt;ホワイトニング効果のあるゴムの部分がダメになるのが早い&lt;/li&gt;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 xml:space="preserve">白い歯になりたくて、SNSで検索していたところこちらの歯ブラシの存在を知りました。
ホワイトニング効果のある歯ブラシは初めて聞いたので半信半疑でしたが、使い続けているうちに、以前に比べ黄ばみが薄れてきたように感じます。
</v>
      </c>
    </row>
    <row r="59" spans="1:1">
      <c r="A59" t="s">
        <v>102</v>
      </c>
    </row>
    <row r="60" spans="1:1">
      <c r="A60" t="str">
        <f>CONCATENATE("[voice icon=","""http://shomty.com/wp-content/uploads/img/parts/review/", 入力シート!F17, ".jpg", """ name=""", 入力シート!E17, """ type=""", "r", """]")</f>
        <v>[voice icon="http://shomty.com/wp-content/uploads/img/parts/review/w_20_1.jpg" name="20代女性" type="r"]</v>
      </c>
    </row>
    <row r="61" spans="1:1">
      <c r="A61" t="str">
        <f>アンケート!C50</f>
        <v xml:space="preserve">アットコスメのランキングで1位だったので、購入しました。
ホワイトニング効果のある部分で磨くと、歯ブラシよりもしっかり磨けている感じます。
そして口の中がマウスウォッシュしなくてもさっぱりするので快適です。
</v>
      </c>
    </row>
    <row r="62" spans="1:1">
      <c r="A62" t="s">
        <v>102</v>
      </c>
    </row>
    <row r="63" spans="1:1">
      <c r="A63" t="s">
        <v>97</v>
      </c>
    </row>
    <row r="64" spans="1:1">
      <c r="A64" t="str">
        <f>CONCATENATE("[reviewLink id=","""", 入力シート!D16,"""][/reviewLink]")</f>
        <v>[reviewLink id="255"][/reviewLink]</v>
      </c>
    </row>
    <row r="66" spans="1:2">
      <c r="A66" t="str">
        <f>CONCATENATE("&lt;h3&gt;2位 ",アンケート!C28,"&lt;/h3&gt;")</f>
        <v>&lt;h3&gt;2位 ビューティーラボ　薬用パールホワイトプロ&lt;/h3&gt;</v>
      </c>
    </row>
    <row r="67" spans="1:2">
      <c r="A67" t="s">
        <v>90</v>
      </c>
    </row>
    <row r="68" spans="1:2">
      <c r="A68" t="s">
        <v>68</v>
      </c>
    </row>
    <row r="69" spans="1:2">
      <c r="A69" t="str">
        <f>アンケート!C35</f>
        <v>楽にホワイトニングをしたい方</v>
      </c>
    </row>
    <row r="70" spans="1:2">
      <c r="A70" t="s">
        <v>69</v>
      </c>
    </row>
    <row r="71" spans="1:2" ht="27">
      <c r="A71" s="6" t="str">
        <f>CONCATENATE("[tblStart num=5]", 入力シート!$C$6, "[/tblStart]")</f>
        <v>[tblStart num=5]https://images-fe.ssl-images-amazon.com/images/I/41uR71xt2EL.jpg[/tblStart]</v>
      </c>
    </row>
    <row r="72" spans="1:2">
      <c r="A72" t="str">
        <f>CONCATENATE("[tdLevel type=", B72, "]", 比較表!A4, "[/tdLevel]")</f>
        <v>[tdLevel type=4]歯が白くなる[/tdLevel]</v>
      </c>
      <c r="B72">
        <f>HLOOKUP(アンケート!$C$28,比較表!$B$3:$D$8,2,FALSE)</f>
        <v>4</v>
      </c>
    </row>
    <row r="73" spans="1:2">
      <c r="A73" t="str">
        <f>CONCATENATE("[tdLevel type=", B73, "]", 比較表!A5, "[/tdLevel]")</f>
        <v>[tdLevel type=4]歯が痛くならない[/tdLevel]</v>
      </c>
      <c r="B73">
        <f>HLOOKUP(アンケート!$C$28,比較表!$B$3:$D$8,3,FALSE)</f>
        <v>4</v>
      </c>
    </row>
    <row r="74" spans="1:2">
      <c r="A74" t="str">
        <f>CONCATENATE("[tdLevel type=", B74, "]", 比較表!A6, "[/tdLevel]")</f>
        <v>[tdLevel type=3]使いやすい[/tdLevel]</v>
      </c>
      <c r="B74">
        <f>HLOOKUP(アンケート!$C$28,比較表!$B$3:$D$8,4,FALSE)</f>
        <v>3</v>
      </c>
    </row>
    <row r="75" spans="1:2">
      <c r="A75" t="str">
        <f>CONCATENATE("[tdLevel type=", B75, "]", 比較表!A7, "[/tdLevel]")</f>
        <v>[tdLevel type=1]コスパ[/tdLevel]</v>
      </c>
      <c r="B75">
        <f>HLOOKUP(アンケート!$C$28,比較表!$B$3:$D$8,5,FALSE)</f>
        <v>1</v>
      </c>
    </row>
    <row r="76" spans="1:2">
      <c r="A76" t="str">
        <f>CONCATENATE("[tdLevel type=", B76, "]", 比較表!A8, "[/tdLevel]")</f>
        <v>[tdLevel type=2]購入しやすい[/tdLevel]</v>
      </c>
      <c r="B76">
        <f>HLOOKUP(アンケート!$C$28,比較表!$B$3:$D$8,6,FALSE)</f>
        <v>2</v>
      </c>
    </row>
    <row r="77" spans="1:2">
      <c r="A77" t="s">
        <v>71</v>
      </c>
    </row>
    <row r="79" spans="1:2">
      <c r="A79" s="6" t="str">
        <f>CONCATENATE("[product_link id=",入力シート!D14,"][/product_link]")</f>
        <v>[product_link id=254][/product_link]</v>
      </c>
    </row>
    <row r="80" spans="1:2">
      <c r="A80" t="s">
        <v>91</v>
      </c>
    </row>
    <row r="81" spans="1:1">
      <c r="A81" t="s">
        <v>92</v>
      </c>
    </row>
    <row r="82" spans="1:1">
      <c r="A82" t="s">
        <v>93</v>
      </c>
    </row>
    <row r="83" spans="1:1">
      <c r="A83" t="s">
        <v>85</v>
      </c>
    </row>
    <row r="84" spans="1:1">
      <c r="A84" t="str">
        <f>CONCATENATE("&lt;li&gt;", アンケート!C29,"&lt;/li&gt;")</f>
        <v>&lt;li&gt;使い方が簡単&lt;/li&gt;</v>
      </c>
    </row>
    <row r="85" spans="1:1">
      <c r="A85" t="str">
        <f>CONCATENATE("&lt;li&gt;", アンケート!C30,"&lt;/li&gt;")</f>
        <v>&lt;li&gt;刺激がない&lt;/li&gt;</v>
      </c>
    </row>
    <row r="86" spans="1:1">
      <c r="A86" t="str">
        <f>CONCATENATE("&lt;li&gt;", アンケート!C31,"&lt;/li&gt;")</f>
        <v>&lt;li&gt;歯が白くなる&lt;/li&gt;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&lt;li&gt;芸能人のステマが多い&lt;/li&gt;</v>
      </c>
    </row>
    <row r="95" spans="1:1">
      <c r="A95" t="str">
        <f>CONCATENATE("&lt;li&gt;", アンケート!C33,"&lt;/li&gt;")</f>
        <v>&lt;li&gt;価格が高い&lt;/li&gt;</v>
      </c>
    </row>
    <row r="96" spans="1:1">
      <c r="A96" t="str">
        <f>CONCATENATE("&lt;li&gt;", アンケート!C34,"&lt;/li&gt;")</f>
        <v>&lt;li&gt;ミントの香りが苦手な人には向かない&lt;/li&gt;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好きな芸能人がブログで紹介しているのを見て購入しました。
正直値段が高いので、とても悩みましたが使い続けているうちに、歯が白くなってきたので、購入してよかったです。
数滴でいいので、意外とコスパも良い気がします。</v>
      </c>
    </row>
    <row r="103" spans="1:1">
      <c r="A103" t="s">
        <v>102</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歯がなかなか白くならないので、歯医者でのホワイトニングを検討していましたが、たまたま広告でこちらを見かけたので、試してみました。
歯磨きする時のように歯ブラシに付けて歯を磨くだけなので、簡単にホワイトニングできます。
歯も若干白くなったように感じます。
</v>
      </c>
    </row>
    <row r="106" spans="1:1">
      <c r="A106" t="s">
        <v>102</v>
      </c>
    </row>
    <row r="107" spans="1:1">
      <c r="A107" t="s">
        <v>97</v>
      </c>
    </row>
    <row r="108" spans="1:1">
      <c r="A108" t="str">
        <f>CONCATENATE("[reviewLink id=","""", 入力シート!D14,"""][/reviewLink]")</f>
        <v>[reviewLink id="254"][/reviewLink]</v>
      </c>
    </row>
    <row r="110" spans="1:1">
      <c r="A110" t="str">
        <f>CONCATENATE("&lt;h3&gt;1位 ",アンケート!C13,"&lt;/h3&gt;")</f>
        <v>&lt;h3&gt;1位 クレスト　３Dホワイトストリップス&lt;/h3&gt;</v>
      </c>
    </row>
    <row r="111" spans="1:1">
      <c r="A111" t="s">
        <v>90</v>
      </c>
    </row>
    <row r="112" spans="1:1">
      <c r="A112" t="s">
        <v>68</v>
      </c>
    </row>
    <row r="113" spans="1:2">
      <c r="A113" t="str">
        <f>アンケート!C22</f>
        <v>自宅でホワイトニングをしたい方</v>
      </c>
    </row>
    <row r="114" spans="1:2">
      <c r="A114" t="s">
        <v>69</v>
      </c>
    </row>
    <row r="115" spans="1:2" ht="27">
      <c r="A115" s="6" t="str">
        <f>CONCATENATE("[tblStart num=5]", 入力シート!C5, "[/tblStart]")</f>
        <v>[tblStart num=5]https://item-shopping.c.yimg.jp/i/i/brightonusa_12131602[/tblStart]</v>
      </c>
    </row>
    <row r="116" spans="1:2">
      <c r="A116" t="str">
        <f>CONCATENATE("[tdLevel type=", B116, "]", 比較表!A4, "[/tdLevel]")</f>
        <v>[tdLevel type=5]歯が白くなる[/tdLevel]</v>
      </c>
      <c r="B116">
        <f>HLOOKUP(アンケート!$C$13,比較表!$B$3:$D$8,2,FALSE)</f>
        <v>5</v>
      </c>
    </row>
    <row r="117" spans="1:2">
      <c r="A117" t="str">
        <f>CONCATENATE("[tdLevel type=", B117, "]", 比較表!A5, "[/tdLevel]")</f>
        <v>[tdLevel type=2]歯が痛くならない[/tdLevel]</v>
      </c>
      <c r="B117">
        <f>HLOOKUP(アンケート!$C$13,比較表!$B$3:$D$8,3,FALSE)</f>
        <v>2</v>
      </c>
    </row>
    <row r="118" spans="1:2">
      <c r="A118" t="str">
        <f>CONCATENATE("[tdLevel type=", B118, "]", 比較表!A6, "[/tdLevel]")</f>
        <v>[tdLevel type=2]使いやすい[/tdLevel]</v>
      </c>
      <c r="B118">
        <f>HLOOKUP(アンケート!$C$13,比較表!$B$3:$D$8,4,FALSE)</f>
        <v>2</v>
      </c>
    </row>
    <row r="119" spans="1:2">
      <c r="A119" t="str">
        <f>CONCATENATE("[tdLevel type=", B119, "]", 比較表!A7, "[/tdLevel]")</f>
        <v>[tdLevel type=2]コスパ[/tdLevel]</v>
      </c>
      <c r="B119">
        <f>HLOOKUP(アンケート!$C$13,比較表!$B$3:$D$8,5,FALSE)</f>
        <v>2</v>
      </c>
    </row>
    <row r="120" spans="1:2">
      <c r="A120" t="str">
        <f>CONCATENATE("[tdLevel type=", B120, "]", 比較表!A8, "[/tdLevel]")</f>
        <v>[tdLevel type=2]購入しやすい[/tdLevel]</v>
      </c>
      <c r="B120">
        <f>HLOOKUP(アンケート!$C$13,比較表!$B$3:$D$8,6,FALSE)</f>
        <v>2</v>
      </c>
    </row>
    <row r="121" spans="1:2">
      <c r="A121" t="s">
        <v>71</v>
      </c>
    </row>
    <row r="123" spans="1:2">
      <c r="A123" s="6" t="str">
        <f>CONCATENATE("[product_link id=",入力シート!D12,"][/product_link]")</f>
        <v>[product_link id=253][/product_link]</v>
      </c>
    </row>
    <row r="124" spans="1:2">
      <c r="A124" t="s">
        <v>91</v>
      </c>
    </row>
    <row r="125" spans="1:2">
      <c r="A125" t="s">
        <v>92</v>
      </c>
    </row>
    <row r="126" spans="1:2">
      <c r="A126" t="s">
        <v>93</v>
      </c>
    </row>
    <row r="127" spans="1:2">
      <c r="A127" t="s">
        <v>85</v>
      </c>
    </row>
    <row r="128" spans="1:2">
      <c r="A128" t="str">
        <f>CONCATENATE("&lt;li&gt;", アンケート!C14,"&lt;/li&gt;")</f>
        <v>&lt;li&gt;ホワイトニング効果が高い&lt;/li&gt;</v>
      </c>
    </row>
    <row r="129" spans="1:1">
      <c r="A129" t="str">
        <f>CONCATENATE("&lt;li&gt;", アンケート!C15,"&lt;/li&gt;")</f>
        <v>&lt;li&gt;ホームホワイトニングができる&lt;/li&gt;</v>
      </c>
    </row>
    <row r="130" spans="1:1">
      <c r="A130" t="str">
        <f>CONCATENATE("&lt;li&gt;", アンケート!C16,"&lt;/li&gt;")</f>
        <v>&lt;li&gt;1回でも効果を実感できる&lt;/li&gt;</v>
      </c>
    </row>
    <row r="131" spans="1:1">
      <c r="A131" t="str">
        <f>CONCATENATE("&lt;li&gt;", アンケート!C17,"&lt;/li&gt;")</f>
        <v>&lt;li&gt;慣れれば簡単に使用できる&lt;/li&gt;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&lt;li&gt;慣れるまでは使い方が難しい&lt;/li&gt;</v>
      </c>
    </row>
    <row r="140" spans="1:1">
      <c r="A140" t="str">
        <f>CONCATENATE("&lt;li&gt;", アンケート!C19,"&lt;/li&gt;")</f>
        <v>&lt;li&gt;海外製品&lt;/li&gt;</v>
      </c>
    </row>
    <row r="141" spans="1:1">
      <c r="A141" t="str">
        <f>CONCATENATE("&lt;li&gt;", アンケート!C20,"&lt;/li&gt;")</f>
        <v>&lt;li&gt;刺激が強く歯が痛くなる場合がある&lt;/li&gt;</v>
      </c>
    </row>
    <row r="142" spans="1:1">
      <c r="A142" t="str">
        <f>CONCATENATE("&lt;li&gt;", アンケート!C21,"&lt;/li&gt;")</f>
        <v>&lt;li&gt;放置時間があるので、面倒&lt;/li&gt;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コーヒーが大好きで、歯の黄ばみがひどくずっと気になっていました。
SNSでこちらの商品がいいと評判だったので試してみましたが、1回の使用で効果を実感できました。1回目ではさすがに期待していなかったので、嬉しいです。</v>
      </c>
    </row>
    <row r="149" spans="1:1">
      <c r="A149" t="s">
        <v>102</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歯の黄ばみがコンプレックスで、今まで色んなホワイトニング効果のある歯磨き粉を試してきましたが、歯磨き粉ではだめだと初めてホームホワイトニングを購入しました。
ホワイトニング効果のある歯磨き粉よりも断然効果がありました。
</v>
      </c>
    </row>
    <row r="152" spans="1:1">
      <c r="A152" t="s">
        <v>102</v>
      </c>
    </row>
    <row r="153" spans="1:1">
      <c r="A153" t="s">
        <v>97</v>
      </c>
    </row>
    <row r="154" spans="1:1">
      <c r="A154" t="str">
        <f>CONCATENATE("[reviewLink id=","""", 入力シート!D12,"""][/reviewLink]")</f>
        <v>[reviewLink id="253"][/reviewLink]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2018-08-21T00:30:09Z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