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4"/>
  </bookViews>
  <sheets>
    <sheet name="アンケート" sheetId="1" r:id="rId1"/>
    <sheet name="比較表" sheetId="2" r:id="rId2"/>
    <sheet name="入力シート" sheetId="4" r:id="rId3"/>
    <sheet name="SQL" sheetId="5" r:id="rId4"/>
    <sheet name="出力" sheetId="3" r:id="rId5"/>
  </sheets>
  <calcPr calcId="145621"/>
</workbook>
</file>

<file path=xl/calcChain.xml><?xml version="1.0" encoding="utf-8"?>
<calcChain xmlns="http://schemas.openxmlformats.org/spreadsheetml/2006/main">
  <c r="D26" i="4" l="1"/>
  <c r="C5" i="4"/>
  <c r="D12" i="4" l="1"/>
  <c r="F2" i="4" l="1"/>
  <c r="B120" i="3" l="1"/>
  <c r="B119" i="3"/>
  <c r="B118" i="3"/>
  <c r="B117" i="3"/>
  <c r="B116" i="3"/>
  <c r="B76" i="3"/>
  <c r="B75" i="3"/>
  <c r="B74" i="3"/>
  <c r="B73" i="3"/>
  <c r="B72" i="3"/>
  <c r="A13" i="3" l="1"/>
  <c r="B32" i="3" l="1"/>
  <c r="B31" i="3"/>
  <c r="C7" i="4" l="1"/>
  <c r="A12" i="3" l="1"/>
  <c r="F27" i="4"/>
  <c r="F26" i="4"/>
  <c r="F25" i="4"/>
  <c r="F24" i="4"/>
  <c r="F23" i="4"/>
  <c r="F22" i="4"/>
  <c r="A123" i="3"/>
  <c r="D14" i="4"/>
  <c r="D7" i="4"/>
  <c r="D6" i="4"/>
  <c r="D5" i="4"/>
  <c r="D27" i="4"/>
  <c r="D25" i="4"/>
  <c r="D23"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<sst xmlns="http://schemas.openxmlformats.org/spreadsheetml/2006/main" count="268" uniqueCount="190">
  <si>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</si>
  <si>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</si>
  <si>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</si>
  <si>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</si>
  <si>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</si>
  <si>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</si>
  <si>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</si>
  <si>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</si>
  <si>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</si>
  <si>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</si>
  <si>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</si>
  <si>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</si>
  <si>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</si>
  <si>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</si>
  <si>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</si>
  <si>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</si>
  <si>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</si>
  <si>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</si>
  <si>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</si>
  <si>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</si>
  <si>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</si>
  <si>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</si>
  <si>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</si>
  <si>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</si>
  <si>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</si>
  <si>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</si>
  <si>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</si>
  <si>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</si>
  <si>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</si>
  <si>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</si>
  <si>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</si>
  <si>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</si>
  <si>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</si>
  <si>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</si>
  <si>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</si>
  <si>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</si>
  <si>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</si>
  <si>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</si>
  <si>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</si>
  <si>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</si>
  <si>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</si>
  <si>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</si>
  <si>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</si>
  <si>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</si>
  <si>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</si>
  <si>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</si>
  <si>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</si>
  <si>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</si>
  <si>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</si>
  <si>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</si>
  <si>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</si>
  <si>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</si>
  <si>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</si>
  <si>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</si>
  <si>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</si>
  <si>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</si>
  <si>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</si>
  <si>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</si>
  <si>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</si>
  <si>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</si>
  <si>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</si>
  <si>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</si>
  <si>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</si>
  <si>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</si>
  <si>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</si>
  <si>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</si>
  <si>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</si>
  <si>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</si>
  <si>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</si>
  <si>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</si>
  <si>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</si>
  <si>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</si>
  <si>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</si>
  <si>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</si>
  <si>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</si>
  <si>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</si>
  <si>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</si>
  <si>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</si>
  <si>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</si>
  <si>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</si>
  <si>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</si>
  <si>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</si>
  <si>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</si>
  <si>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</si>
  <si>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</si>
  <si>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</si>
  <si>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</si>
  <si>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</si>
  <si>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</si>
  <si>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</si>
  <si>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</si>
  <si>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</si>
  <si>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</si>
  <si>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</si>
  <si>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</si>
  <si>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</si>
  <si>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</si>
  <si>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</si>
  <si>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</si>
  <si>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</si>
  <si>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</si>
  <si>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</si>
  <si>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</si>
  <si>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</si>
  <si>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</si>
  <si>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</si>
  <si>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</si>
  <si>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</si>
  <si>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</si>
  <si>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</si>
  <si>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</si>
  <si>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</si>
  <si>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</si>
  <si>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</si>
  <si>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</si>
  <si>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</si>
  <si>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</si>
  <si>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</si>
  <si>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</si>
  <si>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</si>
  <si>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</si>
  <si>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</si>
  <si>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</si>
  <si>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</si>
  <si>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</si>
  <si>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</si>
  <si>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</si>
  <si>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</si>
  <si>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</si>
  <si>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</si>
  <si>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貯金箱</t>
  </si>
  <si>
    <t>セリア お札貯金箱</t>
  </si>
  <si>
    <t>コカコーラボトルコインバンク</t>
  </si>
  <si>
    <t>マイATMバンク</t>
  </si>
  <si>
    <t>貯まることに喜びを感じれる</t>
  </si>
  <si>
    <t>機能性</t>
  </si>
  <si>
    <t>見た目</t>
  </si>
  <si>
    <t>価格</t>
  </si>
  <si>
    <t>購入しやすい</t>
  </si>
  <si>
    <t>※比較表に記入</t>
  </si>
  <si>
    <t>何円貯まっているかわかるので、やる気になれる</t>
  </si>
  <si>
    <t>お金の管理がしやすい</t>
  </si>
  <si>
    <t>ユーモアがある</t>
  </si>
  <si>
    <t>ネットで購入できる</t>
  </si>
  <si>
    <t>カラーが2色しかない</t>
  </si>
  <si>
    <t>似たような商品が他メーカーにもある</t>
  </si>
  <si>
    <t>価格がやや高い</t>
  </si>
  <si>
    <t>普通の貯金箱に比べると少し大きい</t>
  </si>
  <si>
    <t>いくら貯まっているか随時知りたい方</t>
  </si>
  <si>
    <r>
      <t xml:space="preserve">１位の商品のためになった（なる）口コミやレビューを２つ記入してください。
</t>
    </r>
    <r>
      <rPr>
        <sz val="9"/>
        <color rgb="FFFF0000"/>
        <rFont val="Arial"/>
        <family val="2"/>
      </rPr>
      <t>※短文すぎない（100文字程度）口コミをお願いします。</t>
    </r>
  </si>
  <si>
    <t>小学生の息子のために購入しました。 子どものおもちゃとは思えないような機能性に優れた貯金箱です。 小銭は入れると自動でいくら入ったか計算してくれるので、子どもはそれも楽しいみたいで気に入って貯金してくれています。</t>
  </si>
  <si>
    <t>娘のために購入しました。 お金を入れるとその場で今いくら貯まっているかがわかるので、とっても楽しそうに毎回貯金しています。 ほしいおもちゃがあるみたいなので、それを目標にがんばっている姿を見ると私も嬉しいです。</t>
  </si>
  <si>
    <t>30代女性</t>
  </si>
  <si>
    <r>
      <t xml:space="preserve">参考にしたサイトのURLを記入してください。
</t>
    </r>
    <r>
      <rPr>
        <sz val="9"/>
        <color rgb="FFFF0000"/>
        <rFont val="Arial"/>
        <family val="2"/>
      </rPr>
      <t>（※レビューや口コミが一覧になっているページを添付してください。）</t>
    </r>
  </si>
  <si>
    <t>https://review.rakuten.co.jp/item/1/228239_10063924/1.1/</t>
  </si>
  <si>
    <t>お札用の貯金箱なので、貯まりやすい</t>
  </si>
  <si>
    <t>見た目がアンティークの本のようなお洒落なデザインもある</t>
  </si>
  <si>
    <t>100均なので安い</t>
  </si>
  <si>
    <t>お金を出したい時、壊すしかない</t>
  </si>
  <si>
    <t>人気で売り切れている場合がある</t>
  </si>
  <si>
    <t>お札しか貯金できない</t>
  </si>
  <si>
    <t>早くお金を貯めたい方</t>
  </si>
  <si>
    <r>
      <t xml:space="preserve">２位の商品のためになった（なる）口コミやレビューを２つ記入してください。
</t>
    </r>
    <r>
      <rPr>
        <sz val="9"/>
        <color rgb="FFFF0000"/>
        <rFont val="Arial"/>
        <family val="2"/>
      </rPr>
      <t>※短文すぎない（100文字程度）口コミをお願いします。</t>
    </r>
  </si>
  <si>
    <t>見た目がとってもお洒落でタイプだったので購入しました。 今まで貯金箱に貯金をしても、途中で開けてしまい全く貯金箱ができていなかったので、これは開けるには壊すしかないので、なかなか貯金ができないわたしにはピッタリです。</t>
  </si>
  <si>
    <t>ずっと気になっていたお札の貯金箱。 お札を折らずに入れれるところもいいです。 小銭のようにじゃらじゃら言いませんし、本棚に置いているので、貯金箱とバレずに堂々とへそくりができます。 いくら貯まるか楽しみです。</t>
  </si>
  <si>
    <t>20代女性</t>
  </si>
  <si>
    <t>https://twitter.com/search?q=%E3%82%BB%E3%83%AA%E3%82%A2%E3%80%80%E3%81%8A%E6%9C%AD%E3%80%80%E8%B2%AF%E9%87%91%E7%AE%B1&amp;src=typd</t>
  </si>
  <si>
    <t>見た目にインパクトがある</t>
  </si>
  <si>
    <t>たくさん貯金できる</t>
  </si>
  <si>
    <t>透明で中身が見えるので、貯めがいがある</t>
  </si>
  <si>
    <t>大きいのでおく場所を考える</t>
  </si>
  <si>
    <t>お金がいっぱいになるとかなり重い</t>
  </si>
  <si>
    <t>高い</t>
  </si>
  <si>
    <t>インパクト大の貯金箱がほしい方</t>
  </si>
  <si>
    <r>
      <t xml:space="preserve">３位の商品のためになった（なる）口コミやレビューを２つ記入してください。
</t>
    </r>
    <r>
      <rPr>
        <sz val="9"/>
        <color rgb="FFFF0000"/>
        <rFont val="Arial"/>
        <family val="2"/>
      </rPr>
      <t>※短文すぎない（100文字程度）口コミをお願いします。</t>
    </r>
  </si>
  <si>
    <t>おもしろい商品だなあと思い購入、届いた瞬間大きさに驚きました。 大きいのでかなりインパクトがあります。 子どもにプレゼントしたのですが、とっても喜んでいました。 中身が見えるので、子どもも楽しみながら貯金をしてくれています。</t>
  </si>
  <si>
    <t>YouTubeを見て知りました。 予想していたよりも大きくて驚きましたが可愛いです。 こんなに大きい貯金箱はなかなかないので、いったいいくら貯まるんだろとわくわくします。 いっぱいになるまでがんばります。</t>
  </si>
  <si>
    <t>https://review.rakuten.co.jp/item/1/277981_10000612/1.1/</t>
  </si>
  <si>
    <t>今回取り上げたアイテムは、「何を求めてる人」にピッタリだと思いますか？
具体的に3つ記入してください。</t>
  </si>
  <si>
    <t>本気で貯金をがんばりたい方</t>
  </si>
  <si>
    <t>ユーモアのある貯金箱を求めている方</t>
  </si>
  <si>
    <t>安くてお洒落な貯金箱を求めている方</t>
  </si>
  <si>
    <t>合計点数</t>
  </si>
  <si>
    <t>&lt;a target="_blank" href="//af.moshimo.com/af/c/click?a_id=988731&amp;amp;p_id=170&amp;amp;pc_id=185&amp;amp;pl_id=4062&amp;amp;url=https%3A%2F%2Fwww.amazon.co.jp%2F%25E3%2581%2597%25E3%2582%2583%25E3%2581%25B9%25E3%2582%258BATM%25E5%259E%258B%25E8%25B2%25AF%25E9%2587%2591%25E7%25AE%25B1-%25E3%2583%259E%25E3%2582%25A4ATM%25E3%2583%2590%25E3%2583%25B3%25E3%2582%25AF-%25E8%2587%25AA%25E5%258B%2595%25E8%25A8%2588%25E7%25AE%2597-%25E9%259F%25B3%25E5%25A3%25B0%25E3%2582%25AC%25E3%2582%25A4%25E3%2583%2589-kk-00383%2Fdp%2FB077N1BK8Z" rel="nofollow"&gt;&lt;img src="https://images-fe.ssl-images-amazon.com/images/I/415u4zPGXbL.jpg" alt="" style="border: none;" /&gt;&lt;br /&gt;しゃべるATM型貯金箱 マイATMバンク 貯金箱 自動計算 音声ガイド kk-00383 ブラック&lt;/a&gt;&lt;img src="//i.moshimo.com/af/i/impression?a_id=988731&amp;amp;p_id=170&amp;amp;pc_id=185&amp;amp;pl_id=4062" alt="" width="1" height="1" style="border: 0px;" /&gt;</t>
  </si>
  <si>
    <t>&lt;a target="_blank" href="//af.moshimo.com/af/c/click?a_id=988729&amp;amp;p_id=54&amp;amp;pc_id=54&amp;amp;pl_id=616&amp;amp;url=https%3A%2F%2Fitem.rakuten.co.jp%2Fvt-store%2F1010039%2F&amp;amp;m=http%3A%2F%2Fm.rakuten.co.jp%2Fvt-store%2Fi%2F10003286%2F&amp;amp;r_v=g00s7iw3.9tq3e3fa.g00s7iw3.9tq3fd7e" rel="nofollow"&gt;&lt;img src="//thumbnail.image.rakuten.co.jp/@0_mall/vt-store/cabinet/zakka/sonota/setumei/my-atm-top.jpg?_ex=128x128" alt="" style="border: none;" /&gt;&lt;br /&gt;【送料無料】【あす楽対応】【マイATMバンク しゃべるATM型貯金箱 声で貯金額をお知らせ! 暗証番号とカードのWセキュリティ おもちゃ 貯金 小銭 おこづかい プレゼント 子ども KK-00383【コンビニ受取対応商品】&lt;/a&gt;&lt;img src="//i.moshimo.com/af/i/impression?a_id=988729&amp;amp;p_id=54&amp;amp;pc_id=54&amp;amp;pl_id=616" alt="" width="1" height="1" style="border: 0px;" /&gt;</t>
  </si>
  <si>
    <t>&lt;a target="_blank" href="//af.moshimo.com/af/c/click?a_id=988729&amp;amp;p_id=54&amp;amp;pc_id=54&amp;amp;pl_id=616&amp;amp;url=https%3A%2F%2Fitem.rakuten.co.jp%2Fdnetmall%2Fzk-mb-bak-20%2F&amp;amp;m=http%3A%2F%2Fm.rakuten.co.jp%2Fdnetmall%2Fi%2F10014399%2F&amp;amp;r_v=g00smtq3.9tq3ee8e.g00smtq3.9tq3f669" rel="nofollow"&gt;&lt;img src="//thumbnail.image.rakuten.co.jp/@0_mall/dnetmall/cabinet/06070044/imgrc0065478627.jpg?_ex=128x128" alt="" style="border: none;" /&gt;&lt;br /&gt;お札貯金箱/個　◆イベント・ギフト・景品・贈答品・粗品・ノベルティ・名入れ・のし包装は激安卸の当店へ&lt;/a&gt;&lt;img src="//i.moshimo.com/af/i/impression?a_id=988729&amp;amp;p_id=54&amp;amp;pc_id=54&amp;amp;pl_id=616" alt="" width="1" height="1" style="border: 0px;" /&gt;</t>
  </si>
  <si>
    <t>http://livedoor.blogimg.jp/ouchinikki/imgs/7/f/7faf9ef9.jpg</t>
  </si>
  <si>
    <t>これで貯まる？貯金箱のおすすめ3選。楽しみながら貯金できる!?</t>
    <rPh sb="3" eb="4">
      <t>タ</t>
    </rPh>
    <rPh sb="7" eb="9">
      <t>チョキン</t>
    </rPh>
    <rPh sb="9" eb="10">
      <t>バコ</t>
    </rPh>
    <rPh sb="16" eb="17">
      <t>セン</t>
    </rPh>
    <rPh sb="18" eb="19">
      <t>タノ</t>
    </rPh>
    <rPh sb="24" eb="26">
      <t>チョキン</t>
    </rPh>
    <phoneticPr fontId="1"/>
  </si>
  <si>
    <t>&lt;a target="_blank" href="//af.moshimo.com/af/c/click?a_id=988731&amp;amp;p_id=170&amp;amp;pc_id=185&amp;amp;pl_id=4062&amp;amp;url=https%3A%2F%2Fwww.amazon.co.jp%2FCoca-Cola-Red-Cap-%25E8%25B6%2585%25E3%2583%2593%25E3%2583%2583%25E3%2582%25B0%25E3%2581%25AA%25E3%2582%25B3%25E3%2583%25BC%25E3%2583%25A9%25E3%2581%25AE%25E3%2583%259C%25E3%2583%2588%25E3%2583%25AB%25E5%259E%258B%25E8%25B2%25AF%25E9%2587%2591%25E7%25AE%25B1%2Fdp%2FB00S6SU70G" rel="nofollow"&gt;&lt;img src="https://images-fe.ssl-images-amazon.com/images/I/61LE%2BuVOZVL.jpg" alt="" style="border: none;" /&gt;&lt;br /&gt;Coca-Cola 超ビッグなコーラのボトル型貯金箱&lt;/a&gt;&lt;img src="//i.moshimo.com/af/i/impression?a_id=988731&amp;amp;p_id=170&amp;amp;pc_id=185&amp;amp;pl_id=4062" alt="" width="1" height="1" style="border: 0px;" /&gt;</t>
  </si>
  <si>
    <t>&lt;a target="_blank" href="//af.moshimo.com/af/c/click?a_id=988729&amp;amp;p_id=54&amp;amp;pc_id=54&amp;amp;pl_id=616&amp;amp;url=https%3A%2F%2Fitem.rakuten.co.jp%2Fmuse-enterprise%2Fcoke_pj-cb01%2F&amp;amp;m=http%3A%2F%2Fm.rakuten.co.jp%2Fmuse-enterprise%2Fi%2F10000612%2F&amp;amp;r_v=g00re3h3.9tq3ed8b.g00re3h3.9tq3f724" rel="nofollow"&gt;&lt;img src="//thumbnail.image.rakuten.co.jp/@0_mall/muse-enterprise/cabinet/coca_cola/coke-pj-cb01-2a.jpg?_ex=128x128" alt="" style="border: none;" /&gt;&lt;br /&gt;超ビッグなボトル型貯金箱!! コカ・コーラ ボトルコインバンク 【Coca Cola Bottle Style Coin Bank】 コカコーラ ボトルスタイル コインバンクコインバンク 貯金箱 コカ・コーラグッズ コカコーラ アメリカ雑貨 アメリカン雑貨 インテリア雑貨 生活雑貨&lt;/a&gt;&lt;img src="//i.moshimo.com/af/i/impression?a_id=988729&amp;amp;p_id=54&amp;amp;pc_id=54&amp;amp;pl_id=616" alt="" width="1" height="1" style="border: 0px;" /&gt;</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</si>
</sst>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sz val="15"/>
      <color rgb="FF000000"/>
      <name val="Arial"/>
      <family val="2"/>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19">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1">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6" borderId="5" xfId="1" applyFill="1" applyBorder="1" applyAlignment="1">
      <alignment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4" fillId="4" borderId="12" xfId="0" applyFont="1" applyFill="1" applyBorder="1">
      <alignment vertical="center"/>
    </xf>
    <xf numFmtId="0" fontId="3" fillId="5" borderId="12" xfId="0" applyFont="1" applyFill="1" applyBorder="1">
      <alignment vertical="center"/>
    </xf>
    <xf numFmtId="0" fontId="13" fillId="5" borderId="12" xfId="1" applyFill="1" applyBorder="1">
      <alignment vertical="center"/>
    </xf>
    <xf numFmtId="0" fontId="3" fillId="6" borderId="12" xfId="0" applyFont="1" applyFill="1" applyBorder="1">
      <alignment vertical="center"/>
    </xf>
    <xf numFmtId="0" fontId="17" fillId="0" borderId="0" xfId="0" applyFont="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review.rakuten.co.jp/item/1/277981_10000612/1.1/" TargetMode="External"/><Relationship Id="rId2" Type="http://schemas.openxmlformats.org/officeDocument/2006/relationships/hyperlink" Target="https://twitter.com/search?q=%E3%82%BB%E3%83%AA%E3%82%A2%E3%80%80%E3%81%8A%E6%9C%AD%E3%80%80%E8%B2%AF%E9%87%91%E7%AE%B1&amp;src=typd" TargetMode="External"/><Relationship Id="rId1" Type="http://schemas.openxmlformats.org/officeDocument/2006/relationships/hyperlink" Target="https://review.rakuten.co.jp/item/1/228239_10063924/1.1/"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22" workbookViewId="0">
      <selection activeCell="C40" sqref="C40"/>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130</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38" t="s">
        <v>13</v>
      </c>
      <c r="C3" s="5" t="s">
        <v>131</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39"/>
      <c r="C4" s="7" t="s">
        <v>132</v>
      </c>
      <c r="D4" s="3"/>
      <c r="E4" s="3"/>
      <c r="F4" s="3"/>
      <c r="G4" s="3"/>
      <c r="H4" s="3"/>
      <c r="I4" s="3"/>
      <c r="J4" s="3"/>
      <c r="K4" s="3"/>
      <c r="L4" s="3"/>
      <c r="M4" s="3"/>
      <c r="N4" s="3"/>
      <c r="O4" s="3"/>
      <c r="P4" s="3"/>
      <c r="Q4" s="3"/>
      <c r="R4" s="3"/>
      <c r="S4" s="3"/>
      <c r="T4" s="3"/>
      <c r="U4" s="3"/>
      <c r="V4" s="3"/>
      <c r="W4" s="3"/>
      <c r="X4" s="3"/>
      <c r="Y4" s="3"/>
      <c r="Z4" s="3"/>
    </row>
    <row r="5" spans="1:26" ht="14.25" thickBot="1">
      <c r="A5" s="4" t="s">
        <v>7</v>
      </c>
      <c r="B5" s="40"/>
      <c r="C5" s="5" t="s">
        <v>133</v>
      </c>
      <c r="D5" s="3"/>
      <c r="E5" s="3"/>
      <c r="F5" s="3"/>
      <c r="G5" s="3"/>
      <c r="H5" s="3"/>
      <c r="I5" s="3"/>
      <c r="J5" s="3"/>
      <c r="K5" s="3"/>
      <c r="L5" s="3"/>
      <c r="M5" s="3"/>
      <c r="N5" s="3"/>
      <c r="O5" s="3"/>
      <c r="P5" s="3"/>
      <c r="Q5" s="3"/>
      <c r="R5" s="3"/>
      <c r="S5" s="3"/>
      <c r="T5" s="3"/>
      <c r="U5" s="3"/>
      <c r="V5" s="3"/>
      <c r="W5" s="3"/>
      <c r="X5" s="3"/>
      <c r="Y5" s="3"/>
      <c r="Z5" s="3"/>
    </row>
    <row r="6" spans="1:26" ht="24.75" thickBot="1">
      <c r="A6" s="4" t="s">
        <v>8</v>
      </c>
      <c r="B6" s="23" t="s">
        <v>72</v>
      </c>
      <c r="C6" s="23">
        <v>7</v>
      </c>
      <c r="D6" s="24"/>
      <c r="E6" s="24"/>
      <c r="F6" s="24"/>
      <c r="G6" s="24"/>
      <c r="H6" s="24"/>
      <c r="I6" s="24"/>
      <c r="J6" s="24"/>
      <c r="K6" s="24"/>
      <c r="L6" s="24"/>
      <c r="M6" s="24"/>
      <c r="N6" s="24"/>
      <c r="O6" s="24"/>
      <c r="P6" s="24"/>
      <c r="Q6" s="24"/>
      <c r="R6" s="24"/>
      <c r="S6" s="24"/>
      <c r="T6" s="24"/>
      <c r="U6" s="24"/>
      <c r="V6" s="24"/>
      <c r="W6" s="24"/>
      <c r="X6" s="24"/>
      <c r="Y6" s="24"/>
      <c r="Z6" s="24"/>
    </row>
    <row r="7" spans="1:26" ht="14.25" thickBot="1">
      <c r="A7" s="4" t="s">
        <v>9</v>
      </c>
      <c r="B7" s="41" t="s">
        <v>73</v>
      </c>
      <c r="C7" s="7" t="s">
        <v>134</v>
      </c>
      <c r="D7" s="24"/>
      <c r="E7" s="24"/>
      <c r="F7" s="24"/>
      <c r="G7" s="24"/>
      <c r="H7" s="24"/>
      <c r="I7" s="24"/>
      <c r="J7" s="24"/>
      <c r="K7" s="24"/>
      <c r="L7" s="24"/>
      <c r="M7" s="24"/>
      <c r="N7" s="24"/>
      <c r="O7" s="24"/>
      <c r="P7" s="24"/>
      <c r="Q7" s="24"/>
      <c r="R7" s="24"/>
      <c r="S7" s="24"/>
      <c r="T7" s="24"/>
      <c r="U7" s="24"/>
      <c r="V7" s="24"/>
      <c r="W7" s="24"/>
      <c r="X7" s="24"/>
      <c r="Y7" s="24"/>
      <c r="Z7" s="24"/>
    </row>
    <row r="8" spans="1:26" ht="14.25" thickBot="1">
      <c r="A8" s="4" t="s">
        <v>10</v>
      </c>
      <c r="B8" s="42"/>
      <c r="C8" s="7" t="s">
        <v>135</v>
      </c>
      <c r="D8" s="24"/>
      <c r="E8" s="24"/>
      <c r="F8" s="24"/>
      <c r="G8" s="24"/>
      <c r="H8" s="24"/>
      <c r="I8" s="24"/>
      <c r="J8" s="24"/>
      <c r="K8" s="24"/>
      <c r="L8" s="24"/>
      <c r="M8" s="24"/>
      <c r="N8" s="24"/>
      <c r="O8" s="24"/>
      <c r="P8" s="24"/>
      <c r="Q8" s="24"/>
      <c r="R8" s="24"/>
      <c r="S8" s="24"/>
      <c r="T8" s="24"/>
      <c r="U8" s="24"/>
      <c r="V8" s="24"/>
      <c r="W8" s="24"/>
      <c r="X8" s="24"/>
      <c r="Y8" s="24"/>
      <c r="Z8" s="24"/>
    </row>
    <row r="9" spans="1:26" ht="14.25" thickBot="1">
      <c r="A9" s="4" t="s">
        <v>11</v>
      </c>
      <c r="B9" s="42"/>
      <c r="C9" s="7" t="s">
        <v>136</v>
      </c>
      <c r="D9" s="24"/>
      <c r="E9" s="24"/>
      <c r="F9" s="24"/>
      <c r="G9" s="24"/>
      <c r="H9" s="24"/>
      <c r="I9" s="24"/>
      <c r="J9" s="24"/>
      <c r="K9" s="24"/>
      <c r="L9" s="24"/>
      <c r="M9" s="24"/>
      <c r="N9" s="24"/>
      <c r="O9" s="24"/>
      <c r="P9" s="24"/>
      <c r="Q9" s="24"/>
      <c r="R9" s="24"/>
      <c r="S9" s="24"/>
      <c r="T9" s="24"/>
      <c r="U9" s="24"/>
      <c r="V9" s="24"/>
      <c r="W9" s="24"/>
      <c r="X9" s="24"/>
      <c r="Y9" s="24"/>
      <c r="Z9" s="24"/>
    </row>
    <row r="10" spans="1:26" ht="14.25" thickBot="1">
      <c r="A10" s="4" t="s">
        <v>12</v>
      </c>
      <c r="B10" s="42"/>
      <c r="C10" s="5" t="s">
        <v>137</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43"/>
      <c r="C11" s="5" t="s">
        <v>138</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74</v>
      </c>
      <c r="C12" s="8" t="s">
        <v>139</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133</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4" t="s">
        <v>28</v>
      </c>
      <c r="C14" s="9" t="s">
        <v>140</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45"/>
      <c r="C15" s="9" t="s">
        <v>141</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45"/>
      <c r="C16" s="9" t="s">
        <v>142</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6"/>
      <c r="C17" s="9" t="s">
        <v>143</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4" t="s">
        <v>33</v>
      </c>
      <c r="C18" s="9" t="s">
        <v>144</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45"/>
      <c r="C19" s="9" t="s">
        <v>145</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45"/>
      <c r="C20" s="9" t="s">
        <v>146</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6"/>
      <c r="C21" s="9" t="s">
        <v>147</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148</v>
      </c>
      <c r="D22" s="3"/>
      <c r="E22" s="3"/>
      <c r="F22" s="3"/>
      <c r="G22" s="3"/>
      <c r="H22" s="3"/>
      <c r="I22" s="3"/>
      <c r="J22" s="3"/>
      <c r="K22" s="3"/>
      <c r="L22" s="3"/>
      <c r="M22" s="3"/>
      <c r="N22" s="3"/>
      <c r="O22" s="3"/>
      <c r="P22" s="3"/>
      <c r="Q22" s="3"/>
      <c r="R22" s="3"/>
      <c r="S22" s="3"/>
      <c r="T22" s="3"/>
      <c r="U22" s="3"/>
      <c r="V22" s="3"/>
      <c r="W22" s="3"/>
      <c r="X22" s="3"/>
      <c r="Y22" s="3"/>
      <c r="Z22" s="3"/>
    </row>
    <row r="23" spans="1:26" ht="14.25" thickBot="1">
      <c r="A23" s="4" t="s">
        <v>27</v>
      </c>
      <c r="B23" s="44" t="s">
        <v>149</v>
      </c>
      <c r="C23" s="66" t="s">
        <v>150</v>
      </c>
      <c r="D23" s="3"/>
      <c r="E23" s="3"/>
      <c r="F23" s="3"/>
      <c r="G23" s="3"/>
      <c r="H23" s="3"/>
      <c r="I23" s="3"/>
      <c r="J23" s="3"/>
      <c r="K23" s="3"/>
      <c r="L23" s="3"/>
      <c r="M23" s="3"/>
      <c r="N23" s="3"/>
      <c r="O23" s="3"/>
      <c r="P23" s="3"/>
      <c r="Q23" s="3"/>
      <c r="R23" s="3"/>
      <c r="S23" s="3"/>
      <c r="T23" s="3"/>
      <c r="U23" s="3"/>
      <c r="V23" s="3"/>
      <c r="W23" s="3"/>
      <c r="X23" s="3"/>
      <c r="Y23" s="3"/>
      <c r="Z23" s="3"/>
    </row>
    <row r="24" spans="1:26" ht="14.25" thickBot="1">
      <c r="A24" s="4" t="s">
        <v>29</v>
      </c>
      <c r="B24" s="46"/>
      <c r="C24" s="66" t="s">
        <v>151</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4" t="s">
        <v>75</v>
      </c>
      <c r="C25" s="9" t="s">
        <v>152</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6"/>
      <c r="C26" s="9" t="s">
        <v>152</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5" t="s">
        <v>153</v>
      </c>
      <c r="C27" s="36" t="s">
        <v>154</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26" t="s">
        <v>131</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7" t="s">
        <v>42</v>
      </c>
      <c r="C29" s="26" t="s">
        <v>155</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8"/>
      <c r="C30" s="26" t="s">
        <v>156</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49"/>
      <c r="C31" s="26" t="s">
        <v>157</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7" t="s">
        <v>46</v>
      </c>
      <c r="C32" s="26" t="s">
        <v>158</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8"/>
      <c r="C33" s="26" t="s">
        <v>159</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49"/>
      <c r="C34" s="26" t="s">
        <v>160</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6" t="s">
        <v>161</v>
      </c>
      <c r="D35" s="3"/>
      <c r="E35" s="3"/>
      <c r="F35" s="3"/>
      <c r="G35" s="3"/>
      <c r="H35" s="3"/>
      <c r="I35" s="3"/>
      <c r="J35" s="3"/>
      <c r="K35" s="3"/>
      <c r="L35" s="3"/>
      <c r="M35" s="3"/>
      <c r="N35" s="3"/>
      <c r="O35" s="3"/>
      <c r="P35" s="3"/>
      <c r="Q35" s="3"/>
      <c r="R35" s="3"/>
      <c r="S35" s="3"/>
      <c r="T35" s="3"/>
      <c r="U35" s="3"/>
      <c r="V35" s="3"/>
      <c r="W35" s="3"/>
      <c r="X35" s="3"/>
      <c r="Y35" s="3"/>
      <c r="Z35" s="3"/>
    </row>
    <row r="36" spans="1:26" ht="14.25" thickBot="1">
      <c r="A36" s="4" t="s">
        <v>45</v>
      </c>
      <c r="B36" s="47" t="s">
        <v>162</v>
      </c>
      <c r="C36" s="67" t="s">
        <v>163</v>
      </c>
      <c r="D36" s="3"/>
      <c r="E36" s="3"/>
      <c r="F36" s="3"/>
      <c r="G36" s="3"/>
      <c r="H36" s="3"/>
      <c r="I36" s="3"/>
      <c r="J36" s="3"/>
      <c r="K36" s="3"/>
      <c r="L36" s="3"/>
      <c r="M36" s="3"/>
      <c r="N36" s="3"/>
      <c r="O36" s="3"/>
      <c r="P36" s="3"/>
      <c r="Q36" s="3"/>
      <c r="R36" s="3"/>
      <c r="S36" s="3"/>
      <c r="T36" s="3"/>
      <c r="U36" s="3"/>
      <c r="V36" s="3"/>
      <c r="W36" s="3"/>
      <c r="X36" s="3"/>
      <c r="Y36" s="3"/>
      <c r="Z36" s="3"/>
    </row>
    <row r="37" spans="1:26" ht="14.25" thickBot="1">
      <c r="A37" s="4" t="s">
        <v>47</v>
      </c>
      <c r="B37" s="49"/>
      <c r="C37" s="67" t="s">
        <v>164</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7" t="s">
        <v>76</v>
      </c>
      <c r="C38" s="26" t="s">
        <v>165</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49"/>
      <c r="C39" s="26" t="s">
        <v>152</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7" t="s">
        <v>153</v>
      </c>
      <c r="C40" s="68" t="s">
        <v>166</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8" t="s">
        <v>132</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50" t="s">
        <v>54</v>
      </c>
      <c r="C42" s="28" t="s">
        <v>167</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51"/>
      <c r="C43" s="28" t="s">
        <v>168</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2"/>
      <c r="C44" s="28" t="s">
        <v>169</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50" t="s">
        <v>58</v>
      </c>
      <c r="C45" s="28" t="s">
        <v>170</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51"/>
      <c r="C46" s="28" t="s">
        <v>171</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2"/>
      <c r="C47" s="28" t="s">
        <v>172</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8" t="s">
        <v>173</v>
      </c>
      <c r="D48" s="3"/>
      <c r="E48" s="3"/>
      <c r="F48" s="3"/>
      <c r="G48" s="3"/>
      <c r="H48" s="3"/>
      <c r="I48" s="3"/>
      <c r="J48" s="3"/>
      <c r="K48" s="3"/>
      <c r="L48" s="3"/>
      <c r="M48" s="3"/>
      <c r="N48" s="3"/>
      <c r="O48" s="3"/>
      <c r="P48" s="3"/>
      <c r="Q48" s="3"/>
      <c r="R48" s="3"/>
      <c r="S48" s="3"/>
      <c r="T48" s="3"/>
      <c r="U48" s="3"/>
      <c r="V48" s="3"/>
      <c r="W48" s="3"/>
      <c r="X48" s="3"/>
      <c r="Y48" s="3"/>
      <c r="Z48" s="3"/>
    </row>
    <row r="49" spans="1:26" ht="14.25" thickBot="1">
      <c r="A49" s="4" t="s">
        <v>64</v>
      </c>
      <c r="B49" s="50" t="s">
        <v>174</v>
      </c>
      <c r="C49" s="69" t="s">
        <v>175</v>
      </c>
      <c r="D49" s="3"/>
      <c r="E49" s="3"/>
      <c r="F49" s="3"/>
      <c r="G49" s="3"/>
      <c r="H49" s="3"/>
      <c r="I49" s="3"/>
      <c r="J49" s="3"/>
      <c r="K49" s="3"/>
      <c r="L49" s="3"/>
      <c r="M49" s="3"/>
      <c r="N49" s="3"/>
      <c r="O49" s="3"/>
      <c r="P49" s="3"/>
      <c r="Q49" s="3"/>
      <c r="R49" s="3"/>
      <c r="S49" s="3"/>
      <c r="T49" s="3"/>
      <c r="U49" s="3"/>
      <c r="V49" s="3"/>
      <c r="W49" s="3"/>
      <c r="X49" s="3"/>
      <c r="Y49" s="3"/>
      <c r="Z49" s="3"/>
    </row>
    <row r="50" spans="1:26" ht="14.25" thickBot="1">
      <c r="A50" s="4" t="s">
        <v>77</v>
      </c>
      <c r="B50" s="52"/>
      <c r="C50" s="69" t="s">
        <v>176</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78</v>
      </c>
      <c r="B51" s="50" t="s">
        <v>76</v>
      </c>
      <c r="C51" s="28" t="s">
        <v>152</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79</v>
      </c>
      <c r="B52" s="52"/>
      <c r="C52" s="28" t="s">
        <v>165</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80</v>
      </c>
      <c r="B53" s="11" t="s">
        <v>153</v>
      </c>
      <c r="C53" s="37" t="s">
        <v>177</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81</v>
      </c>
      <c r="B54" s="38" t="s">
        <v>178</v>
      </c>
      <c r="C54" s="5" t="s">
        <v>179</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82</v>
      </c>
      <c r="B55" s="39"/>
      <c r="C55" s="7" t="s">
        <v>180</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83</v>
      </c>
      <c r="B56" s="40"/>
      <c r="C56" s="7" t="s">
        <v>181</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25:B26"/>
    <mergeCell ref="B29:B31"/>
    <mergeCell ref="B32:B34"/>
    <mergeCell ref="B36:B37"/>
    <mergeCell ref="B54:B56"/>
    <mergeCell ref="B38:B39"/>
    <mergeCell ref="B42:B44"/>
    <mergeCell ref="B45:B47"/>
    <mergeCell ref="B49:B50"/>
    <mergeCell ref="B51:B52"/>
    <mergeCell ref="B3:B5"/>
    <mergeCell ref="B7:B11"/>
    <mergeCell ref="B14:B17"/>
    <mergeCell ref="B18:B21"/>
    <mergeCell ref="B23:B24"/>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B20" sqref="B20"/>
    </sheetView>
  </sheetViews>
  <sheetFormatPr defaultRowHeight="13.5"/>
  <cols>
    <col min="1" max="1" width="23.75" customWidth="1"/>
    <col min="2" max="2" width="23.125" bestFit="1" customWidth="1"/>
    <col min="3" max="4" width="40.625" customWidth="1"/>
  </cols>
  <sheetData>
    <row r="1" spans="1:26" ht="88.5" customHeight="1" thickBot="1">
      <c r="A1" s="12" t="s">
        <v>65</v>
      </c>
      <c r="B1" s="53" t="s">
        <v>66</v>
      </c>
      <c r="C1" s="54"/>
      <c r="D1" s="55"/>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15.75" thickBot="1">
      <c r="A3" s="14" t="s">
        <v>67</v>
      </c>
      <c r="B3" s="15" t="s">
        <v>131</v>
      </c>
      <c r="C3" s="15" t="s">
        <v>132</v>
      </c>
      <c r="D3" s="15" t="s">
        <v>133</v>
      </c>
      <c r="E3" s="3"/>
      <c r="F3" s="3"/>
      <c r="G3" s="3"/>
      <c r="H3" s="3"/>
      <c r="I3" s="3"/>
      <c r="J3" s="3"/>
      <c r="K3" s="3"/>
      <c r="L3" s="3"/>
      <c r="M3" s="3"/>
      <c r="N3" s="3"/>
      <c r="O3" s="3"/>
      <c r="P3" s="3"/>
      <c r="Q3" s="3"/>
      <c r="R3" s="3"/>
      <c r="S3" s="3"/>
      <c r="T3" s="3"/>
      <c r="U3" s="3"/>
      <c r="V3" s="3"/>
      <c r="W3" s="3"/>
      <c r="X3" s="3"/>
      <c r="Y3" s="3"/>
      <c r="Z3" s="3"/>
    </row>
    <row r="4" spans="1:26" ht="30.75" thickBot="1">
      <c r="A4" s="32" t="s">
        <v>134</v>
      </c>
      <c r="B4" s="16">
        <v>5</v>
      </c>
      <c r="C4" s="16">
        <v>5</v>
      </c>
      <c r="D4" s="16">
        <v>5</v>
      </c>
      <c r="E4" s="3"/>
      <c r="F4" s="3"/>
      <c r="G4" s="3"/>
      <c r="H4" s="3"/>
      <c r="I4" s="3"/>
      <c r="J4" s="3"/>
      <c r="K4" s="3"/>
      <c r="L4" s="3"/>
      <c r="M4" s="3"/>
      <c r="N4" s="3"/>
      <c r="O4" s="3"/>
      <c r="P4" s="3"/>
      <c r="Q4" s="3"/>
      <c r="R4" s="3"/>
      <c r="S4" s="3"/>
      <c r="T4" s="3"/>
      <c r="U4" s="3"/>
      <c r="V4" s="3"/>
      <c r="W4" s="3"/>
      <c r="X4" s="3"/>
      <c r="Y4" s="3"/>
      <c r="Z4" s="3"/>
    </row>
    <row r="5" spans="1:26" ht="15.75" thickBot="1">
      <c r="A5" s="32" t="s">
        <v>135</v>
      </c>
      <c r="B5" s="16">
        <v>2</v>
      </c>
      <c r="C5" s="16">
        <v>2</v>
      </c>
      <c r="D5" s="16">
        <v>5</v>
      </c>
      <c r="E5" s="3"/>
      <c r="F5" s="3"/>
      <c r="G5" s="3"/>
      <c r="H5" s="3"/>
      <c r="I5" s="3"/>
      <c r="J5" s="3"/>
      <c r="K5" s="3"/>
      <c r="L5" s="3"/>
      <c r="M5" s="3"/>
      <c r="N5" s="3"/>
      <c r="O5" s="3"/>
      <c r="P5" s="3"/>
      <c r="Q5" s="3"/>
      <c r="R5" s="3"/>
      <c r="S5" s="3"/>
      <c r="T5" s="3"/>
      <c r="U5" s="3"/>
      <c r="V5" s="3"/>
      <c r="W5" s="3"/>
      <c r="X5" s="3"/>
      <c r="Y5" s="3"/>
      <c r="Z5" s="3"/>
    </row>
    <row r="6" spans="1:26" ht="15.75" thickBot="1">
      <c r="A6" s="32" t="s">
        <v>136</v>
      </c>
      <c r="B6" s="16">
        <v>5</v>
      </c>
      <c r="C6" s="16">
        <v>4</v>
      </c>
      <c r="D6" s="16">
        <v>3</v>
      </c>
      <c r="E6" s="3"/>
      <c r="F6" s="3"/>
      <c r="G6" s="3"/>
      <c r="H6" s="3"/>
      <c r="I6" s="3"/>
      <c r="J6" s="3"/>
      <c r="K6" s="3"/>
      <c r="L6" s="3"/>
      <c r="M6" s="3"/>
      <c r="N6" s="3"/>
      <c r="O6" s="3"/>
      <c r="P6" s="3"/>
      <c r="Q6" s="3"/>
      <c r="R6" s="3"/>
      <c r="S6" s="3"/>
      <c r="T6" s="3"/>
      <c r="U6" s="3"/>
      <c r="V6" s="3"/>
      <c r="W6" s="3"/>
      <c r="X6" s="3"/>
      <c r="Y6" s="3"/>
      <c r="Z6" s="3"/>
    </row>
    <row r="7" spans="1:26" ht="15.75" thickBot="1">
      <c r="A7" s="32" t="s">
        <v>137</v>
      </c>
      <c r="B7" s="16">
        <v>5</v>
      </c>
      <c r="C7" s="16">
        <v>1</v>
      </c>
      <c r="D7" s="16">
        <v>1</v>
      </c>
      <c r="E7" s="3"/>
      <c r="F7" s="3"/>
      <c r="G7" s="3"/>
      <c r="H7" s="3"/>
      <c r="I7" s="3"/>
      <c r="J7" s="3"/>
      <c r="K7" s="3"/>
      <c r="L7" s="3"/>
      <c r="M7" s="3"/>
      <c r="N7" s="3"/>
      <c r="O7" s="3"/>
      <c r="P7" s="3"/>
      <c r="Q7" s="3"/>
      <c r="R7" s="3"/>
      <c r="S7" s="3"/>
      <c r="T7" s="3"/>
      <c r="U7" s="3"/>
      <c r="V7" s="3"/>
      <c r="W7" s="3"/>
      <c r="X7" s="3"/>
      <c r="Y7" s="3"/>
      <c r="Z7" s="3"/>
    </row>
    <row r="8" spans="1:26" ht="15.75" thickBot="1">
      <c r="A8" s="32" t="s">
        <v>138</v>
      </c>
      <c r="B8" s="16">
        <v>5</v>
      </c>
      <c r="C8" s="16">
        <v>3</v>
      </c>
      <c r="D8" s="16">
        <v>3</v>
      </c>
      <c r="E8" s="3"/>
      <c r="F8" s="3"/>
      <c r="G8" s="3"/>
      <c r="H8" s="3"/>
      <c r="I8" s="3"/>
      <c r="J8" s="3"/>
      <c r="K8" s="3"/>
      <c r="L8" s="3"/>
      <c r="M8" s="3"/>
      <c r="N8" s="3"/>
      <c r="O8" s="3"/>
      <c r="P8" s="3"/>
      <c r="Q8" s="3"/>
      <c r="R8" s="3"/>
      <c r="S8" s="3"/>
      <c r="T8" s="3"/>
      <c r="U8" s="3"/>
      <c r="V8" s="3"/>
      <c r="W8" s="3"/>
      <c r="X8" s="3"/>
      <c r="Y8" s="3"/>
      <c r="Z8" s="3"/>
    </row>
    <row r="9" spans="1:26" ht="15" thickBot="1">
      <c r="A9" s="17" t="s">
        <v>182</v>
      </c>
      <c r="B9" s="18">
        <v>22</v>
      </c>
      <c r="C9" s="18">
        <v>15</v>
      </c>
      <c r="D9" s="18">
        <v>17</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topLeftCell="A7" workbookViewId="0">
      <selection activeCell="C16" sqref="C16:C17"/>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2" t="s">
        <v>103</v>
      </c>
      <c r="C2" s="21" t="s">
        <v>187</v>
      </c>
      <c r="D2" s="30"/>
      <c r="F2">
        <f>LEN(C1)</f>
        <v>0</v>
      </c>
      <c r="G2" t="s">
        <v>126</v>
      </c>
    </row>
    <row r="3" spans="2:8">
      <c r="B3" s="33"/>
      <c r="C3" s="30"/>
      <c r="D3" s="30"/>
      <c r="H3" t="s">
        <v>127</v>
      </c>
    </row>
    <row r="4" spans="2:8">
      <c r="B4" s="22" t="s">
        <v>116</v>
      </c>
      <c r="C4" s="22" t="s">
        <v>117</v>
      </c>
      <c r="D4" s="22" t="s">
        <v>118</v>
      </c>
      <c r="H4" t="s">
        <v>128</v>
      </c>
    </row>
    <row r="5" spans="2:8">
      <c r="B5" s="22" t="s">
        <v>101</v>
      </c>
      <c r="C5" s="21" t="str">
        <f>IF(C22="","",SUBSTITUTE(MID(C22,FIND("src=",C22)+5,FIND("alt",C22)-FIND("src=",C22)-7),"amp;",""))</f>
        <v>https://images-fe.ssl-images-amazon.com/images/I/415u4zPGXbL.jpg</v>
      </c>
      <c r="D5" s="21" t="str">
        <f>アンケート!C13</f>
        <v>マイATMバンク</v>
      </c>
      <c r="E5" t="s">
        <v>119</v>
      </c>
    </row>
    <row r="6" spans="2:8">
      <c r="B6" s="22" t="s">
        <v>100</v>
      </c>
      <c r="C6" s="21" t="s">
        <v>186</v>
      </c>
      <c r="D6" s="21" t="str">
        <f>アンケート!C28</f>
        <v>セリア お札貯金箱</v>
      </c>
      <c r="E6" t="s">
        <v>119</v>
      </c>
    </row>
    <row r="7" spans="2:8">
      <c r="B7" s="22" t="s">
        <v>99</v>
      </c>
      <c r="C7" s="21" t="str">
        <f>IF(C26="","",SUBSTITUTE(MID(C26,FIND("src=",C26)+5,FIND("alt",C26)-FIND("src=",C26)-7),"amp;",""))</f>
        <v>https://images-fe.ssl-images-amazon.com/images/I/61LE%2BuVOZVL.jpg</v>
      </c>
      <c r="D7" s="21" t="str">
        <f>アンケート!C41</f>
        <v>コカコーラボトルコインバンク</v>
      </c>
      <c r="E7" t="s">
        <v>119</v>
      </c>
    </row>
    <row r="10" spans="2:8">
      <c r="B10" s="59" t="s">
        <v>98</v>
      </c>
      <c r="C10" s="60"/>
      <c r="D10" s="60"/>
      <c r="E10" s="60"/>
      <c r="F10" s="61"/>
    </row>
    <row r="11" spans="2:8">
      <c r="B11" s="31" t="s">
        <v>104</v>
      </c>
      <c r="C11" s="31" t="s">
        <v>105</v>
      </c>
      <c r="D11" s="31" t="s">
        <v>106</v>
      </c>
      <c r="E11" s="31" t="s">
        <v>107</v>
      </c>
      <c r="F11" s="31" t="s">
        <v>108</v>
      </c>
    </row>
    <row r="12" spans="2:8">
      <c r="B12" s="56" t="s">
        <v>101</v>
      </c>
      <c r="C12" s="58" t="str">
        <f>アンケート!C27</f>
        <v>https://review.rakuten.co.jp/item/1/228239_10063924/1.1/</v>
      </c>
      <c r="D12" s="62">
        <f>SQL!A11+1</f>
        <v>286</v>
      </c>
      <c r="E12" s="21" t="str">
        <f>アンケート!C25</f>
        <v>30代女性</v>
      </c>
      <c r="F12" s="21" t="str">
        <f>IF(ISERROR(FIND("女",E12)),"m","w")&amp;"_"&amp;LEFT(E12,2)&amp;"_"&amp;"2"</f>
        <v>w_30_2</v>
      </c>
    </row>
    <row r="13" spans="2:8">
      <c r="B13" s="57"/>
      <c r="C13" s="58"/>
      <c r="D13" s="63"/>
      <c r="E13" s="21" t="str">
        <f>アンケート!C26</f>
        <v>30代女性</v>
      </c>
      <c r="F13" s="21" t="str">
        <f>IF(ISERROR(FIND("女",E13)),"m","w")&amp;"_"&amp;LEFT(E13,2)&amp;"_"&amp;"1"</f>
        <v>w_30_1</v>
      </c>
    </row>
    <row r="14" spans="2:8">
      <c r="B14" s="56" t="s">
        <v>100</v>
      </c>
      <c r="C14" s="58" t="str">
        <f>アンケート!C40</f>
        <v>https://twitter.com/search?q=%E3%82%BB%E3%83%AA%E3%82%A2%E3%80%80%E3%81%8A%E6%9C%AD%E3%80%80%E8%B2%AF%E9%87%91%E7%AE%B1&amp;src=typd</v>
      </c>
      <c r="D14" s="62">
        <f>IF(D12="","",D12+1)</f>
        <v>287</v>
      </c>
      <c r="E14" s="21" t="str">
        <f>アンケート!C38</f>
        <v>20代女性</v>
      </c>
      <c r="F14" s="21" t="str">
        <f>IF(ISERROR(FIND("女",E14)),"m","w")&amp;"_"&amp;LEFT(E14,2)&amp;"_"&amp;"2"</f>
        <v>w_20_2</v>
      </c>
    </row>
    <row r="15" spans="2:8">
      <c r="B15" s="57"/>
      <c r="C15" s="58"/>
      <c r="D15" s="63"/>
      <c r="E15" s="21" t="str">
        <f>アンケート!C39</f>
        <v>30代女性</v>
      </c>
      <c r="F15" s="21" t="str">
        <f>IF(ISERROR(FIND("女",E15)),"m","w")&amp;"_"&amp;LEFT(E15,2)&amp;"_"&amp;"1"</f>
        <v>w_30_1</v>
      </c>
    </row>
    <row r="16" spans="2:8">
      <c r="B16" s="56" t="s">
        <v>99</v>
      </c>
      <c r="C16" s="58" t="str">
        <f>アンケート!C53</f>
        <v>https://review.rakuten.co.jp/item/1/277981_10000612/1.1/</v>
      </c>
      <c r="D16" s="62">
        <f>IF(D14="","",D14+1)</f>
        <v>288</v>
      </c>
      <c r="E16" s="21" t="str">
        <f>アンケート!C51</f>
        <v>30代女性</v>
      </c>
      <c r="F16" s="21" t="str">
        <f>IF(ISERROR(FIND("女",E16)),"m","w")&amp;"_"&amp;LEFT(E16,2)&amp;"_"&amp;"2"</f>
        <v>w_30_2</v>
      </c>
    </row>
    <row r="17" spans="2:6">
      <c r="B17" s="57"/>
      <c r="C17" s="58"/>
      <c r="D17" s="63"/>
      <c r="E17" s="21" t="str">
        <f>アンケート!C52</f>
        <v>20代女性</v>
      </c>
      <c r="F17" s="21" t="str">
        <f t="shared" ref="F17" si="0">IF(ISERROR(FIND("女",E17)),"m","w")&amp;"_"&amp;LEFT(E17,2)&amp;"_"&amp;"1"</f>
        <v>w_20_1</v>
      </c>
    </row>
    <row r="18" spans="2:6">
      <c r="D18" s="30"/>
    </row>
    <row r="19" spans="2:6">
      <c r="D19" s="30"/>
    </row>
    <row r="20" spans="2:6">
      <c r="B20" s="64" t="s">
        <v>109</v>
      </c>
      <c r="C20" s="64"/>
      <c r="D20" s="64"/>
      <c r="E20" s="64"/>
      <c r="F20" s="64"/>
    </row>
    <row r="21" spans="2:6">
      <c r="B21" s="34" t="s">
        <v>116</v>
      </c>
      <c r="C21" s="34" t="s">
        <v>113</v>
      </c>
      <c r="D21" s="64" t="s">
        <v>114</v>
      </c>
      <c r="E21" s="64"/>
      <c r="F21" s="34" t="s">
        <v>115</v>
      </c>
    </row>
    <row r="22" spans="2:6">
      <c r="B22" s="64" t="s">
        <v>110</v>
      </c>
      <c r="C22" s="21" t="s">
        <v>183</v>
      </c>
      <c r="D22" s="65" t="str">
        <f t="shared" ref="D22:D27" si="1">IF(C22="","",SUBSTITUTE(MID(C22,FIND("href=",C22)+6,FIND("rel=",C22)-FIND("href=",C22)-8),"amp;",""))</f>
        <v>//af.moshimo.com/af/c/click?a_id=988731&amp;p_id=170&amp;pc_id=185&amp;pl_id=4062&amp;url=https%3A%2F%2Fwww.amazon.co.jp%2F%25E3%2581%2597%25E3%2582%2583%25E3%2581%25B9%25E3%2582%258BATM%25E5%259E%258B%25E8%25B2%25AF%25E9%2587%2591%25E7%25AE%25B1-%25E3%2583%259E%25E3%2582%25A4ATM%25E3%2583%2590%25E3%2583%25B3%25E3%2582%25AF-%25E8%2587%25AA%25E5%258B%2595%25E8%25A8%2588%25E7%25AE%2597-%25E9%259F%25B3%25E5%25A3%25B0%25E3%2582%25AC%25E3%2582%25A4%25E3%2583%2589-kk-00383%2Fdp%2FB077N1BK8Z</v>
      </c>
      <c r="E22" s="65"/>
      <c r="F22" s="21" t="str">
        <f>IF(ISERROR(FIND("amazon",C22)),IF(ISERROR(FIND("rakuten",C22)),"","楽天"),"Amazon")</f>
        <v>Amazon</v>
      </c>
    </row>
    <row r="23" spans="2:6">
      <c r="B23" s="64"/>
      <c r="C23" s="21" t="s">
        <v>184</v>
      </c>
      <c r="D23" s="65" t="str">
        <f t="shared" si="1"/>
        <v>//af.moshimo.com/af/c/click?a_id=988729&amp;p_id=54&amp;pc_id=54&amp;pl_id=616&amp;url=https%3A%2F%2Fitem.rakuten.co.jp%2Fvt-store%2F1010039%2F&amp;m=http%3A%2F%2Fm.rakuten.co.jp%2Fvt-store%2Fi%2F10003286%2F&amp;r_v=g00s7iw3.9tq3e3fa.g00s7iw3.9tq3fd7e</v>
      </c>
      <c r="E23" s="65"/>
      <c r="F23" s="21" t="str">
        <f t="shared" ref="F23:F27" si="2">IF(ISERROR(FIND("amazon",C23)),IF(ISERROR(FIND("rakuten",C23)),"","楽天"),"Amazon")</f>
        <v>楽天</v>
      </c>
    </row>
    <row r="24" spans="2:6">
      <c r="B24" s="64" t="s">
        <v>111</v>
      </c>
      <c r="C24" s="21"/>
      <c r="D24" s="65" t="str">
        <f t="shared" si="1"/>
        <v/>
      </c>
      <c r="E24" s="65"/>
      <c r="F24" s="21" t="str">
        <f t="shared" si="2"/>
        <v/>
      </c>
    </row>
    <row r="25" spans="2:6">
      <c r="B25" s="64"/>
      <c r="C25" s="21" t="s">
        <v>185</v>
      </c>
      <c r="D25" s="65" t="str">
        <f t="shared" si="1"/>
        <v>//af.moshimo.com/af/c/click?a_id=988729&amp;p_id=54&amp;pc_id=54&amp;pl_id=616&amp;url=https%3A%2F%2Fitem.rakuten.co.jp%2Fdnetmall%2Fzk-mb-bak-20%2F&amp;m=http%3A%2F%2Fm.rakuten.co.jp%2Fdnetmall%2Fi%2F10014399%2F&amp;r_v=g00smtq3.9tq3ee8e.g00smtq3.9tq3f669</v>
      </c>
      <c r="E25" s="65"/>
      <c r="F25" s="21" t="str">
        <f t="shared" si="2"/>
        <v>楽天</v>
      </c>
    </row>
    <row r="26" spans="2:6">
      <c r="B26" s="64" t="s">
        <v>112</v>
      </c>
      <c r="C26" s="21" t="s">
        <v>188</v>
      </c>
      <c r="D26" s="65" t="str">
        <f>IF(C26="","",SUBSTITUTE(MID(C26,FIND("href=",C26)+6,FIND("rel=",C26)-FIND("href=",C26)-8),"amp;",""))</f>
        <v>//af.moshimo.com/af/c/click?a_id=988731&amp;p_id=170&amp;pc_id=185&amp;pl_id=4062&amp;url=https%3A%2F%2Fwww.amazon.co.jp%2FCoca-Cola-Red-Cap-%25E8%25B6%2585%25E3%2583%2593%25E3%2583%2583%25E3%2582%25B0%25E3%2581%25AA%25E3%2582%25B3%25E3%2583%25BC%25E3%2583%25A9%25E3%2581%25AE%25E3%2583%259C%25E3%2583%2588%25E3%2583%25AB%25E5%259E%258B%25E8%25B2%25AF%25E9%2587%2591%25E7%25AE%25B1%2Fdp%2FB00S6SU70G</v>
      </c>
      <c r="E26" s="65"/>
      <c r="F26" s="21" t="str">
        <f t="shared" si="2"/>
        <v>Amazon</v>
      </c>
    </row>
    <row r="27" spans="2:6">
      <c r="B27" s="64"/>
      <c r="C27" s="21" t="s">
        <v>189</v>
      </c>
      <c r="D27" s="65" t="str">
        <f t="shared" si="1"/>
        <v>//af.moshimo.com/af/c/click?a_id=988729&amp;p_id=54&amp;pc_id=54&amp;pl_id=616&amp;url=https%3A%2F%2Fitem.rakuten.co.jp%2Fmuse-enterprise%2Fcoke_pj-cb01%2F&amp;m=http%3A%2F%2Fm.rakuten.co.jp%2Fmuse-enterprise%2Fi%2F10000612%2F&amp;r_v=g00re3h3.9tq3ed8b.g00re3h3.9tq3f724</v>
      </c>
      <c r="E27" s="65"/>
      <c r="F27" s="21" t="str">
        <f t="shared" si="2"/>
        <v>楽天</v>
      </c>
    </row>
    <row r="28" spans="2:6">
      <c r="D28" s="30"/>
    </row>
    <row r="29" spans="2:6">
      <c r="D29" s="30"/>
    </row>
    <row r="30" spans="2:6">
      <c r="D30" s="30"/>
    </row>
    <row r="31" spans="2:6">
      <c r="D31" s="30"/>
    </row>
    <row r="32" spans="2:6">
      <c r="D32" s="30"/>
    </row>
  </sheetData>
  <mergeCells count="21">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 ref="B14:B15"/>
    <mergeCell ref="B12:B13"/>
    <mergeCell ref="C16:C17"/>
    <mergeCell ref="C14:C15"/>
    <mergeCell ref="C12:C13"/>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G17" sqref="G17"/>
    </sheetView>
  </sheetViews>
  <sheetFormatPr defaultRowHeight="13.5"/>
  <sheetData>
    <row r="1" spans="1:1">
      <c r="A1" t="s">
        <v>122</v>
      </c>
    </row>
    <row r="2" spans="1:1">
      <c r="A2" t="str">
        <f>"("&amp;入力シート!D12&amp;","&amp;"'"&amp;入力シート!D22&amp;"', '"&amp;入力シート!D23&amp;"', '"&amp;入力シート!C12&amp;"', '"&amp;入力シート!C5&amp;"', '"&amp;入力シート!D5&amp;"'),"</f>
        <v>(286,'//af.moshimo.com/af/c/click?a_id=988731&amp;p_id=170&amp;pc_id=185&amp;pl_id=4062&amp;url=https%3A%2F%2Fwww.amazon.co.jp%2F%25E3%2581%2597%25E3%2582%2583%25E3%2581%25B9%25E3%2582%258BATM%25E5%259E%258B%25E8%25B2%25AF%25E9%2587%2591%25E7%25AE%25B1-%25E3%2583%259E%25E3%2582%25A4ATM%25E3%2583%2590%25E3%2583%25B3%25E3%2582%25AF-%25E8%2587%25AA%25E5%258B%2595%25E8%25A8%2588%25E7%25AE%2597-%25E9%259F%25B3%25E5%25A3%25B0%25E3%2582%25AC%25E3%2582%25A4%25E3%2583%2589-kk-00383%2Fdp%2FB077N1BK8Z', '//af.moshimo.com/af/c/click?a_id=988729&amp;p_id=54&amp;pc_id=54&amp;pl_id=616&amp;url=https%3A%2F%2Fitem.rakuten.co.jp%2Fvt-store%2F1010039%2F&amp;m=http%3A%2F%2Fm.rakuten.co.jp%2Fvt-store%2Fi%2F10003286%2F&amp;r_v=g00s7iw3.9tq3e3fa.g00s7iw3.9tq3fd7e', 'https://review.rakuten.co.jp/item/1/228239_10063924/1.1/', 'https://images-fe.ssl-images-amazon.com/images/I/415u4zPGXbL.jpg', 'マイATMバンク'),</v>
      </c>
    </row>
    <row r="3" spans="1:1">
      <c r="A3" t="str">
        <f>"("&amp;入力シート!D14&amp;","&amp;"'"&amp;入力シート!D24&amp;"', '"&amp;入力シート!D25&amp;"', '"&amp;入力シート!C14&amp;"', '"&amp;入力シート!C6&amp;"', '"&amp;入力シート!D6&amp;"'),"</f>
        <v>(287,'', '//af.moshimo.com/af/c/click?a_id=988729&amp;p_id=54&amp;pc_id=54&amp;pl_id=616&amp;url=https%3A%2F%2Fitem.rakuten.co.jp%2Fdnetmall%2Fzk-mb-bak-20%2F&amp;m=http%3A%2F%2Fm.rakuten.co.jp%2Fdnetmall%2Fi%2F10014399%2F&amp;r_v=g00smtq3.9tq3ee8e.g00smtq3.9tq3f669', 'https://twitter.com/search?q=%E3%82%BB%E3%83%AA%E3%82%A2%E3%80%80%E3%81%8A%E6%9C%AD%E3%80%80%E8%B2%AF%E9%87%91%E7%AE%B1&amp;src=typd', 'http://livedoor.blogimg.jp/ouchinikki/imgs/7/f/7faf9ef9.jpg', 'セリア お札貯金箱'),</v>
      </c>
    </row>
    <row r="4" spans="1:1">
      <c r="A4" t="str">
        <f>"("&amp;入力シート!D16&amp;","&amp;"'"&amp;入力シート!D26&amp;"', '"&amp;入力シート!D27&amp;"', '"&amp;入力シート!C16&amp;"', '"&amp;入力シート!C7&amp;"', '"&amp;入力シート!D7&amp;"');"</f>
        <v>(288,'//af.moshimo.com/af/c/click?a_id=988731&amp;p_id=170&amp;pc_id=185&amp;pl_id=4062&amp;url=https%3A%2F%2Fwww.amazon.co.jp%2FCoca-Cola-Red-Cap-%25E8%25B6%2585%25E3%2583%2593%25E3%2583%2583%25E3%2582%25B0%25E3%2581%25AA%25E3%2582%25B3%25E3%2583%25BC%25E3%2583%25A9%25E3%2581%25AE%25E3%2583%259C%25E3%2583%2588%25E3%2583%25AB%25E5%259E%258B%25E8%25B2%25AF%25E9%2587%2591%25E7%25AE%25B1%2Fdp%2FB00S6SU70G', '//af.moshimo.com/af/c/click?a_id=988729&amp;p_id=54&amp;pc_id=54&amp;pl_id=616&amp;url=https%3A%2F%2Fitem.rakuten.co.jp%2Fmuse-enterprise%2Fcoke_pj-cb01%2F&amp;m=http%3A%2F%2Fm.rakuten.co.jp%2Fmuse-enterprise%2Fi%2F10000612%2F&amp;r_v=g00re3h3.9tq3ed8b.g00re3h3.9tq3f724', 'https://review.rakuten.co.jp/item/1/277981_10000612/1.1/', 'https://images-fe.ssl-images-amazon.com/images/I/61LE%2BuVOZVL.jpg', 'コカコーラボトルコインバンク');</v>
      </c>
    </row>
    <row r="9" spans="1:1">
      <c r="A9" s="35" t="s">
        <v>121</v>
      </c>
    </row>
    <row r="10" spans="1:1">
      <c r="A10" t="s">
        <v>120</v>
      </c>
    </row>
    <row r="11" spans="1:1" ht="18.75">
      <c r="A11" s="70">
        <v>285</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topLeftCell="A112" workbookViewId="0">
      <selection activeCell="A112" sqref="A1:A1048576"/>
    </sheetView>
  </sheetViews>
  <sheetFormatPr defaultRowHeight="13.5"/>
  <cols>
    <col min="1" max="1" width="67.375" bestFit="1" customWidth="1"/>
  </cols>
  <sheetData>
    <row r="1" spans="1:1">
      <c r="A1" s="19" t="str">
        <f>CONCATENATE("&lt;h2&gt;",入力シート!C2,"&lt;/h2&gt;")</f>
        <v>&lt;h2&gt;これで貯まる？貯金箱のおすすめ3選。楽しみながら貯金できる!?&lt;/h2&gt;</v>
      </c>
    </row>
    <row r="2" spans="1:1">
      <c r="A2" s="19" t="s">
        <v>84</v>
      </c>
    </row>
    <row r="3" spans="1:1">
      <c r="A3" s="20" t="s">
        <v>85</v>
      </c>
    </row>
    <row r="4" spans="1:1">
      <c r="A4" s="19" t="str">
        <f>CONCATENATE("&lt;li&gt;", アンケート!C54, "&lt;/li&gt;")</f>
        <v>&lt;li&gt;本気で貯金をがんばりたい方&lt;/li&gt;</v>
      </c>
    </row>
    <row r="5" spans="1:1">
      <c r="A5" s="19" t="str">
        <f>CONCATENATE("&lt;li&gt;", アンケート!C55, "&lt;/li&gt;")</f>
        <v>&lt;li&gt;ユーモアのある貯金箱を求めている方&lt;/li&gt;</v>
      </c>
    </row>
    <row r="6" spans="1:1">
      <c r="A6" s="19" t="str">
        <f>CONCATENATE("&lt;li&gt;", アンケート!C56, "&lt;/li&gt;")</f>
        <v>&lt;li&gt;安くてお洒落な貯金箱を求めている方&lt;/li&gt;</v>
      </c>
    </row>
    <row r="7" spans="1:1">
      <c r="A7" s="19" t="s">
        <v>86</v>
      </c>
    </row>
    <row r="8" spans="1:1">
      <c r="A8" s="19" t="s">
        <v>87</v>
      </c>
    </row>
    <row r="9" spans="1:1">
      <c r="A9" s="19"/>
    </row>
    <row r="10" spans="1:1">
      <c r="A10" s="19" t="s">
        <v>124</v>
      </c>
    </row>
    <row r="11" spans="1:1">
      <c r="A11" s="19" t="s">
        <v>88</v>
      </c>
    </row>
    <row r="12" spans="1:1">
      <c r="A12" s="19" t="str">
        <f>CONCATENATE("&lt;img src=","""http://shomty.com/wp-content/uploads/img/parts/positionMap/",アンケート!$C$6,".jpg", """ /&gt;")</f>
        <v>&lt;img src="http://shomty.com/wp-content/uploads/img/parts/positionMap/7.jpg" /&gt;</v>
      </c>
    </row>
    <row r="13" spans="1:1">
      <c r="A13" s="29" t="str">
        <f>CONCATENATE("今回紹介する『", アンケート!C2,"』は","「価格と品質」どちらを重要視したのかをあらわした図です。")</f>
        <v>今回紹介する『貯金箱』は「価格と品質」どちらを重要視したのかをあらわした図です。</v>
      </c>
    </row>
    <row r="14" spans="1:1">
      <c r="A14" s="29"/>
    </row>
    <row r="15" spans="1:1">
      <c r="A15" s="29" t="s">
        <v>125</v>
      </c>
    </row>
    <row r="16" spans="1:1">
      <c r="A16" s="29" t="s">
        <v>123</v>
      </c>
    </row>
    <row r="17" spans="1:2">
      <c r="A17" s="19" t="s">
        <v>87</v>
      </c>
    </row>
    <row r="18" spans="1:2">
      <c r="A18" t="s">
        <v>70</v>
      </c>
    </row>
    <row r="19" spans="1:2">
      <c r="A19" t="str">
        <f>CONCATENATE("&lt;h2&gt;『",アンケート!C2,"』 ランキング&lt;/h2&gt;")</f>
        <v>&lt;h2&gt;『貯金箱』 ランキング&lt;/h2&gt;</v>
      </c>
    </row>
    <row r="20" spans="1:2">
      <c r="A20" t="s">
        <v>89</v>
      </c>
    </row>
    <row r="22" spans="1:2">
      <c r="A22" t="str">
        <f>CONCATENATE("&lt;h3&gt;3位 ",アンケート!C41,"&lt;/h3&gt;")</f>
        <v>&lt;h3&gt;3位 コカコーラボトルコインバンク&lt;/h3&gt;</v>
      </c>
    </row>
    <row r="23" spans="1:2">
      <c r="A23" t="s">
        <v>90</v>
      </c>
    </row>
    <row r="24" spans="1:2">
      <c r="A24" t="s">
        <v>68</v>
      </c>
    </row>
    <row r="25" spans="1:2">
      <c r="A25" t="str">
        <f>アンケート!C48</f>
        <v>インパクト大の貯金箱がほしい方</v>
      </c>
    </row>
    <row r="26" spans="1:2">
      <c r="A26" t="s">
        <v>69</v>
      </c>
    </row>
    <row r="27" spans="1:2">
      <c r="A27" s="6" t="str">
        <f>CONCATENATE("[tblStart num=5]", 入力シート!C7, "[/tblStart]")</f>
        <v>[tblStart num=5]https://images-fe.ssl-images-amazon.com/images/I/61LE%2BuVOZVL.jpg[/tblStart]</v>
      </c>
    </row>
    <row r="28" spans="1:2">
      <c r="A28" t="str">
        <f>CONCATENATE("[tdLevel type=", B28, "]", 比較表!A4, "[/tdLevel]")</f>
        <v>[tdLevel type=5]貯まることに喜びを感じれる[/tdLevel]</v>
      </c>
      <c r="B28">
        <f>HLOOKUP(アンケート!$C$41,比較表!$B$3:$D$8,2)</f>
        <v>5</v>
      </c>
    </row>
    <row r="29" spans="1:2">
      <c r="A29" t="str">
        <f>CONCATENATE("[tdLevel type=", B29, "]", 比較表!A5, "[/tdLevel]")</f>
        <v>[tdLevel type=2]機能性[/tdLevel]</v>
      </c>
      <c r="B29">
        <f>HLOOKUP(アンケート!$C$41,比較表!$B$3:$D$8,3)</f>
        <v>2</v>
      </c>
    </row>
    <row r="30" spans="1:2">
      <c r="A30" t="str">
        <f>CONCATENATE("[tdLevel type=", B30, "]", 比較表!A6, "[/tdLevel]")</f>
        <v>[tdLevel type=4]見た目[/tdLevel]</v>
      </c>
      <c r="B30">
        <f>HLOOKUP(アンケート!$C$41,比較表!$B$3:$D$8,4)</f>
        <v>4</v>
      </c>
    </row>
    <row r="31" spans="1:2">
      <c r="A31" t="str">
        <f>CONCATENATE("[tdLevel type=", B31, "]", 比較表!A7, "[/tdLevel]")</f>
        <v>[tdLevel type=1]価格[/tdLevel]</v>
      </c>
      <c r="B31">
        <f>HLOOKUP(アンケート!$C$41,比較表!$B$3:$D$8,5)</f>
        <v>1</v>
      </c>
    </row>
    <row r="32" spans="1:2">
      <c r="A32" t="str">
        <f>CONCATENATE("[tdLevel type=", B32, "]", 比較表!A8, "[/tdLevel]")</f>
        <v>[tdLevel type=3]購入しやすい[/tdLevel]</v>
      </c>
      <c r="B32">
        <f>HLOOKUP(アンケート!$C$41,比較表!$B$3:$D$8,6)</f>
        <v>3</v>
      </c>
    </row>
    <row r="33" spans="1:1">
      <c r="A33" t="s">
        <v>71</v>
      </c>
    </row>
    <row r="35" spans="1:1">
      <c r="A35" s="6" t="str">
        <f>CONCATENATE("[product_link id=",入力シート!D16,"][/product_link]")</f>
        <v>[product_link id=288][/product_link]</v>
      </c>
    </row>
    <row r="36" spans="1:1">
      <c r="A36" t="s">
        <v>91</v>
      </c>
    </row>
    <row r="37" spans="1:1">
      <c r="A37" t="s">
        <v>92</v>
      </c>
    </row>
    <row r="38" spans="1:1">
      <c r="A38" t="s">
        <v>93</v>
      </c>
    </row>
    <row r="39" spans="1:1">
      <c r="A39" t="s">
        <v>85</v>
      </c>
    </row>
    <row r="40" spans="1:1">
      <c r="A40" t="str">
        <f>CONCATENATE("&lt;li&gt;", アンケート!C42,"&lt;/li&gt;")</f>
        <v>&lt;li&gt;見た目にインパクトがある&lt;/li&gt;</v>
      </c>
    </row>
    <row r="41" spans="1:1">
      <c r="A41" t="str">
        <f>CONCATENATE("&lt;li&gt;", アンケート!C43,"&lt;/li&gt;")</f>
        <v>&lt;li&gt;たくさん貯金できる&lt;/li&gt;</v>
      </c>
    </row>
    <row r="42" spans="1:1">
      <c r="A42" t="str">
        <f>CONCATENATE("&lt;li&gt;", アンケート!C44,"&lt;/li&gt;")</f>
        <v>&lt;li&gt;透明で中身が見えるので、貯めがいがある&lt;/li&gt;</v>
      </c>
    </row>
    <row r="43" spans="1:1">
      <c r="A43" t="s">
        <v>86</v>
      </c>
    </row>
    <row r="44" spans="1:1">
      <c r="A44" t="s">
        <v>87</v>
      </c>
    </row>
    <row r="45" spans="1:1">
      <c r="A45" t="s">
        <v>94</v>
      </c>
    </row>
    <row r="46" spans="1:1">
      <c r="A46" t="s">
        <v>95</v>
      </c>
    </row>
    <row r="47" spans="1:1">
      <c r="A47" t="s">
        <v>92</v>
      </c>
    </row>
    <row r="48" spans="1:1">
      <c r="A48" t="s">
        <v>96</v>
      </c>
    </row>
    <row r="49" spans="1:1">
      <c r="A49" t="s">
        <v>85</v>
      </c>
    </row>
    <row r="50" spans="1:1">
      <c r="A50" t="str">
        <f>CONCATENATE("&lt;li&gt;", アンケート!C45,"&lt;/li&gt;")</f>
        <v>&lt;li&gt;大きいのでおく場所を考える&lt;/li&gt;</v>
      </c>
    </row>
    <row r="51" spans="1:1">
      <c r="A51" t="str">
        <f>CONCATENATE("&lt;li&gt;", アンケート!C46,"&lt;/li&gt;")</f>
        <v>&lt;li&gt;お金がいっぱいになるとかなり重い&lt;/li&gt;</v>
      </c>
    </row>
    <row r="52" spans="1:1">
      <c r="A52" t="str">
        <f>CONCATENATE("&lt;li&gt;", アンケート!C47,"&lt;/li&gt;")</f>
        <v>&lt;li&gt;高い&lt;/li&gt;</v>
      </c>
    </row>
    <row r="53" spans="1:1">
      <c r="A53" t="s">
        <v>86</v>
      </c>
    </row>
    <row r="54" spans="1:1">
      <c r="A54" t="s">
        <v>87</v>
      </c>
    </row>
    <row r="55" spans="1:1">
      <c r="A55" t="s">
        <v>94</v>
      </c>
    </row>
    <row r="56" spans="1:1">
      <c r="A56" t="s">
        <v>129</v>
      </c>
    </row>
    <row r="57" spans="1:1">
      <c r="A57" t="str">
        <f>CONCATENATE("[voice icon=","""http://shomty.com/wp-content/uploads/img/parts/review/", 入力シート!F16, ".jpg", """ name=""", 入力シート!E16, """ type=""", "l", """]")</f>
        <v>[voice icon="http://shomty.com/wp-content/uploads/img/parts/review/w_30_2.jpg" name="30代女性" type="l"]</v>
      </c>
    </row>
    <row r="58" spans="1:1">
      <c r="A58" t="str">
        <f>アンケート!C49</f>
        <v>おもしろい商品だなあと思い購入、届いた瞬間大きさに驚きました。 大きいのでかなりインパクトがあります。 子どもにプレゼントしたのですが、とっても喜んでいました。 中身が見えるので、子どもも楽しみながら貯金をしてくれています。</v>
      </c>
    </row>
    <row r="59" spans="1:1">
      <c r="A59" t="s">
        <v>102</v>
      </c>
    </row>
    <row r="60" spans="1:1">
      <c r="A60" t="str">
        <f>CONCATENATE("[voice icon=","""http://shomty.com/wp-content/uploads/img/parts/review/", 入力シート!F17, ".jpg", """ name=""", 入力シート!E17, """ type=""", "r", """]")</f>
        <v>[voice icon="http://shomty.com/wp-content/uploads/img/parts/review/w_20_1.jpg" name="20代女性" type="r"]</v>
      </c>
    </row>
    <row r="61" spans="1:1">
      <c r="A61" t="str">
        <f>アンケート!C50</f>
        <v>YouTubeを見て知りました。 予想していたよりも大きくて驚きましたが可愛いです。 こんなに大きい貯金箱はなかなかないので、いったいいくら貯まるんだろとわくわくします。 いっぱいになるまでがんばります。</v>
      </c>
    </row>
    <row r="62" spans="1:1">
      <c r="A62" t="s">
        <v>102</v>
      </c>
    </row>
    <row r="63" spans="1:1">
      <c r="A63" t="s">
        <v>97</v>
      </c>
    </row>
    <row r="64" spans="1:1">
      <c r="A64" t="str">
        <f>CONCATENATE("[reviewLink id=","""", 入力シート!D16,"""][/reviewLink]")</f>
        <v>[reviewLink id="288"][/reviewLink]</v>
      </c>
    </row>
    <row r="66" spans="1:2">
      <c r="A66" t="str">
        <f>CONCATENATE("&lt;h3&gt;2位 ",アンケート!C28,"&lt;/h3&gt;")</f>
        <v>&lt;h3&gt;2位 セリア お札貯金箱&lt;/h3&gt;</v>
      </c>
    </row>
    <row r="67" spans="1:2">
      <c r="A67" t="s">
        <v>90</v>
      </c>
    </row>
    <row r="68" spans="1:2">
      <c r="A68" t="s">
        <v>68</v>
      </c>
    </row>
    <row r="69" spans="1:2">
      <c r="A69" t="str">
        <f>アンケート!C35</f>
        <v>早くお金を貯めたい方</v>
      </c>
    </row>
    <row r="70" spans="1:2">
      <c r="A70" t="s">
        <v>69</v>
      </c>
    </row>
    <row r="71" spans="1:2" ht="27">
      <c r="A71" s="6" t="str">
        <f>CONCATENATE("[tblStart num=5]", 入力シート!$C$6, "[/tblStart]")</f>
        <v>[tblStart num=5]http://livedoor.blogimg.jp/ouchinikki/imgs/7/f/7faf9ef9.jpg[/tblStart]</v>
      </c>
    </row>
    <row r="72" spans="1:2">
      <c r="A72" t="str">
        <f>CONCATENATE("[tdLevel type=", B72, "]", 比較表!A4, "[/tdLevel]")</f>
        <v>[tdLevel type=5]貯まることに喜びを感じれる[/tdLevel]</v>
      </c>
      <c r="B72">
        <f>HLOOKUP(アンケート!$C$28,比較表!$B$3:$D$8,2,FALSE)</f>
        <v>5</v>
      </c>
    </row>
    <row r="73" spans="1:2">
      <c r="A73" t="str">
        <f>CONCATENATE("[tdLevel type=", B73, "]", 比較表!A5, "[/tdLevel]")</f>
        <v>[tdLevel type=2]機能性[/tdLevel]</v>
      </c>
      <c r="B73">
        <f>HLOOKUP(アンケート!$C$28,比較表!$B$3:$D$8,3,FALSE)</f>
        <v>2</v>
      </c>
    </row>
    <row r="74" spans="1:2">
      <c r="A74" t="str">
        <f>CONCATENATE("[tdLevel type=", B74, "]", 比較表!A6, "[/tdLevel]")</f>
        <v>[tdLevel type=5]見た目[/tdLevel]</v>
      </c>
      <c r="B74">
        <f>HLOOKUP(アンケート!$C$28,比較表!$B$3:$D$8,4,FALSE)</f>
        <v>5</v>
      </c>
    </row>
    <row r="75" spans="1:2">
      <c r="A75" t="str">
        <f>CONCATENATE("[tdLevel type=", B75, "]", 比較表!A7, "[/tdLevel]")</f>
        <v>[tdLevel type=5]価格[/tdLevel]</v>
      </c>
      <c r="B75">
        <f>HLOOKUP(アンケート!$C$28,比較表!$B$3:$D$8,5,FALSE)</f>
        <v>5</v>
      </c>
    </row>
    <row r="76" spans="1:2">
      <c r="A76" t="str">
        <f>CONCATENATE("[tdLevel type=", B76, "]", 比較表!A8, "[/tdLevel]")</f>
        <v>[tdLevel type=5]購入しやすい[/tdLevel]</v>
      </c>
      <c r="B76">
        <f>HLOOKUP(アンケート!$C$28,比較表!$B$3:$D$8,6,FALSE)</f>
        <v>5</v>
      </c>
    </row>
    <row r="77" spans="1:2">
      <c r="A77" t="s">
        <v>71</v>
      </c>
    </row>
    <row r="79" spans="1:2">
      <c r="A79" s="6" t="str">
        <f>CONCATENATE("[product_link id=",入力シート!D14,"][/product_link]")</f>
        <v>[product_link id=287][/product_link]</v>
      </c>
    </row>
    <row r="80" spans="1:2">
      <c r="A80" t="s">
        <v>91</v>
      </c>
    </row>
    <row r="81" spans="1:1">
      <c r="A81" t="s">
        <v>92</v>
      </c>
    </row>
    <row r="82" spans="1:1">
      <c r="A82" t="s">
        <v>93</v>
      </c>
    </row>
    <row r="83" spans="1:1">
      <c r="A83" t="s">
        <v>85</v>
      </c>
    </row>
    <row r="84" spans="1:1">
      <c r="A84" t="str">
        <f>CONCATENATE("&lt;li&gt;", アンケート!C29,"&lt;/li&gt;")</f>
        <v>&lt;li&gt;お札用の貯金箱なので、貯まりやすい&lt;/li&gt;</v>
      </c>
    </row>
    <row r="85" spans="1:1">
      <c r="A85" t="str">
        <f>CONCATENATE("&lt;li&gt;", アンケート!C30,"&lt;/li&gt;")</f>
        <v>&lt;li&gt;見た目がアンティークの本のようなお洒落なデザインもある&lt;/li&gt;</v>
      </c>
    </row>
    <row r="86" spans="1:1">
      <c r="A86" t="str">
        <f>CONCATENATE("&lt;li&gt;", アンケート!C31,"&lt;/li&gt;")</f>
        <v>&lt;li&gt;100均なので安い&lt;/li&gt;</v>
      </c>
    </row>
    <row r="87" spans="1:1">
      <c r="A87" t="s">
        <v>86</v>
      </c>
    </row>
    <row r="88" spans="1:1">
      <c r="A88" t="s">
        <v>87</v>
      </c>
    </row>
    <row r="89" spans="1:1">
      <c r="A89" t="s">
        <v>94</v>
      </c>
    </row>
    <row r="90" spans="1:1">
      <c r="A90" t="s">
        <v>95</v>
      </c>
    </row>
    <row r="91" spans="1:1">
      <c r="A91" t="s">
        <v>92</v>
      </c>
    </row>
    <row r="92" spans="1:1">
      <c r="A92" t="s">
        <v>96</v>
      </c>
    </row>
    <row r="93" spans="1:1">
      <c r="A93" t="s">
        <v>85</v>
      </c>
    </row>
    <row r="94" spans="1:1">
      <c r="A94" t="str">
        <f>CONCATENATE("&lt;li&gt;", アンケート!C32,"&lt;/li&gt;")</f>
        <v>&lt;li&gt;お金を出したい時、壊すしかない&lt;/li&gt;</v>
      </c>
    </row>
    <row r="95" spans="1:1">
      <c r="A95" t="str">
        <f>CONCATENATE("&lt;li&gt;", アンケート!C33,"&lt;/li&gt;")</f>
        <v>&lt;li&gt;人気で売り切れている場合がある&lt;/li&gt;</v>
      </c>
    </row>
    <row r="96" spans="1:1">
      <c r="A96" t="str">
        <f>CONCATENATE("&lt;li&gt;", アンケート!C34,"&lt;/li&gt;")</f>
        <v>&lt;li&gt;お札しか貯金できない&lt;/li&gt;</v>
      </c>
    </row>
    <row r="97" spans="1:1">
      <c r="A97" t="s">
        <v>86</v>
      </c>
    </row>
    <row r="98" spans="1:1">
      <c r="A98" t="s">
        <v>87</v>
      </c>
    </row>
    <row r="99" spans="1:1">
      <c r="A99" t="s">
        <v>94</v>
      </c>
    </row>
    <row r="100" spans="1:1">
      <c r="A100" t="s">
        <v>129</v>
      </c>
    </row>
    <row r="101" spans="1:1">
      <c r="A101" t="str">
        <f>CONCATENATE("[voice icon=","""http://shomty.com/wp-content/uploads/img/parts/review/", 入力シート!F14, ".jpg", """ name=""", 入力シート!E14, """ type=""", "l", """]")</f>
        <v>[voice icon="http://shomty.com/wp-content/uploads/img/parts/review/w_20_2.jpg" name="20代女性" type="l"]</v>
      </c>
    </row>
    <row r="102" spans="1:1">
      <c r="A102" t="str">
        <f>アンケート!C36</f>
        <v>見た目がとってもお洒落でタイプだったので購入しました。 今まで貯金箱に貯金をしても、途中で開けてしまい全く貯金箱ができていなかったので、これは開けるには壊すしかないので、なかなか貯金ができないわたしにはピッタリです。</v>
      </c>
    </row>
    <row r="103" spans="1:1">
      <c r="A103" t="s">
        <v>102</v>
      </c>
    </row>
    <row r="104" spans="1:1">
      <c r="A104" t="str">
        <f>CONCATENATE("[voice icon=","""http://shomty.com/wp-content/uploads/img/parts/review/", 入力シート!F15, ".jpg", """ name=""", 入力シート!E15, """ type=""", "r", """]")</f>
        <v>[voice icon="http://shomty.com/wp-content/uploads/img/parts/review/w_30_1.jpg" name="30代女性" type="r"]</v>
      </c>
    </row>
    <row r="105" spans="1:1">
      <c r="A105" t="str">
        <f>アンケート!C37</f>
        <v>ずっと気になっていたお札の貯金箱。 お札を折らずに入れれるところもいいです。 小銭のようにじゃらじゃら言いませんし、本棚に置いているので、貯金箱とバレずに堂々とへそくりができます。 いくら貯まるか楽しみです。</v>
      </c>
    </row>
    <row r="106" spans="1:1">
      <c r="A106" t="s">
        <v>102</v>
      </c>
    </row>
    <row r="107" spans="1:1">
      <c r="A107" t="s">
        <v>97</v>
      </c>
    </row>
    <row r="108" spans="1:1">
      <c r="A108" t="str">
        <f>CONCATENATE("[reviewLink id=","""", 入力シート!D14,"""][/reviewLink]")</f>
        <v>[reviewLink id="287"][/reviewLink]</v>
      </c>
    </row>
    <row r="110" spans="1:1">
      <c r="A110" t="str">
        <f>CONCATENATE("&lt;h3&gt;1位 ",アンケート!C13,"&lt;/h3&gt;")</f>
        <v>&lt;h3&gt;1位 マイATMバンク&lt;/h3&gt;</v>
      </c>
    </row>
    <row r="111" spans="1:1">
      <c r="A111" t="s">
        <v>90</v>
      </c>
    </row>
    <row r="112" spans="1:1">
      <c r="A112" t="s">
        <v>68</v>
      </c>
    </row>
    <row r="113" spans="1:2">
      <c r="A113" t="str">
        <f>アンケート!C22</f>
        <v>いくら貯まっているか随時知りたい方</v>
      </c>
    </row>
    <row r="114" spans="1:2">
      <c r="A114" t="s">
        <v>69</v>
      </c>
    </row>
    <row r="115" spans="1:2" ht="27">
      <c r="A115" s="6" t="str">
        <f>CONCATENATE("[tblStart num=5]", 入力シート!C5, "[/tblStart]")</f>
        <v>[tblStart num=5]https://images-fe.ssl-images-amazon.com/images/I/415u4zPGXbL.jpg[/tblStart]</v>
      </c>
    </row>
    <row r="116" spans="1:2">
      <c r="A116" t="str">
        <f>CONCATENATE("[tdLevel type=", B116, "]", 比較表!A4, "[/tdLevel]")</f>
        <v>[tdLevel type=5]貯まることに喜びを感じれる[/tdLevel]</v>
      </c>
      <c r="B116">
        <f>HLOOKUP(アンケート!$C$13,比較表!$B$3:$D$8,2,FALSE)</f>
        <v>5</v>
      </c>
    </row>
    <row r="117" spans="1:2">
      <c r="A117" t="str">
        <f>CONCATENATE("[tdLevel type=", B117, "]", 比較表!A5, "[/tdLevel]")</f>
        <v>[tdLevel type=5]機能性[/tdLevel]</v>
      </c>
      <c r="B117">
        <f>HLOOKUP(アンケート!$C$13,比較表!$B$3:$D$8,3,FALSE)</f>
        <v>5</v>
      </c>
    </row>
    <row r="118" spans="1:2">
      <c r="A118" t="str">
        <f>CONCATENATE("[tdLevel type=", B118, "]", 比較表!A6, "[/tdLevel]")</f>
        <v>[tdLevel type=3]見た目[/tdLevel]</v>
      </c>
      <c r="B118">
        <f>HLOOKUP(アンケート!$C$13,比較表!$B$3:$D$8,4,FALSE)</f>
        <v>3</v>
      </c>
    </row>
    <row r="119" spans="1:2">
      <c r="A119" t="str">
        <f>CONCATENATE("[tdLevel type=", B119, "]", 比較表!A7, "[/tdLevel]")</f>
        <v>[tdLevel type=1]価格[/tdLevel]</v>
      </c>
      <c r="B119">
        <f>HLOOKUP(アンケート!$C$13,比較表!$B$3:$D$8,5,FALSE)</f>
        <v>1</v>
      </c>
    </row>
    <row r="120" spans="1:2">
      <c r="A120" t="str">
        <f>CONCATENATE("[tdLevel type=", B120, "]", 比較表!A8, "[/tdLevel]")</f>
        <v>[tdLevel type=3]購入しやすい[/tdLevel]</v>
      </c>
      <c r="B120">
        <f>HLOOKUP(アンケート!$C$13,比較表!$B$3:$D$8,6,FALSE)</f>
        <v>3</v>
      </c>
    </row>
    <row r="121" spans="1:2">
      <c r="A121" t="s">
        <v>71</v>
      </c>
    </row>
    <row r="123" spans="1:2">
      <c r="A123" s="6" t="str">
        <f>CONCATENATE("[product_link id=",入力シート!D12,"][/product_link]")</f>
        <v>[product_link id=286][/product_link]</v>
      </c>
    </row>
    <row r="124" spans="1:2">
      <c r="A124" t="s">
        <v>91</v>
      </c>
    </row>
    <row r="125" spans="1:2">
      <c r="A125" t="s">
        <v>92</v>
      </c>
    </row>
    <row r="126" spans="1:2">
      <c r="A126" t="s">
        <v>93</v>
      </c>
    </row>
    <row r="127" spans="1:2">
      <c r="A127" t="s">
        <v>85</v>
      </c>
    </row>
    <row r="128" spans="1:2">
      <c r="A128" t="str">
        <f>CONCATENATE("&lt;li&gt;", アンケート!C14,"&lt;/li&gt;")</f>
        <v>&lt;li&gt;何円貯まっているかわかるので、やる気になれる&lt;/li&gt;</v>
      </c>
    </row>
    <row r="129" spans="1:1">
      <c r="A129" t="str">
        <f>CONCATENATE("&lt;li&gt;", アンケート!C15,"&lt;/li&gt;")</f>
        <v>&lt;li&gt;お金の管理がしやすい&lt;/li&gt;</v>
      </c>
    </row>
    <row r="130" spans="1:1">
      <c r="A130" t="str">
        <f>CONCATENATE("&lt;li&gt;", アンケート!C16,"&lt;/li&gt;")</f>
        <v>&lt;li&gt;ユーモアがある&lt;/li&gt;</v>
      </c>
    </row>
    <row r="131" spans="1:1">
      <c r="A131" t="str">
        <f>CONCATENATE("&lt;li&gt;", アンケート!C17,"&lt;/li&gt;")</f>
        <v>&lt;li&gt;ネットで購入できる&lt;/li&gt;</v>
      </c>
    </row>
    <row r="132" spans="1:1">
      <c r="A132" t="s">
        <v>86</v>
      </c>
    </row>
    <row r="133" spans="1:1">
      <c r="A133" t="s">
        <v>87</v>
      </c>
    </row>
    <row r="134" spans="1:1">
      <c r="A134" t="s">
        <v>94</v>
      </c>
    </row>
    <row r="135" spans="1:1">
      <c r="A135" t="s">
        <v>95</v>
      </c>
    </row>
    <row r="136" spans="1:1">
      <c r="A136" t="s">
        <v>92</v>
      </c>
    </row>
    <row r="137" spans="1:1">
      <c r="A137" t="s">
        <v>96</v>
      </c>
    </row>
    <row r="138" spans="1:1">
      <c r="A138" t="s">
        <v>85</v>
      </c>
    </row>
    <row r="139" spans="1:1">
      <c r="A139" t="str">
        <f>CONCATENATE("&lt;li&gt;", アンケート!C18,"&lt;/li&gt;")</f>
        <v>&lt;li&gt;カラーが2色しかない&lt;/li&gt;</v>
      </c>
    </row>
    <row r="140" spans="1:1">
      <c r="A140" t="str">
        <f>CONCATENATE("&lt;li&gt;", アンケート!C19,"&lt;/li&gt;")</f>
        <v>&lt;li&gt;似たような商品が他メーカーにもある&lt;/li&gt;</v>
      </c>
    </row>
    <row r="141" spans="1:1">
      <c r="A141" t="str">
        <f>CONCATENATE("&lt;li&gt;", アンケート!C20,"&lt;/li&gt;")</f>
        <v>&lt;li&gt;価格がやや高い&lt;/li&gt;</v>
      </c>
    </row>
    <row r="142" spans="1:1">
      <c r="A142" t="str">
        <f>CONCATENATE("&lt;li&gt;", アンケート!C21,"&lt;/li&gt;")</f>
        <v>&lt;li&gt;普通の貯金箱に比べると少し大きい&lt;/li&gt;</v>
      </c>
    </row>
    <row r="143" spans="1:1">
      <c r="A143" t="s">
        <v>86</v>
      </c>
    </row>
    <row r="144" spans="1:1">
      <c r="A144" t="s">
        <v>87</v>
      </c>
    </row>
    <row r="145" spans="1:1">
      <c r="A145" t="s">
        <v>94</v>
      </c>
    </row>
    <row r="146" spans="1:1">
      <c r="A146" t="s">
        <v>129</v>
      </c>
    </row>
    <row r="147" spans="1:1">
      <c r="A147" t="str">
        <f>CONCATENATE("[voice icon=","""http://shomty.com/wp-content/uploads/img/parts/review/", 入力シート!F12, ".jpg", """ name=""", 入力シート!E12, """ type=""", "l", """]")</f>
        <v>[voice icon="http://shomty.com/wp-content/uploads/img/parts/review/w_30_2.jpg" name="30代女性" type="l"]</v>
      </c>
    </row>
    <row r="148" spans="1:1">
      <c r="A148" t="str">
        <f>アンケート!C23</f>
        <v>小学生の息子のために購入しました。 子どものおもちゃとは思えないような機能性に優れた貯金箱です。 小銭は入れると自動でいくら入ったか計算してくれるので、子どもはそれも楽しいみたいで気に入って貯金してくれています。</v>
      </c>
    </row>
    <row r="149" spans="1:1">
      <c r="A149" t="s">
        <v>102</v>
      </c>
    </row>
    <row r="150" spans="1:1">
      <c r="A150" t="str">
        <f>CONCATENATE("[voice icon=","""http://shomty.com/wp-content/uploads/img/parts/review/", 入力シート!F13, ".jpg", """ name=""", 入力シート!E13, """ type=""", "r", """]")</f>
        <v>[voice icon="http://shomty.com/wp-content/uploads/img/parts/review/w_30_1.jpg" name="30代女性" type="r"]</v>
      </c>
    </row>
    <row r="151" spans="1:1">
      <c r="A151" t="str">
        <f>アンケート!C24</f>
        <v>娘のために購入しました。 お金を入れるとその場で今いくら貯まっているかがわかるので、とっても楽しそうに毎回貯金しています。 ほしいおもちゃがあるみたいなので、それを目標にがんばっている姿を見ると私も嬉しいです。</v>
      </c>
    </row>
    <row r="152" spans="1:1">
      <c r="A152" t="s">
        <v>102</v>
      </c>
    </row>
    <row r="153" spans="1:1">
      <c r="A153" t="s">
        <v>97</v>
      </c>
    </row>
    <row r="154" spans="1:1">
      <c r="A154" t="str">
        <f>CONCATENATE("[reviewLink id=","""", 入力シート!D12,"""][/reviewLink]")</f>
        <v>[reviewLink id="286"][/reviewLink]</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SQL</vt:lpstr>
      <vt:lpstr>出力</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2018-09-13T23:59:35Z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