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871f10c533d729/Desktop/"/>
    </mc:Choice>
  </mc:AlternateContent>
  <xr:revisionPtr revIDLastSave="0" documentId="8_{DF55F80A-2FC7-400C-839D-15EA0172150F}" xr6:coauthVersionLast="47" xr6:coauthVersionMax="47" xr10:uidLastSave="{00000000-0000-0000-0000-000000000000}"/>
  <bookViews>
    <workbookView xWindow="-110" yWindow="-110" windowWidth="19420" windowHeight="10300" xr2:uid="{462143F8-0D02-AF48-A4BA-389C45C16A92}"/>
  </bookViews>
  <sheets>
    <sheet name="Dash" sheetId="12" r:id="rId1"/>
    <sheet name="DCF" sheetId="2" r:id="rId2"/>
    <sheet name="CFS + Ratios" sheetId="8" r:id="rId3"/>
    <sheet name="Historicals" sheetId="11" r:id="rId4"/>
    <sheet name="WACC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8" l="1"/>
  <c r="P19" i="8"/>
  <c r="O19" i="8"/>
  <c r="D11" i="10"/>
  <c r="F42" i="2"/>
  <c r="D42" i="2"/>
  <c r="D16" i="10"/>
  <c r="D7" i="10"/>
  <c r="E54" i="2" s="1"/>
  <c r="E53" i="2"/>
  <c r="O12" i="8"/>
  <c r="P12" i="8"/>
  <c r="Q12" i="8"/>
  <c r="O13" i="8"/>
  <c r="P13" i="8"/>
  <c r="Q13" i="8"/>
  <c r="O14" i="8"/>
  <c r="P14" i="8"/>
  <c r="Q14" i="8"/>
  <c r="O15" i="8"/>
  <c r="P15" i="8"/>
  <c r="Q15" i="8"/>
  <c r="O18" i="8"/>
  <c r="P18" i="8"/>
  <c r="Q18" i="8"/>
  <c r="O22" i="8"/>
  <c r="P22" i="8"/>
  <c r="Q22" i="8"/>
  <c r="O23" i="8"/>
  <c r="P23" i="8"/>
  <c r="Q23" i="8"/>
  <c r="O24" i="8"/>
  <c r="P24" i="8"/>
  <c r="Q24" i="8"/>
  <c r="O27" i="8"/>
  <c r="P27" i="8"/>
  <c r="Q27" i="8"/>
  <c r="O28" i="8"/>
  <c r="P28" i="8"/>
  <c r="Q28" i="8"/>
  <c r="O29" i="8"/>
  <c r="P29" i="8"/>
  <c r="Q29" i="8"/>
  <c r="N29" i="8"/>
  <c r="N28" i="8"/>
  <c r="N27" i="8"/>
  <c r="N24" i="8"/>
  <c r="N23" i="8"/>
  <c r="N22" i="8"/>
  <c r="N18" i="8"/>
  <c r="N15" i="8"/>
  <c r="N14" i="8"/>
  <c r="N13" i="8"/>
  <c r="N12" i="8"/>
  <c r="O11" i="8"/>
  <c r="P11" i="8"/>
  <c r="Q11" i="8"/>
  <c r="N11" i="8"/>
  <c r="O10" i="8"/>
  <c r="P10" i="8"/>
  <c r="Q10" i="8"/>
  <c r="N10" i="8"/>
  <c r="O9" i="8"/>
  <c r="P9" i="8"/>
  <c r="Q9" i="8"/>
  <c r="N9" i="8"/>
  <c r="E42" i="2" l="1"/>
  <c r="F44" i="2" s="1"/>
  <c r="D29" i="2"/>
  <c r="E29" i="2"/>
  <c r="F29" i="2"/>
  <c r="G24" i="2"/>
  <c r="K27" i="2"/>
  <c r="H27" i="2" s="1"/>
  <c r="I27" i="2" s="1"/>
  <c r="J27" i="2" s="1"/>
  <c r="K25" i="2"/>
  <c r="H25" i="2" s="1"/>
  <c r="I25" i="2" s="1"/>
  <c r="J25" i="2" s="1"/>
  <c r="K26" i="2"/>
  <c r="E16" i="11"/>
  <c r="F16" i="11"/>
  <c r="G16" i="11"/>
  <c r="H16" i="11"/>
  <c r="I16" i="11"/>
  <c r="J16" i="11"/>
  <c r="K16" i="11"/>
  <c r="L16" i="11"/>
  <c r="M16" i="11"/>
  <c r="N16" i="11"/>
  <c r="N17" i="11" s="1"/>
  <c r="O16" i="11"/>
  <c r="O17" i="11" s="1"/>
  <c r="P16" i="11"/>
  <c r="P17" i="11" s="1"/>
  <c r="Q16" i="11"/>
  <c r="Q17" i="11" s="1"/>
  <c r="D16" i="11"/>
  <c r="E23" i="2"/>
  <c r="F23" i="2"/>
  <c r="D23" i="2"/>
  <c r="K21" i="2"/>
  <c r="E14" i="12"/>
  <c r="H24" i="2" l="1"/>
  <c r="K24" i="2"/>
  <c r="D18" i="10"/>
  <c r="O17" i="12"/>
  <c r="E16" i="12"/>
  <c r="E12" i="12"/>
  <c r="G18" i="2" l="1"/>
  <c r="N23" i="11"/>
  <c r="O23" i="11"/>
  <c r="P23" i="11"/>
  <c r="Q23" i="11"/>
  <c r="E22" i="11"/>
  <c r="F22" i="11"/>
  <c r="G22" i="11"/>
  <c r="H22" i="11"/>
  <c r="I22" i="11"/>
  <c r="J22" i="11"/>
  <c r="K22" i="11"/>
  <c r="L22" i="11"/>
  <c r="M22" i="11"/>
  <c r="D22" i="11"/>
  <c r="G43" i="8"/>
  <c r="F43" i="8"/>
  <c r="E10" i="11"/>
  <c r="E17" i="11" s="1"/>
  <c r="F10" i="11"/>
  <c r="F17" i="11" s="1"/>
  <c r="G10" i="11"/>
  <c r="H10" i="11"/>
  <c r="H17" i="11" s="1"/>
  <c r="I10" i="11"/>
  <c r="I17" i="11" s="1"/>
  <c r="J10" i="11"/>
  <c r="K10" i="11"/>
  <c r="K17" i="11" s="1"/>
  <c r="L10" i="11"/>
  <c r="M10" i="11"/>
  <c r="M17" i="11" s="1"/>
  <c r="D10" i="11"/>
  <c r="D17" i="11" s="1"/>
  <c r="O11" i="11"/>
  <c r="P11" i="11"/>
  <c r="Q11" i="11"/>
  <c r="E7" i="1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K20" i="2"/>
  <c r="H20" i="2" s="1"/>
  <c r="I20" i="2" s="1"/>
  <c r="J20" i="2" s="1"/>
  <c r="K19" i="2"/>
  <c r="E39" i="2"/>
  <c r="F39" i="2"/>
  <c r="D39" i="2"/>
  <c r="G14" i="8"/>
  <c r="D33" i="2" s="1"/>
  <c r="D32" i="2" s="1"/>
  <c r="H14" i="8"/>
  <c r="E33" i="2" s="1"/>
  <c r="E32" i="2" s="1"/>
  <c r="I14" i="8"/>
  <c r="F33" i="2" s="1"/>
  <c r="F32" i="2" s="1"/>
  <c r="F14" i="8"/>
  <c r="L11" i="11" l="1"/>
  <c r="L17" i="11"/>
  <c r="J23" i="11"/>
  <c r="J17" i="11"/>
  <c r="D23" i="11"/>
  <c r="F23" i="11"/>
  <c r="M23" i="11"/>
  <c r="E23" i="11"/>
  <c r="N11" i="11"/>
  <c r="G11" i="11"/>
  <c r="G17" i="11"/>
  <c r="H23" i="11"/>
  <c r="L23" i="11"/>
  <c r="J11" i="11"/>
  <c r="K23" i="11"/>
  <c r="I23" i="11"/>
  <c r="E11" i="11"/>
  <c r="D12" i="11" s="1"/>
  <c r="G23" i="11"/>
  <c r="H19" i="2"/>
  <c r="I19" i="2" s="1"/>
  <c r="J19" i="2" s="1"/>
  <c r="F11" i="11"/>
  <c r="D19" i="10"/>
  <c r="D21" i="10" s="1"/>
  <c r="E44" i="2"/>
  <c r="K18" i="2"/>
  <c r="H21" i="2"/>
  <c r="I21" i="2" s="1"/>
  <c r="J21" i="2" s="1"/>
  <c r="K11" i="11"/>
  <c r="I11" i="11"/>
  <c r="H11" i="11"/>
  <c r="M11" i="11"/>
  <c r="J12" i="2" l="1"/>
  <c r="J18" i="2"/>
  <c r="I18" i="2"/>
  <c r="D18" i="11"/>
  <c r="D24" i="11"/>
  <c r="H18" i="2"/>
  <c r="E36" i="2"/>
  <c r="F36" i="2"/>
  <c r="D36" i="2"/>
  <c r="E17" i="2"/>
  <c r="E30" i="2" s="1"/>
  <c r="F17" i="2"/>
  <c r="F30" i="2" s="1"/>
  <c r="D17" i="2"/>
  <c r="D30" i="2" s="1"/>
  <c r="G12" i="2" l="1"/>
  <c r="E50" i="2" s="1" a="1"/>
  <c r="E50" i="2" s="1"/>
  <c r="M12" i="2"/>
  <c r="D24" i="2"/>
  <c r="F24" i="2"/>
  <c r="E24" i="2"/>
  <c r="J24" i="2"/>
  <c r="I24" i="2"/>
  <c r="E43" i="2"/>
  <c r="F43" i="2"/>
  <c r="D43" i="2"/>
  <c r="D40" i="2"/>
  <c r="D47" i="2"/>
  <c r="F47" i="2"/>
  <c r="E47" i="2"/>
  <c r="G17" i="2"/>
  <c r="E18" i="2"/>
  <c r="F18" i="2"/>
  <c r="F40" i="2"/>
  <c r="D37" i="2"/>
  <c r="E40" i="2"/>
  <c r="F37" i="2"/>
  <c r="E37" i="2"/>
  <c r="G23" i="2" l="1"/>
  <c r="K43" i="2"/>
  <c r="H43" i="2"/>
  <c r="G43" i="2"/>
  <c r="G42" i="2" s="1"/>
  <c r="G37" i="2"/>
  <c r="H37" i="2" s="1"/>
  <c r="I37" i="2" s="1"/>
  <c r="J37" i="2" s="1"/>
  <c r="K37" i="2" s="1"/>
  <c r="J43" i="2"/>
  <c r="I43" i="2"/>
  <c r="J40" i="2"/>
  <c r="I40" i="2"/>
  <c r="G40" i="2"/>
  <c r="G39" i="2" s="1"/>
  <c r="H40" i="2"/>
  <c r="K40" i="2"/>
  <c r="G44" i="2" l="1"/>
  <c r="G36" i="2"/>
  <c r="G29" i="2" s="1"/>
  <c r="G32" i="2" l="1"/>
  <c r="G47" i="2" s="1"/>
  <c r="G30" i="2"/>
  <c r="H17" i="2" l="1"/>
  <c r="H23" i="2" l="1"/>
  <c r="H42" i="2"/>
  <c r="H44" i="2" s="1"/>
  <c r="H36" i="2"/>
  <c r="H39" i="2"/>
  <c r="I17" i="2"/>
  <c r="H29" i="2" l="1"/>
  <c r="I23" i="2"/>
  <c r="I42" i="2"/>
  <c r="I44" i="2" s="1"/>
  <c r="I39" i="2"/>
  <c r="I36" i="2"/>
  <c r="J17" i="2"/>
  <c r="H32" i="2" l="1"/>
  <c r="H47" i="2" s="1"/>
  <c r="H30" i="2"/>
  <c r="I29" i="2"/>
  <c r="J23" i="2"/>
  <c r="J42" i="2"/>
  <c r="J44" i="2" s="1"/>
  <c r="J39" i="2"/>
  <c r="J36" i="2"/>
  <c r="K17" i="2"/>
  <c r="I32" i="2" l="1"/>
  <c r="I47" i="2" s="1"/>
  <c r="I30" i="2"/>
  <c r="J29" i="2"/>
  <c r="K23" i="2"/>
  <c r="K42" i="2"/>
  <c r="K44" i="2" s="1"/>
  <c r="K36" i="2"/>
  <c r="K39" i="2"/>
  <c r="J32" i="2" l="1"/>
  <c r="J47" i="2" s="1"/>
  <c r="J30" i="2"/>
  <c r="K29" i="2"/>
  <c r="K32" i="2" l="1"/>
  <c r="K47" i="2" s="1"/>
  <c r="E52" i="2" s="1"/>
  <c r="K30" i="2"/>
  <c r="E56" i="2" l="1"/>
  <c r="E59" i="2" s="1"/>
  <c r="M13" i="12" l="1"/>
  <c r="O18" i="12" s="1"/>
  <c r="H1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<sst xmlns="http://schemas.openxmlformats.org/spreadsheetml/2006/main" count="358" uniqueCount="203">
  <si>
    <t>Agenda</t>
  </si>
  <si>
    <t>DCF</t>
  </si>
  <si>
    <t>3.</t>
  </si>
  <si>
    <t>WACC</t>
  </si>
  <si>
    <t>2.</t>
  </si>
  <si>
    <t>1.</t>
  </si>
  <si>
    <t>4.</t>
  </si>
  <si>
    <t>Price discussion</t>
  </si>
  <si>
    <t>Infos</t>
  </si>
  <si>
    <t>x</t>
  </si>
  <si>
    <t>Assumptions</t>
  </si>
  <si>
    <t xml:space="preserve">Income Statement </t>
  </si>
  <si>
    <t>Cash Flow Items</t>
  </si>
  <si>
    <t>Switches</t>
  </si>
  <si>
    <t>Revenue</t>
  </si>
  <si>
    <t>EBIT</t>
  </si>
  <si>
    <t>Revenue 23'24</t>
  </si>
  <si>
    <t>% Growth</t>
  </si>
  <si>
    <t>% Sales</t>
  </si>
  <si>
    <t>Taxes</t>
  </si>
  <si>
    <t>EBITDA</t>
  </si>
  <si>
    <t xml:space="preserve"> </t>
  </si>
  <si>
    <t>Operating Income</t>
  </si>
  <si>
    <t>-</t>
  </si>
  <si>
    <t>Income Statement</t>
  </si>
  <si>
    <t>Total Debt</t>
  </si>
  <si>
    <t>Net Debt</t>
  </si>
  <si>
    <t>Cash Flow Statement</t>
  </si>
  <si>
    <t>Operating Cash Flow</t>
  </si>
  <si>
    <t>Free Cash Flow</t>
  </si>
  <si>
    <t>High correlation to economic cycles (growing economy = more building)</t>
  </si>
  <si>
    <t>Bookings for next year already available</t>
  </si>
  <si>
    <t>D&amp;A</t>
  </si>
  <si>
    <t>NWC</t>
  </si>
  <si>
    <t>Non-current assets</t>
  </si>
  <si>
    <t>Revenues</t>
  </si>
  <si>
    <t>Gross income</t>
  </si>
  <si>
    <t>Year</t>
  </si>
  <si>
    <t>Net Income</t>
  </si>
  <si>
    <t>Tax provision</t>
  </si>
  <si>
    <t xml:space="preserve">https://finance.yahoo.com/quote/CAT/financials?p=CAT </t>
  </si>
  <si>
    <t>Balance Sheet Statement</t>
  </si>
  <si>
    <t>Total assets</t>
  </si>
  <si>
    <t>Total liabilities</t>
  </si>
  <si>
    <t>Total Shareholder Equity</t>
  </si>
  <si>
    <t>Net investing cash flow</t>
  </si>
  <si>
    <t>Net financing cash flow</t>
  </si>
  <si>
    <t>Free cash flow</t>
  </si>
  <si>
    <t>% EBIT</t>
  </si>
  <si>
    <t>Key Financial Ratios</t>
  </si>
  <si>
    <t>Current ratio</t>
  </si>
  <si>
    <t>Measures a company's ability to pay short-term obligations with short-term assets. A ratio above 1 indicates more assets than liabilities.</t>
  </si>
  <si>
    <t>:</t>
  </si>
  <si>
    <t>Significance</t>
  </si>
  <si>
    <t>Company Financial Statements (CFS)</t>
  </si>
  <si>
    <t>Gross margin</t>
  </si>
  <si>
    <t>Operating margin</t>
  </si>
  <si>
    <t>EBIT margin</t>
  </si>
  <si>
    <t>EBITDA margin</t>
  </si>
  <si>
    <t>Net profit margin</t>
  </si>
  <si>
    <t>ROE - Return on equity</t>
  </si>
  <si>
    <t>ROA - Return on assets</t>
  </si>
  <si>
    <t>Measures a corporation's profitability by revealing how much profit a company generates with the money shareholders have invested.</t>
  </si>
  <si>
    <t>Price:</t>
  </si>
  <si>
    <t>Asset Turnover</t>
  </si>
  <si>
    <t>Cash &amp; Equivalents</t>
  </si>
  <si>
    <t>Receivables</t>
  </si>
  <si>
    <t>Inventory</t>
  </si>
  <si>
    <t>Quick ratio</t>
  </si>
  <si>
    <t>The acid-test ratio measures a company’s ability to pay off short-term liabilities with quick assets:</t>
  </si>
  <si>
    <t>This ratio measures a firm's efficiency at using its assets to generate sales or revenue—the higher the number, the better</t>
  </si>
  <si>
    <t>Debt. Excluding NWC items</t>
  </si>
  <si>
    <t>NWC = current assets</t>
  </si>
  <si>
    <t>Equity (Market cap.)</t>
  </si>
  <si>
    <t>Moody's/SEP rating</t>
  </si>
  <si>
    <t>A</t>
  </si>
  <si>
    <t>Cost of debt</t>
  </si>
  <si>
    <t>Average of company bond yields</t>
  </si>
  <si>
    <t>САТ545981З</t>
  </si>
  <si>
    <t>А2</t>
  </si>
  <si>
    <t>А</t>
  </si>
  <si>
    <t>N</t>
  </si>
  <si>
    <t>САТ4О56З52</t>
  </si>
  <si>
    <t>САТ5О7725О</t>
  </si>
  <si>
    <t>САТ4О8О847</t>
  </si>
  <si>
    <t>САТ4128611</t>
  </si>
  <si>
    <t>САТ5254452</t>
  </si>
  <si>
    <t>САТ5ЗЗЗ915</t>
  </si>
  <si>
    <t>САТ5459729</t>
  </si>
  <si>
    <t>САТ5О4З484</t>
  </si>
  <si>
    <t>САТ.МР</t>
  </si>
  <si>
    <t>CAT.MS</t>
  </si>
  <si>
    <t>CAT.GNE</t>
  </si>
  <si>
    <t>CAT.GVB</t>
  </si>
  <si>
    <t>САТ. НОН</t>
  </si>
  <si>
    <t>САТ.АС</t>
  </si>
  <si>
    <t>САТЗ891156</t>
  </si>
  <si>
    <t>САТЗ92875О</t>
  </si>
  <si>
    <t>Symbol</t>
  </si>
  <si>
    <t>Callable</t>
  </si>
  <si>
    <t>Moody's Rating</t>
  </si>
  <si>
    <t>S&amp;P Rating</t>
  </si>
  <si>
    <t>Latest Sale Yield</t>
  </si>
  <si>
    <t>Maturity Date</t>
  </si>
  <si>
    <t>САТ5584887</t>
  </si>
  <si>
    <t>САТ4О41028</t>
  </si>
  <si>
    <t>САТ4О71669</t>
  </si>
  <si>
    <t>САТ5522228</t>
  </si>
  <si>
    <t>САТ51З66О8</t>
  </si>
  <si>
    <t>САТ41О7628</t>
  </si>
  <si>
    <t>САТ5584888</t>
  </si>
  <si>
    <t>САТ41З688О</t>
  </si>
  <si>
    <t>САТ4З91О65</t>
  </si>
  <si>
    <t>САТ416З6З9</t>
  </si>
  <si>
    <t>САТ4247107</t>
  </si>
  <si>
    <t>САТ425ОО71</t>
  </si>
  <si>
    <t>CAT.RU</t>
  </si>
  <si>
    <t>30-Year Risk Free Rate</t>
  </si>
  <si>
    <t>Equity Beta</t>
  </si>
  <si>
    <t>Market RP</t>
  </si>
  <si>
    <t>Cost of Equity</t>
  </si>
  <si>
    <t>D/(D+E)</t>
  </si>
  <si>
    <t>E/(D+E)</t>
  </si>
  <si>
    <t>billions</t>
  </si>
  <si>
    <t>The percentage of total sales revenue that the company retains after incurring the direct costs associated with producing the goods it sells. A higher margin indicates more efficiency in turning raw materials into income.</t>
  </si>
  <si>
    <t>Represents the percentage of revenue left after paying for variable production costs. It measures the proportion of revenue that covers fixed costs and profits.</t>
  </si>
  <si>
    <t>Earnings Before Interest and Taxes margin shows the percentage of earnings relative to sales before interest and tax expenses.</t>
  </si>
  <si>
    <t>Earnings Before Interest, Taxes, Depreciation, and Amortization margin indicates the company's operational profitability before non-operating expenses.</t>
  </si>
  <si>
    <t>Indicates how much of each dollar earned by the company is translated into profits. A higher percentage means more efficiency in converting revenue into actual profit.</t>
  </si>
  <si>
    <t>Indicates how profitable a company is relative to its total assets.</t>
  </si>
  <si>
    <t>*</t>
  </si>
  <si>
    <t>Tax rate</t>
  </si>
  <si>
    <t>Revenue 2027</t>
  </si>
  <si>
    <t>Optimistic case</t>
  </si>
  <si>
    <t>Net PPE</t>
  </si>
  <si>
    <t>Goodwill and other int.</t>
  </si>
  <si>
    <t>Non-current account receivables</t>
  </si>
  <si>
    <t>Other non-current assets</t>
  </si>
  <si>
    <t>Payables &amp; accrued expenses</t>
  </si>
  <si>
    <t>Current debt and capital lease obligations</t>
  </si>
  <si>
    <t>Current deferred revenue</t>
  </si>
  <si>
    <t>Current deferred taxes</t>
  </si>
  <si>
    <t>Other current liabilities</t>
  </si>
  <si>
    <t>Long-term debt and capital lease obligation</t>
  </si>
  <si>
    <t>Employee benefits</t>
  </si>
  <si>
    <t>Other non-current liabilities</t>
  </si>
  <si>
    <t>Cost of revenue</t>
  </si>
  <si>
    <t>CapEx</t>
  </si>
  <si>
    <t>Optimistic (REF:3)</t>
  </si>
  <si>
    <t>Conservative (REF:1)</t>
  </si>
  <si>
    <t>REF(x)</t>
  </si>
  <si>
    <t>Growth</t>
  </si>
  <si>
    <t>Average</t>
  </si>
  <si>
    <t>The debt ratio is valuable for evaluating a company’s financial structure and risk profile.</t>
  </si>
  <si>
    <t>% of Sales</t>
  </si>
  <si>
    <t>Period</t>
  </si>
  <si>
    <t>Operating gains and losses</t>
  </si>
  <si>
    <t>Deferred tax</t>
  </si>
  <si>
    <t>Other non-cash items</t>
  </si>
  <si>
    <t>Operating net income</t>
  </si>
  <si>
    <t>Change in working capital</t>
  </si>
  <si>
    <t>Current Assets</t>
  </si>
  <si>
    <t>Current liabilities</t>
  </si>
  <si>
    <t>Non-current liabilities</t>
  </si>
  <si>
    <t>Change in NWC</t>
  </si>
  <si>
    <t>EV</t>
  </si>
  <si>
    <t>Excess cash</t>
  </si>
  <si>
    <t>Valuation</t>
  </si>
  <si>
    <t>Debt</t>
  </si>
  <si>
    <t>Total Equity Value</t>
  </si>
  <si>
    <t>Shares outstanding</t>
  </si>
  <si>
    <t>Value per share</t>
  </si>
  <si>
    <t>Enterprise Value</t>
  </si>
  <si>
    <t>In billions</t>
  </si>
  <si>
    <t>Current:</t>
  </si>
  <si>
    <t>% Diff</t>
  </si>
  <si>
    <r>
      <rPr>
        <b/>
        <sz val="12"/>
        <color theme="1"/>
        <rFont val="Helvetica"/>
        <family val="2"/>
      </rPr>
      <t xml:space="preserve">NYSE: </t>
    </r>
    <r>
      <rPr>
        <sz val="12"/>
        <color theme="1"/>
        <rFont val="Helvetica"/>
        <family val="2"/>
      </rPr>
      <t>CAT</t>
    </r>
  </si>
  <si>
    <t>Historical data</t>
  </si>
  <si>
    <t>EBITDA 2027</t>
  </si>
  <si>
    <t>Caterpillar current performance &amp; strategy</t>
  </si>
  <si>
    <t>Growth estimates</t>
  </si>
  <si>
    <t>5.</t>
  </si>
  <si>
    <t>WACC (+0,5%)</t>
  </si>
  <si>
    <t>WACC (-0,5%)</t>
  </si>
  <si>
    <t>Profitabilty</t>
    <phoneticPr fontId="0" type="noConversion"/>
  </si>
  <si>
    <t>Efficiency</t>
    <phoneticPr fontId="0" type="noConversion"/>
  </si>
  <si>
    <t>Inventory Turnover</t>
    <phoneticPr fontId="0" type="noConversion"/>
  </si>
  <si>
    <t>Liquidity</t>
    <phoneticPr fontId="0" type="noConversion"/>
  </si>
  <si>
    <t>The metric evaluates company's ability to repay its short-term debt with cash or near-cash resources, such as easily marketable securities.</t>
    <phoneticPr fontId="0" type="noConversion"/>
  </si>
  <si>
    <t>Leverage</t>
    <phoneticPr fontId="0" type="noConversion"/>
  </si>
  <si>
    <t>Debt-to-asset Ratio</t>
    <phoneticPr fontId="0" type="noConversion"/>
  </si>
  <si>
    <t>Debt-to-equity Ratio</t>
    <phoneticPr fontId="0" type="noConversion"/>
  </si>
  <si>
    <t>The general consensus is that it should not be above a level of 2.0. While some very large companies in fixed asset-heavy industries (such as mining or manufacturing) may have ratios higher than 2, these are the exception rather than the rule.</t>
    <phoneticPr fontId="0" type="noConversion"/>
  </si>
  <si>
    <t>Debt-to-EBITDA</t>
    <phoneticPr fontId="0" type="noConversion"/>
  </si>
  <si>
    <t>A declining debt-to-EBITDA ratio is better than an increasing one because it implies the company is paying off its debt and/or growing earnings. Likewise, an increasing debt-to-EBITDA ratio means the company is increasing debt more than earnings.</t>
  </si>
  <si>
    <t>Cash ratio</t>
  </si>
  <si>
    <t>Source:</t>
  </si>
  <si>
    <t>Base case</t>
  </si>
  <si>
    <t>Base (REF:2)</t>
  </si>
  <si>
    <t>Conservative case</t>
  </si>
  <si>
    <t>Caterpillar Bonds</t>
  </si>
  <si>
    <t>Weighted Average Cost of Capital (WACC)</t>
  </si>
  <si>
    <t>Expressed as the number of times an enterprise sells out of its stock of goods within a given period of time. The ratio is calculated by taking the cost of goods sold over the average inventory for a particular time period. Here we have taken Days Sales in Inventory (DSI) which is number of days it takes your business to convert your entire inventory to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</si>
</sst>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$-C09]#,##0;\-[$$-C09]#,##0"/>
    <numFmt numFmtId="165" formatCode="0.0%"/>
    <numFmt numFmtId="166" formatCode="[$$-C09]#,##0.00;\-[$$-C09]#,##0.00"/>
    <numFmt numFmtId="167" formatCode="#,##0.00\ &quot;€&quot;"/>
    <numFmt numFmtId="168" formatCode="[$$-45C]#,##0.00"/>
    <numFmt numFmtId="169" formatCode="0.00_);[Red]\(0.00\)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rgb="FF232A31"/>
      <name val="Helvetica"/>
      <family val="2"/>
    </font>
    <font>
      <b/>
      <sz val="12"/>
      <color theme="1"/>
      <name val="Helvetica"/>
      <family val="2"/>
    </font>
    <font>
      <sz val="12"/>
      <color rgb="FF0070C0"/>
      <name val="Helvetica"/>
      <family val="2"/>
    </font>
    <font>
      <b/>
      <sz val="12"/>
      <color theme="0"/>
      <name val="Helvetica"/>
      <family val="2"/>
    </font>
    <font>
      <sz val="12"/>
      <color theme="0"/>
      <name val="Helvetica"/>
      <family val="2"/>
    </font>
    <font>
      <b/>
      <u/>
      <sz val="12"/>
      <color theme="1"/>
      <name val="Helvetica"/>
      <family val="2"/>
    </font>
    <font>
      <sz val="12"/>
      <color theme="1" tint="0.249977111117893"/>
      <name val="Helvetica"/>
      <family val="2"/>
    </font>
    <font>
      <sz val="12"/>
      <color theme="8" tint="-0.249977111117893"/>
      <name val="Helvetica"/>
      <family val="2"/>
    </font>
    <font>
      <sz val="12"/>
      <color theme="2" tint="-0.499984740745262"/>
      <name val="Helvetica"/>
      <family val="2"/>
    </font>
    <font>
      <b/>
      <sz val="12"/>
      <color theme="2"/>
      <name val="Helvetica"/>
      <family val="2"/>
    </font>
    <font>
      <b/>
      <sz val="12"/>
      <color rgb="FF232A31"/>
      <name val="Helvetica"/>
      <family val="2"/>
    </font>
    <font>
      <i/>
      <sz val="12"/>
      <color theme="1"/>
      <name val="Helvetica"/>
      <family val="2"/>
    </font>
    <font>
      <sz val="12"/>
      <color theme="2" tint="-0.249977111117893"/>
      <name val="Helvetica"/>
      <family val="2"/>
    </font>
    <font>
      <i/>
      <sz val="12"/>
      <color theme="2" tint="-0.249977111117893"/>
      <name val="Helvetica"/>
      <family val="2"/>
    </font>
    <font>
      <u/>
      <sz val="12"/>
      <color theme="1"/>
      <name val="Helvetica"/>
      <family val="2"/>
    </font>
    <font>
      <sz val="12"/>
      <color rgb="FF212529"/>
      <name val="Helvetica"/>
      <family val="2"/>
    </font>
    <font>
      <b/>
      <sz val="24"/>
      <color theme="0"/>
      <name val="Helvetica"/>
      <family val="2"/>
    </font>
    <font>
      <sz val="10"/>
      <color rgb="FF000000"/>
      <name val="Arial"/>
      <family val="2"/>
    </font>
    <font>
      <b/>
      <i/>
      <sz val="12"/>
      <color theme="1"/>
      <name val="Helvetica"/>
      <family val="2"/>
    </font>
    <font>
      <b/>
      <u/>
      <sz val="12"/>
      <color theme="10"/>
      <name val="Helvetica"/>
      <family val="2"/>
    </font>
    <font>
      <sz val="12"/>
      <color theme="2"/>
      <name val="Helvetica"/>
      <family val="2"/>
    </font>
    <font>
      <sz val="1"/>
      <color indexed="9"/>
      <name val="Symbol"/>
      <charset val="2"/>
    </font>
    <font>
      <b/>
      <sz val="12"/>
      <color rgb="FF0070C0"/>
      <name val="Helvetica"/>
      <family val="2"/>
    </font>
    <font>
      <b/>
      <sz val="12"/>
      <color theme="8" tint="-0.249977111117893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40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/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double">
        <color indexed="64"/>
      </top>
      <bottom style="dotted">
        <color theme="1"/>
      </bottom>
      <diagonal/>
    </border>
    <border>
      <left/>
      <right style="dotted">
        <color theme="1"/>
      </right>
      <top/>
      <bottom style="dotted">
        <color theme="2" tint="-0.249977111117893"/>
      </bottom>
      <diagonal/>
    </border>
    <border>
      <left/>
      <right/>
      <top/>
      <bottom style="dotted">
        <color theme="2" tint="-0.249977111117893"/>
      </bottom>
      <diagonal/>
    </border>
    <border>
      <left/>
      <right style="dotted">
        <color theme="1"/>
      </right>
      <top style="dotted">
        <color theme="2" tint="-0.249977111117893"/>
      </top>
      <bottom style="dotted">
        <color theme="2" tint="-0.249977111117893"/>
      </bottom>
      <diagonal/>
    </border>
    <border>
      <left/>
      <right/>
      <top style="dotted">
        <color theme="2" tint="-0.249977111117893"/>
      </top>
      <bottom style="dotted">
        <color theme="2" tint="-0.249977111117893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/>
      <top/>
      <bottom style="dotted">
        <color theme="0"/>
      </bottom>
      <diagonal/>
    </border>
    <border>
      <left/>
      <right/>
      <top/>
      <bottom style="medium">
        <color theme="1"/>
      </bottom>
      <diagonal/>
    </border>
    <border>
      <left style="medium">
        <color rgb="FFFFC403"/>
      </left>
      <right style="medium">
        <color rgb="FFFFC403"/>
      </right>
      <top style="medium">
        <color rgb="FFFFC403"/>
      </top>
      <bottom style="medium">
        <color rgb="FFFFC403"/>
      </bottom>
      <diagonal/>
    </border>
    <border>
      <left/>
      <right style="medium">
        <color rgb="FFFFC403"/>
      </right>
      <top style="dotted">
        <color rgb="FFFFC403"/>
      </top>
      <bottom style="dotted">
        <color rgb="FFFFC403"/>
      </bottom>
      <diagonal/>
    </border>
    <border>
      <left/>
      <right/>
      <top style="dotted">
        <color rgb="FFFFC403"/>
      </top>
      <bottom style="dotted">
        <color rgb="FFFFC403"/>
      </bottom>
      <diagonal/>
    </border>
    <border>
      <left/>
      <right style="double">
        <color theme="1"/>
      </right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5" fillId="0" borderId="0" applyAlignment="0"/>
  </cellStyleXfs>
  <cellXfs count="149">
    <xf numFmtId="0" fontId="0" fillId="0" borderId="0" xfId="0"/>
    <xf numFmtId="0" fontId="3" fillId="0" borderId="0" xfId="0" applyFont="1"/>
    <xf numFmtId="0" fontId="3" fillId="5" borderId="0" xfId="0" applyFont="1" applyFill="1"/>
    <xf numFmtId="0" fontId="3" fillId="7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3" fillId="0" borderId="6" xfId="0" applyFont="1" applyBorder="1"/>
    <xf numFmtId="0" fontId="5" fillId="0" borderId="0" xfId="0" applyFont="1"/>
    <xf numFmtId="10" fontId="3" fillId="0" borderId="0" xfId="1" applyNumberFormat="1" applyFont="1" applyAlignment="1">
      <alignment horizontal="center"/>
    </xf>
    <xf numFmtId="0" fontId="6" fillId="0" borderId="0" xfId="0" applyFont="1" applyAlignment="1">
      <alignment wrapText="1"/>
    </xf>
    <xf numFmtId="0" fontId="7" fillId="8" borderId="2" xfId="0" applyFont="1" applyFill="1" applyBorder="1" applyAlignment="1">
      <alignment wrapText="1"/>
    </xf>
    <xf numFmtId="0" fontId="3" fillId="0" borderId="3" xfId="0" applyFont="1" applyBorder="1"/>
    <xf numFmtId="0" fontId="8" fillId="5" borderId="0" xfId="0" applyFont="1" applyFill="1"/>
    <xf numFmtId="0" fontId="5" fillId="0" borderId="0" xfId="0" applyFont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2" borderId="0" xfId="0" applyFont="1" applyFill="1"/>
    <xf numFmtId="0" fontId="3" fillId="4" borderId="5" xfId="0" applyFont="1" applyFill="1" applyBorder="1" applyAlignment="1">
      <alignment horizontal="center"/>
    </xf>
    <xf numFmtId="9" fontId="3" fillId="4" borderId="5" xfId="1" applyFont="1" applyFill="1" applyBorder="1" applyAlignment="1">
      <alignment horizont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164" fontId="10" fillId="2" borderId="0" xfId="0" applyNumberFormat="1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0" fontId="10" fillId="2" borderId="0" xfId="0" applyNumberFormat="1" applyFont="1" applyFill="1" applyAlignment="1">
      <alignment horizontal="right"/>
    </xf>
    <xf numFmtId="165" fontId="10" fillId="2" borderId="0" xfId="0" applyNumberFormat="1" applyFont="1" applyFill="1"/>
    <xf numFmtId="165" fontId="11" fillId="2" borderId="0" xfId="0" applyNumberFormat="1" applyFont="1" applyFill="1" applyAlignment="1">
      <alignment horizontal="right"/>
    </xf>
    <xf numFmtId="165" fontId="12" fillId="6" borderId="5" xfId="1" applyNumberFormat="1" applyFont="1" applyFill="1" applyBorder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164" fontId="10" fillId="2" borderId="0" xfId="0" applyNumberFormat="1" applyFont="1" applyFill="1"/>
    <xf numFmtId="10" fontId="10" fillId="2" borderId="0" xfId="0" applyNumberFormat="1" applyFont="1" applyFill="1"/>
    <xf numFmtId="9" fontId="3" fillId="0" borderId="0" xfId="1" applyFont="1"/>
    <xf numFmtId="9" fontId="5" fillId="0" borderId="0" xfId="1" applyFont="1"/>
    <xf numFmtId="0" fontId="13" fillId="5" borderId="0" xfId="0" applyFont="1" applyFill="1"/>
    <xf numFmtId="0" fontId="5" fillId="2" borderId="0" xfId="0" applyFont="1" applyFill="1"/>
    <xf numFmtId="0" fontId="5" fillId="0" borderId="1" xfId="0" applyFont="1" applyBorder="1"/>
    <xf numFmtId="0" fontId="3" fillId="2" borderId="0" xfId="0" applyFont="1" applyFill="1" applyAlignment="1">
      <alignment horizontal="right"/>
    </xf>
    <xf numFmtId="0" fontId="3" fillId="0" borderId="7" xfId="0" applyFont="1" applyBorder="1"/>
    <xf numFmtId="0" fontId="5" fillId="0" borderId="7" xfId="0" applyFont="1" applyBorder="1"/>
    <xf numFmtId="0" fontId="4" fillId="0" borderId="0" xfId="0" applyFont="1"/>
    <xf numFmtId="0" fontId="15" fillId="0" borderId="0" xfId="0" applyFont="1"/>
    <xf numFmtId="1" fontId="3" fillId="0" borderId="0" xfId="0" applyNumberFormat="1" applyFont="1"/>
    <xf numFmtId="0" fontId="3" fillId="0" borderId="4" xfId="0" applyFont="1" applyBorder="1"/>
    <xf numFmtId="0" fontId="5" fillId="0" borderId="4" xfId="0" applyFont="1" applyBorder="1"/>
    <xf numFmtId="0" fontId="4" fillId="2" borderId="0" xfId="0" applyFont="1" applyFill="1"/>
    <xf numFmtId="2" fontId="3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5" fillId="5" borderId="0" xfId="0" applyFont="1" applyFill="1"/>
    <xf numFmtId="0" fontId="7" fillId="5" borderId="0" xfId="0" applyFont="1" applyFill="1"/>
    <xf numFmtId="0" fontId="16" fillId="0" borderId="0" xfId="0" applyFont="1" applyAlignment="1">
      <alignment horizontal="right"/>
    </xf>
    <xf numFmtId="0" fontId="17" fillId="0" borderId="9" xfId="0" applyFont="1" applyBorder="1"/>
    <xf numFmtId="0" fontId="3" fillId="0" borderId="9" xfId="0" applyFont="1" applyBorder="1"/>
    <xf numFmtId="0" fontId="3" fillId="0" borderId="8" xfId="0" applyFont="1" applyBorder="1"/>
    <xf numFmtId="0" fontId="17" fillId="0" borderId="11" xfId="0" applyFont="1" applyBorder="1"/>
    <xf numFmtId="0" fontId="3" fillId="0" borderId="11" xfId="0" applyFont="1" applyBorder="1"/>
    <xf numFmtId="0" fontId="3" fillId="0" borderId="10" xfId="0" applyFont="1" applyBorder="1"/>
    <xf numFmtId="9" fontId="3" fillId="0" borderId="0" xfId="0" applyNumberFormat="1" applyFont="1"/>
    <xf numFmtId="9" fontId="5" fillId="0" borderId="0" xfId="0" applyNumberFormat="1" applyFont="1"/>
    <xf numFmtId="9" fontId="3" fillId="0" borderId="6" xfId="1" applyFont="1" applyBorder="1"/>
    <xf numFmtId="10" fontId="5" fillId="3" borderId="2" xfId="1" applyNumberFormat="1" applyFont="1" applyFill="1" applyBorder="1" applyAlignment="1">
      <alignment horizontal="center"/>
    </xf>
    <xf numFmtId="0" fontId="5" fillId="0" borderId="12" xfId="0" applyFont="1" applyBorder="1"/>
    <xf numFmtId="10" fontId="5" fillId="0" borderId="12" xfId="1" applyNumberFormat="1" applyFont="1" applyBorder="1" applyAlignment="1">
      <alignment horizontal="center"/>
    </xf>
    <xf numFmtId="10" fontId="3" fillId="0" borderId="0" xfId="1" applyNumberFormat="1" applyFont="1" applyBorder="1" applyAlignment="1">
      <alignment horizontal="center"/>
    </xf>
    <xf numFmtId="164" fontId="3" fillId="0" borderId="0" xfId="0" applyNumberFormat="1" applyFont="1"/>
    <xf numFmtId="10" fontId="3" fillId="0" borderId="0" xfId="0" applyNumberFormat="1" applyFont="1"/>
    <xf numFmtId="1" fontId="3" fillId="0" borderId="1" xfId="0" applyNumberFormat="1" applyFont="1" applyBorder="1"/>
    <xf numFmtId="0" fontId="18" fillId="0" borderId="0" xfId="0" applyFont="1"/>
    <xf numFmtId="164" fontId="10" fillId="0" borderId="0" xfId="0" applyNumberFormat="1" applyFont="1"/>
    <xf numFmtId="164" fontId="3" fillId="0" borderId="0" xfId="0" applyNumberFormat="1" applyFont="1" applyAlignment="1">
      <alignment horizontal="center"/>
    </xf>
    <xf numFmtId="0" fontId="3" fillId="0" borderId="12" xfId="0" applyFont="1" applyBorder="1"/>
    <xf numFmtId="164" fontId="5" fillId="0" borderId="12" xfId="0" applyNumberFormat="1" applyFont="1" applyBorder="1"/>
    <xf numFmtId="164" fontId="5" fillId="0" borderId="12" xfId="0" applyNumberFormat="1" applyFont="1" applyBorder="1" applyAlignment="1">
      <alignment horizontal="center"/>
    </xf>
    <xf numFmtId="1" fontId="19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6" fontId="3" fillId="0" borderId="0" xfId="0" applyNumberFormat="1" applyFont="1"/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center"/>
    </xf>
    <xf numFmtId="0" fontId="3" fillId="9" borderId="0" xfId="0" applyFont="1" applyFill="1"/>
    <xf numFmtId="0" fontId="7" fillId="9" borderId="0" xfId="0" applyFont="1" applyFill="1" applyAlignment="1">
      <alignment horizontal="left"/>
    </xf>
    <xf numFmtId="0" fontId="7" fillId="9" borderId="0" xfId="0" applyFont="1" applyFill="1" applyAlignment="1">
      <alignment horizontal="center"/>
    </xf>
    <xf numFmtId="0" fontId="8" fillId="9" borderId="0" xfId="0" applyFont="1" applyFill="1"/>
    <xf numFmtId="0" fontId="8" fillId="9" borderId="0" xfId="0" applyFont="1" applyFill="1" applyAlignment="1">
      <alignment horizontal="center"/>
    </xf>
    <xf numFmtId="0" fontId="3" fillId="10" borderId="0" xfId="0" applyFont="1" applyFill="1"/>
    <xf numFmtId="0" fontId="7" fillId="10" borderId="0" xfId="0" applyFont="1" applyFill="1" applyAlignment="1">
      <alignment horizontal="left"/>
    </xf>
    <xf numFmtId="0" fontId="7" fillId="10" borderId="0" xfId="0" applyFont="1" applyFill="1" applyAlignment="1">
      <alignment horizontal="center"/>
    </xf>
    <xf numFmtId="0" fontId="8" fillId="10" borderId="0" xfId="0" applyFont="1" applyFill="1"/>
    <xf numFmtId="0" fontId="8" fillId="10" borderId="0" xfId="0" applyFont="1" applyFill="1" applyAlignment="1">
      <alignment horizontal="center"/>
    </xf>
    <xf numFmtId="0" fontId="7" fillId="10" borderId="0" xfId="0" applyFont="1" applyFill="1"/>
    <xf numFmtId="10" fontId="8" fillId="10" borderId="0" xfId="1" applyNumberFormat="1" applyFont="1" applyFill="1"/>
    <xf numFmtId="3" fontId="3" fillId="0" borderId="0" xfId="0" applyNumberFormat="1" applyFont="1"/>
    <xf numFmtId="0" fontId="5" fillId="7" borderId="0" xfId="0" applyFont="1" applyFill="1" applyAlignment="1">
      <alignment horizontal="right"/>
    </xf>
    <xf numFmtId="168" fontId="3" fillId="7" borderId="0" xfId="0" applyNumberFormat="1" applyFont="1" applyFill="1"/>
    <xf numFmtId="0" fontId="3" fillId="5" borderId="0" xfId="0" applyFont="1" applyFill="1" applyAlignment="1">
      <alignment horizontal="center"/>
    </xf>
    <xf numFmtId="0" fontId="8" fillId="5" borderId="13" xfId="0" applyFont="1" applyFill="1" applyBorder="1"/>
    <xf numFmtId="0" fontId="3" fillId="5" borderId="13" xfId="0" applyFont="1" applyFill="1" applyBorder="1"/>
    <xf numFmtId="0" fontId="3" fillId="7" borderId="13" xfId="0" applyFont="1" applyFill="1" applyBorder="1" applyAlignment="1">
      <alignment horizontal="center"/>
    </xf>
    <xf numFmtId="2" fontId="6" fillId="0" borderId="0" xfId="0" applyNumberFormat="1" applyFont="1" applyAlignment="1">
      <alignment horizontal="center" wrapText="1"/>
    </xf>
    <xf numFmtId="0" fontId="7" fillId="5" borderId="0" xfId="0" applyFont="1" applyFill="1" applyAlignment="1">
      <alignment horizontal="right" vertical="center"/>
    </xf>
    <xf numFmtId="167" fontId="7" fillId="10" borderId="0" xfId="0" applyNumberFormat="1" applyFont="1" applyFill="1"/>
    <xf numFmtId="1" fontId="3" fillId="5" borderId="0" xfId="0" applyNumberFormat="1" applyFont="1" applyFill="1"/>
    <xf numFmtId="1" fontId="13" fillId="5" borderId="0" xfId="0" applyNumberFormat="1" applyFont="1" applyFill="1"/>
    <xf numFmtId="1" fontId="3" fillId="0" borderId="0" xfId="0" applyNumberFormat="1" applyFont="1" applyAlignment="1">
      <alignment horizontal="right"/>
    </xf>
    <xf numFmtId="1" fontId="3" fillId="0" borderId="0" xfId="1" applyNumberFormat="1" applyFont="1" applyAlignment="1">
      <alignment horizontal="right"/>
    </xf>
    <xf numFmtId="1" fontId="14" fillId="0" borderId="7" xfId="0" applyNumberFormat="1" applyFont="1" applyBorder="1"/>
    <xf numFmtId="1" fontId="4" fillId="0" borderId="0" xfId="0" applyNumberFormat="1" applyFont="1"/>
    <xf numFmtId="1" fontId="14" fillId="0" borderId="4" xfId="0" applyNumberFormat="1" applyFont="1" applyBorder="1"/>
    <xf numFmtId="3" fontId="3" fillId="2" borderId="0" xfId="0" applyNumberFormat="1" applyFont="1" applyFill="1"/>
    <xf numFmtId="0" fontId="22" fillId="0" borderId="0" xfId="0" applyFont="1"/>
    <xf numFmtId="0" fontId="22" fillId="0" borderId="14" xfId="0" applyFont="1" applyBorder="1"/>
    <xf numFmtId="10" fontId="3" fillId="4" borderId="5" xfId="0" applyNumberFormat="1" applyFont="1" applyFill="1" applyBorder="1" applyAlignment="1">
      <alignment horizontal="center"/>
    </xf>
    <xf numFmtId="0" fontId="5" fillId="7" borderId="0" xfId="0" applyFont="1" applyFill="1" applyAlignment="1">
      <alignment horizontal="center" vertical="center"/>
    </xf>
    <xf numFmtId="10" fontId="5" fillId="6" borderId="15" xfId="1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3" fontId="21" fillId="11" borderId="0" xfId="0" applyNumberFormat="1" applyFont="1" applyFill="1" applyAlignment="1">
      <alignment horizontal="right"/>
    </xf>
    <xf numFmtId="3" fontId="21" fillId="2" borderId="0" xfId="0" applyNumberFormat="1" applyFont="1" applyFill="1" applyAlignment="1">
      <alignment horizontal="right"/>
    </xf>
    <xf numFmtId="0" fontId="3" fillId="2" borderId="18" xfId="0" applyFont="1" applyFill="1" applyBorder="1"/>
    <xf numFmtId="0" fontId="5" fillId="2" borderId="18" xfId="0" applyFont="1" applyFill="1" applyBorder="1"/>
    <xf numFmtId="3" fontId="21" fillId="11" borderId="18" xfId="0" applyNumberFormat="1" applyFont="1" applyFill="1" applyBorder="1" applyAlignment="1">
      <alignment horizontal="right"/>
    </xf>
    <xf numFmtId="3" fontId="21" fillId="2" borderId="18" xfId="0" applyNumberFormat="1" applyFont="1" applyFill="1" applyBorder="1" applyAlignment="1">
      <alignment horizontal="right"/>
    </xf>
    <xf numFmtId="3" fontId="3" fillId="2" borderId="18" xfId="0" applyNumberFormat="1" applyFont="1" applyFill="1" applyBorder="1"/>
    <xf numFmtId="0" fontId="3" fillId="2" borderId="18" xfId="0" applyFont="1" applyFill="1" applyBorder="1" applyAlignment="1">
      <alignment horizontal="right"/>
    </xf>
    <xf numFmtId="0" fontId="4" fillId="0" borderId="18" xfId="0" applyFont="1" applyBorder="1"/>
    <xf numFmtId="0" fontId="4" fillId="2" borderId="18" xfId="0" applyFont="1" applyFill="1" applyBorder="1"/>
    <xf numFmtId="169" fontId="3" fillId="0" borderId="0" xfId="0" applyNumberFormat="1" applyFont="1"/>
    <xf numFmtId="169" fontId="3" fillId="0" borderId="0" xfId="0" applyNumberFormat="1" applyFont="1" applyAlignment="1">
      <alignment horizontal="right"/>
    </xf>
    <xf numFmtId="0" fontId="23" fillId="0" borderId="0" xfId="2" applyFont="1"/>
    <xf numFmtId="0" fontId="24" fillId="5" borderId="0" xfId="0" applyFont="1" applyFill="1"/>
    <xf numFmtId="1" fontId="24" fillId="5" borderId="0" xfId="0" applyNumberFormat="1" applyFont="1" applyFill="1"/>
    <xf numFmtId="164" fontId="5" fillId="0" borderId="0" xfId="0" applyNumberFormat="1" applyFont="1"/>
    <xf numFmtId="164" fontId="27" fillId="3" borderId="20" xfId="0" applyNumberFormat="1" applyFont="1" applyFill="1" applyBorder="1" applyAlignment="1">
      <alignment horizontal="right"/>
    </xf>
    <xf numFmtId="164" fontId="27" fillId="3" borderId="22" xfId="0" applyNumberFormat="1" applyFont="1" applyFill="1" applyBorder="1" applyAlignment="1">
      <alignment horizontal="right"/>
    </xf>
    <xf numFmtId="164" fontId="27" fillId="3" borderId="21" xfId="0" applyNumberFormat="1" applyFont="1" applyFill="1" applyBorder="1" applyAlignment="1">
      <alignment horizontal="right"/>
    </xf>
    <xf numFmtId="0" fontId="3" fillId="0" borderId="23" xfId="0" applyFont="1" applyBorder="1"/>
    <xf numFmtId="0" fontId="7" fillId="12" borderId="0" xfId="0" applyFont="1" applyFill="1"/>
    <xf numFmtId="0" fontId="8" fillId="12" borderId="0" xfId="0" applyFont="1" applyFill="1"/>
    <xf numFmtId="0" fontId="7" fillId="12" borderId="20" xfId="0" applyFont="1" applyFill="1" applyBorder="1"/>
    <xf numFmtId="0" fontId="7" fillId="12" borderId="21" xfId="0" applyFont="1" applyFill="1" applyBorder="1"/>
    <xf numFmtId="164" fontId="26" fillId="3" borderId="19" xfId="0" applyNumberFormat="1" applyFont="1" applyFill="1" applyBorder="1" applyAlignment="1">
      <alignment horizontal="center"/>
    </xf>
    <xf numFmtId="168" fontId="20" fillId="9" borderId="0" xfId="0" applyNumberFormat="1" applyFont="1" applyFill="1" applyAlignment="1">
      <alignment horizontal="center" vertical="center"/>
    </xf>
    <xf numFmtId="168" fontId="20" fillId="10" borderId="0" xfId="0" applyNumberFormat="1" applyFont="1" applyFill="1" applyAlignment="1">
      <alignment horizontal="center" vertical="center"/>
    </xf>
  </cellXfs>
  <cellStyles count="4">
    <cellStyle name="Hyperlink" xfId="2" builtinId="8"/>
    <cellStyle name="Invisible" xfId="3" xr:uid="{9301CE5A-FA7D-B045-BE6D-17DA0DF8378E}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C403"/>
      <color rgb="FF222C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50800</xdr:rowOff>
    </xdr:from>
    <xdr:to>
      <xdr:col>7</xdr:col>
      <xdr:colOff>2337</xdr:colOff>
      <xdr:row>5</xdr:row>
      <xdr:rowOff>81280</xdr:rowOff>
    </xdr:to>
    <xdr:pic>
      <xdr:nvPicPr>
        <xdr:cNvPr id="2" name="Picture 1" descr="Caterpillar Logo and symbol, meaning, history, PNG, brand">
          <a:extLst>
            <a:ext uri="{FF2B5EF4-FFF2-40B4-BE49-F238E27FC236}">
              <a16:creationId xmlns:a16="http://schemas.microsoft.com/office/drawing/2014/main" id="{8BC614B4-D206-DC4C-8CEC-97650001AC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21" b="32268"/>
        <a:stretch/>
      </xdr:blipFill>
      <xdr:spPr bwMode="auto">
        <a:xfrm>
          <a:off x="863600" y="457200"/>
          <a:ext cx="2555037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759829</xdr:colOff>
      <xdr:row>0</xdr:row>
      <xdr:rowOff>0</xdr:rowOff>
    </xdr:from>
    <xdr:to>
      <xdr:col>3</xdr:col>
      <xdr:colOff>790464</xdr:colOff>
      <xdr:row>7</xdr:row>
      <xdr:rowOff>149881</xdr:rowOff>
    </xdr:to>
    <xdr:pic>
      <xdr:nvPicPr>
        <xdr:cNvPr id="5" name="Picture 4" descr="Caterpillar Logo and symbol, meaning, history, PNG, brand">
          <a:extLst>
            <a:ext uri="{FF2B5EF4-FFF2-40B4-BE49-F238E27FC236}">
              <a16:creationId xmlns:a16="http://schemas.microsoft.com/office/drawing/2014/main" id="{5B3B7B42-D7CE-8B4C-989B-95A0749CD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829" y="0"/>
          <a:ext cx="2549468" cy="1610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</xdr:row>
      <xdr:rowOff>12700</xdr:rowOff>
    </xdr:from>
    <xdr:to>
      <xdr:col>4</xdr:col>
      <xdr:colOff>759461</xdr:colOff>
      <xdr:row>5</xdr:row>
      <xdr:rowOff>1886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39058-71C8-014B-A44A-E98FBEC8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50900" y="419100"/>
          <a:ext cx="1343661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74084</xdr:colOff>
      <xdr:row>1</xdr:row>
      <xdr:rowOff>31750</xdr:rowOff>
    </xdr:from>
    <xdr:to>
      <xdr:col>3</xdr:col>
      <xdr:colOff>587165</xdr:colOff>
      <xdr:row>4</xdr:row>
      <xdr:rowOff>8467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44F2E-8463-AE4E-96B2-FB371862E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90084" y="232833"/>
          <a:ext cx="1338581" cy="579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</xdr:colOff>
      <xdr:row>2</xdr:row>
      <xdr:rowOff>10584</xdr:rowOff>
    </xdr:from>
    <xdr:to>
      <xdr:col>2</xdr:col>
      <xdr:colOff>523664</xdr:colOff>
      <xdr:row>4</xdr:row>
      <xdr:rowOff>188385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9E356-A047-404E-89E3-79C1E8B1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36083" y="412751"/>
          <a:ext cx="1338581" cy="579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finance.yahoo.com/quote/CAT/financials?p=CA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8919-3C68-4848-9B6F-E25C39E5E825}">
  <sheetPr>
    <tabColor rgb="FFFFC403"/>
  </sheetPr>
  <dimension ref="A7:T33"/>
  <sheetViews>
    <sheetView showGridLines="0" tabSelected="1" zoomScale="63" zoomScaleNormal="63" workbookViewId="0">
      <selection activeCell="Q16" sqref="Q16"/>
    </sheetView>
  </sheetViews>
  <sheetFormatPr defaultColWidth="10.83203125" defaultRowHeight="15.5" x14ac:dyDescent="0.35"/>
  <cols>
    <col min="1" max="1" width="10.83203125" style="1"/>
    <col min="2" max="2" width="2.83203125" style="1" customWidth="1"/>
    <col min="3" max="3" width="9.83203125" style="1" customWidth="1"/>
    <col min="4" max="4" width="5.83203125" style="1" customWidth="1"/>
    <col min="5" max="5" width="9.83203125" style="1" customWidth="1"/>
    <col min="6" max="7" width="2.83203125" style="1" customWidth="1"/>
    <col min="8" max="8" width="9.83203125" style="1" customWidth="1"/>
    <col min="9" max="9" width="5.83203125" style="1" customWidth="1"/>
    <col min="10" max="10" width="9.83203125" style="1" customWidth="1"/>
    <col min="11" max="12" width="2.83203125" style="1" customWidth="1"/>
    <col min="13" max="13" width="9.83203125" style="1" customWidth="1"/>
    <col min="14" max="14" width="5.83203125" style="1" customWidth="1"/>
    <col min="15" max="15" width="9.83203125" style="1" customWidth="1"/>
    <col min="16" max="16" width="2.83203125" style="1" customWidth="1"/>
    <col min="17" max="16384" width="10.83203125" style="1"/>
  </cols>
  <sheetData>
    <row r="7" spans="2:20" x14ac:dyDescent="0.35">
      <c r="B7" s="3" t="s">
        <v>176</v>
      </c>
      <c r="C7" s="98"/>
      <c r="D7" s="98" t="s">
        <v>63</v>
      </c>
      <c r="E7" s="99">
        <v>247.3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20" x14ac:dyDescent="0.35">
      <c r="B8" s="2"/>
      <c r="C8" s="2"/>
      <c r="D8" s="2"/>
      <c r="E8" s="2"/>
      <c r="F8" s="2"/>
      <c r="G8" s="85"/>
      <c r="H8" s="85"/>
      <c r="I8" s="85"/>
      <c r="J8" s="85"/>
      <c r="K8" s="85"/>
      <c r="L8" s="90"/>
      <c r="M8" s="90"/>
      <c r="N8" s="90"/>
      <c r="O8" s="90"/>
      <c r="P8" s="90"/>
    </row>
    <row r="9" spans="2:20" x14ac:dyDescent="0.35">
      <c r="B9" s="2"/>
      <c r="C9" s="83" t="s">
        <v>10</v>
      </c>
      <c r="D9" s="84"/>
      <c r="E9" s="2"/>
      <c r="F9" s="2"/>
      <c r="G9" s="85"/>
      <c r="H9" s="86" t="s">
        <v>172</v>
      </c>
      <c r="I9" s="87"/>
      <c r="J9" s="85"/>
      <c r="K9" s="85"/>
      <c r="L9" s="90"/>
      <c r="M9" s="91" t="s">
        <v>171</v>
      </c>
      <c r="N9" s="92"/>
      <c r="O9" s="90"/>
      <c r="P9" s="90"/>
      <c r="Q9" s="97"/>
      <c r="R9" s="97"/>
      <c r="S9" s="97"/>
      <c r="T9" s="97"/>
    </row>
    <row r="10" spans="2:20" x14ac:dyDescent="0.35">
      <c r="B10" s="2"/>
      <c r="C10" s="2"/>
      <c r="D10" s="2"/>
      <c r="E10" s="2"/>
      <c r="F10" s="2"/>
      <c r="G10" s="85"/>
      <c r="H10" s="85"/>
      <c r="I10" s="85"/>
      <c r="J10" s="85"/>
      <c r="K10" s="85"/>
      <c r="L10" s="90"/>
      <c r="M10" s="90"/>
      <c r="N10" s="90"/>
      <c r="O10" s="90"/>
      <c r="P10" s="90"/>
      <c r="R10" s="97"/>
    </row>
    <row r="11" spans="2:20" x14ac:dyDescent="0.35">
      <c r="B11" s="2"/>
      <c r="C11" s="2"/>
      <c r="D11" s="2"/>
      <c r="E11" s="2"/>
      <c r="F11" s="2"/>
      <c r="G11" s="85"/>
      <c r="H11" s="85"/>
      <c r="I11" s="85"/>
      <c r="J11" s="85"/>
      <c r="K11" s="85"/>
      <c r="L11" s="90"/>
      <c r="M11" s="90"/>
      <c r="N11" s="90"/>
      <c r="O11" s="90"/>
      <c r="P11" s="90"/>
    </row>
    <row r="12" spans="2:20" x14ac:dyDescent="0.35">
      <c r="B12" s="2"/>
      <c r="C12" s="101" t="s">
        <v>14</v>
      </c>
      <c r="D12" s="102"/>
      <c r="E12" s="103">
        <f>DCF!D9</f>
        <v>2</v>
      </c>
      <c r="F12" s="2"/>
      <c r="G12" s="85"/>
      <c r="H12" s="88"/>
      <c r="I12" s="85"/>
      <c r="J12" s="85"/>
      <c r="K12" s="85"/>
      <c r="L12" s="90"/>
      <c r="M12" s="93"/>
      <c r="N12" s="90"/>
      <c r="O12" s="90"/>
      <c r="P12" s="90"/>
      <c r="Q12" s="97"/>
    </row>
    <row r="13" spans="2:20" ht="16" customHeight="1" x14ac:dyDescent="0.35">
      <c r="B13" s="2"/>
      <c r="C13" s="13"/>
      <c r="D13" s="2"/>
      <c r="E13" s="100"/>
      <c r="F13" s="2"/>
      <c r="G13" s="85"/>
      <c r="H13" s="147">
        <f ca="1">DCF!E56/1000000</f>
        <v>195.21937344635509</v>
      </c>
      <c r="I13" s="147"/>
      <c r="J13" s="147"/>
      <c r="K13" s="85"/>
      <c r="L13" s="90"/>
      <c r="M13" s="148">
        <f ca="1">DCF!E59</f>
        <v>382.93325509288957</v>
      </c>
      <c r="N13" s="148"/>
      <c r="O13" s="148"/>
      <c r="P13" s="90"/>
    </row>
    <row r="14" spans="2:20" ht="16" customHeight="1" x14ac:dyDescent="0.35">
      <c r="B14" s="2"/>
      <c r="C14" s="101" t="s">
        <v>15</v>
      </c>
      <c r="D14" s="102"/>
      <c r="E14" s="103">
        <f>DCF!D10</f>
        <v>2</v>
      </c>
      <c r="F14" s="2"/>
      <c r="G14" s="85"/>
      <c r="H14" s="147"/>
      <c r="I14" s="147"/>
      <c r="J14" s="147"/>
      <c r="K14" s="85"/>
      <c r="L14" s="90"/>
      <c r="M14" s="148"/>
      <c r="N14" s="148"/>
      <c r="O14" s="148"/>
      <c r="P14" s="90"/>
    </row>
    <row r="15" spans="2:20" ht="16" customHeight="1" x14ac:dyDescent="0.35">
      <c r="B15" s="2"/>
      <c r="C15" s="13"/>
      <c r="D15" s="2"/>
      <c r="E15" s="100"/>
      <c r="F15" s="2"/>
      <c r="G15" s="85"/>
      <c r="H15" s="147"/>
      <c r="I15" s="147"/>
      <c r="J15" s="147"/>
      <c r="K15" s="85"/>
      <c r="L15" s="90"/>
      <c r="M15" s="148"/>
      <c r="N15" s="148"/>
      <c r="O15" s="148"/>
      <c r="P15" s="90"/>
    </row>
    <row r="16" spans="2:20" x14ac:dyDescent="0.35">
      <c r="B16" s="2"/>
      <c r="C16" s="101" t="s">
        <v>3</v>
      </c>
      <c r="D16" s="102"/>
      <c r="E16" s="103">
        <f>DCF!D12</f>
        <v>2</v>
      </c>
      <c r="F16" s="2"/>
      <c r="G16" s="85"/>
      <c r="H16" s="88"/>
      <c r="I16" s="89" t="s">
        <v>173</v>
      </c>
      <c r="J16" s="85"/>
      <c r="K16" s="85"/>
      <c r="L16" s="90"/>
      <c r="M16" s="90"/>
      <c r="N16" s="90"/>
      <c r="O16" s="90"/>
      <c r="P16" s="90"/>
    </row>
    <row r="17" spans="1:16" x14ac:dyDescent="0.35">
      <c r="B17" s="2"/>
      <c r="C17" s="13"/>
      <c r="D17" s="2"/>
      <c r="E17" s="2"/>
      <c r="F17" s="2"/>
      <c r="G17" s="85"/>
      <c r="H17" s="88"/>
      <c r="I17" s="85"/>
      <c r="J17" s="85"/>
      <c r="K17" s="85"/>
      <c r="L17" s="90"/>
      <c r="M17" s="95" t="s">
        <v>174</v>
      </c>
      <c r="N17" s="94"/>
      <c r="O17" s="106">
        <f>E7</f>
        <v>247.3</v>
      </c>
      <c r="P17" s="90"/>
    </row>
    <row r="18" spans="1:16" x14ac:dyDescent="0.35">
      <c r="B18" s="2"/>
      <c r="C18" s="2"/>
      <c r="D18" s="2"/>
      <c r="E18" s="2"/>
      <c r="F18" s="2"/>
      <c r="G18" s="85"/>
      <c r="H18" s="85"/>
      <c r="I18" s="85"/>
      <c r="J18" s="85"/>
      <c r="K18" s="85"/>
      <c r="L18" s="90"/>
      <c r="M18" s="93" t="s">
        <v>175</v>
      </c>
      <c r="N18" s="90"/>
      <c r="O18" s="96">
        <f ca="1">(M13/O17)-1</f>
        <v>0.5484563489401113</v>
      </c>
      <c r="P18" s="90"/>
    </row>
    <row r="19" spans="1:16" x14ac:dyDescent="0.35">
      <c r="B19" s="2"/>
      <c r="C19" s="2"/>
      <c r="D19" s="2"/>
      <c r="E19" s="2"/>
      <c r="F19" s="2"/>
      <c r="G19" s="85"/>
      <c r="H19" s="85"/>
      <c r="I19" s="85"/>
      <c r="J19" s="85"/>
      <c r="K19" s="85"/>
      <c r="L19" s="90"/>
      <c r="M19" s="90"/>
      <c r="N19" s="90"/>
      <c r="O19" s="90"/>
      <c r="P19" s="90"/>
    </row>
    <row r="20" spans="1:16" x14ac:dyDescent="0.35">
      <c r="B20" s="2"/>
      <c r="C20" s="2"/>
      <c r="D20" s="2"/>
      <c r="E20" s="2"/>
      <c r="F20" s="2"/>
      <c r="G20" s="85"/>
      <c r="H20" s="85"/>
      <c r="I20" s="85"/>
      <c r="J20" s="85"/>
      <c r="K20" s="85"/>
      <c r="L20" s="90"/>
      <c r="M20" s="90"/>
      <c r="N20" s="90"/>
      <c r="O20" s="90"/>
      <c r="P20" s="90"/>
    </row>
    <row r="22" spans="1:16" x14ac:dyDescent="0.35">
      <c r="A22" s="14" t="s">
        <v>9</v>
      </c>
      <c r="B22" s="8" t="s">
        <v>0</v>
      </c>
    </row>
    <row r="23" spans="1:16" x14ac:dyDescent="0.35">
      <c r="A23" s="5" t="s">
        <v>5</v>
      </c>
      <c r="B23" s="1" t="s">
        <v>179</v>
      </c>
    </row>
    <row r="24" spans="1:16" x14ac:dyDescent="0.35">
      <c r="A24" s="5" t="s">
        <v>4</v>
      </c>
      <c r="B24" s="1" t="s">
        <v>180</v>
      </c>
    </row>
    <row r="25" spans="1:16" x14ac:dyDescent="0.35">
      <c r="A25" s="5" t="s">
        <v>2</v>
      </c>
      <c r="B25" s="1" t="s">
        <v>3</v>
      </c>
    </row>
    <row r="26" spans="1:16" x14ac:dyDescent="0.35">
      <c r="A26" s="5" t="s">
        <v>6</v>
      </c>
      <c r="B26" s="1" t="s">
        <v>1</v>
      </c>
    </row>
    <row r="27" spans="1:16" x14ac:dyDescent="0.35">
      <c r="A27" s="5" t="s">
        <v>181</v>
      </c>
      <c r="B27" s="1" t="s">
        <v>7</v>
      </c>
    </row>
    <row r="29" spans="1:16" x14ac:dyDescent="0.35">
      <c r="A29" s="14" t="s">
        <v>9</v>
      </c>
      <c r="B29" s="8" t="s">
        <v>8</v>
      </c>
    </row>
    <row r="30" spans="1:16" x14ac:dyDescent="0.35">
      <c r="A30" s="14"/>
      <c r="B30" s="1" t="s">
        <v>31</v>
      </c>
    </row>
    <row r="31" spans="1:16" x14ac:dyDescent="0.35">
      <c r="B31" s="1" t="s">
        <v>30</v>
      </c>
    </row>
    <row r="33" spans="1:2" x14ac:dyDescent="0.35">
      <c r="A33" s="14"/>
      <c r="B33" s="8"/>
    </row>
  </sheetData>
  <mergeCells count="2">
    <mergeCell ref="H13:J15"/>
    <mergeCell ref="M13:O15"/>
  </mergeCells>
  <pageMargins left="0.7" right="0.7" top="0.75" bottom="0.75" header="0.3" footer="0.3"/>
  <ignoredErrors>
    <ignoredError xmlns:x16r3="http://schemas.microsoft.com/office/spreadsheetml/2018/08/main" sqref="O17" x16r3:misleadingForma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4F51-BAB9-8B42-834A-CD6A002EBB21}">
  <sheetPr>
    <tabColor theme="1" tint="4.9989318521683403E-2"/>
  </sheetPr>
  <dimension ref="A4:N66"/>
  <sheetViews>
    <sheetView showGridLines="0" topLeftCell="A36" zoomScale="41" zoomScaleNormal="41" workbookViewId="0">
      <selection activeCell="A39" sqref="A39"/>
    </sheetView>
  </sheetViews>
  <sheetFormatPr defaultColWidth="10.83203125" defaultRowHeight="15.5" x14ac:dyDescent="0.35"/>
  <cols>
    <col min="1" max="1" width="10.83203125" style="1"/>
    <col min="2" max="2" width="11.33203125" style="1" customWidth="1"/>
    <col min="3" max="3" width="10.83203125" style="1"/>
    <col min="4" max="13" width="16.6640625" style="1" customWidth="1"/>
    <col min="14" max="14" width="16.6640625" style="15" customWidth="1"/>
    <col min="15" max="16384" width="10.83203125" style="15"/>
  </cols>
  <sheetData>
    <row r="4" spans="1:14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 x14ac:dyDescent="0.3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9" customFormat="1" ht="20" customHeight="1" x14ac:dyDescent="0.35">
      <c r="A7" s="16"/>
      <c r="B7" s="17" t="s">
        <v>10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4" x14ac:dyDescent="0.35">
      <c r="B8" s="20" t="s">
        <v>13</v>
      </c>
      <c r="D8" s="21" t="s">
        <v>150</v>
      </c>
      <c r="F8" s="20" t="s">
        <v>149</v>
      </c>
      <c r="G8" s="20"/>
      <c r="H8" s="20"/>
      <c r="I8" s="20" t="s">
        <v>198</v>
      </c>
      <c r="J8" s="20"/>
      <c r="K8" s="20"/>
      <c r="L8" s="20" t="s">
        <v>148</v>
      </c>
      <c r="M8" s="20"/>
      <c r="N8" s="22"/>
    </row>
    <row r="9" spans="1:14" x14ac:dyDescent="0.35">
      <c r="B9" s="1" t="s">
        <v>14</v>
      </c>
      <c r="D9" s="23">
        <v>2</v>
      </c>
      <c r="F9" s="1" t="s">
        <v>132</v>
      </c>
      <c r="G9" s="24">
        <v>0.05</v>
      </c>
      <c r="I9" s="1" t="s">
        <v>132</v>
      </c>
      <c r="J9" s="24">
        <v>0.06</v>
      </c>
      <c r="L9" s="1" t="s">
        <v>16</v>
      </c>
      <c r="M9" s="24">
        <v>7.0000000000000007E-2</v>
      </c>
    </row>
    <row r="10" spans="1:14" x14ac:dyDescent="0.35">
      <c r="B10" s="1" t="s">
        <v>20</v>
      </c>
      <c r="D10" s="23">
        <v>2</v>
      </c>
      <c r="F10" s="1" t="s">
        <v>178</v>
      </c>
      <c r="G10" s="24">
        <v>0.15</v>
      </c>
      <c r="I10" s="1" t="s">
        <v>178</v>
      </c>
      <c r="J10" s="24">
        <v>0.16</v>
      </c>
      <c r="L10" s="1" t="s">
        <v>178</v>
      </c>
      <c r="M10" s="24">
        <v>0.17</v>
      </c>
    </row>
    <row r="12" spans="1:14" x14ac:dyDescent="0.35">
      <c r="B12" s="1" t="s">
        <v>3</v>
      </c>
      <c r="D12" s="23">
        <v>2</v>
      </c>
      <c r="F12" s="1" t="s">
        <v>182</v>
      </c>
      <c r="G12" s="117">
        <f>J12+0.5%</f>
        <v>9.3505573176368484E-2</v>
      </c>
      <c r="I12" s="1" t="s">
        <v>3</v>
      </c>
      <c r="J12" s="117">
        <f>WACC!D21</f>
        <v>8.8505573176368479E-2</v>
      </c>
      <c r="L12" s="1" t="s">
        <v>183</v>
      </c>
      <c r="M12" s="117">
        <f>J12-0.5%</f>
        <v>8.3505573176368475E-2</v>
      </c>
    </row>
    <row r="13" spans="1:14" x14ac:dyDescent="0.35">
      <c r="D13" s="4"/>
    </row>
    <row r="15" spans="1:14" s="19" customFormat="1" ht="20" customHeight="1" x14ac:dyDescent="0.35">
      <c r="A15" s="16"/>
      <c r="B15" s="17" t="s">
        <v>11</v>
      </c>
      <c r="C15" s="18"/>
      <c r="D15" s="17">
        <v>2020</v>
      </c>
      <c r="E15" s="17">
        <v>2021</v>
      </c>
      <c r="F15" s="17">
        <v>2022</v>
      </c>
      <c r="G15" s="105">
        <v>2023</v>
      </c>
      <c r="H15" s="105">
        <v>2024</v>
      </c>
      <c r="I15" s="105">
        <v>2025</v>
      </c>
      <c r="J15" s="105">
        <v>2026</v>
      </c>
      <c r="K15" s="105">
        <v>2027</v>
      </c>
      <c r="L15" s="26"/>
      <c r="M15" s="26"/>
      <c r="N15" s="27"/>
    </row>
    <row r="16" spans="1:14" s="19" customFormat="1" ht="20" customHeight="1" x14ac:dyDescent="0.35">
      <c r="A16" s="16"/>
      <c r="B16" s="25" t="s">
        <v>155</v>
      </c>
      <c r="C16" s="18"/>
      <c r="D16" s="25"/>
      <c r="E16" s="25"/>
      <c r="F16" s="25"/>
      <c r="G16" s="26">
        <v>0</v>
      </c>
      <c r="H16" s="26">
        <v>1</v>
      </c>
      <c r="I16" s="26">
        <v>2</v>
      </c>
      <c r="J16" s="26">
        <v>3</v>
      </c>
      <c r="K16" s="26">
        <v>4</v>
      </c>
      <c r="L16" s="26"/>
      <c r="M16" s="26"/>
      <c r="N16" s="27"/>
    </row>
    <row r="17" spans="1:14" x14ac:dyDescent="0.35">
      <c r="B17" s="1" t="s">
        <v>14</v>
      </c>
      <c r="D17" s="28">
        <f>'CFS + Ratios'!G9</f>
        <v>41748000</v>
      </c>
      <c r="E17" s="28">
        <f>'CFS + Ratios'!H9</f>
        <v>50971000</v>
      </c>
      <c r="F17" s="28">
        <f>'CFS + Ratios'!I9</f>
        <v>59427000</v>
      </c>
      <c r="G17" s="29">
        <f ca="1">F17+(F17*G18)</f>
        <v>63586890</v>
      </c>
      <c r="H17" s="29">
        <f ca="1">G17+(G17*H18)</f>
        <v>67879005.075000003</v>
      </c>
      <c r="I17" s="29">
        <f ca="1">H17+(H17*I18)</f>
        <v>72291140.40487501</v>
      </c>
      <c r="J17" s="29">
        <f ca="1">I17+(I17*J18)</f>
        <v>76809336.6801797</v>
      </c>
      <c r="K17" s="29">
        <f ca="1">J17+(J17*K18)</f>
        <v>81417896.880990475</v>
      </c>
      <c r="L17" s="28"/>
      <c r="M17" s="28"/>
      <c r="N17" s="28"/>
    </row>
    <row r="18" spans="1:14" x14ac:dyDescent="0.35">
      <c r="B18" s="1" t="s">
        <v>17</v>
      </c>
      <c r="D18" s="30" t="s">
        <v>23</v>
      </c>
      <c r="E18" s="31">
        <f>(E17/D17)-1</f>
        <v>0.2209207626712657</v>
      </c>
      <c r="F18" s="31">
        <f>(F17/E17)-1</f>
        <v>0.16589825587098539</v>
      </c>
      <c r="G18" s="32">
        <f ca="1">OFFSET(G18,$D$9,0)</f>
        <v>7.0000000000000007E-2</v>
      </c>
      <c r="H18" s="32">
        <f ca="1">OFFSET(H18,$D$9,0)</f>
        <v>6.7500000000000004E-2</v>
      </c>
      <c r="I18" s="32">
        <f ca="1">OFFSET(I18,$D$9,0)</f>
        <v>6.5000000000000002E-2</v>
      </c>
      <c r="J18" s="32">
        <f ca="1">OFFSET(J18,$D$9,0)</f>
        <v>6.25E-2</v>
      </c>
      <c r="K18" s="32">
        <f ca="1">OFFSET(K18,$D$9,0)</f>
        <v>0.06</v>
      </c>
      <c r="L18" s="30"/>
      <c r="M18" s="30"/>
      <c r="N18" s="30"/>
    </row>
    <row r="19" spans="1:14" x14ac:dyDescent="0.35">
      <c r="A19" s="57" t="s">
        <v>130</v>
      </c>
      <c r="B19" s="58" t="s">
        <v>199</v>
      </c>
      <c r="C19" s="59"/>
      <c r="D19" s="59"/>
      <c r="E19" s="59"/>
      <c r="F19" s="60"/>
      <c r="G19" s="33">
        <v>7.0000000000000007E-2</v>
      </c>
      <c r="H19" s="33">
        <f>G19-($G$19-$K$19)/($K$15-$G$15)</f>
        <v>6.5000000000000002E-2</v>
      </c>
      <c r="I19" s="33">
        <f>H19-($G$19-$K$19)/($K$15-$G$15)</f>
        <v>0.06</v>
      </c>
      <c r="J19" s="33">
        <f>I19-($G$19-$K$19)/($K$15-$G$15)</f>
        <v>5.4999999999999993E-2</v>
      </c>
      <c r="K19" s="33">
        <f>G9</f>
        <v>0.05</v>
      </c>
    </row>
    <row r="20" spans="1:14" x14ac:dyDescent="0.35">
      <c r="A20" s="57" t="s">
        <v>130</v>
      </c>
      <c r="B20" s="61" t="s">
        <v>197</v>
      </c>
      <c r="C20" s="62"/>
      <c r="D20" s="62"/>
      <c r="E20" s="62"/>
      <c r="F20" s="63"/>
      <c r="G20" s="33">
        <v>7.0000000000000007E-2</v>
      </c>
      <c r="H20" s="33">
        <f>G20-($G$20-$K$20)/($K$15-$G$15)</f>
        <v>6.7500000000000004E-2</v>
      </c>
      <c r="I20" s="33">
        <f t="shared" ref="I20:J20" si="0">H20-($G$20-$K$20)/($K$15-$G$15)</f>
        <v>6.5000000000000002E-2</v>
      </c>
      <c r="J20" s="33">
        <f t="shared" si="0"/>
        <v>6.25E-2</v>
      </c>
      <c r="K20" s="33">
        <f>J9</f>
        <v>0.06</v>
      </c>
    </row>
    <row r="21" spans="1:14" x14ac:dyDescent="0.35">
      <c r="A21" s="57" t="s">
        <v>130</v>
      </c>
      <c r="B21" s="61" t="s">
        <v>133</v>
      </c>
      <c r="C21" s="62"/>
      <c r="D21" s="62"/>
      <c r="E21" s="62"/>
      <c r="F21" s="63"/>
      <c r="G21" s="33">
        <v>7.0000000000000007E-2</v>
      </c>
      <c r="H21" s="33">
        <f>G21-($G$21-$K$21)/($K$15-$G$15)</f>
        <v>7.0000000000000007E-2</v>
      </c>
      <c r="I21" s="33">
        <f>H21-($G$21-$K$21)/($K$15-$G$15)</f>
        <v>7.0000000000000007E-2</v>
      </c>
      <c r="J21" s="33">
        <f>I21-($G$21-$K$21)/($K$15-$G$15)</f>
        <v>7.0000000000000007E-2</v>
      </c>
      <c r="K21" s="33">
        <f>M9</f>
        <v>7.0000000000000007E-2</v>
      </c>
    </row>
    <row r="22" spans="1:14" x14ac:dyDescent="0.35">
      <c r="D22" s="34"/>
      <c r="E22" s="34"/>
      <c r="F22" s="34"/>
      <c r="G22" s="35" t="s">
        <v>21</v>
      </c>
      <c r="H22" s="35"/>
      <c r="I22" s="35"/>
      <c r="J22" s="35"/>
      <c r="K22" s="35"/>
      <c r="L22" s="34"/>
      <c r="M22" s="34"/>
      <c r="N22" s="36"/>
    </row>
    <row r="23" spans="1:14" x14ac:dyDescent="0.35">
      <c r="B23" s="1" t="s">
        <v>20</v>
      </c>
      <c r="D23" s="28">
        <f>'CFS + Ratios'!G16</f>
        <v>6941000</v>
      </c>
      <c r="E23" s="28">
        <f>'CFS + Ratios'!H16</f>
        <v>11044000</v>
      </c>
      <c r="F23" s="28">
        <f>'CFS + Ratios'!I16</f>
        <v>11414000</v>
      </c>
      <c r="G23" s="29">
        <f ca="1">G17*G24</f>
        <v>10809771.300000001</v>
      </c>
      <c r="H23" s="29">
        <f t="shared" ref="H23:K23" ca="1" si="1">H17*H24</f>
        <v>11539430.862750001</v>
      </c>
      <c r="I23" s="29">
        <f t="shared" ca="1" si="1"/>
        <v>12289493.868828753</v>
      </c>
      <c r="J23" s="29">
        <f t="shared" ca="1" si="1"/>
        <v>13057587.235630549</v>
      </c>
      <c r="K23" s="29">
        <f t="shared" ca="1" si="1"/>
        <v>13026863.500958476</v>
      </c>
      <c r="L23" s="37"/>
      <c r="M23" s="37"/>
      <c r="N23" s="37"/>
    </row>
    <row r="24" spans="1:14" x14ac:dyDescent="0.35">
      <c r="B24" s="1" t="s">
        <v>18</v>
      </c>
      <c r="D24" s="31">
        <f>D23/D17</f>
        <v>0.16625946153109131</v>
      </c>
      <c r="E24" s="31">
        <f>E23/E17</f>
        <v>0.21667222538306097</v>
      </c>
      <c r="F24" s="31">
        <f>F23/F17</f>
        <v>0.19206757871001395</v>
      </c>
      <c r="G24" s="32">
        <f ca="1">OFFSET(G24,$D$10,0)</f>
        <v>0.17</v>
      </c>
      <c r="H24" s="32">
        <f ca="1">OFFSET(H24,$D$10,0)</f>
        <v>0.17</v>
      </c>
      <c r="I24" s="32">
        <f ca="1">OFFSET(I24,$D$10,0)</f>
        <v>0.17</v>
      </c>
      <c r="J24" s="32">
        <f ca="1">OFFSET(J24,$D$10,0)</f>
        <v>0.17</v>
      </c>
      <c r="K24" s="32">
        <f ca="1">OFFSET(K24,$D$10,0)</f>
        <v>0.16</v>
      </c>
      <c r="L24" s="38"/>
      <c r="M24" s="38"/>
      <c r="N24" s="38"/>
    </row>
    <row r="25" spans="1:14" x14ac:dyDescent="0.35">
      <c r="A25" s="57" t="s">
        <v>130</v>
      </c>
      <c r="B25" s="58" t="s">
        <v>199</v>
      </c>
      <c r="C25" s="59"/>
      <c r="D25" s="59"/>
      <c r="E25" s="59"/>
      <c r="F25" s="60"/>
      <c r="G25" s="33">
        <v>0.17</v>
      </c>
      <c r="H25" s="33">
        <f>G25-($G$25-$K$25)/($K$15-$G$15)</f>
        <v>0.16500000000000001</v>
      </c>
      <c r="I25" s="33">
        <f t="shared" ref="I25:J25" si="2">H25-($G$25-$K$25)/($K$15-$G$15)</f>
        <v>0.16</v>
      </c>
      <c r="J25" s="33">
        <f t="shared" si="2"/>
        <v>0.155</v>
      </c>
      <c r="K25" s="33">
        <f>G10</f>
        <v>0.15</v>
      </c>
    </row>
    <row r="26" spans="1:14" x14ac:dyDescent="0.35">
      <c r="A26" s="57" t="s">
        <v>130</v>
      </c>
      <c r="B26" s="61" t="s">
        <v>197</v>
      </c>
      <c r="C26" s="62"/>
      <c r="D26" s="62"/>
      <c r="E26" s="62"/>
      <c r="F26" s="63"/>
      <c r="G26" s="33">
        <v>0.17</v>
      </c>
      <c r="H26" s="33">
        <v>0.17</v>
      </c>
      <c r="I26" s="33">
        <v>0.17</v>
      </c>
      <c r="J26" s="33">
        <v>0.17</v>
      </c>
      <c r="K26" s="33">
        <f>J10</f>
        <v>0.16</v>
      </c>
    </row>
    <row r="27" spans="1:14" x14ac:dyDescent="0.35">
      <c r="A27" s="57" t="s">
        <v>130</v>
      </c>
      <c r="B27" s="61" t="s">
        <v>133</v>
      </c>
      <c r="C27" s="62"/>
      <c r="D27" s="62"/>
      <c r="E27" s="62"/>
      <c r="F27" s="63"/>
      <c r="G27" s="33">
        <v>0.17</v>
      </c>
      <c r="H27" s="33">
        <f>G27-($G$27-$K$27)/($K$15-$G$15)</f>
        <v>0.17</v>
      </c>
      <c r="I27" s="33">
        <f t="shared" ref="I27:J27" si="3">H27-($G$27-$K$27)/($K$15-$G$15)</f>
        <v>0.17</v>
      </c>
      <c r="J27" s="33">
        <f t="shared" si="3"/>
        <v>0.17</v>
      </c>
      <c r="K27" s="33">
        <f>M10</f>
        <v>0.17</v>
      </c>
    </row>
    <row r="28" spans="1:14" x14ac:dyDescent="0.35">
      <c r="D28" s="34"/>
      <c r="E28" s="34"/>
      <c r="F28" s="34"/>
      <c r="G28" s="35"/>
      <c r="H28" s="35"/>
      <c r="I28" s="35"/>
      <c r="J28" s="35"/>
      <c r="K28" s="35"/>
      <c r="L28" s="34"/>
      <c r="M28" s="34"/>
      <c r="N28" s="36"/>
    </row>
    <row r="29" spans="1:14" x14ac:dyDescent="0.35">
      <c r="B29" s="1" t="s">
        <v>15</v>
      </c>
      <c r="D29" s="37">
        <f>'CFS + Ratios'!G15</f>
        <v>4509000</v>
      </c>
      <c r="E29" s="37">
        <f>'CFS + Ratios'!H15</f>
        <v>8692000</v>
      </c>
      <c r="F29" s="37">
        <f>'CFS + Ratios'!I15</f>
        <v>9195000</v>
      </c>
      <c r="G29" s="29">
        <f ca="1">G23-G36</f>
        <v>7805542.9112510029</v>
      </c>
      <c r="H29" s="29">
        <f t="shared" ref="H29:K29" ca="1" si="4">H23-H36</f>
        <v>8332417.0577604454</v>
      </c>
      <c r="I29" s="29">
        <f t="shared" ca="1" si="4"/>
        <v>8874024.1665148754</v>
      </c>
      <c r="J29" s="29">
        <f t="shared" ca="1" si="4"/>
        <v>9428650.676922055</v>
      </c>
      <c r="K29" s="29">
        <f t="shared" ca="1" si="4"/>
        <v>9180190.7487274725</v>
      </c>
      <c r="L29" s="37"/>
      <c r="M29" s="37"/>
      <c r="N29" s="37"/>
    </row>
    <row r="30" spans="1:14" x14ac:dyDescent="0.35">
      <c r="B30" s="1" t="s">
        <v>18</v>
      </c>
      <c r="D30" s="31">
        <f>D29/D17</f>
        <v>0.10800517390054613</v>
      </c>
      <c r="E30" s="31">
        <f>E29/E17</f>
        <v>0.17052833964411135</v>
      </c>
      <c r="F30" s="31">
        <f>F29/F17</f>
        <v>0.15472764904841232</v>
      </c>
      <c r="G30" s="32">
        <f ca="1">G29/G17</f>
        <v>0.12275396565630121</v>
      </c>
      <c r="H30" s="32">
        <f t="shared" ref="H30:K30" ca="1" si="5">H29/H17</f>
        <v>0.1227539656563012</v>
      </c>
      <c r="I30" s="32">
        <f t="shared" ca="1" si="5"/>
        <v>0.1227539656563012</v>
      </c>
      <c r="J30" s="32">
        <f t="shared" ca="1" si="5"/>
        <v>0.1227539656563012</v>
      </c>
      <c r="K30" s="32">
        <f t="shared" ca="1" si="5"/>
        <v>0.11275396565630119</v>
      </c>
      <c r="L30" s="38"/>
      <c r="M30" s="38"/>
      <c r="N30" s="38"/>
    </row>
    <row r="31" spans="1:14" x14ac:dyDescent="0.35"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6"/>
    </row>
    <row r="32" spans="1:14" x14ac:dyDescent="0.35">
      <c r="B32" s="1" t="s">
        <v>19</v>
      </c>
      <c r="D32" s="37">
        <f t="shared" ref="D32:K32" si="6">D29*D33</f>
        <v>1006000</v>
      </c>
      <c r="E32" s="37">
        <f t="shared" si="6"/>
        <v>1742000</v>
      </c>
      <c r="F32" s="37">
        <f t="shared" si="6"/>
        <v>2067000</v>
      </c>
      <c r="G32" s="29">
        <f t="shared" ca="1" si="6"/>
        <v>1639164.0113627105</v>
      </c>
      <c r="H32" s="29">
        <f t="shared" ca="1" si="6"/>
        <v>1749807.5821296934</v>
      </c>
      <c r="I32" s="29">
        <f t="shared" ca="1" si="6"/>
        <v>1863545.0749681238</v>
      </c>
      <c r="J32" s="29">
        <f t="shared" ca="1" si="6"/>
        <v>1980016.6421536314</v>
      </c>
      <c r="K32" s="29">
        <f t="shared" ca="1" si="6"/>
        <v>1927840.0572327692</v>
      </c>
      <c r="L32" s="34"/>
      <c r="M32" s="34"/>
      <c r="N32" s="36"/>
    </row>
    <row r="33" spans="1:14" x14ac:dyDescent="0.35">
      <c r="B33" s="1" t="s">
        <v>48</v>
      </c>
      <c r="D33" s="31">
        <f>'CFS + Ratios'!G14</f>
        <v>0.22310933688179196</v>
      </c>
      <c r="E33" s="31">
        <f>'CFS + Ratios'!H14</f>
        <v>0.2004141739530603</v>
      </c>
      <c r="F33" s="31">
        <f>'CFS + Ratios'!I14</f>
        <v>0.22479608482871125</v>
      </c>
      <c r="G33" s="32">
        <v>0.21</v>
      </c>
      <c r="H33" s="32">
        <v>0.21</v>
      </c>
      <c r="I33" s="32">
        <v>0.21</v>
      </c>
      <c r="J33" s="32">
        <v>0.21</v>
      </c>
      <c r="K33" s="32">
        <v>0.21</v>
      </c>
      <c r="L33" s="34"/>
      <c r="M33" s="34"/>
      <c r="N33" s="36"/>
    </row>
    <row r="34" spans="1:14" x14ac:dyDescent="0.35">
      <c r="D34" s="34"/>
      <c r="E34" s="34"/>
      <c r="F34" s="75"/>
      <c r="G34" s="34"/>
      <c r="H34" s="34"/>
      <c r="I34" s="34"/>
      <c r="J34" s="34"/>
      <c r="K34" s="34"/>
      <c r="L34" s="34"/>
      <c r="M34" s="34"/>
      <c r="N34" s="36"/>
    </row>
    <row r="35" spans="1:14" s="19" customFormat="1" ht="20" customHeight="1" x14ac:dyDescent="0.35">
      <c r="A35" s="16"/>
      <c r="B35" s="17" t="s">
        <v>12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4" x14ac:dyDescent="0.35">
      <c r="B36" s="1" t="s">
        <v>32</v>
      </c>
      <c r="D36" s="28">
        <f>'CFS + Ratios'!G50</f>
        <v>2432000</v>
      </c>
      <c r="E36" s="28">
        <f>'CFS + Ratios'!H50</f>
        <v>2352000</v>
      </c>
      <c r="F36" s="28">
        <f>'CFS + Ratios'!I50</f>
        <v>2219000</v>
      </c>
      <c r="G36" s="29">
        <f ca="1">G17*G37</f>
        <v>3004228.3887489983</v>
      </c>
      <c r="H36" s="29">
        <f ca="1">H17*H37</f>
        <v>3207013.8049895554</v>
      </c>
      <c r="I36" s="29">
        <f ca="1">I17*I37</f>
        <v>3415469.7023138772</v>
      </c>
      <c r="J36" s="29">
        <f ca="1">J17*J37</f>
        <v>3628936.5587084945</v>
      </c>
      <c r="K36" s="29">
        <f ca="1">K17*K37</f>
        <v>3846672.7522310037</v>
      </c>
      <c r="L36" s="28"/>
      <c r="M36" s="28"/>
      <c r="N36" s="28"/>
    </row>
    <row r="37" spans="1:14" x14ac:dyDescent="0.35">
      <c r="B37" s="1" t="s">
        <v>18</v>
      </c>
      <c r="D37" s="31">
        <f>D36/$D$17</f>
        <v>5.8254287630545173E-2</v>
      </c>
      <c r="E37" s="31">
        <f>E36/E17</f>
        <v>4.6143885738949598E-2</v>
      </c>
      <c r="F37" s="31">
        <f>F36/F17</f>
        <v>3.7339929661601629E-2</v>
      </c>
      <c r="G37" s="32">
        <f>AVERAGE(D37:F37)</f>
        <v>4.7246034343698805E-2</v>
      </c>
      <c r="H37" s="32">
        <f>G37</f>
        <v>4.7246034343698805E-2</v>
      </c>
      <c r="I37" s="32">
        <f>H37</f>
        <v>4.7246034343698805E-2</v>
      </c>
      <c r="J37" s="32">
        <f>I37</f>
        <v>4.7246034343698805E-2</v>
      </c>
      <c r="K37" s="32">
        <f>J37</f>
        <v>4.7246034343698805E-2</v>
      </c>
      <c r="L37" s="38"/>
      <c r="M37" s="38"/>
      <c r="N37" s="38"/>
    </row>
    <row r="38" spans="1:14" x14ac:dyDescent="0.35"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4" x14ac:dyDescent="0.35">
      <c r="B39" s="1" t="s">
        <v>147</v>
      </c>
      <c r="D39" s="28">
        <f>-'CFS + Ratios'!G54</f>
        <v>2115000</v>
      </c>
      <c r="E39" s="28">
        <f>-'CFS + Ratios'!H54</f>
        <v>2472000</v>
      </c>
      <c r="F39" s="28">
        <f>-'CFS + Ratios'!I54</f>
        <v>2599000</v>
      </c>
      <c r="G39" s="29">
        <f ca="1">G17*G40</f>
        <v>3648361.5306122447</v>
      </c>
      <c r="H39" s="29">
        <f ca="1">H17*H40</f>
        <v>3894625.9339285716</v>
      </c>
      <c r="I39" s="29">
        <f ca="1">I17*I40</f>
        <v>4147776.6196339289</v>
      </c>
      <c r="J39" s="29">
        <f ca="1">J17*J40</f>
        <v>4407012.6583610494</v>
      </c>
      <c r="K39" s="29">
        <f ca="1">K17*K40</f>
        <v>4671433.4178627124</v>
      </c>
      <c r="L39" s="28"/>
      <c r="M39" s="28"/>
      <c r="N39" s="28"/>
    </row>
    <row r="40" spans="1:14" x14ac:dyDescent="0.35">
      <c r="B40" s="1" t="s">
        <v>18</v>
      </c>
      <c r="D40" s="31">
        <f>D39/$D$17</f>
        <v>5.0661109514228225E-2</v>
      </c>
      <c r="E40" s="31">
        <f>E39/$D$17</f>
        <v>5.9212417361310721E-2</v>
      </c>
      <c r="F40" s="31">
        <f>F39/$D$17</f>
        <v>6.225447925649133E-2</v>
      </c>
      <c r="G40" s="32">
        <f>AVERAGE(D40:F40)</f>
        <v>5.737600204401009E-2</v>
      </c>
      <c r="H40" s="32">
        <f>AVERAGE($D$40:$F$40)</f>
        <v>5.737600204401009E-2</v>
      </c>
      <c r="I40" s="32">
        <f>AVERAGE($D$40:$F$40)</f>
        <v>5.737600204401009E-2</v>
      </c>
      <c r="J40" s="32">
        <f>AVERAGE($D$40:$F$40)</f>
        <v>5.737600204401009E-2</v>
      </c>
      <c r="K40" s="32">
        <f>AVERAGE($D$40:$F$40)</f>
        <v>5.737600204401009E-2</v>
      </c>
      <c r="L40" s="30"/>
      <c r="M40" s="30"/>
      <c r="N40" s="30"/>
    </row>
    <row r="42" spans="1:14" x14ac:dyDescent="0.35">
      <c r="B42" s="1" t="s">
        <v>33</v>
      </c>
      <c r="D42" s="28">
        <f>'CFS + Ratios'!G21-'CFS + Ratios'!G32</f>
        <v>13747000</v>
      </c>
      <c r="E42" s="28">
        <f>'CFS + Ratios'!H21-'CFS + Ratios'!H32</f>
        <v>13608000</v>
      </c>
      <c r="F42" s="28">
        <f>'CFS + Ratios'!I21-'CFS + Ratios'!I32</f>
        <v>12254000</v>
      </c>
      <c r="G42" s="29">
        <f ca="1">G17*G43</f>
        <v>17008711.846372362</v>
      </c>
      <c r="H42" s="29">
        <f ca="1">H17*H43</f>
        <v>18156799.896002498</v>
      </c>
      <c r="I42" s="29">
        <f ca="1">I17*I43</f>
        <v>19336991.88924266</v>
      </c>
      <c r="J42" s="29">
        <f ca="1">J17*J43</f>
        <v>20545553.88232033</v>
      </c>
      <c r="K42" s="29">
        <f ca="1">K17*K43</f>
        <v>21778287.115259547</v>
      </c>
      <c r="L42" s="28"/>
      <c r="M42" s="28"/>
      <c r="N42" s="28"/>
    </row>
    <row r="43" spans="1:14" x14ac:dyDescent="0.35">
      <c r="B43" s="1" t="s">
        <v>18</v>
      </c>
      <c r="D43" s="31">
        <f>D42/D17</f>
        <v>0.3292852352208489</v>
      </c>
      <c r="E43" s="31">
        <f>E42/E17</f>
        <v>0.2669753389182084</v>
      </c>
      <c r="F43" s="31">
        <f>F42/F17</f>
        <v>0.2062025678563616</v>
      </c>
      <c r="G43" s="32">
        <f>AVERAGE($D$43:$F$43)</f>
        <v>0.26748771399847299</v>
      </c>
      <c r="H43" s="32">
        <f>AVERAGE($D$43:$F$43)</f>
        <v>0.26748771399847299</v>
      </c>
      <c r="I43" s="32">
        <f>AVERAGE($D$43:$F$43)</f>
        <v>0.26748771399847299</v>
      </c>
      <c r="J43" s="32">
        <f>AVERAGE($D$43:$F$43)</f>
        <v>0.26748771399847299</v>
      </c>
      <c r="K43" s="32">
        <f>AVERAGE($D$43:$F$43)</f>
        <v>0.26748771399847299</v>
      </c>
      <c r="L43" s="28"/>
      <c r="M43" s="28"/>
      <c r="N43" s="28"/>
    </row>
    <row r="44" spans="1:14" x14ac:dyDescent="0.35">
      <c r="B44" s="1" t="s">
        <v>164</v>
      </c>
      <c r="D44" s="5" t="s">
        <v>23</v>
      </c>
      <c r="E44" s="71">
        <f t="shared" ref="E44:K44" si="7">E42-D42</f>
        <v>-139000</v>
      </c>
      <c r="F44" s="71">
        <f>F42-E42</f>
        <v>-1354000</v>
      </c>
      <c r="G44" s="29">
        <f t="shared" ca="1" si="7"/>
        <v>4754711.8463723622</v>
      </c>
      <c r="H44" s="29">
        <f t="shared" ca="1" si="7"/>
        <v>1148088.0496301353</v>
      </c>
      <c r="I44" s="29">
        <f t="shared" ca="1" si="7"/>
        <v>1180191.9932401627</v>
      </c>
      <c r="J44" s="29">
        <f t="shared" ca="1" si="7"/>
        <v>1208561.9930776693</v>
      </c>
      <c r="K44" s="29">
        <f t="shared" ca="1" si="7"/>
        <v>1232733.2329392172</v>
      </c>
    </row>
    <row r="45" spans="1:14" ht="16" thickBot="1" x14ac:dyDescent="0.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4" ht="16.5" thickTop="1" thickBot="1" x14ac:dyDescent="0.4"/>
    <row r="47" spans="1:14" s="42" customFormat="1" ht="16" thickBot="1" x14ac:dyDescent="0.4">
      <c r="A47" s="8"/>
      <c r="B47" s="144" t="s">
        <v>29</v>
      </c>
      <c r="C47" s="145"/>
      <c r="D47" s="137">
        <f>D29-D32+D36-D39+D42</f>
        <v>17567000</v>
      </c>
      <c r="E47" s="137">
        <f>E29-E32+E36-E39+E42</f>
        <v>20438000</v>
      </c>
      <c r="F47" s="137">
        <f>F29-F32+F36-F39+F42</f>
        <v>19002000</v>
      </c>
      <c r="G47" s="138">
        <f ca="1">G29-G32+G36-G39+G44</f>
        <v>10276957.604397407</v>
      </c>
      <c r="H47" s="139">
        <f ca="1">H29-H32+H36-H39+H44</f>
        <v>7043085.3963218704</v>
      </c>
      <c r="I47" s="139">
        <f ca="1">I29-I32+I36-I39+I44</f>
        <v>7458364.1674668631</v>
      </c>
      <c r="J47" s="139">
        <f ca="1">J29-J32+J36-J39+J44</f>
        <v>7879119.9281935375</v>
      </c>
      <c r="K47" s="140">
        <f ca="1">K29-K32+K36-K39+K44</f>
        <v>7660323.2588022118</v>
      </c>
      <c r="L47" s="8"/>
      <c r="M47" s="8"/>
    </row>
    <row r="49" spans="1:12" s="19" customFormat="1" ht="20" customHeight="1" thickBot="1" x14ac:dyDescent="0.4">
      <c r="A49" s="16"/>
      <c r="B49" s="17" t="s">
        <v>167</v>
      </c>
      <c r="C49" s="18"/>
      <c r="D49" s="18"/>
      <c r="E49" s="18"/>
      <c r="G49" s="16"/>
      <c r="H49" s="16"/>
      <c r="I49" s="16"/>
      <c r="J49" s="16"/>
      <c r="K49" s="16"/>
      <c r="L49" s="16"/>
    </row>
    <row r="50" spans="1:12" ht="16" thickBot="1" x14ac:dyDescent="0.4">
      <c r="B50" s="118" t="s">
        <v>3</v>
      </c>
      <c r="C50" s="120"/>
      <c r="D50" s="121"/>
      <c r="E50" s="119" cm="1">
        <f t="array" ref="E50">_xlfn.IFS(D12=1,G12,D12=2,J12,D12=3,M12)</f>
        <v>8.8505573176368479E-2</v>
      </c>
    </row>
    <row r="51" spans="1:12" x14ac:dyDescent="0.35">
      <c r="B51" s="8"/>
      <c r="C51" s="14"/>
      <c r="D51" s="76"/>
      <c r="E51" s="76"/>
    </row>
    <row r="52" spans="1:12" x14ac:dyDescent="0.35">
      <c r="B52" s="8" t="s">
        <v>165</v>
      </c>
      <c r="C52" s="14"/>
      <c r="D52" s="76"/>
      <c r="E52" s="76">
        <f ca="1">NPV(E50,DCF!G47:J47)+DCF!K47/(E50-DCF!K18)/(1+E50)^4</f>
        <v>218204373.4463551</v>
      </c>
    </row>
    <row r="53" spans="1:12" s="1" customFormat="1" x14ac:dyDescent="0.35">
      <c r="B53" s="1" t="s">
        <v>166</v>
      </c>
      <c r="C53" s="14"/>
      <c r="D53" s="76"/>
      <c r="E53" s="76">
        <f>'CFS + Ratios'!I22</f>
        <v>7004000</v>
      </c>
      <c r="G53" s="76"/>
    </row>
    <row r="54" spans="1:12" s="1" customFormat="1" x14ac:dyDescent="0.35">
      <c r="B54" s="1" t="s">
        <v>168</v>
      </c>
      <c r="C54" s="14"/>
      <c r="D54" s="76"/>
      <c r="E54" s="76">
        <f>WACC!D7*1000000</f>
        <v>29989000</v>
      </c>
      <c r="G54" s="76"/>
    </row>
    <row r="55" spans="1:12" s="1" customFormat="1" x14ac:dyDescent="0.35">
      <c r="G55" s="82"/>
    </row>
    <row r="56" spans="1:12" s="1" customFormat="1" ht="16" thickBot="1" x14ac:dyDescent="0.4">
      <c r="B56" s="68" t="s">
        <v>169</v>
      </c>
      <c r="C56" s="77"/>
      <c r="D56" s="78"/>
      <c r="E56" s="79">
        <f ca="1">E52+E53-E54</f>
        <v>195219373.4463551</v>
      </c>
      <c r="F56" s="71"/>
      <c r="G56" s="82"/>
    </row>
    <row r="57" spans="1:12" s="1" customFormat="1" ht="16" thickTop="1" x14ac:dyDescent="0.35"/>
    <row r="58" spans="1:12" s="1" customFormat="1" ht="16" thickBot="1" x14ac:dyDescent="0.4">
      <c r="B58" s="1" t="s">
        <v>170</v>
      </c>
      <c r="E58" s="80">
        <v>509800</v>
      </c>
      <c r="F58" s="80"/>
    </row>
    <row r="59" spans="1:12" s="1" customFormat="1" ht="16" thickBot="1" x14ac:dyDescent="0.4">
      <c r="B59" s="142" t="s">
        <v>171</v>
      </c>
      <c r="C59" s="143"/>
      <c r="D59" s="141"/>
      <c r="E59" s="146">
        <f ca="1">E56/E58</f>
        <v>382.93325509288957</v>
      </c>
      <c r="F59" s="81"/>
    </row>
    <row r="60" spans="1:12" s="1" customFormat="1" x14ac:dyDescent="0.35"/>
    <row r="61" spans="1:12" s="1" customFormat="1" x14ac:dyDescent="0.35"/>
    <row r="62" spans="1:12" s="1" customFormat="1" x14ac:dyDescent="0.35"/>
    <row r="63" spans="1:12" s="1" customFormat="1" x14ac:dyDescent="0.35"/>
    <row r="64" spans="1:12" s="1" customFormat="1" x14ac:dyDescent="0.35"/>
    <row r="65" s="1" customFormat="1" x14ac:dyDescent="0.35"/>
    <row r="66" s="1" customFormat="1" x14ac:dyDescent="0.3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D6C3-6F38-8B44-8EC1-1966FCD8A2AE}">
  <sheetPr>
    <tabColor theme="1" tint="0.249977111117893"/>
  </sheetPr>
  <dimension ref="A2:AH64"/>
  <sheetViews>
    <sheetView showGridLines="0" topLeftCell="A3" zoomScale="64" zoomScaleNormal="64" workbookViewId="0">
      <selection activeCell="S20" sqref="S20"/>
    </sheetView>
  </sheetViews>
  <sheetFormatPr defaultColWidth="10.83203125" defaultRowHeight="15.5" x14ac:dyDescent="0.35"/>
  <cols>
    <col min="1" max="1" width="10.83203125" style="1"/>
    <col min="2" max="4" width="2.6640625" style="1" customWidth="1"/>
    <col min="5" max="5" width="33" style="1" customWidth="1"/>
    <col min="6" max="9" width="15.6640625" style="49" customWidth="1"/>
    <col min="10" max="11" width="1.1640625" style="15" customWidth="1"/>
    <col min="12" max="12" width="2.5" style="1" customWidth="1"/>
    <col min="13" max="13" width="24" style="1" customWidth="1"/>
    <col min="14" max="14" width="14.33203125" style="1" bestFit="1" customWidth="1"/>
    <col min="15" max="17" width="13.1640625" style="1" bestFit="1" customWidth="1"/>
    <col min="18" max="34" width="10.83203125" style="1"/>
    <col min="35" max="16384" width="10.83203125" style="15"/>
  </cols>
  <sheetData>
    <row r="2" spans="1:34" x14ac:dyDescent="0.35">
      <c r="A2" s="1" t="s">
        <v>196</v>
      </c>
      <c r="B2" s="134" t="s">
        <v>40</v>
      </c>
    </row>
    <row r="3" spans="1:34" x14ac:dyDescent="0.35">
      <c r="B3" s="2"/>
      <c r="C3" s="2"/>
      <c r="D3" s="2"/>
      <c r="E3" s="2"/>
      <c r="F3" s="107"/>
      <c r="G3" s="107"/>
      <c r="H3" s="107"/>
      <c r="I3" s="107"/>
      <c r="J3" s="12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5">
      <c r="B4" s="2"/>
      <c r="C4" s="2"/>
      <c r="D4" s="2"/>
      <c r="E4" s="2"/>
      <c r="F4" s="107"/>
      <c r="G4" s="107"/>
      <c r="H4" s="107"/>
      <c r="I4" s="107"/>
      <c r="J4" s="12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5">
      <c r="B5" s="2"/>
      <c r="C5" s="2"/>
      <c r="D5" s="2"/>
      <c r="E5" s="2"/>
      <c r="F5" s="107"/>
      <c r="G5" s="107"/>
      <c r="H5" s="107"/>
      <c r="I5" s="107"/>
      <c r="J5" s="12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35">
      <c r="B6" s="135" t="s">
        <v>37</v>
      </c>
      <c r="C6" s="135"/>
      <c r="D6" s="135"/>
      <c r="E6" s="135"/>
      <c r="F6" s="136">
        <v>2019</v>
      </c>
      <c r="G6" s="136">
        <v>2020</v>
      </c>
      <c r="H6" s="136">
        <v>2021</v>
      </c>
      <c r="I6" s="136">
        <v>2022</v>
      </c>
      <c r="J6" s="124"/>
      <c r="L6" s="135"/>
      <c r="M6" s="135"/>
      <c r="N6" s="135">
        <v>2019</v>
      </c>
      <c r="O6" s="135">
        <v>2020</v>
      </c>
      <c r="P6" s="135">
        <v>2021</v>
      </c>
      <c r="Q6" s="135">
        <v>2022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5">
      <c r="B7" s="56" t="s">
        <v>54</v>
      </c>
      <c r="C7" s="41"/>
      <c r="D7" s="41"/>
      <c r="E7" s="41"/>
      <c r="F7" s="108"/>
      <c r="G7" s="108"/>
      <c r="H7" s="108"/>
      <c r="I7" s="108"/>
      <c r="J7" s="125"/>
      <c r="K7" s="42"/>
      <c r="L7" s="56" t="s">
        <v>49</v>
      </c>
      <c r="M7" s="41"/>
      <c r="N7" s="41"/>
      <c r="O7" s="41"/>
      <c r="P7" s="41"/>
      <c r="Q7" s="41"/>
      <c r="R7" s="55"/>
      <c r="S7" s="56" t="s">
        <v>53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6" thickBot="1" x14ac:dyDescent="0.4">
      <c r="B8" s="43" t="s">
        <v>24</v>
      </c>
      <c r="C8" s="43"/>
      <c r="D8" s="43"/>
      <c r="E8" s="43"/>
      <c r="F8" s="73"/>
      <c r="G8" s="73"/>
      <c r="H8" s="73"/>
      <c r="I8" s="73"/>
      <c r="J8" s="124"/>
      <c r="L8" s="8" t="s">
        <v>184</v>
      </c>
      <c r="M8" s="8"/>
    </row>
    <row r="9" spans="1:34" ht="16" thickTop="1" x14ac:dyDescent="0.35">
      <c r="C9" s="1" t="s">
        <v>35</v>
      </c>
      <c r="F9" s="109">
        <v>53800000</v>
      </c>
      <c r="G9" s="109">
        <v>41748000</v>
      </c>
      <c r="H9" s="109">
        <v>50971000</v>
      </c>
      <c r="I9" s="109">
        <v>59427000</v>
      </c>
      <c r="J9" s="126"/>
      <c r="K9" s="122"/>
      <c r="L9" s="1" t="s">
        <v>130</v>
      </c>
      <c r="M9" s="1" t="s">
        <v>55</v>
      </c>
      <c r="N9" s="39">
        <f>'CFS + Ratios'!F11/'CFS + Ratios'!F9</f>
        <v>0.30513011152416358</v>
      </c>
      <c r="O9" s="39">
        <f>'CFS + Ratios'!G11/'CFS + Ratios'!G9</f>
        <v>0.28928331896138737</v>
      </c>
      <c r="P9" s="39">
        <f>'CFS + Ratios'!H11/'CFS + Ratios'!H9</f>
        <v>0.29434384257715174</v>
      </c>
      <c r="Q9" s="39">
        <f>'CFS + Ratios'!I11/'CFS + Ratios'!I9</f>
        <v>0.29468086896528511</v>
      </c>
      <c r="R9" s="4" t="s">
        <v>52</v>
      </c>
      <c r="S9" s="1" t="s">
        <v>124</v>
      </c>
    </row>
    <row r="10" spans="1:34" x14ac:dyDescent="0.35">
      <c r="C10" s="1" t="s">
        <v>146</v>
      </c>
      <c r="F10" s="109">
        <v>37384000</v>
      </c>
      <c r="G10" s="109">
        <v>29671000</v>
      </c>
      <c r="H10" s="109">
        <v>35968000</v>
      </c>
      <c r="I10" s="109">
        <v>41915000</v>
      </c>
      <c r="J10" s="127"/>
      <c r="K10" s="123"/>
      <c r="L10" s="1" t="s">
        <v>130</v>
      </c>
      <c r="M10" s="1" t="s">
        <v>56</v>
      </c>
      <c r="N10" s="39">
        <f>'CFS + Ratios'!F12/'CFS + Ratios'!F9</f>
        <v>0.15408921933085501</v>
      </c>
      <c r="O10" s="39">
        <f>'CFS + Ratios'!G12/'CFS + Ratios'!G9</f>
        <v>0.10905911660438823</v>
      </c>
      <c r="P10" s="39">
        <f>'CFS + Ratios'!H12/'CFS + Ratios'!H9</f>
        <v>0.13493947538796572</v>
      </c>
      <c r="Q10" s="39">
        <f>'CFS + Ratios'!I12/'CFS + Ratios'!I9</f>
        <v>0.14856883234893231</v>
      </c>
      <c r="R10" s="4" t="s">
        <v>52</v>
      </c>
      <c r="S10" s="1" t="s">
        <v>125</v>
      </c>
    </row>
    <row r="11" spans="1:34" x14ac:dyDescent="0.35">
      <c r="C11" s="1" t="s">
        <v>36</v>
      </c>
      <c r="F11" s="109">
        <v>16416000</v>
      </c>
      <c r="G11" s="109">
        <v>12077000</v>
      </c>
      <c r="H11" s="109">
        <v>15003000</v>
      </c>
      <c r="I11" s="109">
        <v>17512000</v>
      </c>
      <c r="J11" s="128"/>
      <c r="K11" s="114"/>
      <c r="L11" s="1" t="s">
        <v>130</v>
      </c>
      <c r="M11" s="1" t="s">
        <v>57</v>
      </c>
      <c r="N11" s="39">
        <f>'CFS + Ratios'!F15/'CFS + Ratios'!F9</f>
        <v>0.15302973977695167</v>
      </c>
      <c r="O11" s="39">
        <f>'CFS + Ratios'!G15/'CFS + Ratios'!G9</f>
        <v>0.10800517390054613</v>
      </c>
      <c r="P11" s="39">
        <f>'CFS + Ratios'!H15/'CFS + Ratios'!H9</f>
        <v>0.17052833964411135</v>
      </c>
      <c r="Q11" s="39">
        <f>'CFS + Ratios'!I15/'CFS + Ratios'!I9</f>
        <v>0.15472764904841232</v>
      </c>
      <c r="R11" s="4" t="s">
        <v>52</v>
      </c>
      <c r="S11" s="1" t="s">
        <v>126</v>
      </c>
    </row>
    <row r="12" spans="1:34" x14ac:dyDescent="0.35">
      <c r="C12" s="1" t="s">
        <v>22</v>
      </c>
      <c r="F12" s="109">
        <v>8290000</v>
      </c>
      <c r="G12" s="109">
        <v>4553000</v>
      </c>
      <c r="H12" s="109">
        <v>6878000</v>
      </c>
      <c r="I12" s="109">
        <v>8829000</v>
      </c>
      <c r="J12" s="124"/>
      <c r="L12" s="1" t="s">
        <v>130</v>
      </c>
      <c r="M12" s="1" t="s">
        <v>58</v>
      </c>
      <c r="N12" s="39">
        <f>'CFS + Ratios'!F16/'CFS + Ratios'!F9</f>
        <v>0.20092936802973976</v>
      </c>
      <c r="O12" s="39">
        <f>'CFS + Ratios'!G16/'CFS + Ratios'!G9</f>
        <v>0.16625946153109131</v>
      </c>
      <c r="P12" s="39">
        <f>'CFS + Ratios'!H16/'CFS + Ratios'!H9</f>
        <v>0.21667222538306097</v>
      </c>
      <c r="Q12" s="39">
        <f>'CFS + Ratios'!I16/'CFS + Ratios'!I9</f>
        <v>0.19206757871001395</v>
      </c>
      <c r="R12" s="4" t="s">
        <v>52</v>
      </c>
      <c r="S12" s="1" t="s">
        <v>127</v>
      </c>
    </row>
    <row r="13" spans="1:34" x14ac:dyDescent="0.35">
      <c r="C13" s="1" t="s">
        <v>39</v>
      </c>
      <c r="F13" s="109">
        <v>1746000</v>
      </c>
      <c r="G13" s="109">
        <v>1006000</v>
      </c>
      <c r="H13" s="109">
        <v>1742000</v>
      </c>
      <c r="I13" s="109">
        <v>2067000</v>
      </c>
      <c r="J13" s="124"/>
      <c r="L13" s="1" t="s">
        <v>130</v>
      </c>
      <c r="M13" s="1" t="s">
        <v>59</v>
      </c>
      <c r="N13" s="39">
        <f>'CFS + Ratios'!F17/'CFS + Ratios'!F9</f>
        <v>0.11325278810408922</v>
      </c>
      <c r="O13" s="39">
        <f>'CFS + Ratios'!G17/'CFS + Ratios'!G9</f>
        <v>7.1811823320877641E-2</v>
      </c>
      <c r="P13" s="39">
        <f>'CFS + Ratios'!H17/'CFS + Ratios'!H9</f>
        <v>0.12730768476192345</v>
      </c>
      <c r="Q13" s="39">
        <f>'CFS + Ratios'!I17/'CFS + Ratios'!I9</f>
        <v>0.11282750265031047</v>
      </c>
      <c r="R13" s="4" t="s">
        <v>52</v>
      </c>
      <c r="S13" s="1" t="s">
        <v>128</v>
      </c>
    </row>
    <row r="14" spans="1:34" x14ac:dyDescent="0.35">
      <c r="D14" s="1" t="s">
        <v>131</v>
      </c>
      <c r="F14" s="110">
        <f>F13/F15</f>
        <v>0.21207336329406049</v>
      </c>
      <c r="G14" s="110">
        <f>G13/G15</f>
        <v>0.22310933688179196</v>
      </c>
      <c r="H14" s="110">
        <f>H13/H15</f>
        <v>0.2004141739530603</v>
      </c>
      <c r="I14" s="110">
        <f>I13/I15</f>
        <v>0.22479608482871125</v>
      </c>
      <c r="J14" s="124"/>
      <c r="L14" s="1" t="s">
        <v>130</v>
      </c>
      <c r="M14" s="1" t="s">
        <v>60</v>
      </c>
      <c r="N14" s="39">
        <f>'CFS + Ratios'!F17/'CFS + Ratios'!F41</f>
        <v>0.41650146968350538</v>
      </c>
      <c r="O14" s="39">
        <f>'CFS + Ratios'!G17/'CFS + Ratios'!G41</f>
        <v>0.19495383014696319</v>
      </c>
      <c r="P14" s="39">
        <f>'CFS + Ratios'!H17/'CFS + Ratios'!H41</f>
        <v>0.39289174134172922</v>
      </c>
      <c r="Q14" s="39">
        <f>'CFS + Ratios'!I17/'CFS + Ratios'!I41</f>
        <v>0.42193694544081556</v>
      </c>
      <c r="R14" s="4" t="s">
        <v>52</v>
      </c>
      <c r="S14" s="1" t="s">
        <v>62</v>
      </c>
    </row>
    <row r="15" spans="1:34" x14ac:dyDescent="0.35">
      <c r="C15" s="1" t="s">
        <v>15</v>
      </c>
      <c r="F15" s="109">
        <v>8233000</v>
      </c>
      <c r="G15" s="109">
        <v>4509000</v>
      </c>
      <c r="H15" s="109">
        <v>8692000</v>
      </c>
      <c r="I15" s="109">
        <v>9195000</v>
      </c>
      <c r="J15" s="126"/>
      <c r="K15" s="122"/>
      <c r="L15" s="1" t="s">
        <v>130</v>
      </c>
      <c r="M15" s="1" t="s">
        <v>61</v>
      </c>
      <c r="N15" s="39">
        <f>'CFS + Ratios'!F17/'CFS + Ratios'!F20</f>
        <v>7.7664334059882989E-2</v>
      </c>
      <c r="O15" s="39">
        <f>'CFS + Ratios'!G17/'CFS + Ratios'!G20</f>
        <v>3.8276901077575198E-2</v>
      </c>
      <c r="P15" s="39">
        <f>'CFS + Ratios'!H17/'CFS + Ratios'!H20</f>
        <v>7.8376191223895733E-2</v>
      </c>
      <c r="Q15" s="39">
        <f>'CFS + Ratios'!I17/'CFS + Ratios'!I20</f>
        <v>8.1825171155559359E-2</v>
      </c>
      <c r="R15" s="4" t="s">
        <v>52</v>
      </c>
      <c r="S15" s="1" t="s">
        <v>129</v>
      </c>
    </row>
    <row r="16" spans="1:34" x14ac:dyDescent="0.35">
      <c r="C16" s="1" t="s">
        <v>20</v>
      </c>
      <c r="F16" s="109">
        <v>10810000</v>
      </c>
      <c r="G16" s="109">
        <v>6941000</v>
      </c>
      <c r="H16" s="109">
        <v>11044000</v>
      </c>
      <c r="I16" s="109">
        <v>11414000</v>
      </c>
      <c r="J16" s="126"/>
      <c r="K16" s="122"/>
    </row>
    <row r="17" spans="2:21" x14ac:dyDescent="0.35">
      <c r="C17" s="1" t="s">
        <v>38</v>
      </c>
      <c r="F17" s="109">
        <v>6093000</v>
      </c>
      <c r="G17" s="109">
        <v>2998000</v>
      </c>
      <c r="H17" s="109">
        <v>6489000</v>
      </c>
      <c r="I17" s="109">
        <v>6705000</v>
      </c>
      <c r="J17" s="124"/>
      <c r="L17" s="8" t="s">
        <v>185</v>
      </c>
    </row>
    <row r="18" spans="2:21" x14ac:dyDescent="0.35">
      <c r="F18" s="109"/>
      <c r="G18" s="109"/>
      <c r="H18" s="109"/>
      <c r="I18" s="109"/>
      <c r="J18" s="124"/>
      <c r="L18" s="1" t="s">
        <v>130</v>
      </c>
      <c r="M18" s="1" t="s">
        <v>64</v>
      </c>
      <c r="N18" s="132">
        <f>'CFS + Ratios'!F9/'CFS + Ratios'!F20</f>
        <v>0.68576090143143031</v>
      </c>
      <c r="O18" s="132">
        <f>'CFS + Ratios'!G9/'CFS + Ratios'!G20</f>
        <v>0.5330166998621112</v>
      </c>
      <c r="P18" s="132">
        <f>'CFS + Ratios'!H9/'CFS + Ratios'!H20</f>
        <v>0.61564383462370009</v>
      </c>
      <c r="Q18" s="132">
        <f>'CFS + Ratios'!I9/'CFS + Ratios'!I20</f>
        <v>0.72522363106061527</v>
      </c>
      <c r="R18" s="4" t="s">
        <v>52</v>
      </c>
      <c r="S18" s="1" t="s">
        <v>70</v>
      </c>
    </row>
    <row r="19" spans="2:21" ht="16" thickBot="1" x14ac:dyDescent="0.4">
      <c r="B19" s="43" t="s">
        <v>41</v>
      </c>
      <c r="C19" s="43"/>
      <c r="D19" s="43"/>
      <c r="E19" s="43"/>
      <c r="F19" s="73"/>
      <c r="G19" s="73"/>
      <c r="H19" s="73"/>
      <c r="I19" s="73"/>
      <c r="J19" s="124"/>
      <c r="L19" s="8" t="s">
        <v>130</v>
      </c>
      <c r="M19" s="1" t="s">
        <v>186</v>
      </c>
      <c r="N19" s="133" t="s">
        <v>23</v>
      </c>
      <c r="O19" s="133">
        <f>365/('CFS + Ratios'!G10/(('CFS + Ratios'!F24+'CFS + Ratios'!G24)/2))</f>
        <v>139.42603889319537</v>
      </c>
      <c r="P19" s="133">
        <f>365/('CFS + Ratios'!H10/(('CFS + Ratios'!G24+'CFS + Ratios'!H24)/2))</f>
        <v>129.08140569395019</v>
      </c>
      <c r="Q19" s="133">
        <f>365/('CFS + Ratios'!I10/(('CFS + Ratios'!H24+'CFS + Ratios'!I24)/2))</f>
        <v>131.96254324227604</v>
      </c>
      <c r="S19" s="1" t="s">
        <v>202</v>
      </c>
    </row>
    <row r="20" spans="2:21" ht="16" thickTop="1" x14ac:dyDescent="0.35">
      <c r="B20" s="45"/>
      <c r="C20" s="46" t="s">
        <v>42</v>
      </c>
      <c r="D20" s="46"/>
      <c r="E20" s="46"/>
      <c r="F20" s="111">
        <v>78453000</v>
      </c>
      <c r="G20" s="111">
        <v>78324000</v>
      </c>
      <c r="H20" s="111">
        <v>82793000</v>
      </c>
      <c r="I20" s="111">
        <v>81943000</v>
      </c>
      <c r="J20" s="124"/>
      <c r="N20" s="132"/>
      <c r="O20" s="132"/>
      <c r="P20" s="132"/>
      <c r="Q20" s="132"/>
      <c r="R20" s="4"/>
      <c r="U20" s="49"/>
    </row>
    <row r="21" spans="2:21" x14ac:dyDescent="0.35">
      <c r="D21" s="74" t="s">
        <v>161</v>
      </c>
      <c r="F21" s="112">
        <v>39193000</v>
      </c>
      <c r="G21" s="112">
        <v>39464000</v>
      </c>
      <c r="H21" s="112">
        <v>43455000</v>
      </c>
      <c r="I21" s="112">
        <v>43785000</v>
      </c>
      <c r="J21" s="125"/>
      <c r="K21" s="42"/>
      <c r="L21" s="8" t="s">
        <v>187</v>
      </c>
      <c r="N21" s="132"/>
      <c r="O21" s="132"/>
      <c r="P21" s="132"/>
      <c r="Q21" s="132"/>
      <c r="U21" s="49"/>
    </row>
    <row r="22" spans="2:21" x14ac:dyDescent="0.35">
      <c r="E22" s="48" t="s">
        <v>65</v>
      </c>
      <c r="F22" s="49">
        <v>8284000</v>
      </c>
      <c r="G22" s="49">
        <v>9352000</v>
      </c>
      <c r="H22" s="49">
        <v>9254000</v>
      </c>
      <c r="I22" s="49">
        <v>7004000</v>
      </c>
      <c r="J22" s="124"/>
      <c r="L22" s="1" t="s">
        <v>130</v>
      </c>
      <c r="M22" s="1" t="s">
        <v>50</v>
      </c>
      <c r="N22" s="132">
        <f>'CFS + Ratios'!F21/'CFS + Ratios'!F32</f>
        <v>1.4722587430975547</v>
      </c>
      <c r="O22" s="132">
        <f>'CFS + Ratios'!G21/'CFS + Ratios'!G32</f>
        <v>1.5345491309250689</v>
      </c>
      <c r="P22" s="132">
        <f>'CFS + Ratios'!H21/'CFS + Ratios'!H32</f>
        <v>1.4559252186149361</v>
      </c>
      <c r="Q22" s="132">
        <f>'CFS + Ratios'!I21/'CFS + Ratios'!I32</f>
        <v>1.3886334083917415</v>
      </c>
      <c r="R22" s="4" t="s">
        <v>52</v>
      </c>
      <c r="S22" s="1" t="s">
        <v>51</v>
      </c>
      <c r="U22" s="49"/>
    </row>
    <row r="23" spans="2:21" x14ac:dyDescent="0.35">
      <c r="E23" s="48" t="s">
        <v>66</v>
      </c>
      <c r="F23" s="49">
        <v>17904000</v>
      </c>
      <c r="G23" s="49">
        <v>16780000</v>
      </c>
      <c r="H23" s="49">
        <v>17375000</v>
      </c>
      <c r="I23" s="49">
        <v>17869000</v>
      </c>
      <c r="J23" s="125"/>
      <c r="K23" s="42"/>
      <c r="L23" s="1" t="s">
        <v>130</v>
      </c>
      <c r="M23" s="1" t="s">
        <v>68</v>
      </c>
      <c r="N23" s="132">
        <f>('CFS + Ratios'!F21-'CFS + Ratios'!F24)/'CFS + Ratios'!F32</f>
        <v>1.0490590135607227</v>
      </c>
      <c r="O23" s="132">
        <f>('CFS + Ratios'!G21-'CFS + Ratios'!G24)/'CFS + Ratios'!G32</f>
        <v>1.0911848193801765</v>
      </c>
      <c r="P23" s="132">
        <f>('CFS + Ratios'!H21-'CFS + Ratios'!H24)/'CFS + Ratios'!H32</f>
        <v>0.98559319194558914</v>
      </c>
      <c r="Q23" s="132">
        <f>('CFS + Ratios'!I21-'CFS + Ratios'!I24)/'CFS + Ratios'!I32</f>
        <v>0.87263328153246011</v>
      </c>
      <c r="R23" s="4" t="s">
        <v>52</v>
      </c>
      <c r="S23" s="1" t="s">
        <v>69</v>
      </c>
      <c r="U23" s="49"/>
    </row>
    <row r="24" spans="2:21" x14ac:dyDescent="0.35">
      <c r="E24" s="48" t="s">
        <v>67</v>
      </c>
      <c r="F24" s="49">
        <v>11266000</v>
      </c>
      <c r="G24" s="49">
        <v>11402000</v>
      </c>
      <c r="H24" s="49">
        <v>14038000</v>
      </c>
      <c r="I24" s="49">
        <v>16270000</v>
      </c>
      <c r="J24" s="129"/>
      <c r="K24" s="44"/>
      <c r="L24" s="1" t="s">
        <v>130</v>
      </c>
      <c r="M24" s="1" t="s">
        <v>195</v>
      </c>
      <c r="N24" s="132">
        <f>'CFS + Ratios'!F22/'CFS + Ratios'!F32</f>
        <v>0.31118290071747867</v>
      </c>
      <c r="O24" s="132">
        <f>'CFS + Ratios'!G22/'CFS + Ratios'!G32</f>
        <v>0.36365050355795775</v>
      </c>
      <c r="P24" s="132">
        <f>'CFS + Ratios'!H22/'CFS + Ratios'!H32</f>
        <v>0.31004791101283213</v>
      </c>
      <c r="Q24" s="132">
        <f>'CFS + Ratios'!I22/'CFS + Ratios'!I32</f>
        <v>0.22213060163014176</v>
      </c>
      <c r="R24" s="4"/>
      <c r="S24" s="1" t="s">
        <v>188</v>
      </c>
      <c r="U24" s="49"/>
    </row>
    <row r="25" spans="2:21" x14ac:dyDescent="0.35">
      <c r="D25" s="74" t="s">
        <v>34</v>
      </c>
      <c r="F25" s="112">
        <v>39260000</v>
      </c>
      <c r="G25" s="112">
        <v>38860000</v>
      </c>
      <c r="H25" s="112">
        <v>39338000</v>
      </c>
      <c r="I25" s="112">
        <v>38158000</v>
      </c>
      <c r="J25" s="124"/>
      <c r="N25" s="132"/>
      <c r="O25" s="132"/>
      <c r="P25" s="132"/>
      <c r="Q25" s="132"/>
      <c r="R25" s="4"/>
      <c r="U25" s="49"/>
    </row>
    <row r="26" spans="2:21" x14ac:dyDescent="0.35">
      <c r="E26" s="48" t="s">
        <v>134</v>
      </c>
      <c r="F26" s="112">
        <v>12904000</v>
      </c>
      <c r="G26" s="112">
        <v>12401000</v>
      </c>
      <c r="H26" s="112">
        <v>12090000</v>
      </c>
      <c r="I26" s="112">
        <v>12028000</v>
      </c>
      <c r="J26" s="130"/>
      <c r="K26" s="47"/>
      <c r="L26" s="8" t="s">
        <v>189</v>
      </c>
      <c r="N26" s="132"/>
      <c r="O26" s="132"/>
      <c r="P26" s="132"/>
      <c r="Q26" s="132"/>
      <c r="U26" s="49"/>
    </row>
    <row r="27" spans="2:21" x14ac:dyDescent="0.35">
      <c r="E27" s="48" t="s">
        <v>135</v>
      </c>
      <c r="F27" s="112">
        <v>7761000</v>
      </c>
      <c r="G27" s="112">
        <v>7702000</v>
      </c>
      <c r="H27" s="112">
        <v>7366000</v>
      </c>
      <c r="I27" s="112">
        <v>6046000</v>
      </c>
      <c r="J27" s="130"/>
      <c r="K27" s="47"/>
      <c r="L27" s="1" t="s">
        <v>130</v>
      </c>
      <c r="M27" s="1" t="s">
        <v>190</v>
      </c>
      <c r="N27" s="132">
        <f>'CFS + Ratios'!F42/'CFS + Ratios'!F20</f>
        <v>0.47999439154653106</v>
      </c>
      <c r="O27" s="132">
        <f>'CFS + Ratios'!G42/'CFS + Ratios'!G20</f>
        <v>0.47447781012205709</v>
      </c>
      <c r="P27" s="132">
        <f>'CFS + Ratios'!H42/'CFS + Ratios'!H20</f>
        <v>0.45642747575278103</v>
      </c>
      <c r="Q27" s="132">
        <f>'CFS + Ratios'!I42/'CFS + Ratios'!I20</f>
        <v>0.45144795772671248</v>
      </c>
      <c r="R27" s="4" t="s">
        <v>52</v>
      </c>
      <c r="S27" s="1" t="s">
        <v>153</v>
      </c>
      <c r="U27" s="49"/>
    </row>
    <row r="28" spans="2:21" x14ac:dyDescent="0.35">
      <c r="E28" s="48" t="s">
        <v>136</v>
      </c>
      <c r="F28" s="112">
        <v>13844000</v>
      </c>
      <c r="G28" s="112">
        <v>13407000</v>
      </c>
      <c r="H28" s="112">
        <v>13911000</v>
      </c>
      <c r="I28" s="112">
        <v>13278000</v>
      </c>
      <c r="J28" s="124"/>
      <c r="L28" s="1" t="s">
        <v>130</v>
      </c>
      <c r="M28" s="1" t="s">
        <v>191</v>
      </c>
      <c r="N28" s="132">
        <f>'CFS + Ratios'!F42/'CFS + Ratios'!F41</f>
        <v>2.5741335703055577</v>
      </c>
      <c r="O28" s="132">
        <f>'CFS + Ratios'!G42/'CFS + Ratios'!G41</f>
        <v>2.416634152685655</v>
      </c>
      <c r="P28" s="132">
        <f>'CFS + Ratios'!H42/'CFS + Ratios'!H41</f>
        <v>2.2880237345604262</v>
      </c>
      <c r="Q28" s="132">
        <f>'CFS + Ratios'!I42/'CFS + Ratios'!I41</f>
        <v>2.3279214649801774</v>
      </c>
      <c r="S28" s="1" t="s">
        <v>192</v>
      </c>
      <c r="U28" s="49"/>
    </row>
    <row r="29" spans="2:21" x14ac:dyDescent="0.35">
      <c r="E29" s="48" t="s">
        <v>141</v>
      </c>
      <c r="F29" s="112">
        <v>1411000</v>
      </c>
      <c r="G29" s="112">
        <v>1523000</v>
      </c>
      <c r="H29" s="112">
        <v>1840000</v>
      </c>
      <c r="I29" s="112">
        <v>2213000</v>
      </c>
      <c r="J29" s="124"/>
      <c r="L29" s="1" t="s">
        <v>130</v>
      </c>
      <c r="M29" s="1" t="s">
        <v>193</v>
      </c>
      <c r="N29" s="132">
        <f>'CFS + Ratios'!F42/'CFS + Ratios'!F16</f>
        <v>3.4835337650323774</v>
      </c>
      <c r="O29" s="132">
        <f>'CFS + Ratios'!G42/'CFS + Ratios'!G16</f>
        <v>5.3541276473130672</v>
      </c>
      <c r="P29" s="132">
        <f>'CFS + Ratios'!H42/'CFS + Ratios'!H16</f>
        <v>3.4216769286490401</v>
      </c>
      <c r="Q29" s="132">
        <f>'CFS + Ratios'!I42/'CFS + Ratios'!I16</f>
        <v>3.2410198002453128</v>
      </c>
      <c r="S29" s="1" t="s">
        <v>194</v>
      </c>
      <c r="U29" s="49"/>
    </row>
    <row r="30" spans="2:21" x14ac:dyDescent="0.35">
      <c r="E30" s="48" t="s">
        <v>137</v>
      </c>
      <c r="F30" s="112">
        <v>3340000</v>
      </c>
      <c r="G30" s="112">
        <v>3827000</v>
      </c>
      <c r="H30" s="112">
        <v>4131000</v>
      </c>
      <c r="I30" s="112">
        <v>4593000</v>
      </c>
      <c r="J30" s="124"/>
      <c r="U30" s="49"/>
    </row>
    <row r="31" spans="2:21" x14ac:dyDescent="0.35">
      <c r="B31" s="50"/>
      <c r="C31" s="51" t="s">
        <v>43</v>
      </c>
      <c r="D31" s="51"/>
      <c r="E31" s="51"/>
      <c r="F31" s="113">
        <v>63824000</v>
      </c>
      <c r="G31" s="113">
        <v>62946000</v>
      </c>
      <c r="H31" s="113">
        <v>66277000</v>
      </c>
      <c r="I31" s="113">
        <v>66052000</v>
      </c>
      <c r="J31" s="124"/>
      <c r="U31" s="49"/>
    </row>
    <row r="32" spans="2:21" x14ac:dyDescent="0.35">
      <c r="D32" s="74" t="s">
        <v>162</v>
      </c>
      <c r="F32" s="112">
        <v>26621000</v>
      </c>
      <c r="G32" s="112">
        <v>25717000</v>
      </c>
      <c r="H32" s="112">
        <v>29847000</v>
      </c>
      <c r="I32" s="112">
        <v>31531000</v>
      </c>
      <c r="J32" s="124"/>
      <c r="U32" s="49"/>
    </row>
    <row r="33" spans="2:21" x14ac:dyDescent="0.35">
      <c r="E33" s="48" t="s">
        <v>138</v>
      </c>
      <c r="F33" s="112">
        <v>11903000</v>
      </c>
      <c r="G33" s="112">
        <v>11428000</v>
      </c>
      <c r="H33" s="112">
        <v>14748000</v>
      </c>
      <c r="I33" s="112">
        <v>15702000</v>
      </c>
      <c r="J33" s="124"/>
      <c r="U33" s="49"/>
    </row>
    <row r="34" spans="2:21" x14ac:dyDescent="0.35">
      <c r="E34" s="48" t="s">
        <v>139</v>
      </c>
      <c r="F34" s="112">
        <v>11376000</v>
      </c>
      <c r="G34" s="112">
        <v>11164000</v>
      </c>
      <c r="H34" s="112">
        <v>11756000</v>
      </c>
      <c r="I34" s="112">
        <v>11279000</v>
      </c>
      <c r="J34" s="124"/>
    </row>
    <row r="35" spans="2:21" x14ac:dyDescent="0.35">
      <c r="E35" s="48" t="s">
        <v>140</v>
      </c>
      <c r="F35" s="112">
        <v>1187000</v>
      </c>
      <c r="G35" s="112">
        <v>1108000</v>
      </c>
      <c r="H35" s="112">
        <v>1087000</v>
      </c>
      <c r="I35" s="112">
        <v>1860000</v>
      </c>
      <c r="J35" s="124"/>
    </row>
    <row r="36" spans="2:21" x14ac:dyDescent="0.35">
      <c r="E36" s="48" t="s">
        <v>142</v>
      </c>
      <c r="F36" s="112">
        <v>2155000</v>
      </c>
      <c r="G36" s="112">
        <v>2017000</v>
      </c>
      <c r="H36" s="112">
        <v>2256000</v>
      </c>
      <c r="I36" s="112">
        <v>2690000</v>
      </c>
      <c r="J36" s="124"/>
    </row>
    <row r="37" spans="2:21" x14ac:dyDescent="0.35">
      <c r="D37" s="74" t="s">
        <v>163</v>
      </c>
      <c r="F37" s="112">
        <v>37203000</v>
      </c>
      <c r="G37" s="112">
        <v>37229000</v>
      </c>
      <c r="H37" s="112">
        <v>36430000</v>
      </c>
      <c r="I37" s="112">
        <v>34521000</v>
      </c>
      <c r="J37" s="124"/>
    </row>
    <row r="38" spans="2:21" x14ac:dyDescent="0.35">
      <c r="E38" s="48" t="s">
        <v>143</v>
      </c>
      <c r="F38" s="112">
        <v>26281000</v>
      </c>
      <c r="G38" s="112">
        <v>25999000</v>
      </c>
      <c r="H38" s="112">
        <v>26033000</v>
      </c>
      <c r="I38" s="112">
        <v>25714000</v>
      </c>
      <c r="J38" s="124"/>
    </row>
    <row r="39" spans="2:21" x14ac:dyDescent="0.35">
      <c r="E39" s="48" t="s">
        <v>144</v>
      </c>
      <c r="F39" s="112">
        <v>6599000</v>
      </c>
      <c r="G39" s="112">
        <v>6872000</v>
      </c>
      <c r="H39" s="112">
        <v>5592000</v>
      </c>
      <c r="I39" s="112">
        <v>4203000</v>
      </c>
      <c r="J39" s="124"/>
    </row>
    <row r="40" spans="2:21" x14ac:dyDescent="0.35">
      <c r="E40" s="48" t="s">
        <v>145</v>
      </c>
      <c r="F40" s="112">
        <v>4323000</v>
      </c>
      <c r="G40" s="112">
        <v>4358000</v>
      </c>
      <c r="H40" s="112">
        <v>4805000</v>
      </c>
      <c r="I40" s="112">
        <v>4604000</v>
      </c>
      <c r="J40" s="124"/>
    </row>
    <row r="41" spans="2:21" x14ac:dyDescent="0.35">
      <c r="C41" s="1" t="s">
        <v>44</v>
      </c>
      <c r="F41" s="112">
        <v>14629000</v>
      </c>
      <c r="G41" s="112">
        <v>15378000</v>
      </c>
      <c r="H41" s="112">
        <v>16516000</v>
      </c>
      <c r="I41" s="112">
        <v>15891000</v>
      </c>
      <c r="J41" s="124"/>
    </row>
    <row r="42" spans="2:21" x14ac:dyDescent="0.35">
      <c r="C42" s="1" t="s">
        <v>25</v>
      </c>
      <c r="F42" s="112">
        <v>37657000</v>
      </c>
      <c r="G42" s="112">
        <v>37163000</v>
      </c>
      <c r="H42" s="112">
        <v>37789000</v>
      </c>
      <c r="I42" s="112">
        <v>36993000</v>
      </c>
      <c r="J42" s="124"/>
    </row>
    <row r="43" spans="2:21" x14ac:dyDescent="0.35">
      <c r="C43" s="1" t="s">
        <v>26</v>
      </c>
      <c r="F43" s="112">
        <f>F42</f>
        <v>37657000</v>
      </c>
      <c r="G43" s="112">
        <f>G42</f>
        <v>37163000</v>
      </c>
      <c r="H43" s="112">
        <v>28535000</v>
      </c>
      <c r="I43" s="112">
        <v>29989000</v>
      </c>
      <c r="J43" s="124"/>
    </row>
    <row r="44" spans="2:21" x14ac:dyDescent="0.35">
      <c r="J44" s="124"/>
    </row>
    <row r="45" spans="2:21" ht="16" thickBot="1" x14ac:dyDescent="0.4">
      <c r="B45" s="43" t="s">
        <v>27</v>
      </c>
      <c r="C45" s="43"/>
      <c r="D45" s="43"/>
      <c r="E45" s="43"/>
      <c r="F45" s="73"/>
      <c r="G45" s="73"/>
      <c r="H45" s="73"/>
      <c r="I45" s="73"/>
      <c r="J45" s="124"/>
    </row>
    <row r="46" spans="2:21" ht="16" thickTop="1" x14ac:dyDescent="0.35">
      <c r="C46" s="1" t="s">
        <v>28</v>
      </c>
      <c r="F46" s="109">
        <v>6912000</v>
      </c>
      <c r="G46" s="109">
        <v>6327000</v>
      </c>
      <c r="H46" s="109">
        <v>7198000</v>
      </c>
      <c r="I46" s="109">
        <v>7766000</v>
      </c>
      <c r="J46" s="124"/>
    </row>
    <row r="47" spans="2:21" x14ac:dyDescent="0.35">
      <c r="D47" s="1" t="s">
        <v>159</v>
      </c>
      <c r="F47" s="109">
        <v>6094000</v>
      </c>
      <c r="G47" s="109">
        <v>3003000</v>
      </c>
      <c r="H47" s="109">
        <v>6493000</v>
      </c>
      <c r="I47" s="109">
        <v>6704000</v>
      </c>
      <c r="J47" s="124"/>
    </row>
    <row r="48" spans="2:21" x14ac:dyDescent="0.35">
      <c r="D48" s="1" t="s">
        <v>156</v>
      </c>
      <c r="F48" s="109">
        <v>468000</v>
      </c>
      <c r="G48" s="109">
        <v>384000</v>
      </c>
      <c r="H48" s="109">
        <v>-833000</v>
      </c>
      <c r="I48" s="109">
        <v>-606000</v>
      </c>
      <c r="J48" s="124"/>
    </row>
    <row r="49" spans="3:11" x14ac:dyDescent="0.35">
      <c r="D49" s="1" t="s">
        <v>157</v>
      </c>
      <c r="F49" s="109">
        <v>28000</v>
      </c>
      <c r="G49" s="109">
        <v>-74000</v>
      </c>
      <c r="H49" s="109">
        <v>-383000</v>
      </c>
      <c r="I49" s="109">
        <v>-377000</v>
      </c>
      <c r="J49" s="124"/>
    </row>
    <row r="50" spans="3:11" x14ac:dyDescent="0.35">
      <c r="D50" s="1" t="s">
        <v>32</v>
      </c>
      <c r="E50" s="48"/>
      <c r="F50" s="109">
        <v>2577000</v>
      </c>
      <c r="G50" s="109">
        <v>2432000</v>
      </c>
      <c r="H50" s="109">
        <v>2352000</v>
      </c>
      <c r="I50" s="109">
        <v>2219000</v>
      </c>
      <c r="J50" s="124"/>
    </row>
    <row r="51" spans="3:11" x14ac:dyDescent="0.35">
      <c r="D51" s="1" t="s">
        <v>158</v>
      </c>
      <c r="E51" s="48"/>
      <c r="F51" s="109">
        <v>675000</v>
      </c>
      <c r="G51" s="109">
        <v>1000000</v>
      </c>
      <c r="H51" s="109">
        <v>216000</v>
      </c>
      <c r="I51" s="109">
        <v>701000</v>
      </c>
      <c r="J51" s="124"/>
    </row>
    <row r="52" spans="3:11" x14ac:dyDescent="0.35">
      <c r="D52" s="1" t="s">
        <v>160</v>
      </c>
      <c r="E52" s="48"/>
      <c r="F52" s="109">
        <v>-2930000</v>
      </c>
      <c r="G52" s="109">
        <v>-418000</v>
      </c>
      <c r="H52" s="109">
        <v>-647000</v>
      </c>
      <c r="I52" s="109">
        <v>-1800000</v>
      </c>
      <c r="J52" s="124"/>
    </row>
    <row r="53" spans="3:11" x14ac:dyDescent="0.35">
      <c r="C53" s="1" t="s">
        <v>45</v>
      </c>
      <c r="F53" s="109">
        <v>-1928000</v>
      </c>
      <c r="G53" s="109">
        <v>-1485000</v>
      </c>
      <c r="H53" s="109">
        <v>-3084000</v>
      </c>
      <c r="I53" s="109">
        <v>-2541000</v>
      </c>
      <c r="J53" s="124"/>
    </row>
    <row r="54" spans="3:11" x14ac:dyDescent="0.35">
      <c r="D54" s="48" t="s">
        <v>147</v>
      </c>
      <c r="F54" s="112">
        <v>-2669000</v>
      </c>
      <c r="G54" s="112">
        <v>-2115000</v>
      </c>
      <c r="H54" s="112">
        <v>-2472000</v>
      </c>
      <c r="I54" s="112">
        <v>-2599000</v>
      </c>
      <c r="J54" s="124"/>
    </row>
    <row r="55" spans="3:11" x14ac:dyDescent="0.35">
      <c r="C55" s="1" t="s">
        <v>46</v>
      </c>
      <c r="F55" s="109">
        <v>-4538000</v>
      </c>
      <c r="G55" s="109">
        <v>-3755000</v>
      </c>
      <c r="H55" s="109">
        <v>-4188000</v>
      </c>
      <c r="I55" s="109">
        <v>-7281000</v>
      </c>
      <c r="J55" s="124"/>
    </row>
    <row r="56" spans="3:11" x14ac:dyDescent="0.35">
      <c r="C56" s="1" t="s">
        <v>47</v>
      </c>
      <c r="F56" s="109">
        <v>4243000</v>
      </c>
      <c r="G56" s="109">
        <v>4212000</v>
      </c>
      <c r="H56" s="109">
        <v>4726000</v>
      </c>
      <c r="I56" s="109">
        <v>5167000</v>
      </c>
      <c r="J56" s="131"/>
      <c r="K56" s="52"/>
    </row>
    <row r="57" spans="3:11" x14ac:dyDescent="0.35">
      <c r="H57" s="112"/>
      <c r="J57" s="52"/>
      <c r="K57" s="52"/>
    </row>
    <row r="58" spans="3:11" x14ac:dyDescent="0.35">
      <c r="G58" s="109"/>
      <c r="H58" s="112"/>
      <c r="J58" s="52"/>
      <c r="K58" s="52"/>
    </row>
    <row r="59" spans="3:11" x14ac:dyDescent="0.35">
      <c r="G59" s="109"/>
      <c r="J59" s="52"/>
      <c r="K59" s="52"/>
    </row>
    <row r="60" spans="3:11" x14ac:dyDescent="0.35">
      <c r="G60" s="109"/>
      <c r="J60" s="52"/>
      <c r="K60" s="52"/>
    </row>
    <row r="61" spans="3:11" x14ac:dyDescent="0.35">
      <c r="G61" s="109"/>
      <c r="J61" s="52"/>
      <c r="K61" s="52"/>
    </row>
    <row r="62" spans="3:11" x14ac:dyDescent="0.35">
      <c r="J62" s="52"/>
      <c r="K62" s="52"/>
    </row>
    <row r="63" spans="3:11" x14ac:dyDescent="0.35">
      <c r="J63" s="52"/>
      <c r="K63" s="52"/>
    </row>
    <row r="64" spans="3:11" x14ac:dyDescent="0.35">
      <c r="J64" s="52"/>
      <c r="K64" s="52"/>
    </row>
  </sheetData>
  <hyperlinks>
    <hyperlink ref="B2" r:id="rId1" xr:uid="{EE3F0B28-E2D8-3C45-9734-83AE945C24CA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7E09-570E-FB41-983D-55994147B354}">
  <sheetPr>
    <tabColor theme="1" tint="0.249977111117893"/>
  </sheetPr>
  <dimension ref="B2:Q26"/>
  <sheetViews>
    <sheetView showGridLines="0" zoomScale="42" zoomScaleNormal="42" workbookViewId="0">
      <selection activeCell="D25" sqref="D25"/>
    </sheetView>
  </sheetViews>
  <sheetFormatPr defaultColWidth="10.83203125" defaultRowHeight="15.5" x14ac:dyDescent="0.35"/>
  <cols>
    <col min="1" max="1" width="10.83203125" style="1"/>
    <col min="2" max="2" width="2.5" style="1" customWidth="1"/>
    <col min="3" max="4" width="10.83203125" style="1" customWidth="1"/>
    <col min="5" max="16384" width="10.83203125" style="1"/>
  </cols>
  <sheetData>
    <row r="2" spans="2:17" x14ac:dyDescent="0.3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2:17" x14ac:dyDescent="0.3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x14ac:dyDescent="0.35">
      <c r="C5" s="56" t="s">
        <v>177</v>
      </c>
      <c r="D5" s="5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7" spans="2:17" ht="16" thickBot="1" x14ac:dyDescent="0.4">
      <c r="C7" s="116" t="s">
        <v>37</v>
      </c>
      <c r="D7" s="116">
        <v>2009</v>
      </c>
      <c r="E7" s="116">
        <f>D7+1</f>
        <v>2010</v>
      </c>
      <c r="F7" s="116">
        <f t="shared" ref="F7:P7" si="0">E7+1</f>
        <v>2011</v>
      </c>
      <c r="G7" s="116">
        <f t="shared" si="0"/>
        <v>2012</v>
      </c>
      <c r="H7" s="116">
        <f t="shared" si="0"/>
        <v>2013</v>
      </c>
      <c r="I7" s="116">
        <f t="shared" si="0"/>
        <v>2014</v>
      </c>
      <c r="J7" s="116">
        <f t="shared" si="0"/>
        <v>2015</v>
      </c>
      <c r="K7" s="116">
        <f t="shared" si="0"/>
        <v>2016</v>
      </c>
      <c r="L7" s="116">
        <f t="shared" si="0"/>
        <v>2017</v>
      </c>
      <c r="M7" s="116">
        <f t="shared" si="0"/>
        <v>2018</v>
      </c>
      <c r="N7" s="116">
        <f t="shared" si="0"/>
        <v>2019</v>
      </c>
      <c r="O7" s="116">
        <f t="shared" si="0"/>
        <v>2020</v>
      </c>
      <c r="P7" s="116">
        <f t="shared" si="0"/>
        <v>2021</v>
      </c>
      <c r="Q7" s="116">
        <f>P7+1</f>
        <v>2022</v>
      </c>
    </row>
    <row r="8" spans="2:17" x14ac:dyDescent="0.35"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</row>
    <row r="9" spans="2:17" x14ac:dyDescent="0.35">
      <c r="D9" s="1">
        <v>32396</v>
      </c>
      <c r="E9" s="1">
        <v>42588</v>
      </c>
      <c r="F9" s="1">
        <v>60138</v>
      </c>
      <c r="G9" s="1">
        <v>65875</v>
      </c>
      <c r="H9" s="1">
        <v>55656</v>
      </c>
      <c r="I9" s="1">
        <v>55184</v>
      </c>
      <c r="J9" s="1">
        <v>47011</v>
      </c>
      <c r="K9" s="1">
        <v>38537</v>
      </c>
      <c r="L9" s="1">
        <v>45462</v>
      </c>
      <c r="M9" s="1">
        <v>54722</v>
      </c>
    </row>
    <row r="10" spans="2:17" x14ac:dyDescent="0.35">
      <c r="B10" s="8" t="s">
        <v>35</v>
      </c>
      <c r="D10" s="1">
        <f>D9*1000</f>
        <v>32396000</v>
      </c>
      <c r="E10" s="1">
        <f t="shared" ref="E10:M10" si="1">E9*1000</f>
        <v>42588000</v>
      </c>
      <c r="F10" s="1">
        <f t="shared" si="1"/>
        <v>60138000</v>
      </c>
      <c r="G10" s="1">
        <f t="shared" si="1"/>
        <v>65875000</v>
      </c>
      <c r="H10" s="1">
        <f t="shared" si="1"/>
        <v>55656000</v>
      </c>
      <c r="I10" s="1">
        <f t="shared" si="1"/>
        <v>55184000</v>
      </c>
      <c r="J10" s="1">
        <f t="shared" si="1"/>
        <v>47011000</v>
      </c>
      <c r="K10" s="1">
        <f t="shared" si="1"/>
        <v>38537000</v>
      </c>
      <c r="L10" s="1">
        <f t="shared" si="1"/>
        <v>45462000</v>
      </c>
      <c r="M10" s="1">
        <f t="shared" si="1"/>
        <v>54722000</v>
      </c>
      <c r="N10" s="5">
        <v>53800000</v>
      </c>
      <c r="O10" s="5">
        <v>41748000</v>
      </c>
      <c r="P10" s="5">
        <v>50971000</v>
      </c>
      <c r="Q10" s="5">
        <v>59427000</v>
      </c>
    </row>
    <row r="11" spans="2:17" ht="16" thickBot="1" x14ac:dyDescent="0.4">
      <c r="B11" s="8" t="s">
        <v>151</v>
      </c>
      <c r="C11" s="66"/>
      <c r="D11" s="66"/>
      <c r="E11" s="66">
        <f>(E10/D10)-1</f>
        <v>0.31460674157303381</v>
      </c>
      <c r="F11" s="66">
        <f>(F10/E10)-1</f>
        <v>0.41208791208791218</v>
      </c>
      <c r="G11" s="66">
        <f t="shared" ref="G11:Q11" si="2">(G10/F10)-1</f>
        <v>9.5397252984801728E-2</v>
      </c>
      <c r="H11" s="66">
        <f t="shared" si="2"/>
        <v>-0.15512713472485773</v>
      </c>
      <c r="I11" s="66">
        <f t="shared" si="2"/>
        <v>-8.4806669541469537E-3</v>
      </c>
      <c r="J11" s="66">
        <f t="shared" si="2"/>
        <v>-0.14810452305015942</v>
      </c>
      <c r="K11" s="66">
        <f t="shared" si="2"/>
        <v>-0.18025568483971832</v>
      </c>
      <c r="L11" s="66">
        <f t="shared" si="2"/>
        <v>0.17969743363520774</v>
      </c>
      <c r="M11" s="66">
        <f t="shared" si="2"/>
        <v>0.20368659539835465</v>
      </c>
      <c r="N11" s="66">
        <f t="shared" si="2"/>
        <v>-1.6848799385987379E-2</v>
      </c>
      <c r="O11" s="66">
        <f t="shared" si="2"/>
        <v>-0.22401486988847585</v>
      </c>
      <c r="P11" s="66">
        <f t="shared" si="2"/>
        <v>0.2209207626712657</v>
      </c>
      <c r="Q11" s="66">
        <f t="shared" si="2"/>
        <v>0.16589825587098539</v>
      </c>
    </row>
    <row r="12" spans="2:17" ht="16" thickTop="1" x14ac:dyDescent="0.35">
      <c r="B12" s="8" t="s">
        <v>152</v>
      </c>
      <c r="C12" s="40"/>
      <c r="D12" s="40">
        <f ca="1">AVERAGEIF(11:11,"&lt;0",D11:Q11)</f>
        <v>7.0435560135768419E-2</v>
      </c>
    </row>
    <row r="13" spans="2:17" x14ac:dyDescent="0.35">
      <c r="B13" s="8"/>
      <c r="C13" s="40"/>
      <c r="D13" s="40"/>
    </row>
    <row r="14" spans="2:17" x14ac:dyDescent="0.35">
      <c r="B14" s="8"/>
      <c r="C14" s="40"/>
      <c r="D14" s="40"/>
    </row>
    <row r="15" spans="2:17" x14ac:dyDescent="0.35">
      <c r="B15" s="8"/>
      <c r="D15" s="1">
        <v>3958</v>
      </c>
      <c r="E15" s="1">
        <v>7173</v>
      </c>
      <c r="F15" s="1">
        <v>10506</v>
      </c>
      <c r="G15" s="1">
        <v>12763</v>
      </c>
      <c r="H15" s="1">
        <v>9442</v>
      </c>
      <c r="I15" s="1">
        <v>7101</v>
      </c>
      <c r="J15" s="1">
        <v>7418</v>
      </c>
      <c r="K15" s="1">
        <v>4792</v>
      </c>
      <c r="L15" s="1">
        <v>7983</v>
      </c>
      <c r="M15" s="1">
        <v>11781</v>
      </c>
      <c r="N15" s="1">
        <v>11621</v>
      </c>
      <c r="O15" s="1">
        <v>7574</v>
      </c>
      <c r="P15" s="1">
        <v>9685</v>
      </c>
      <c r="Q15" s="1">
        <v>11613</v>
      </c>
    </row>
    <row r="16" spans="2:17" x14ac:dyDescent="0.35">
      <c r="B16" s="8" t="s">
        <v>20</v>
      </c>
      <c r="D16" s="1">
        <f>D15*1000</f>
        <v>3958000</v>
      </c>
      <c r="E16" s="1">
        <f t="shared" ref="E16:Q16" si="3">E15*1000</f>
        <v>7173000</v>
      </c>
      <c r="F16" s="1">
        <f t="shared" si="3"/>
        <v>10506000</v>
      </c>
      <c r="G16" s="1">
        <f t="shared" si="3"/>
        <v>12763000</v>
      </c>
      <c r="H16" s="1">
        <f t="shared" si="3"/>
        <v>9442000</v>
      </c>
      <c r="I16" s="1">
        <f t="shared" si="3"/>
        <v>7101000</v>
      </c>
      <c r="J16" s="1">
        <f t="shared" si="3"/>
        <v>7418000</v>
      </c>
      <c r="K16" s="1">
        <f t="shared" si="3"/>
        <v>4792000</v>
      </c>
      <c r="L16" s="1">
        <f t="shared" si="3"/>
        <v>7983000</v>
      </c>
      <c r="M16" s="1">
        <f t="shared" si="3"/>
        <v>11781000</v>
      </c>
      <c r="N16" s="1">
        <f t="shared" si="3"/>
        <v>11621000</v>
      </c>
      <c r="O16" s="1">
        <f t="shared" si="3"/>
        <v>7574000</v>
      </c>
      <c r="P16" s="1">
        <f t="shared" si="3"/>
        <v>9685000</v>
      </c>
      <c r="Q16" s="1">
        <f t="shared" si="3"/>
        <v>11613000</v>
      </c>
    </row>
    <row r="17" spans="2:17" ht="16" thickBot="1" x14ac:dyDescent="0.4">
      <c r="B17" s="8" t="s">
        <v>154</v>
      </c>
      <c r="C17" s="66"/>
      <c r="D17" s="66">
        <f>D16/D10</f>
        <v>0.12217557723175701</v>
      </c>
      <c r="E17" s="66">
        <f t="shared" ref="E17:Q17" si="4">E16/E10</f>
        <v>0.16842772612003382</v>
      </c>
      <c r="F17" s="66">
        <f t="shared" si="4"/>
        <v>0.17469819415344706</v>
      </c>
      <c r="G17" s="66">
        <f t="shared" si="4"/>
        <v>0.19374573055028463</v>
      </c>
      <c r="H17" s="66">
        <f t="shared" si="4"/>
        <v>0.16964927411240477</v>
      </c>
      <c r="I17" s="66">
        <f t="shared" si="4"/>
        <v>0.12867860249347637</v>
      </c>
      <c r="J17" s="66">
        <f t="shared" si="4"/>
        <v>0.15779285699091702</v>
      </c>
      <c r="K17" s="66">
        <f t="shared" si="4"/>
        <v>0.12434802916677479</v>
      </c>
      <c r="L17" s="66">
        <f t="shared" si="4"/>
        <v>0.17559720205886234</v>
      </c>
      <c r="M17" s="66">
        <f t="shared" si="4"/>
        <v>0.21528818391140675</v>
      </c>
      <c r="N17" s="66">
        <f t="shared" si="4"/>
        <v>0.21600371747211897</v>
      </c>
      <c r="O17" s="66">
        <f t="shared" si="4"/>
        <v>0.18142186452045608</v>
      </c>
      <c r="P17" s="66">
        <f t="shared" si="4"/>
        <v>0.19001000568950971</v>
      </c>
      <c r="Q17" s="66">
        <f t="shared" si="4"/>
        <v>0.19541622494825583</v>
      </c>
    </row>
    <row r="18" spans="2:17" ht="16" thickTop="1" x14ac:dyDescent="0.35">
      <c r="B18" s="8" t="s">
        <v>152</v>
      </c>
      <c r="C18" s="40"/>
      <c r="D18" s="40">
        <f>AVERAGE(D17:Q17)</f>
        <v>0.17237522781569323</v>
      </c>
    </row>
    <row r="19" spans="2:17" x14ac:dyDescent="0.35">
      <c r="B19" s="8"/>
      <c r="C19" s="40"/>
      <c r="D19" s="40"/>
    </row>
    <row r="21" spans="2:17" x14ac:dyDescent="0.35">
      <c r="D21" s="1">
        <v>1622</v>
      </c>
      <c r="E21" s="1">
        <v>4877</v>
      </c>
      <c r="F21" s="1">
        <v>7979</v>
      </c>
      <c r="G21" s="1">
        <v>9370</v>
      </c>
      <c r="H21" s="1">
        <v>6355</v>
      </c>
      <c r="I21" s="1">
        <v>3938</v>
      </c>
      <c r="J21" s="1">
        <v>4372</v>
      </c>
      <c r="K21" s="1">
        <v>1758</v>
      </c>
      <c r="L21" s="1">
        <v>5106</v>
      </c>
      <c r="M21" s="1">
        <v>9015</v>
      </c>
      <c r="N21" s="1">
        <v>9044</v>
      </c>
      <c r="O21" s="1">
        <v>5142</v>
      </c>
      <c r="P21" s="1">
        <v>7333</v>
      </c>
      <c r="Q21" s="1">
        <v>8469</v>
      </c>
    </row>
    <row r="22" spans="2:17" x14ac:dyDescent="0.35">
      <c r="B22" s="8" t="s">
        <v>15</v>
      </c>
      <c r="D22" s="1">
        <f>D21*1000</f>
        <v>1622000</v>
      </c>
      <c r="E22" s="1">
        <f t="shared" ref="E22:M22" si="5">E21*1000</f>
        <v>4877000</v>
      </c>
      <c r="F22" s="1">
        <f t="shared" si="5"/>
        <v>7979000</v>
      </c>
      <c r="G22" s="1">
        <f t="shared" si="5"/>
        <v>9370000</v>
      </c>
      <c r="H22" s="1">
        <f t="shared" si="5"/>
        <v>6355000</v>
      </c>
      <c r="I22" s="1">
        <f t="shared" si="5"/>
        <v>3938000</v>
      </c>
      <c r="J22" s="1">
        <f t="shared" si="5"/>
        <v>4372000</v>
      </c>
      <c r="K22" s="1">
        <f t="shared" si="5"/>
        <v>1758000</v>
      </c>
      <c r="L22" s="1">
        <f t="shared" si="5"/>
        <v>5106000</v>
      </c>
      <c r="M22" s="1">
        <f t="shared" si="5"/>
        <v>9015000</v>
      </c>
      <c r="N22" s="5">
        <v>8233000</v>
      </c>
      <c r="O22" s="5">
        <v>4509000</v>
      </c>
      <c r="P22" s="5">
        <v>8692000</v>
      </c>
      <c r="Q22" s="5">
        <v>9195000</v>
      </c>
    </row>
    <row r="23" spans="2:17" ht="16" thickBot="1" x14ac:dyDescent="0.4">
      <c r="B23" s="8" t="s">
        <v>154</v>
      </c>
      <c r="C23" s="66"/>
      <c r="D23" s="66">
        <f t="shared" ref="D23:Q23" si="6">D22/D10</f>
        <v>5.0067909618471414E-2</v>
      </c>
      <c r="E23" s="66">
        <f t="shared" si="6"/>
        <v>0.11451582605428759</v>
      </c>
      <c r="F23" s="66">
        <f t="shared" si="6"/>
        <v>0.13267817353420466</v>
      </c>
      <c r="G23" s="66">
        <f t="shared" si="6"/>
        <v>0.14223908918406072</v>
      </c>
      <c r="H23" s="66">
        <f t="shared" si="6"/>
        <v>0.11418355613051602</v>
      </c>
      <c r="I23" s="66">
        <f t="shared" si="6"/>
        <v>7.1361264134531754E-2</v>
      </c>
      <c r="J23" s="66">
        <f t="shared" si="6"/>
        <v>9.2999510752802536E-2</v>
      </c>
      <c r="K23" s="66">
        <f t="shared" si="6"/>
        <v>4.5618496509847679E-2</v>
      </c>
      <c r="L23" s="66">
        <f t="shared" si="6"/>
        <v>0.11231358057278606</v>
      </c>
      <c r="M23" s="66">
        <f t="shared" si="6"/>
        <v>0.1647417857534447</v>
      </c>
      <c r="N23" s="66">
        <f t="shared" si="6"/>
        <v>0.15302973977695167</v>
      </c>
      <c r="O23" s="66">
        <f t="shared" si="6"/>
        <v>0.10800517390054613</v>
      </c>
      <c r="P23" s="66">
        <f t="shared" si="6"/>
        <v>0.17052833964411135</v>
      </c>
      <c r="Q23" s="66">
        <f t="shared" si="6"/>
        <v>0.15472764904841232</v>
      </c>
    </row>
    <row r="24" spans="2:17" ht="16" thickTop="1" x14ac:dyDescent="0.35">
      <c r="B24" s="8" t="s">
        <v>152</v>
      </c>
      <c r="C24" s="65"/>
      <c r="D24" s="65">
        <f>AVERAGE(D23:Q23)</f>
        <v>0.11621500675821247</v>
      </c>
      <c r="E24" s="64"/>
    </row>
    <row r="25" spans="2:17" x14ac:dyDescent="0.35">
      <c r="C25" s="64"/>
      <c r="D25" s="64"/>
    </row>
    <row r="26" spans="2:17" x14ac:dyDescent="0.35">
      <c r="C26" s="64"/>
      <c r="D26" s="6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9387-5E45-AA40-B28D-686F29178FFC}">
  <sheetPr>
    <tabColor theme="4"/>
  </sheetPr>
  <dimension ref="B3:P39"/>
  <sheetViews>
    <sheetView showGridLines="0" zoomScale="48" zoomScaleNormal="48" workbookViewId="0">
      <selection activeCell="D21" sqref="D21"/>
    </sheetView>
  </sheetViews>
  <sheetFormatPr defaultColWidth="10.83203125" defaultRowHeight="15.5" x14ac:dyDescent="0.35"/>
  <cols>
    <col min="1" max="2" width="10.83203125" style="1"/>
    <col min="3" max="3" width="16.1640625" style="1" customWidth="1"/>
    <col min="4" max="4" width="13.33203125" style="1" bestFit="1" customWidth="1"/>
    <col min="5" max="9" width="10.83203125" style="1"/>
    <col min="10" max="10" width="2.5" style="1" customWidth="1"/>
    <col min="11" max="11" width="12" style="1" bestFit="1" customWidth="1"/>
    <col min="12" max="12" width="7.6640625" style="1" bestFit="1" customWidth="1"/>
    <col min="13" max="13" width="13.83203125" style="1" bestFit="1" customWidth="1"/>
    <col min="14" max="14" width="10.33203125" style="1" bestFit="1" customWidth="1"/>
    <col min="15" max="15" width="14.6640625" style="1" bestFit="1" customWidth="1"/>
    <col min="16" max="16" width="12.5" style="1" bestFit="1" customWidth="1"/>
    <col min="17" max="16384" width="10.83203125" style="1"/>
  </cols>
  <sheetData>
    <row r="3" spans="2:16" x14ac:dyDescent="0.35">
      <c r="B3" s="2"/>
      <c r="C3" s="2"/>
      <c r="D3" s="2"/>
      <c r="E3" s="2"/>
      <c r="F3" s="2"/>
      <c r="G3" s="2"/>
      <c r="H3" s="2"/>
      <c r="I3" s="2"/>
      <c r="K3" s="2"/>
      <c r="L3" s="2"/>
      <c r="M3" s="2"/>
      <c r="N3" s="2"/>
      <c r="O3" s="2"/>
      <c r="P3" s="2"/>
    </row>
    <row r="4" spans="2:16" x14ac:dyDescent="0.35">
      <c r="B4" s="2"/>
      <c r="C4" s="2"/>
      <c r="D4" s="2"/>
      <c r="E4" s="2"/>
      <c r="F4" s="2"/>
      <c r="G4" s="2"/>
      <c r="H4" s="2"/>
      <c r="I4" s="2"/>
      <c r="K4" s="2"/>
      <c r="L4" s="2"/>
      <c r="M4" s="2"/>
      <c r="N4" s="2"/>
      <c r="O4" s="2"/>
      <c r="P4" s="2"/>
    </row>
    <row r="5" spans="2:16" x14ac:dyDescent="0.35">
      <c r="B5" s="2"/>
      <c r="C5" s="2"/>
      <c r="D5" s="2"/>
      <c r="E5" s="2"/>
      <c r="F5" s="2"/>
      <c r="G5" s="2"/>
      <c r="H5" s="2"/>
      <c r="I5" s="2"/>
      <c r="K5" s="2"/>
      <c r="L5" s="2"/>
      <c r="M5" s="2"/>
      <c r="N5" s="2"/>
      <c r="O5" s="2"/>
      <c r="P5" s="2"/>
    </row>
    <row r="6" spans="2:16" x14ac:dyDescent="0.35">
      <c r="B6" s="56" t="s">
        <v>201</v>
      </c>
      <c r="C6" s="2"/>
      <c r="D6" s="2"/>
      <c r="E6" s="2"/>
      <c r="F6" s="2"/>
      <c r="G6" s="2"/>
      <c r="H6" s="2"/>
      <c r="I6" s="2"/>
      <c r="K6" s="56" t="s">
        <v>200</v>
      </c>
      <c r="L6" s="2"/>
      <c r="M6" s="2"/>
      <c r="N6" s="2"/>
      <c r="O6" s="2"/>
      <c r="P6" s="2"/>
    </row>
    <row r="7" spans="2:16" x14ac:dyDescent="0.35">
      <c r="B7" s="1" t="s">
        <v>71</v>
      </c>
      <c r="D7" s="53">
        <f>'CFS + Ratios'!I43/1000000</f>
        <v>29.989000000000001</v>
      </c>
      <c r="E7" s="1" t="s">
        <v>123</v>
      </c>
      <c r="F7" s="5" t="s">
        <v>130</v>
      </c>
      <c r="G7" s="8" t="s">
        <v>72</v>
      </c>
      <c r="K7" s="93" t="s">
        <v>98</v>
      </c>
      <c r="L7" s="93" t="s">
        <v>99</v>
      </c>
      <c r="M7" s="93" t="s">
        <v>100</v>
      </c>
      <c r="N7" s="93" t="s">
        <v>101</v>
      </c>
      <c r="O7" s="93" t="s">
        <v>102</v>
      </c>
      <c r="P7" s="93" t="s">
        <v>103</v>
      </c>
    </row>
    <row r="8" spans="2:16" x14ac:dyDescent="0.35">
      <c r="B8" s="1" t="s">
        <v>73</v>
      </c>
      <c r="D8" s="54">
        <v>125.92700000000001</v>
      </c>
      <c r="E8" s="1" t="s">
        <v>123</v>
      </c>
      <c r="K8" s="1" t="s">
        <v>104</v>
      </c>
      <c r="L8" s="1" t="s">
        <v>81</v>
      </c>
      <c r="M8" s="1" t="s">
        <v>79</v>
      </c>
      <c r="N8" s="1" t="s">
        <v>80</v>
      </c>
      <c r="O8" s="1">
        <v>5.1100000000000003</v>
      </c>
      <c r="P8" s="6">
        <v>45880</v>
      </c>
    </row>
    <row r="9" spans="2:16" x14ac:dyDescent="0.35">
      <c r="K9" s="1" t="s">
        <v>78</v>
      </c>
      <c r="L9" s="1" t="s">
        <v>81</v>
      </c>
      <c r="M9" s="1" t="s">
        <v>79</v>
      </c>
      <c r="N9" s="1" t="s">
        <v>80</v>
      </c>
      <c r="O9" s="1">
        <v>5.28</v>
      </c>
      <c r="P9" s="6">
        <v>45881</v>
      </c>
    </row>
    <row r="10" spans="2:16" x14ac:dyDescent="0.35">
      <c r="B10" s="1" t="s">
        <v>74</v>
      </c>
      <c r="D10" s="4" t="s">
        <v>75</v>
      </c>
      <c r="K10" s="1" t="s">
        <v>105</v>
      </c>
      <c r="L10" s="1" t="s">
        <v>81</v>
      </c>
      <c r="M10" s="1" t="s">
        <v>79</v>
      </c>
      <c r="N10" s="1" t="s">
        <v>80</v>
      </c>
      <c r="O10" s="1">
        <v>5.44</v>
      </c>
      <c r="P10" s="6">
        <v>45884</v>
      </c>
    </row>
    <row r="11" spans="2:16" ht="16" thickBot="1" x14ac:dyDescent="0.4">
      <c r="B11" s="68" t="s">
        <v>76</v>
      </c>
      <c r="C11" s="68"/>
      <c r="D11" s="69">
        <f>AVERAGE(O8:O39)/100</f>
        <v>5.2636666666666665E-2</v>
      </c>
      <c r="F11" s="5" t="s">
        <v>130</v>
      </c>
      <c r="G11" s="8" t="s">
        <v>77</v>
      </c>
      <c r="K11" s="1" t="s">
        <v>82</v>
      </c>
      <c r="L11" s="1" t="s">
        <v>81</v>
      </c>
      <c r="M11" s="1" t="s">
        <v>79</v>
      </c>
      <c r="N11" s="1" t="s">
        <v>80</v>
      </c>
      <c r="O11" s="1">
        <v>5.28</v>
      </c>
      <c r="P11" s="6">
        <v>45945</v>
      </c>
    </row>
    <row r="12" spans="2:16" ht="16" thickTop="1" x14ac:dyDescent="0.35">
      <c r="D12" s="4"/>
      <c r="K12" s="1" t="s">
        <v>83</v>
      </c>
      <c r="L12" s="1" t="s">
        <v>81</v>
      </c>
      <c r="M12" s="1" t="s">
        <v>79</v>
      </c>
      <c r="N12" s="1" t="s">
        <v>80</v>
      </c>
      <c r="O12" s="1">
        <v>5.22</v>
      </c>
      <c r="P12" s="6">
        <v>45974</v>
      </c>
    </row>
    <row r="13" spans="2:16" x14ac:dyDescent="0.35">
      <c r="B13" s="1" t="s">
        <v>117</v>
      </c>
      <c r="D13" s="9">
        <v>4.5999999999999999E-2</v>
      </c>
      <c r="K13" s="1" t="s">
        <v>106</v>
      </c>
      <c r="L13" s="1" t="s">
        <v>81</v>
      </c>
      <c r="M13" s="1" t="s">
        <v>79</v>
      </c>
      <c r="N13" s="1" t="s">
        <v>80</v>
      </c>
      <c r="O13" s="1">
        <v>5.15</v>
      </c>
      <c r="P13" s="6">
        <v>45976</v>
      </c>
    </row>
    <row r="14" spans="2:16" x14ac:dyDescent="0.35">
      <c r="B14" s="1" t="s">
        <v>118</v>
      </c>
      <c r="D14" s="4">
        <v>1.08</v>
      </c>
      <c r="K14" s="1" t="s">
        <v>84</v>
      </c>
      <c r="L14" s="1" t="s">
        <v>81</v>
      </c>
      <c r="M14" s="1" t="s">
        <v>79</v>
      </c>
      <c r="N14" s="1" t="s">
        <v>80</v>
      </c>
      <c r="O14" s="1">
        <v>5.66</v>
      </c>
      <c r="P14" s="6">
        <v>46006</v>
      </c>
    </row>
    <row r="15" spans="2:16" x14ac:dyDescent="0.35">
      <c r="B15" s="1" t="s">
        <v>119</v>
      </c>
      <c r="D15" s="70">
        <v>0.05</v>
      </c>
      <c r="K15" s="1" t="s">
        <v>107</v>
      </c>
      <c r="L15" s="1" t="s">
        <v>81</v>
      </c>
      <c r="M15" s="1" t="s">
        <v>79</v>
      </c>
      <c r="N15" s="1" t="s">
        <v>80</v>
      </c>
      <c r="O15" s="1">
        <v>5.0999999999999996</v>
      </c>
      <c r="P15" s="6">
        <v>46028</v>
      </c>
    </row>
    <row r="16" spans="2:16" ht="16" thickBot="1" x14ac:dyDescent="0.4">
      <c r="B16" s="68" t="s">
        <v>120</v>
      </c>
      <c r="C16" s="68"/>
      <c r="D16" s="69">
        <f>D15+D14*D13</f>
        <v>9.9680000000000005E-2</v>
      </c>
      <c r="K16" s="1" t="s">
        <v>108</v>
      </c>
      <c r="L16" s="1" t="s">
        <v>81</v>
      </c>
      <c r="M16" s="1" t="s">
        <v>79</v>
      </c>
      <c r="N16" s="1" t="s">
        <v>80</v>
      </c>
      <c r="O16" s="1">
        <v>5.14</v>
      </c>
      <c r="P16" s="6">
        <v>46083</v>
      </c>
    </row>
    <row r="17" spans="2:16" ht="16" thickTop="1" x14ac:dyDescent="0.35">
      <c r="K17" s="1" t="s">
        <v>109</v>
      </c>
      <c r="L17" s="1" t="s">
        <v>81</v>
      </c>
      <c r="M17" s="1" t="s">
        <v>79</v>
      </c>
      <c r="N17" s="1" t="s">
        <v>80</v>
      </c>
      <c r="O17" s="1">
        <v>5.43</v>
      </c>
      <c r="P17" s="6">
        <v>46096</v>
      </c>
    </row>
    <row r="18" spans="2:16" x14ac:dyDescent="0.35">
      <c r="B18" s="10" t="s">
        <v>121</v>
      </c>
      <c r="D18" s="104">
        <f>D7/(D7+D8)</f>
        <v>0.19234074758203135</v>
      </c>
      <c r="K18" s="1" t="s">
        <v>110</v>
      </c>
      <c r="L18" s="1" t="s">
        <v>81</v>
      </c>
      <c r="M18" s="1" t="s">
        <v>79</v>
      </c>
      <c r="N18" s="1" t="s">
        <v>80</v>
      </c>
      <c r="O18" s="1">
        <v>5.1100000000000003</v>
      </c>
      <c r="P18" s="6">
        <v>46157</v>
      </c>
    </row>
    <row r="19" spans="2:16" x14ac:dyDescent="0.35">
      <c r="B19" s="10" t="s">
        <v>122</v>
      </c>
      <c r="D19" s="104">
        <f>1-D18</f>
        <v>0.80765925241796865</v>
      </c>
      <c r="K19" s="1" t="s">
        <v>85</v>
      </c>
      <c r="L19" s="1" t="s">
        <v>81</v>
      </c>
      <c r="M19" s="1" t="s">
        <v>79</v>
      </c>
      <c r="N19" s="1" t="s">
        <v>80</v>
      </c>
      <c r="O19" s="1">
        <v>5.89</v>
      </c>
      <c r="P19" s="6">
        <v>46157</v>
      </c>
    </row>
    <row r="20" spans="2:16" ht="16" thickBot="1" x14ac:dyDescent="0.4">
      <c r="K20" s="1" t="s">
        <v>111</v>
      </c>
      <c r="L20" s="1" t="s">
        <v>81</v>
      </c>
      <c r="M20" s="1" t="s">
        <v>79</v>
      </c>
      <c r="N20" s="1" t="s">
        <v>80</v>
      </c>
      <c r="O20" s="1">
        <v>6.05</v>
      </c>
      <c r="P20" s="6">
        <v>46188</v>
      </c>
    </row>
    <row r="21" spans="2:16" ht="16" thickBot="1" x14ac:dyDescent="0.4">
      <c r="B21" s="11" t="s">
        <v>3</v>
      </c>
      <c r="C21" s="12"/>
      <c r="D21" s="67">
        <f>D18*D11*(1-DCF!G33)+D19*D16</f>
        <v>8.8505573176368479E-2</v>
      </c>
      <c r="F21" s="72"/>
      <c r="K21" s="1" t="s">
        <v>112</v>
      </c>
      <c r="L21" s="1" t="s">
        <v>81</v>
      </c>
      <c r="M21" s="1" t="s">
        <v>79</v>
      </c>
      <c r="N21" s="1" t="s">
        <v>80</v>
      </c>
      <c r="O21" s="1">
        <v>5.07</v>
      </c>
      <c r="P21" s="6">
        <v>46243</v>
      </c>
    </row>
    <row r="22" spans="2:16" hidden="1" x14ac:dyDescent="0.35">
      <c r="K22" s="1" t="s">
        <v>86</v>
      </c>
      <c r="L22" s="1" t="s">
        <v>81</v>
      </c>
      <c r="M22" s="1" t="s">
        <v>79</v>
      </c>
      <c r="N22" s="1" t="s">
        <v>80</v>
      </c>
      <c r="O22" s="1">
        <v>4.96</v>
      </c>
      <c r="P22" s="6">
        <v>46279</v>
      </c>
    </row>
    <row r="23" spans="2:16" hidden="1" x14ac:dyDescent="0.35">
      <c r="K23" s="1" t="s">
        <v>113</v>
      </c>
      <c r="L23" s="1" t="s">
        <v>81</v>
      </c>
      <c r="M23" s="1" t="s">
        <v>79</v>
      </c>
      <c r="N23" s="1" t="s">
        <v>80</v>
      </c>
      <c r="O23" s="1">
        <v>5.42</v>
      </c>
      <c r="P23" s="6">
        <v>46280</v>
      </c>
    </row>
    <row r="24" spans="2:16" hidden="1" x14ac:dyDescent="0.35">
      <c r="K24" s="1" t="s">
        <v>87</v>
      </c>
      <c r="L24" s="1" t="s">
        <v>81</v>
      </c>
      <c r="M24" s="1" t="s">
        <v>79</v>
      </c>
      <c r="N24" s="1" t="s">
        <v>80</v>
      </c>
      <c r="O24" s="1">
        <v>5.01</v>
      </c>
      <c r="P24" s="6">
        <v>46395</v>
      </c>
    </row>
    <row r="25" spans="2:16" hidden="1" x14ac:dyDescent="0.35">
      <c r="K25" s="1" t="s">
        <v>114</v>
      </c>
      <c r="L25" s="1" t="s">
        <v>81</v>
      </c>
      <c r="M25" s="1" t="s">
        <v>79</v>
      </c>
      <c r="N25" s="1" t="s">
        <v>80</v>
      </c>
      <c r="O25" s="1">
        <v>5.38</v>
      </c>
      <c r="P25" s="6">
        <v>46522</v>
      </c>
    </row>
    <row r="26" spans="2:16" hidden="1" x14ac:dyDescent="0.35">
      <c r="K26" s="1" t="s">
        <v>115</v>
      </c>
      <c r="L26" s="1" t="s">
        <v>81</v>
      </c>
      <c r="M26" s="1" t="s">
        <v>79</v>
      </c>
      <c r="N26" s="1" t="s">
        <v>80</v>
      </c>
      <c r="O26" s="1">
        <v>5.42</v>
      </c>
      <c r="P26" s="6">
        <v>46522</v>
      </c>
    </row>
    <row r="27" spans="2:16" hidden="1" x14ac:dyDescent="0.35">
      <c r="K27" s="1" t="s">
        <v>88</v>
      </c>
      <c r="L27" s="1" t="s">
        <v>81</v>
      </c>
      <c r="M27" s="1" t="s">
        <v>79</v>
      </c>
      <c r="N27" s="1" t="s">
        <v>80</v>
      </c>
      <c r="O27" s="1">
        <v>4.92</v>
      </c>
      <c r="P27" s="6">
        <v>46611</v>
      </c>
    </row>
    <row r="28" spans="2:16" hidden="1" x14ac:dyDescent="0.35">
      <c r="K28" s="1" t="s">
        <v>89</v>
      </c>
      <c r="L28" s="1" t="s">
        <v>81</v>
      </c>
      <c r="M28" s="1" t="s">
        <v>79</v>
      </c>
      <c r="N28" s="1" t="s">
        <v>80</v>
      </c>
      <c r="O28" s="1">
        <v>4.92</v>
      </c>
      <c r="P28" s="6">
        <v>46644</v>
      </c>
    </row>
    <row r="29" spans="2:16" hidden="1" x14ac:dyDescent="0.35">
      <c r="K29" s="1" t="s">
        <v>90</v>
      </c>
      <c r="L29" s="1" t="s">
        <v>81</v>
      </c>
      <c r="M29" s="1" t="s">
        <v>79</v>
      </c>
      <c r="N29" s="1" t="s">
        <v>80</v>
      </c>
      <c r="O29" s="1">
        <v>4.63</v>
      </c>
      <c r="P29" s="6">
        <v>46949</v>
      </c>
    </row>
    <row r="30" spans="2:16" hidden="1" x14ac:dyDescent="0.35">
      <c r="K30" s="1" t="s">
        <v>91</v>
      </c>
      <c r="L30" s="1" t="s">
        <v>81</v>
      </c>
      <c r="M30" s="1" t="s">
        <v>79</v>
      </c>
      <c r="N30" s="1" t="s">
        <v>80</v>
      </c>
      <c r="O30" s="1">
        <v>4.97</v>
      </c>
      <c r="P30" s="6">
        <v>47969</v>
      </c>
    </row>
    <row r="31" spans="2:16" hidden="1" x14ac:dyDescent="0.35">
      <c r="K31" s="1" t="s">
        <v>92</v>
      </c>
      <c r="L31" s="1" t="s">
        <v>81</v>
      </c>
      <c r="M31" s="1" t="s">
        <v>79</v>
      </c>
      <c r="N31" s="1" t="s">
        <v>80</v>
      </c>
      <c r="O31" s="1">
        <v>5.0999999999999996</v>
      </c>
      <c r="P31" s="6">
        <v>49567</v>
      </c>
    </row>
    <row r="32" spans="2:16" hidden="1" x14ac:dyDescent="0.35">
      <c r="K32" s="1" t="s">
        <v>93</v>
      </c>
      <c r="L32" s="1" t="s">
        <v>81</v>
      </c>
      <c r="M32" s="1" t="s">
        <v>79</v>
      </c>
      <c r="N32" s="1" t="s">
        <v>80</v>
      </c>
      <c r="O32" s="1">
        <v>5.4</v>
      </c>
      <c r="P32" s="6">
        <v>49902</v>
      </c>
    </row>
    <row r="33" spans="11:16" hidden="1" x14ac:dyDescent="0.35">
      <c r="K33" s="1" t="s">
        <v>94</v>
      </c>
      <c r="L33" s="1" t="s">
        <v>81</v>
      </c>
      <c r="M33" s="1" t="s">
        <v>79</v>
      </c>
      <c r="N33" s="1" t="s">
        <v>80</v>
      </c>
      <c r="O33" s="1">
        <v>5.87</v>
      </c>
      <c r="P33" s="6">
        <v>50754</v>
      </c>
    </row>
    <row r="34" spans="11:16" hidden="1" x14ac:dyDescent="0.35">
      <c r="K34" s="1" t="s">
        <v>95</v>
      </c>
      <c r="L34" s="1" t="s">
        <v>81</v>
      </c>
      <c r="M34" s="1" t="s">
        <v>79</v>
      </c>
      <c r="N34" s="1" t="s">
        <v>80</v>
      </c>
      <c r="O34" s="1">
        <v>5.38</v>
      </c>
      <c r="P34" s="6">
        <v>51648</v>
      </c>
    </row>
    <row r="35" spans="11:16" hidden="1" x14ac:dyDescent="0.35">
      <c r="K35" s="1" t="s">
        <v>116</v>
      </c>
      <c r="L35" s="1" t="s">
        <v>81</v>
      </c>
      <c r="M35" s="1" t="s">
        <v>79</v>
      </c>
      <c r="N35" s="1" t="s">
        <v>80</v>
      </c>
      <c r="O35" s="1">
        <v>5.75</v>
      </c>
      <c r="P35" s="6">
        <v>51987</v>
      </c>
    </row>
    <row r="36" spans="11:16" hidden="1" x14ac:dyDescent="0.35">
      <c r="K36" s="1" t="s">
        <v>96</v>
      </c>
      <c r="L36" s="1" t="s">
        <v>81</v>
      </c>
      <c r="M36" s="1" t="s">
        <v>79</v>
      </c>
      <c r="N36" s="1" t="s">
        <v>80</v>
      </c>
      <c r="O36" s="1">
        <v>4.5</v>
      </c>
      <c r="P36" s="6">
        <v>52093</v>
      </c>
    </row>
    <row r="37" spans="11:16" hidden="1" x14ac:dyDescent="0.35">
      <c r="K37" s="1" t="s">
        <v>97</v>
      </c>
      <c r="L37" s="1" t="s">
        <v>81</v>
      </c>
      <c r="M37" s="1" t="s">
        <v>79</v>
      </c>
      <c r="N37" s="1" t="s">
        <v>80</v>
      </c>
      <c r="O37" s="1">
        <v>5.35</v>
      </c>
      <c r="P37" s="6">
        <v>52093</v>
      </c>
    </row>
    <row r="38" spans="11:16" x14ac:dyDescent="0.35">
      <c r="P38" s="6"/>
    </row>
    <row r="39" spans="11:16" x14ac:dyDescent="0.35">
      <c r="P3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</vt:lpstr>
      <vt:lpstr>DCF</vt:lpstr>
      <vt:lpstr>CFS + Ratios</vt:lpstr>
      <vt:lpstr>Historicals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Compere Tempestini, Lupo L</dc:creator>
  <cp:lastModifiedBy>Alex Mooney</cp:lastModifiedBy>
  <dcterms:created xsi:type="dcterms:W3CDTF">2023-11-22T21:49:38Z</dcterms:created>
  <dcterms:modified xsi:type="dcterms:W3CDTF">2024-09-03T20:04:38Z</dcterms:modified>
</cp:coreProperties>
</file>