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ecapa_ucl_ac_uk/Documents/Projects/S4CE/GSA/Geothermal/data_and_models/"/>
    </mc:Choice>
  </mc:AlternateContent>
  <xr:revisionPtr revIDLastSave="6" documentId="11_3F9849332A1C2AAFD1A86541A9C2C57F028CAEB8" xr6:coauthVersionLast="46" xr6:coauthVersionMax="46" xr10:uidLastSave="{0185A3E7-4222-4026-B3FE-AB887BB470BE}"/>
  <bookViews>
    <workbookView xWindow="-108" yWindow="-108" windowWidth="23256" windowHeight="14016" activeTab="4" xr2:uid="{00000000-000D-0000-FFFF-FFFF00000000}"/>
  </bookViews>
  <sheets>
    <sheet name="Conventional" sheetId="1" r:id="rId1"/>
    <sheet name="Enhanced" sheetId="4" r:id="rId2"/>
    <sheet name="Binary" sheetId="5" r:id="rId3"/>
    <sheet name="Bravi&amp;Basosi" sheetId="2" r:id="rId4"/>
    <sheet name="IPCC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C11" i="2"/>
  <c r="D3" i="1"/>
  <c r="E3" i="1"/>
  <c r="D13" i="4" l="1"/>
  <c r="D15" i="4"/>
  <c r="D14" i="4"/>
  <c r="C12" i="4" l="1"/>
  <c r="C11" i="4"/>
  <c r="D10" i="4" l="1"/>
  <c r="D13" i="1" l="1"/>
  <c r="D12" i="1"/>
  <c r="D4" i="1" l="1"/>
  <c r="D12" i="2" l="1"/>
  <c r="G9" i="2"/>
  <c r="G8" i="2"/>
  <c r="G7" i="2"/>
  <c r="G6" i="2"/>
  <c r="G10" i="2"/>
  <c r="G5" i="2"/>
  <c r="F11" i="2"/>
  <c r="C7" i="1" s="1"/>
  <c r="E11" i="2"/>
  <c r="C6" i="1" s="1"/>
  <c r="G4" i="2"/>
  <c r="D11" i="2"/>
  <c r="C5" i="1" s="1"/>
  <c r="C4" i="1"/>
  <c r="G1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Andrea Paulillo</author>
  </authors>
  <commentList>
    <comment ref="A2" authorId="0" shapeId="0" xr:uid="{00000000-0006-0000-0400-000001000000}">
      <text>
        <r>
          <rPr>
            <b/>
            <sz val="9"/>
            <color indexed="81"/>
            <rFont val="Tahoma"/>
            <charset val="1"/>
          </rPr>
          <t>Andrea Paulillo:</t>
        </r>
        <r>
          <rPr>
            <sz val="9"/>
            <color indexed="81"/>
            <rFont val="Tahoma"/>
            <charset val="1"/>
          </rPr>
          <t xml:space="preserve">
Including both EGS and conventional</t>
        </r>
      </text>
    </comment>
  </commentList>
</comments>
</file>

<file path=xl/sharedStrings.xml><?xml version="1.0" encoding="utf-8"?>
<sst xmlns="http://schemas.openxmlformats.org/spreadsheetml/2006/main" count="122" uniqueCount="70">
  <si>
    <t>Technology</t>
  </si>
  <si>
    <t>Study</t>
  </si>
  <si>
    <t>Notes</t>
  </si>
  <si>
    <t>Dry steam</t>
  </si>
  <si>
    <t>Single Flash</t>
  </si>
  <si>
    <t>Binary</t>
  </si>
  <si>
    <t>Martin Gamboa et al., 2015</t>
  </si>
  <si>
    <t>Rule et al., 2009</t>
  </si>
  <si>
    <t>Year</t>
  </si>
  <si>
    <t>Unit</t>
  </si>
  <si>
    <t>BG3</t>
  </si>
  <si>
    <t>PC3</t>
  </si>
  <si>
    <t>PC4</t>
  </si>
  <si>
    <t>PC5</t>
  </si>
  <si>
    <t>Average</t>
  </si>
  <si>
    <t>N/A</t>
  </si>
  <si>
    <t>Average SF</t>
  </si>
  <si>
    <t>GHG (g CO2 eq./kWh)</t>
  </si>
  <si>
    <t>Functional unit</t>
  </si>
  <si>
    <t>1MWh</t>
  </si>
  <si>
    <t>Double Flash</t>
  </si>
  <si>
    <t>Part I</t>
  </si>
  <si>
    <t>Sullivan et al. 2010</t>
  </si>
  <si>
    <t>Binary from high-enthalpy reservoir with wells depths of ~ 400-700m, in a cogeneration plant</t>
  </si>
  <si>
    <t>Geothermal</t>
  </si>
  <si>
    <t>Minimum</t>
  </si>
  <si>
    <t>25th perc</t>
  </si>
  <si>
    <t>50th perc</t>
  </si>
  <si>
    <t>75th perc</t>
  </si>
  <si>
    <t>Maximum</t>
  </si>
  <si>
    <t>Ref: Moomaw, W., P. Burgherr, G. Heath, M. Lenzen, J. Nyboer, A. Verbruggen, 2011: Annex II: Methodology. In IPCC
Special Report on Renewable Energy Sources and Climate Change Mitigation [O. Edenhofer,
R. Pichs-Madruga, Y. Sokona, K. Seyboth, P. Matschoss, S. Kadner, T. Zwickel, P. Eickemeier, G. Hansen,
S. Schlömer, C. von Stechow (eds)], Cambridge University Press, Cambridge, United Kingdom and New York,
NY, USA.</t>
  </si>
  <si>
    <t>CO2 emissions</t>
  </si>
  <si>
    <t>g/kWh</t>
  </si>
  <si>
    <t>Cannot be used; inventory is aggregated and only net installed power is reported</t>
  </si>
  <si>
    <t>Not much info on this.</t>
  </si>
  <si>
    <t>Parameters for simplified models</t>
  </si>
  <si>
    <t>Carbon footprint (gCO2 eq./kWh)</t>
  </si>
  <si>
    <t>Operational CO2 emissions (g/kWh)</t>
  </si>
  <si>
    <t>Global warming, kg CO2 eq./MWh</t>
  </si>
  <si>
    <t>Diesel consumption (GJ/m)</t>
  </si>
  <si>
    <t>Installed capacity (MW)</t>
  </si>
  <si>
    <t>Paulillo et al. 2020 (base)</t>
  </si>
  <si>
    <t>Paulillo et al. 2020 (MW3)</t>
  </si>
  <si>
    <t>Frick et al. 2010 (A1)</t>
  </si>
  <si>
    <t>Frick et al. 2010 (B1)</t>
  </si>
  <si>
    <t>Frick et al. 2010 (C1)</t>
  </si>
  <si>
    <t>Frick et al. 2010 (D1)</t>
  </si>
  <si>
    <t>Lacirignola and Blanc 2013 (S6)</t>
  </si>
  <si>
    <t>Lacirignola and Blanc 2013 (S8)</t>
  </si>
  <si>
    <t>Lacirignola and Blanc 2013 (S2)</t>
  </si>
  <si>
    <t>Pratiwi et al. 2018 (S2)</t>
  </si>
  <si>
    <t>Buonocore et al. 2015</t>
  </si>
  <si>
    <t>Bravi and Basosi 2014 (BG3)</t>
  </si>
  <si>
    <t>Bravi and Basosi 2014 (PC3)</t>
  </si>
  <si>
    <t>Bravi and Basosi 2014 (PC4)</t>
  </si>
  <si>
    <t>Bravi and Basosi 2014 (PC5)</t>
  </si>
  <si>
    <t>Hondo 2005</t>
  </si>
  <si>
    <t>Atilgan and Azapagic 2016</t>
  </si>
  <si>
    <t>Marchand et al. 2015</t>
  </si>
  <si>
    <t>Paulillo et al. 2019 (SF)</t>
  </si>
  <si>
    <t>Paulillo et al. 2019 (DF)</t>
  </si>
  <si>
    <t>Depth of wells (m)</t>
  </si>
  <si>
    <t>Success rate (%)</t>
  </si>
  <si>
    <t>Bauer et al. 2017 (D-M)</t>
  </si>
  <si>
    <t>Bauer et al. 2017 (T-M)</t>
  </si>
  <si>
    <t>Triple, medium case</t>
  </si>
  <si>
    <t>Double, medium case</t>
  </si>
  <si>
    <t>Installed power is not reported for other scenarios</t>
  </si>
  <si>
    <t>Operational CH4 emissions (g/kWh)</t>
  </si>
  <si>
    <t>Treyer et al. 2015 (base)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</si>
</sst>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Font="1" applyAlignment="1">
      <alignment horizontal="left" indent="1"/>
    </xf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left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3" borderId="0" xfId="2" applyAlignment="1">
      <alignment horizontal="center"/>
    </xf>
    <xf numFmtId="0" fontId="1" fillId="2" borderId="0" xfId="1" applyAlignment="1">
      <alignment horizontal="center"/>
    </xf>
    <xf numFmtId="0" fontId="1" fillId="3" borderId="3" xfId="2" applyBorder="1" applyAlignment="1">
      <alignment horizontal="center"/>
    </xf>
    <xf numFmtId="0" fontId="0" fillId="0" borderId="0" xfId="0" applyNumberFormat="1"/>
    <xf numFmtId="0" fontId="0" fillId="0" borderId="0" xfId="0" applyAlignment="1"/>
    <xf numFmtId="164" fontId="0" fillId="0" borderId="0" xfId="0" applyNumberFormat="1"/>
    <xf numFmtId="0" fontId="5" fillId="0" borderId="0" xfId="0" applyFont="1" applyFill="1" applyAlignment="1">
      <alignment horizontal="left" indent="1"/>
    </xf>
    <xf numFmtId="0" fontId="5" fillId="0" borderId="0" xfId="0" applyFont="1" applyFill="1"/>
    <xf numFmtId="2" fontId="5" fillId="0" borderId="0" xfId="0" applyNumberFormat="1" applyFont="1" applyFill="1"/>
    <xf numFmtId="0" fontId="0" fillId="0" borderId="0" xfId="0" applyAlignment="1">
      <alignment horizontal="center"/>
    </xf>
    <xf numFmtId="0" fontId="2" fillId="0" borderId="0" xfId="0" applyFont="1" applyFill="1" applyAlignment="1"/>
    <xf numFmtId="0" fontId="0" fillId="0" borderId="0" xfId="0" applyFill="1"/>
    <xf numFmtId="0" fontId="6" fillId="0" borderId="0" xfId="0" applyFont="1" applyFill="1" applyAlignment="1"/>
    <xf numFmtId="0" fontId="2" fillId="5" borderId="0" xfId="0" applyFont="1" applyFill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7" fillId="0" borderId="0" xfId="0" applyFont="1" applyAlignment="1">
      <alignment horizontal="left" indent="1"/>
    </xf>
    <xf numFmtId="0" fontId="7" fillId="0" borderId="0" xfId="0" applyFont="1"/>
    <xf numFmtId="0" fontId="2" fillId="5" borderId="0" xfId="0" applyFont="1" applyFill="1" applyAlignment="1">
      <alignment horizontal="center" vertical="center" wrapText="1"/>
    </xf>
    <xf numFmtId="165" fontId="0" fillId="0" borderId="0" xfId="0" applyNumberFormat="1"/>
    <xf numFmtId="2" fontId="0" fillId="0" borderId="0" xfId="0" applyNumberFormat="1"/>
    <xf numFmtId="2" fontId="8" fillId="0" borderId="0" xfId="0" applyNumberFormat="1" applyFont="1"/>
    <xf numFmtId="166" fontId="0" fillId="0" borderId="0" xfId="0" applyNumberFormat="1"/>
    <xf numFmtId="0" fontId="6" fillId="0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1" fontId="0" fillId="0" borderId="0" xfId="0" applyNumberFormat="1" applyFont="1" applyAlignment="1">
      <alignment horizontal="center"/>
    </xf>
  </cellXfs>
  <cellStyles count="3">
    <cellStyle name="40% - Accent1" xfId="1" builtinId="31"/>
    <cellStyle name="40% - Accent2" xfId="2" builtinId="3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F5" sqref="F5"/>
    </sheetView>
  </sheetViews>
  <sheetFormatPr defaultRowHeight="14.4" x14ac:dyDescent="0.3"/>
  <cols>
    <col min="1" max="1" width="38.5546875" customWidth="1"/>
    <col min="2" max="2" width="21.21875" customWidth="1"/>
    <col min="3" max="3" width="16.77734375" customWidth="1"/>
    <col min="4" max="5" width="23" customWidth="1"/>
    <col min="6" max="6" width="27.21875" customWidth="1"/>
    <col min="8" max="8" width="12" customWidth="1"/>
  </cols>
  <sheetData>
    <row r="1" spans="1:8" s="27" customFormat="1" x14ac:dyDescent="0.3">
      <c r="D1" s="28" t="s">
        <v>35</v>
      </c>
      <c r="E1" s="28"/>
      <c r="H1" s="26"/>
    </row>
    <row r="2" spans="1:8" s="30" customFormat="1" ht="28.8" x14ac:dyDescent="0.3">
      <c r="A2" s="29" t="s">
        <v>1</v>
      </c>
      <c r="B2" s="29" t="s">
        <v>0</v>
      </c>
      <c r="C2" s="29" t="s">
        <v>36</v>
      </c>
      <c r="D2" s="36" t="s">
        <v>37</v>
      </c>
      <c r="E2" s="36" t="s">
        <v>68</v>
      </c>
      <c r="F2" s="29" t="s">
        <v>2</v>
      </c>
    </row>
    <row r="3" spans="1:8" x14ac:dyDescent="0.3">
      <c r="A3" s="3" t="s">
        <v>51</v>
      </c>
      <c r="B3" s="2" t="s">
        <v>3</v>
      </c>
      <c r="C3" s="4">
        <v>248</v>
      </c>
      <c r="D3" s="4">
        <f>14900000000/(328000000000000/(1000000 *3.6))</f>
        <v>163.53658536585368</v>
      </c>
      <c r="E3" s="38">
        <f>84600000/(328000000000000/(1000000 *3.6))</f>
        <v>0.92853658536585371</v>
      </c>
    </row>
    <row r="4" spans="1:8" x14ac:dyDescent="0.3">
      <c r="A4" s="3" t="s">
        <v>52</v>
      </c>
      <c r="B4" s="2" t="s">
        <v>4</v>
      </c>
      <c r="C4" s="4">
        <f>'Bravi&amp;Basosi'!C11</f>
        <v>690.16666666666663</v>
      </c>
      <c r="D4">
        <f>398</f>
        <v>398</v>
      </c>
      <c r="E4" s="38">
        <v>9.81</v>
      </c>
    </row>
    <row r="5" spans="1:8" x14ac:dyDescent="0.3">
      <c r="A5" s="3" t="s">
        <v>53</v>
      </c>
      <c r="B5" t="s">
        <v>3</v>
      </c>
      <c r="C5" s="4">
        <f>'Bravi&amp;Basosi'!D11</f>
        <v>603</v>
      </c>
      <c r="D5">
        <v>465</v>
      </c>
      <c r="E5" s="38">
        <v>5.45</v>
      </c>
    </row>
    <row r="6" spans="1:8" x14ac:dyDescent="0.3">
      <c r="A6" s="3" t="s">
        <v>54</v>
      </c>
      <c r="B6" t="s">
        <v>3</v>
      </c>
      <c r="C6" s="4">
        <f>'Bravi&amp;Basosi'!E11</f>
        <v>717.5</v>
      </c>
      <c r="D6">
        <v>529</v>
      </c>
      <c r="E6" s="38">
        <v>8.1999999999999993</v>
      </c>
    </row>
    <row r="7" spans="1:8" x14ac:dyDescent="0.3">
      <c r="A7" s="3" t="s">
        <v>55</v>
      </c>
      <c r="B7" t="s">
        <v>3</v>
      </c>
      <c r="C7" s="4">
        <f>'Bravi&amp;Basosi'!F11</f>
        <v>795.33333333333337</v>
      </c>
      <c r="D7">
        <v>677</v>
      </c>
      <c r="E7" s="38">
        <v>6.95</v>
      </c>
    </row>
    <row r="8" spans="1:8" x14ac:dyDescent="0.3">
      <c r="A8" s="3" t="s">
        <v>56</v>
      </c>
      <c r="B8" s="2" t="s">
        <v>20</v>
      </c>
      <c r="C8">
        <v>15</v>
      </c>
      <c r="D8" t="s">
        <v>15</v>
      </c>
      <c r="E8" t="s">
        <v>15</v>
      </c>
    </row>
    <row r="9" spans="1:8" x14ac:dyDescent="0.3">
      <c r="A9" s="3" t="s">
        <v>57</v>
      </c>
      <c r="B9" s="2" t="s">
        <v>20</v>
      </c>
      <c r="C9">
        <v>63</v>
      </c>
      <c r="D9" t="s">
        <v>15</v>
      </c>
      <c r="E9" t="s">
        <v>15</v>
      </c>
    </row>
    <row r="10" spans="1:8" x14ac:dyDescent="0.3">
      <c r="A10" s="3" t="s">
        <v>58</v>
      </c>
      <c r="B10" s="2" t="s">
        <v>20</v>
      </c>
      <c r="C10">
        <v>47</v>
      </c>
      <c r="D10">
        <v>41.6</v>
      </c>
      <c r="E10" s="37">
        <f>0.00000326*1000</f>
        <v>3.2600000000000003E-3</v>
      </c>
    </row>
    <row r="11" spans="1:8" x14ac:dyDescent="0.3">
      <c r="A11" s="3" t="s">
        <v>22</v>
      </c>
      <c r="B11" s="2" t="s">
        <v>4</v>
      </c>
      <c r="C11">
        <v>103</v>
      </c>
      <c r="D11">
        <v>98.9</v>
      </c>
      <c r="E11" s="39">
        <v>0</v>
      </c>
      <c r="F11" t="s">
        <v>21</v>
      </c>
    </row>
    <row r="12" spans="1:8" x14ac:dyDescent="0.3">
      <c r="A12" s="3" t="s">
        <v>59</v>
      </c>
      <c r="B12" s="2" t="s">
        <v>4</v>
      </c>
      <c r="C12">
        <v>26.8</v>
      </c>
      <c r="D12" s="21">
        <f>1470/225.5*3.6</f>
        <v>23.467849223946786</v>
      </c>
      <c r="E12" s="40">
        <v>3.5000000000000003E-2</v>
      </c>
    </row>
    <row r="13" spans="1:8" x14ac:dyDescent="0.3">
      <c r="A13" s="3" t="s">
        <v>60</v>
      </c>
      <c r="B13" s="2" t="s">
        <v>20</v>
      </c>
      <c r="C13">
        <v>23.7</v>
      </c>
      <c r="D13" s="21">
        <f>1470/253.3*3.6</f>
        <v>20.892222660876431</v>
      </c>
      <c r="E13" s="40">
        <v>3.1E-2</v>
      </c>
    </row>
    <row r="14" spans="1:8" x14ac:dyDescent="0.3">
      <c r="A14" s="3"/>
      <c r="B14" s="2"/>
    </row>
    <row r="16" spans="1:8" x14ac:dyDescent="0.3">
      <c r="E16" s="7"/>
    </row>
    <row r="18" spans="4:5" x14ac:dyDescent="0.3">
      <c r="D18" s="7"/>
    </row>
    <row r="19" spans="4:5" x14ac:dyDescent="0.3">
      <c r="D19" s="7"/>
    </row>
    <row r="20" spans="4:5" x14ac:dyDescent="0.3">
      <c r="D20" s="7"/>
    </row>
    <row r="22" spans="4:5" x14ac:dyDescent="0.3">
      <c r="D22" s="7"/>
      <c r="E22" s="7"/>
    </row>
    <row r="23" spans="4:5" x14ac:dyDescent="0.3">
      <c r="D23" s="7"/>
      <c r="E23" s="7"/>
    </row>
    <row r="30" spans="4:5" s="23" customFormat="1" x14ac:dyDescent="0.3"/>
    <row r="31" spans="4:5" s="23" customFormat="1" x14ac:dyDescent="0.3"/>
  </sheetData>
  <pageMargins left="0.7" right="0.7" top="0.75" bottom="0.75" header="0.3" footer="0.3"/>
  <pageSetup paperSize="9" scale="82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workbookViewId="0">
      <selection activeCell="C11" sqref="C11"/>
    </sheetView>
  </sheetViews>
  <sheetFormatPr defaultRowHeight="14.4" x14ac:dyDescent="0.3"/>
  <cols>
    <col min="1" max="1" width="32.5546875" customWidth="1"/>
    <col min="2" max="2" width="15.77734375" customWidth="1"/>
    <col min="3" max="3" width="20.5546875" bestFit="1" customWidth="1"/>
    <col min="4" max="4" width="15.77734375" customWidth="1"/>
    <col min="5" max="5" width="13.5546875" customWidth="1"/>
    <col min="6" max="6" width="11.21875" customWidth="1"/>
    <col min="8" max="8" width="28.21875" customWidth="1"/>
  </cols>
  <sheetData>
    <row r="1" spans="1:8" x14ac:dyDescent="0.3">
      <c r="A1" s="27"/>
      <c r="B1" s="27"/>
      <c r="C1" s="27"/>
      <c r="D1" s="41" t="s">
        <v>35</v>
      </c>
      <c r="E1" s="41"/>
      <c r="F1" s="41"/>
      <c r="G1" s="41"/>
      <c r="H1" s="27"/>
    </row>
    <row r="2" spans="1:8" s="30" customFormat="1" ht="43.2" x14ac:dyDescent="0.3">
      <c r="A2" s="29" t="s">
        <v>1</v>
      </c>
      <c r="B2" s="29" t="s">
        <v>0</v>
      </c>
      <c r="C2" s="29" t="s">
        <v>36</v>
      </c>
      <c r="D2" s="29" t="s">
        <v>39</v>
      </c>
      <c r="E2" s="29" t="s">
        <v>40</v>
      </c>
      <c r="F2" s="29" t="s">
        <v>61</v>
      </c>
      <c r="G2" s="29" t="s">
        <v>62</v>
      </c>
      <c r="H2" s="29" t="s">
        <v>2</v>
      </c>
    </row>
    <row r="3" spans="1:8" x14ac:dyDescent="0.3">
      <c r="A3" s="5" t="s">
        <v>43</v>
      </c>
      <c r="B3" s="2" t="s">
        <v>5</v>
      </c>
      <c r="C3" s="25">
        <v>54</v>
      </c>
      <c r="D3">
        <v>7.5</v>
      </c>
      <c r="E3">
        <v>1.75</v>
      </c>
      <c r="F3">
        <v>3800</v>
      </c>
      <c r="G3">
        <v>100</v>
      </c>
    </row>
    <row r="4" spans="1:8" x14ac:dyDescent="0.3">
      <c r="A4" s="5" t="s">
        <v>44</v>
      </c>
      <c r="B4" s="2" t="s">
        <v>5</v>
      </c>
      <c r="C4" s="25">
        <v>53</v>
      </c>
      <c r="D4">
        <v>7.5</v>
      </c>
      <c r="E4">
        <v>1.75</v>
      </c>
      <c r="F4">
        <v>4700</v>
      </c>
      <c r="G4">
        <v>100</v>
      </c>
    </row>
    <row r="5" spans="1:8" x14ac:dyDescent="0.3">
      <c r="A5" s="5" t="s">
        <v>45</v>
      </c>
      <c r="B5" s="2" t="s">
        <v>5</v>
      </c>
      <c r="C5" s="25">
        <v>7</v>
      </c>
      <c r="D5">
        <v>8.5</v>
      </c>
      <c r="E5">
        <v>11.1</v>
      </c>
      <c r="F5">
        <v>4800</v>
      </c>
      <c r="G5">
        <v>100</v>
      </c>
    </row>
    <row r="6" spans="1:8" x14ac:dyDescent="0.3">
      <c r="A6" s="5" t="s">
        <v>46</v>
      </c>
      <c r="B6" s="2" t="s">
        <v>5</v>
      </c>
      <c r="C6" s="25">
        <v>750</v>
      </c>
      <c r="D6">
        <v>9.5</v>
      </c>
      <c r="E6">
        <v>0.46</v>
      </c>
      <c r="F6">
        <v>5000</v>
      </c>
      <c r="G6">
        <v>100</v>
      </c>
    </row>
    <row r="7" spans="1:8" x14ac:dyDescent="0.3">
      <c r="A7" s="5" t="s">
        <v>47</v>
      </c>
      <c r="B7" s="2" t="s">
        <v>5</v>
      </c>
      <c r="C7" s="31">
        <v>36.700000000000003</v>
      </c>
      <c r="D7">
        <v>4</v>
      </c>
      <c r="E7">
        <v>2.2799999999999998</v>
      </c>
      <c r="F7">
        <v>4000</v>
      </c>
      <c r="G7">
        <v>100</v>
      </c>
    </row>
    <row r="8" spans="1:8" x14ac:dyDescent="0.3">
      <c r="A8" s="5" t="s">
        <v>48</v>
      </c>
      <c r="B8" s="2" t="s">
        <v>5</v>
      </c>
      <c r="C8" s="31">
        <v>16.899999999999999</v>
      </c>
      <c r="D8">
        <v>5</v>
      </c>
      <c r="E8">
        <v>5.46</v>
      </c>
      <c r="F8">
        <v>2500</v>
      </c>
      <c r="G8">
        <v>100</v>
      </c>
    </row>
    <row r="9" spans="1:8" x14ac:dyDescent="0.3">
      <c r="A9" s="5" t="s">
        <v>49</v>
      </c>
      <c r="B9" s="2" t="s">
        <v>5</v>
      </c>
      <c r="C9" s="31">
        <v>49.8</v>
      </c>
      <c r="D9">
        <v>6</v>
      </c>
      <c r="E9">
        <v>1.1399999999999999</v>
      </c>
      <c r="F9">
        <v>4000</v>
      </c>
      <c r="G9">
        <v>100</v>
      </c>
    </row>
    <row r="10" spans="1:8" x14ac:dyDescent="0.3">
      <c r="A10" s="5" t="s">
        <v>50</v>
      </c>
      <c r="B10" s="2" t="s">
        <v>5</v>
      </c>
      <c r="C10" s="32">
        <v>24.73</v>
      </c>
      <c r="D10" s="21">
        <f>((4.21*2580)+(3196*7.08))/(2580+3196)</f>
        <v>5.7980401662049852</v>
      </c>
      <c r="E10">
        <v>4.9429999999999996</v>
      </c>
      <c r="F10">
        <v>5704</v>
      </c>
      <c r="G10">
        <v>100</v>
      </c>
      <c r="H10" t="s">
        <v>67</v>
      </c>
    </row>
    <row r="11" spans="1:8" x14ac:dyDescent="0.3">
      <c r="A11" s="5" t="s">
        <v>41</v>
      </c>
      <c r="B11" s="2" t="s">
        <v>5</v>
      </c>
      <c r="C11" s="33">
        <f>46.6</f>
        <v>46.6</v>
      </c>
      <c r="D11" s="21">
        <v>7.23</v>
      </c>
      <c r="E11">
        <v>1</v>
      </c>
      <c r="F11">
        <v>4025</v>
      </c>
      <c r="G11">
        <v>100</v>
      </c>
    </row>
    <row r="12" spans="1:8" x14ac:dyDescent="0.3">
      <c r="A12" s="5" t="s">
        <v>42</v>
      </c>
      <c r="B12" s="2" t="s">
        <v>5</v>
      </c>
      <c r="C12" s="32">
        <f>17.5</f>
        <v>17.5</v>
      </c>
      <c r="D12" s="21">
        <v>7.23</v>
      </c>
      <c r="E12">
        <v>3</v>
      </c>
      <c r="F12">
        <v>4025</v>
      </c>
      <c r="G12">
        <v>100</v>
      </c>
    </row>
    <row r="13" spans="1:8" x14ac:dyDescent="0.3">
      <c r="A13" s="5" t="s">
        <v>69</v>
      </c>
      <c r="B13" s="2" t="s">
        <v>5</v>
      </c>
      <c r="C13" s="32">
        <v>63.5</v>
      </c>
      <c r="D13" s="21">
        <f>3934*3.6/1000</f>
        <v>14.1624</v>
      </c>
      <c r="E13">
        <v>8.9</v>
      </c>
      <c r="F13">
        <v>5000</v>
      </c>
      <c r="G13">
        <v>100</v>
      </c>
    </row>
    <row r="14" spans="1:8" x14ac:dyDescent="0.3">
      <c r="A14" s="5" t="s">
        <v>63</v>
      </c>
      <c r="B14" s="2" t="s">
        <v>5</v>
      </c>
      <c r="C14" s="32">
        <v>67.3</v>
      </c>
      <c r="D14" s="21">
        <f>2713*3.6/1000</f>
        <v>9.7668000000000017</v>
      </c>
      <c r="E14">
        <v>2.2000000000000002</v>
      </c>
      <c r="F14">
        <v>5000</v>
      </c>
      <c r="G14">
        <v>100</v>
      </c>
      <c r="H14" t="s">
        <v>66</v>
      </c>
    </row>
    <row r="15" spans="1:8" x14ac:dyDescent="0.3">
      <c r="A15" s="5" t="s">
        <v>64</v>
      </c>
      <c r="B15" s="2" t="s">
        <v>5</v>
      </c>
      <c r="C15" s="32">
        <v>51.9</v>
      </c>
      <c r="D15" s="21">
        <f>2713*3.6/1000</f>
        <v>9.7668000000000017</v>
      </c>
      <c r="E15">
        <v>4.4000000000000004</v>
      </c>
      <c r="F15">
        <v>5000</v>
      </c>
      <c r="G15">
        <v>100</v>
      </c>
      <c r="H15" t="s">
        <v>65</v>
      </c>
    </row>
    <row r="16" spans="1:8" x14ac:dyDescent="0.3">
      <c r="A16" s="5"/>
      <c r="B16" s="2"/>
      <c r="C16" s="32"/>
      <c r="D16" s="21"/>
    </row>
    <row r="17" spans="1:3" s="35" customFormat="1" x14ac:dyDescent="0.3">
      <c r="A17" s="34" t="s">
        <v>22</v>
      </c>
      <c r="B17" s="35" t="s">
        <v>5</v>
      </c>
      <c r="C17" s="35" t="s">
        <v>33</v>
      </c>
    </row>
  </sheetData>
  <mergeCells count="1">
    <mergeCell ref="D1:G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E4" sqref="E4"/>
    </sheetView>
  </sheetViews>
  <sheetFormatPr defaultRowHeight="14.4" x14ac:dyDescent="0.3"/>
  <cols>
    <col min="1" max="1" width="28.77734375" customWidth="1"/>
    <col min="2" max="2" width="23.21875" customWidth="1"/>
    <col min="3" max="3" width="19.77734375" customWidth="1"/>
    <col min="4" max="4" width="32.5546875" customWidth="1"/>
    <col min="5" max="5" width="20.77734375" customWidth="1"/>
    <col min="6" max="6" width="12.21875" customWidth="1"/>
  </cols>
  <sheetData>
    <row r="1" spans="1:6" x14ac:dyDescent="0.3">
      <c r="A1" s="43" t="s">
        <v>1</v>
      </c>
      <c r="B1" s="43" t="s">
        <v>0</v>
      </c>
      <c r="C1" s="43" t="s">
        <v>17</v>
      </c>
      <c r="D1" s="43" t="s">
        <v>2</v>
      </c>
      <c r="E1" s="44" t="s">
        <v>35</v>
      </c>
      <c r="F1" s="44"/>
    </row>
    <row r="2" spans="1:6" x14ac:dyDescent="0.3">
      <c r="A2" s="43"/>
      <c r="B2" s="43"/>
      <c r="C2" s="43"/>
      <c r="D2" s="43"/>
      <c r="E2" s="42" t="s">
        <v>31</v>
      </c>
      <c r="F2" s="42"/>
    </row>
    <row r="3" spans="1:6" x14ac:dyDescent="0.3">
      <c r="A3" s="22" t="s">
        <v>6</v>
      </c>
      <c r="B3" s="23" t="s">
        <v>5</v>
      </c>
      <c r="C3" s="23">
        <v>2.25</v>
      </c>
      <c r="D3" s="23" t="s">
        <v>23</v>
      </c>
      <c r="E3" s="23">
        <v>0</v>
      </c>
      <c r="F3" t="s">
        <v>32</v>
      </c>
    </row>
    <row r="4" spans="1:6" x14ac:dyDescent="0.3">
      <c r="A4" s="22" t="s">
        <v>7</v>
      </c>
      <c r="B4" s="23" t="s">
        <v>5</v>
      </c>
      <c r="C4" s="24">
        <v>5.6</v>
      </c>
      <c r="D4" s="23" t="s">
        <v>34</v>
      </c>
      <c r="E4" s="23">
        <v>0</v>
      </c>
      <c r="F4" t="s">
        <v>32</v>
      </c>
    </row>
    <row r="5" spans="1:6" x14ac:dyDescent="0.3">
      <c r="A5" s="3" t="s">
        <v>22</v>
      </c>
      <c r="B5" s="2" t="s">
        <v>5</v>
      </c>
      <c r="C5">
        <v>5.7</v>
      </c>
      <c r="D5" t="s">
        <v>21</v>
      </c>
      <c r="E5">
        <v>0</v>
      </c>
      <c r="F5" t="s">
        <v>32</v>
      </c>
    </row>
  </sheetData>
  <mergeCells count="6">
    <mergeCell ref="E2:F2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F11" sqref="F11"/>
    </sheetView>
  </sheetViews>
  <sheetFormatPr defaultRowHeight="14.4" x14ac:dyDescent="0.3"/>
  <cols>
    <col min="2" max="2" width="13.21875" customWidth="1"/>
    <col min="3" max="3" width="12.44140625" customWidth="1"/>
    <col min="4" max="4" width="13" customWidth="1"/>
    <col min="5" max="5" width="10.5546875" customWidth="1"/>
    <col min="6" max="6" width="13" customWidth="1"/>
  </cols>
  <sheetData>
    <row r="1" spans="1:7" x14ac:dyDescent="0.3">
      <c r="A1" t="s">
        <v>38</v>
      </c>
    </row>
    <row r="2" spans="1:7" x14ac:dyDescent="0.3">
      <c r="C2" s="46" t="s">
        <v>9</v>
      </c>
      <c r="D2" s="46"/>
      <c r="E2" s="46"/>
      <c r="F2" s="46"/>
    </row>
    <row r="3" spans="1:7" x14ac:dyDescent="0.3">
      <c r="C3" s="17" t="s">
        <v>10</v>
      </c>
      <c r="D3" s="16" t="s">
        <v>11</v>
      </c>
      <c r="E3" s="16" t="s">
        <v>12</v>
      </c>
      <c r="F3" s="18" t="s">
        <v>13</v>
      </c>
      <c r="G3" s="15" t="s">
        <v>14</v>
      </c>
    </row>
    <row r="4" spans="1:7" x14ac:dyDescent="0.3">
      <c r="A4" s="45" t="s">
        <v>8</v>
      </c>
      <c r="B4" s="1">
        <v>2002</v>
      </c>
      <c r="C4" s="8">
        <v>452</v>
      </c>
      <c r="D4" s="8">
        <v>618</v>
      </c>
      <c r="E4" s="8">
        <v>682</v>
      </c>
      <c r="F4" s="12">
        <v>814</v>
      </c>
      <c r="G4" s="7">
        <f>SUMIF(C4:F4,"&lt;&gt;N/A")/4</f>
        <v>641.5</v>
      </c>
    </row>
    <row r="5" spans="1:7" x14ac:dyDescent="0.3">
      <c r="A5" s="45"/>
      <c r="B5" s="1">
        <v>2004</v>
      </c>
      <c r="C5" s="8">
        <v>381</v>
      </c>
      <c r="D5" s="8">
        <v>572</v>
      </c>
      <c r="E5" s="6" t="s">
        <v>15</v>
      </c>
      <c r="F5" s="13" t="s">
        <v>15</v>
      </c>
      <c r="G5" s="7">
        <f>SUMIF(C5:F5,"&lt;&gt;N/A")/2</f>
        <v>476.5</v>
      </c>
    </row>
    <row r="6" spans="1:7" x14ac:dyDescent="0.3">
      <c r="A6" s="45"/>
      <c r="B6" s="1">
        <v>2005</v>
      </c>
      <c r="C6" s="8">
        <v>864</v>
      </c>
      <c r="D6" s="8">
        <v>550</v>
      </c>
      <c r="E6" s="6" t="s">
        <v>15</v>
      </c>
      <c r="F6" s="13" t="s">
        <v>15</v>
      </c>
      <c r="G6" s="7">
        <f>SUMIF(C6:F6,"&lt;&gt;N/A")/2</f>
        <v>707</v>
      </c>
    </row>
    <row r="7" spans="1:7" x14ac:dyDescent="0.3">
      <c r="A7" s="45"/>
      <c r="B7" s="1">
        <v>2006</v>
      </c>
      <c r="C7" s="8">
        <v>608</v>
      </c>
      <c r="D7" s="8">
        <v>683</v>
      </c>
      <c r="E7" s="6" t="s">
        <v>15</v>
      </c>
      <c r="F7" s="13" t="s">
        <v>15</v>
      </c>
      <c r="G7" s="7">
        <f>SUMIF(C7:F7,"&lt;&gt;N/A")/2</f>
        <v>645.5</v>
      </c>
    </row>
    <row r="8" spans="1:7" x14ac:dyDescent="0.3">
      <c r="A8" s="45"/>
      <c r="B8" s="1">
        <v>2007</v>
      </c>
      <c r="C8" s="6" t="s">
        <v>15</v>
      </c>
      <c r="D8" s="8">
        <v>528</v>
      </c>
      <c r="E8" s="6" t="s">
        <v>15</v>
      </c>
      <c r="F8" s="13" t="s">
        <v>15</v>
      </c>
      <c r="G8" s="7">
        <f>SUMIF(C8:F8,"&lt;&gt;N/A")/1</f>
        <v>528</v>
      </c>
    </row>
    <row r="9" spans="1:7" x14ac:dyDescent="0.3">
      <c r="A9" s="45"/>
      <c r="B9" s="1">
        <v>2008</v>
      </c>
      <c r="C9" s="8">
        <v>1040</v>
      </c>
      <c r="D9" s="8">
        <v>588</v>
      </c>
      <c r="E9" s="8">
        <v>753</v>
      </c>
      <c r="F9" s="12">
        <v>722</v>
      </c>
      <c r="G9" s="7">
        <f>SUMIF(C9:F9,"&lt;&gt;N/A")/4</f>
        <v>775.75</v>
      </c>
    </row>
    <row r="10" spans="1:7" x14ac:dyDescent="0.3">
      <c r="A10" s="45"/>
      <c r="B10" s="9">
        <v>2009</v>
      </c>
      <c r="C10" s="10">
        <v>796</v>
      </c>
      <c r="D10" s="10">
        <v>682</v>
      </c>
      <c r="E10" s="11" t="s">
        <v>15</v>
      </c>
      <c r="F10" s="14">
        <v>850</v>
      </c>
      <c r="G10" s="7">
        <f>SUMIF(C10:F10,"&lt;&gt;N/A")/3</f>
        <v>776</v>
      </c>
    </row>
    <row r="11" spans="1:7" x14ac:dyDescent="0.3">
      <c r="B11" t="s">
        <v>14</v>
      </c>
      <c r="C11" s="8">
        <f>SUMIF(C4:C10, "&lt;&gt; N/A")/6</f>
        <v>690.16666666666663</v>
      </c>
      <c r="D11" s="8">
        <f t="shared" ref="D11" si="0">SUMIF(D4:D10, "&lt;&gt; N/A")/7</f>
        <v>603</v>
      </c>
      <c r="E11" s="8">
        <f>SUMIF(E4:E10, "&lt;&gt; N/A")/2</f>
        <v>717.5</v>
      </c>
      <c r="F11" s="8">
        <f>SUMIF(F4:F10, "&lt;&gt; N/A")/3</f>
        <v>795.33333333333337</v>
      </c>
      <c r="G11" s="7">
        <f>AVERAGE(G4:G10)</f>
        <v>650.03571428571433</v>
      </c>
    </row>
    <row r="12" spans="1:7" x14ac:dyDescent="0.3">
      <c r="B12" t="s">
        <v>16</v>
      </c>
      <c r="D12" s="47">
        <f>SUMIF(D4:F10,"&lt;&gt;N/A")/12</f>
        <v>670.16666666666663</v>
      </c>
      <c r="E12" s="47"/>
      <c r="F12" s="47"/>
    </row>
    <row r="14" spans="1:7" x14ac:dyDescent="0.3">
      <c r="A14" t="s">
        <v>18</v>
      </c>
    </row>
    <row r="15" spans="1:7" x14ac:dyDescent="0.3">
      <c r="A15" t="s">
        <v>19</v>
      </c>
    </row>
    <row r="19" spans="2:7" x14ac:dyDescent="0.3">
      <c r="G19" s="7"/>
    </row>
    <row r="23" spans="2:7" x14ac:dyDescent="0.3">
      <c r="B23" s="7"/>
    </row>
    <row r="26" spans="2:7" x14ac:dyDescent="0.3">
      <c r="B26" s="19"/>
    </row>
  </sheetData>
  <mergeCells count="3">
    <mergeCell ref="A4:A10"/>
    <mergeCell ref="C2:F2"/>
    <mergeCell ref="D12:F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"/>
  <sheetViews>
    <sheetView tabSelected="1" workbookViewId="0">
      <selection activeCell="C15" sqref="C15"/>
    </sheetView>
  </sheetViews>
  <sheetFormatPr defaultRowHeight="14.4" x14ac:dyDescent="0.3"/>
  <cols>
    <col min="1" max="1" width="12.5546875" customWidth="1"/>
  </cols>
  <sheetData>
    <row r="1" spans="1:13" x14ac:dyDescent="0.3"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13" x14ac:dyDescent="0.3">
      <c r="A2" t="s">
        <v>24</v>
      </c>
      <c r="B2">
        <v>6</v>
      </c>
      <c r="C2">
        <v>20</v>
      </c>
      <c r="D2">
        <v>45</v>
      </c>
      <c r="E2">
        <v>57</v>
      </c>
      <c r="F2">
        <v>79</v>
      </c>
    </row>
    <row r="5" spans="1:13" x14ac:dyDescent="0.3">
      <c r="A5" s="20" t="s">
        <v>30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</sheetData>
  <sortState xmlns:xlrd2="http://schemas.microsoft.com/office/spreadsheetml/2017/richdata2" ref="A2:F2">
    <sortCondition ref="A2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Conventional</vt:lpstr>
      <vt:lpstr>Enhanced</vt:lpstr>
      <vt:lpstr>Binary</vt:lpstr>
      <vt:lpstr>Bravi&amp;Basosi</vt:lpstr>
      <vt:lpstr>IPCC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Paulillo, Andrea</cp:lastModifiedBy>
  <dcterms:created xsi:type="dcterms:W3CDTF">2019-10-30T11:25:09Z</dcterms:created>
  <dcterms:modified xsi:type="dcterms:W3CDTF">2021-01-13T16:37:14Z</dcterms:modified>
</cp:coreProperties>
</file>