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ushapraveen/Desktop/630_CS3/"/>
    </mc:Choice>
  </mc:AlternateContent>
  <xr:revisionPtr revIDLastSave="0" documentId="13_ncr:1_{8C19988D-580B-8C42-A456-E3990771226C}" xr6:coauthVersionLast="45" xr6:coauthVersionMax="45" xr10:uidLastSave="{00000000-0000-0000-0000-000000000000}"/>
  <bookViews>
    <workbookView xWindow="880" yWindow="460" windowWidth="27600" windowHeight="15940" activeTab="2" xr2:uid="{D3B0241E-4145-E545-A6BD-803CE0533EA4}"/>
  </bookViews>
  <sheets>
    <sheet name="Q1" sheetId="1" r:id="rId1"/>
    <sheet name="Q2" sheetId="5" r:id="rId2"/>
    <sheet name="Q3" sheetId="3" r:id="rId3"/>
    <sheet name="Q4" sheetId="4" r:id="rId4"/>
    <sheet name="Q5-solvertable input" sheetId="7" r:id="rId5"/>
    <sheet name="Q5-solvertable input_STS" sheetId="9" state="veryHidden" r:id="rId6"/>
    <sheet name="Q5-solvertable_STS" sheetId="8" state="veryHidden" r:id="rId7"/>
    <sheet name="Q5-sensitivity analysis" sheetId="10" r:id="rId8"/>
  </sheets>
  <definedNames>
    <definedName name="ChartData" localSheetId="7">'Q5-sensitivity analysis'!$K$5:$K$55</definedName>
    <definedName name="InputValues" localSheetId="7">'Q5-sensitivity analysis'!$A$5:$A$55</definedName>
    <definedName name="OutputAddresses" localSheetId="7">'Q5-sensitivity analysis'!$B$4:$F$4</definedName>
    <definedName name="OutputValues" localSheetId="7">'Q5-sensitivity analysis'!$B$5:$F$55</definedName>
    <definedName name="solver_adj" localSheetId="2" hidden="1">'Q3'!$F$6:$F$7</definedName>
    <definedName name="solver_adj" localSheetId="3" hidden="1">'Q4'!$F$7:$F$8</definedName>
    <definedName name="solver_adj" localSheetId="4" hidden="1">'Q5-solvertable input'!$F$6:$F$7</definedName>
    <definedName name="solver_cvg" localSheetId="2" hidden="1">0.0001</definedName>
    <definedName name="solver_cvg" localSheetId="3" hidden="1">0.0001</definedName>
    <definedName name="solver_cvg" localSheetId="4" hidden="1">0.0001</definedName>
    <definedName name="solver_drv" localSheetId="2" hidden="1">1</definedName>
    <definedName name="solver_drv" localSheetId="3" hidden="1">1</definedName>
    <definedName name="solver_drv" localSheetId="4" hidden="1">1</definedName>
    <definedName name="solver_eng" localSheetId="2" hidden="1">1</definedName>
    <definedName name="solver_eng" localSheetId="3" hidden="1">1</definedName>
    <definedName name="solver_eng" localSheetId="4" hidden="1">1</definedName>
    <definedName name="solver_itr" localSheetId="2" hidden="1">2147483647</definedName>
    <definedName name="solver_itr" localSheetId="3" hidden="1">2147483647</definedName>
    <definedName name="solver_itr" localSheetId="4" hidden="1">2147483647</definedName>
    <definedName name="solver_lhs1" localSheetId="2" hidden="1">'Q3'!$E$22:$E$24</definedName>
    <definedName name="solver_lhs1" localSheetId="3" hidden="1">'Q4'!$E$23:$E$25</definedName>
    <definedName name="solver_lhs1" localSheetId="4" hidden="1">'Q5-solvertable input'!$E$22:$E$24</definedName>
    <definedName name="solver_lhs2" localSheetId="2" hidden="1">'Q3'!$E$25:$E$26</definedName>
    <definedName name="solver_lhs2" localSheetId="3" hidden="1">'Q4'!$E$26:$E$27</definedName>
    <definedName name="solver_lhs2" localSheetId="4" hidden="1">'Q5-solvertable input'!$E$25:$E$26</definedName>
    <definedName name="solver_lhs3" localSheetId="3" hidden="1">'Q4'!$E$28:$E$29</definedName>
    <definedName name="solver_lhs3" localSheetId="4" hidden="1">'Q5-solvertable input'!$E$27:$E$28</definedName>
    <definedName name="solver_lin" localSheetId="2" hidden="1">2</definedName>
    <definedName name="solver_lin" localSheetId="3" hidden="1">2</definedName>
    <definedName name="solver_lin" localSheetId="4" hidden="1">2</definedName>
    <definedName name="solver_mip" localSheetId="2" hidden="1">2147483647</definedName>
    <definedName name="solver_mip" localSheetId="3" hidden="1">2147483647</definedName>
    <definedName name="solver_mip" localSheetId="4" hidden="1">2147483647</definedName>
    <definedName name="solver_mni" localSheetId="2" hidden="1">30</definedName>
    <definedName name="solver_mni" localSheetId="3" hidden="1">30</definedName>
    <definedName name="solver_mni" localSheetId="4" hidden="1">30</definedName>
    <definedName name="solver_mrt" localSheetId="2" hidden="1">0.075</definedName>
    <definedName name="solver_mrt" localSheetId="3" hidden="1">0.075</definedName>
    <definedName name="solver_mrt" localSheetId="4" hidden="1">0.075</definedName>
    <definedName name="solver_msl" localSheetId="2" hidden="1">1</definedName>
    <definedName name="solver_msl" localSheetId="3" hidden="1">1</definedName>
    <definedName name="solver_msl" localSheetId="4" hidden="1">1</definedName>
    <definedName name="solver_neg" localSheetId="2" hidden="1">1</definedName>
    <definedName name="solver_neg" localSheetId="3" hidden="1">1</definedName>
    <definedName name="solver_neg" localSheetId="4" hidden="1">1</definedName>
    <definedName name="solver_nod" localSheetId="2" hidden="1">2147483647</definedName>
    <definedName name="solver_nod" localSheetId="3" hidden="1">2147483647</definedName>
    <definedName name="solver_nod" localSheetId="4" hidden="1">2147483647</definedName>
    <definedName name="solver_num" localSheetId="2" hidden="1">2</definedName>
    <definedName name="solver_num" localSheetId="3" hidden="1">3</definedName>
    <definedName name="solver_num" localSheetId="4" hidden="1">3</definedName>
    <definedName name="solver_opt" localSheetId="2" hidden="1">'Q3'!$E$18</definedName>
    <definedName name="solver_opt" localSheetId="3" hidden="1">'Q4'!$E$19</definedName>
    <definedName name="solver_opt" localSheetId="4" hidden="1">'Q5-solvertable input'!$E$18</definedName>
    <definedName name="solver_pre" localSheetId="2" hidden="1">0.000001</definedName>
    <definedName name="solver_pre" localSheetId="3" hidden="1">0.000001</definedName>
    <definedName name="solver_pre" localSheetId="4" hidden="1">0.000001</definedName>
    <definedName name="solver_rbv" localSheetId="2" hidden="1">2</definedName>
    <definedName name="solver_rbv" localSheetId="3" hidden="1">2</definedName>
    <definedName name="solver_rbv" localSheetId="4" hidden="1">2</definedName>
    <definedName name="solver_rel1" localSheetId="2" hidden="1">1</definedName>
    <definedName name="solver_rel1" localSheetId="3" hidden="1">1</definedName>
    <definedName name="solver_rel1" localSheetId="4" hidden="1">1</definedName>
    <definedName name="solver_rel2" localSheetId="2" hidden="1">3</definedName>
    <definedName name="solver_rel2" localSheetId="3" hidden="1">3</definedName>
    <definedName name="solver_rel2" localSheetId="4" hidden="1">3</definedName>
    <definedName name="solver_rel3" localSheetId="3" hidden="1">1</definedName>
    <definedName name="solver_rel3" localSheetId="4" hidden="1">1</definedName>
    <definedName name="solver_rhs1" localSheetId="2" hidden="1">'Q3'!$G$22:$G$24</definedName>
    <definedName name="solver_rhs1" localSheetId="3" hidden="1">'Q4'!$G$23:$G$25</definedName>
    <definedName name="solver_rhs1" localSheetId="4" hidden="1">'Q5-solvertable input'!$G$22:$G$24</definedName>
    <definedName name="solver_rhs2" localSheetId="2" hidden="1">'Q3'!$G$25:$G$26</definedName>
    <definedName name="solver_rhs2" localSheetId="3" hidden="1">'Q4'!$G$26:$G$27</definedName>
    <definedName name="solver_rhs2" localSheetId="4" hidden="1">'Q5-solvertable input'!$G$25:$G$26</definedName>
    <definedName name="solver_rhs3" localSheetId="3" hidden="1">'Q4'!$G$28:$G$29</definedName>
    <definedName name="solver_rhs3" localSheetId="4" hidden="1">'Q5-solvertable input'!$G$27:$G$28</definedName>
    <definedName name="solver_rlx" localSheetId="2" hidden="1">1</definedName>
    <definedName name="solver_rlx" localSheetId="3" hidden="1">1</definedName>
    <definedName name="solver_rlx" localSheetId="4" hidden="1">1</definedName>
    <definedName name="solver_rsd" localSheetId="2" hidden="1">0</definedName>
    <definedName name="solver_rsd" localSheetId="3" hidden="1">0</definedName>
    <definedName name="solver_rsd" localSheetId="4" hidden="1">0</definedName>
    <definedName name="solver_scl" localSheetId="2" hidden="1">2</definedName>
    <definedName name="solver_scl" localSheetId="3" hidden="1">2</definedName>
    <definedName name="solver_scl" localSheetId="4" hidden="1">2</definedName>
    <definedName name="solver_sho" localSheetId="2" hidden="1">2</definedName>
    <definedName name="solver_sho" localSheetId="3" hidden="1">2</definedName>
    <definedName name="solver_sho" localSheetId="4" hidden="1">2</definedName>
    <definedName name="solver_ssz" localSheetId="2" hidden="1">100</definedName>
    <definedName name="solver_ssz" localSheetId="3" hidden="1">100</definedName>
    <definedName name="solver_ssz" localSheetId="4" hidden="1">100</definedName>
    <definedName name="solver_tim" localSheetId="2" hidden="1">2147483647</definedName>
    <definedName name="solver_tim" localSheetId="3" hidden="1">2147483647</definedName>
    <definedName name="solver_tim" localSheetId="4" hidden="1">2147483647</definedName>
    <definedName name="solver_tol" localSheetId="2" hidden="1">0.01</definedName>
    <definedName name="solver_tol" localSheetId="3" hidden="1">0.01</definedName>
    <definedName name="solver_tol" localSheetId="4" hidden="1">0.01</definedName>
    <definedName name="solver_typ" localSheetId="2" hidden="1">1</definedName>
    <definedName name="solver_typ" localSheetId="3" hidden="1">1</definedName>
    <definedName name="solver_typ" localSheetId="4" hidden="1">1</definedName>
    <definedName name="solver_val" localSheetId="2" hidden="1">0</definedName>
    <definedName name="solver_val" localSheetId="3" hidden="1">0</definedName>
    <definedName name="solver_val" localSheetId="4" hidden="1">0</definedName>
    <definedName name="solver_ver" localSheetId="2" hidden="1">2</definedName>
    <definedName name="solver_ver" localSheetId="3" hidden="1">2</definedName>
    <definedName name="solver_ver" localSheetId="4"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1" i="3" l="1"/>
  <c r="F50" i="3"/>
  <c r="F49" i="3"/>
  <c r="K1" i="10" l="1"/>
  <c r="J4" i="10"/>
  <c r="K55" i="10" s="1"/>
  <c r="K5" i="10" l="1"/>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D34" i="3"/>
  <c r="E34" i="3" s="1"/>
  <c r="D40" i="3"/>
  <c r="E40" i="3" s="1"/>
  <c r="E39" i="3"/>
  <c r="D41" i="3" l="1"/>
  <c r="D42" i="3" s="1"/>
  <c r="D43" i="3" s="1"/>
  <c r="D35" i="3"/>
  <c r="D36" i="3" s="1"/>
  <c r="E36" i="3" s="1"/>
  <c r="D37" i="3"/>
  <c r="E35" i="3"/>
  <c r="E41" i="3"/>
  <c r="E42" i="3"/>
  <c r="E43" i="3"/>
  <c r="E37" i="3" l="1"/>
  <c r="D38" i="3"/>
  <c r="E38" i="3" s="1"/>
  <c r="E40" i="4" l="1"/>
  <c r="E41" i="4"/>
  <c r="E42" i="4"/>
  <c r="E43" i="4"/>
  <c r="E44" i="4"/>
  <c r="E45" i="4"/>
  <c r="E46" i="4"/>
  <c r="E47" i="4"/>
  <c r="E48" i="4"/>
  <c r="E49" i="4"/>
  <c r="E50" i="4"/>
  <c r="E39" i="4"/>
  <c r="D50" i="4"/>
  <c r="B50" i="4"/>
  <c r="C50" i="4" s="1"/>
  <c r="C48" i="4"/>
  <c r="C49" i="4"/>
  <c r="C44" i="4"/>
  <c r="C45" i="4"/>
  <c r="C46" i="4"/>
  <c r="C47" i="4"/>
  <c r="C43" i="4"/>
  <c r="C42" i="4"/>
  <c r="C41" i="4"/>
  <c r="C40" i="4"/>
  <c r="C39" i="4"/>
  <c r="D41" i="4"/>
  <c r="D42" i="4" s="1"/>
  <c r="D43" i="4" s="1"/>
  <c r="D44" i="4" s="1"/>
  <c r="D45" i="4" s="1"/>
  <c r="D46" i="4" s="1"/>
  <c r="D47" i="4" s="1"/>
  <c r="D48" i="4" s="1"/>
  <c r="D49" i="4" s="1"/>
  <c r="D40" i="4"/>
  <c r="B41" i="4"/>
  <c r="B42" i="4" s="1"/>
  <c r="B43" i="4" s="1"/>
  <c r="B44" i="4" s="1"/>
  <c r="B45" i="4" s="1"/>
  <c r="B46" i="4" s="1"/>
  <c r="B47" i="4" s="1"/>
  <c r="B48" i="4" s="1"/>
  <c r="B49" i="4" s="1"/>
  <c r="B40" i="4"/>
  <c r="C33" i="3" l="1"/>
  <c r="B34" i="3"/>
  <c r="C34" i="3" s="1"/>
  <c r="B35" i="3" l="1"/>
  <c r="B36" i="3" s="1"/>
  <c r="B37" i="3" s="1"/>
  <c r="B38" i="3" s="1"/>
  <c r="C38" i="3" s="1"/>
  <c r="C36" i="3"/>
  <c r="C35" i="3"/>
  <c r="C37" i="3"/>
  <c r="B39" i="3"/>
  <c r="C39" i="3" s="1"/>
  <c r="E28" i="7"/>
  <c r="E27" i="7"/>
  <c r="E26" i="7"/>
  <c r="E25" i="7"/>
  <c r="F13" i="7"/>
  <c r="E17" i="7" s="1"/>
  <c r="E13" i="7"/>
  <c r="B40" i="3" l="1"/>
  <c r="E24" i="7"/>
  <c r="E16" i="7"/>
  <c r="E18" i="7" s="1"/>
  <c r="E22" i="7"/>
  <c r="E23" i="7"/>
  <c r="E29" i="4"/>
  <c r="E28" i="4"/>
  <c r="E27" i="4"/>
  <c r="E26" i="4"/>
  <c r="F14" i="4"/>
  <c r="E18" i="4" s="1"/>
  <c r="E14" i="4"/>
  <c r="F13" i="3"/>
  <c r="E17" i="3" s="1"/>
  <c r="E26" i="3"/>
  <c r="E25" i="3"/>
  <c r="E13" i="3"/>
  <c r="B41" i="3" l="1"/>
  <c r="C40" i="3"/>
  <c r="E16" i="3"/>
  <c r="E18" i="3" s="1"/>
  <c r="E23" i="3"/>
  <c r="E23" i="4"/>
  <c r="E25" i="4"/>
  <c r="E17" i="4"/>
  <c r="E19" i="4" s="1"/>
  <c r="E24" i="4"/>
  <c r="E24" i="3"/>
  <c r="E22" i="3"/>
  <c r="B42" i="3" l="1"/>
  <c r="C41" i="3"/>
  <c r="C42" i="3" l="1"/>
  <c r="B43" i="3"/>
  <c r="C43" i="3" s="1"/>
  <c r="E3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Usha Praveen</author>
  </authors>
  <commentList>
    <comment ref="B5" authorId="0" shapeId="0" xr:uid="{C57BA90B-DE92-45CD-9A1B-B95C90AAD98A}">
      <text>
        <r>
          <rPr>
            <sz val="9"/>
            <color indexed="81"/>
            <rFont val="Tahoma"/>
            <family val="2"/>
          </rPr>
          <t>Solver converged in probability to a global solution.</t>
        </r>
      </text>
    </comment>
    <comment ref="B6" authorId="0" shapeId="0" xr:uid="{63B0D82A-5122-4D12-924B-73EFFBC09781}">
      <text>
        <r>
          <rPr>
            <sz val="9"/>
            <color indexed="81"/>
            <rFont val="Tahoma"/>
            <family val="2"/>
          </rPr>
          <t>Solver converged in probability to a global solution.</t>
        </r>
      </text>
    </comment>
    <comment ref="B7" authorId="0" shapeId="0" xr:uid="{7B3EEE19-F0C5-413E-9CE1-A01691F8ACBA}">
      <text>
        <r>
          <rPr>
            <sz val="9"/>
            <color indexed="81"/>
            <rFont val="Tahoma"/>
            <family val="2"/>
          </rPr>
          <t>Solver converged in probability to a global solution.</t>
        </r>
      </text>
    </comment>
    <comment ref="B8" authorId="0" shapeId="0" xr:uid="{AF08ABB3-A017-4DA2-99D9-3832D3FDE5FA}">
      <text>
        <r>
          <rPr>
            <sz val="9"/>
            <color rgb="FF000000"/>
            <rFont val="Tahoma"/>
            <family val="2"/>
          </rPr>
          <t>Solver converged in probability to a global solution.</t>
        </r>
      </text>
    </comment>
    <comment ref="B9" authorId="0" shapeId="0" xr:uid="{1C495B23-D85C-4ADA-9E9F-572BC95D1082}">
      <text>
        <r>
          <rPr>
            <sz val="9"/>
            <color rgb="FF000000"/>
            <rFont val="Tahoma"/>
            <family val="2"/>
          </rPr>
          <t>Solver converged in probability to a global solution.</t>
        </r>
      </text>
    </comment>
    <comment ref="B10" authorId="0" shapeId="0" xr:uid="{E9E30A23-AAAF-4A84-8692-CDD93141049A}">
      <text>
        <r>
          <rPr>
            <sz val="9"/>
            <color indexed="81"/>
            <rFont val="Tahoma"/>
            <family val="2"/>
          </rPr>
          <t>Solver converged in probability to a global solution.</t>
        </r>
      </text>
    </comment>
    <comment ref="B11" authorId="0" shapeId="0" xr:uid="{D8AC73B9-7FC0-4B71-BD0B-995706D5825C}">
      <text>
        <r>
          <rPr>
            <sz val="9"/>
            <color indexed="81"/>
            <rFont val="Tahoma"/>
            <family val="2"/>
          </rPr>
          <t>Solver converged in probability to a global solution.</t>
        </r>
      </text>
    </comment>
    <comment ref="B12" authorId="0" shapeId="0" xr:uid="{71FE138C-F048-41EA-A103-E364C921DFC3}">
      <text>
        <r>
          <rPr>
            <sz val="9"/>
            <color indexed="81"/>
            <rFont val="Tahoma"/>
            <family val="2"/>
          </rPr>
          <t>Solver converged in probability to a global solution.</t>
        </r>
      </text>
    </comment>
    <comment ref="B13" authorId="0" shapeId="0" xr:uid="{1D6D9389-FA62-42AF-8F4A-9A2F5E6D87CF}">
      <text>
        <r>
          <rPr>
            <sz val="9"/>
            <color indexed="81"/>
            <rFont val="Tahoma"/>
            <family val="2"/>
          </rPr>
          <t>Solver converged in probability to a global solution.</t>
        </r>
      </text>
    </comment>
    <comment ref="B14" authorId="0" shapeId="0" xr:uid="{A123E5D5-7DF7-42D5-89E4-80CF1D581547}">
      <text>
        <r>
          <rPr>
            <sz val="9"/>
            <color indexed="81"/>
            <rFont val="Tahoma"/>
            <family val="2"/>
          </rPr>
          <t>Solver converged in probability to a global solution.</t>
        </r>
      </text>
    </comment>
    <comment ref="B15" authorId="0" shapeId="0" xr:uid="{6BCC4664-4523-43E8-847A-3610D759EB0D}">
      <text>
        <r>
          <rPr>
            <sz val="9"/>
            <color indexed="81"/>
            <rFont val="Tahoma"/>
            <family val="2"/>
          </rPr>
          <t>Solver converged in probability to a global solution.</t>
        </r>
      </text>
    </comment>
    <comment ref="B16" authorId="0" shapeId="0" xr:uid="{2F76EB08-A8CD-4C82-AE6A-888BC6C48602}">
      <text>
        <r>
          <rPr>
            <sz val="9"/>
            <color indexed="81"/>
            <rFont val="Tahoma"/>
            <family val="2"/>
          </rPr>
          <t>Solver converged in probability to a global solution.</t>
        </r>
      </text>
    </comment>
    <comment ref="B17" authorId="0" shapeId="0" xr:uid="{AA5C145F-179B-4105-A428-0B53E57DA840}">
      <text>
        <r>
          <rPr>
            <sz val="9"/>
            <color indexed="81"/>
            <rFont val="Tahoma"/>
            <family val="2"/>
          </rPr>
          <t>Solver converged in probability to a global solution.</t>
        </r>
      </text>
    </comment>
    <comment ref="B18" authorId="0" shapeId="0" xr:uid="{518B5402-80F8-4335-A2F1-12F2FCB53EC2}">
      <text>
        <r>
          <rPr>
            <sz val="9"/>
            <color indexed="81"/>
            <rFont val="Tahoma"/>
            <family val="2"/>
          </rPr>
          <t>Solver converged in probability to a global solution.</t>
        </r>
      </text>
    </comment>
    <comment ref="B19" authorId="0" shapeId="0" xr:uid="{67A93AEB-25A0-4C2F-BC0B-9840C02F6993}">
      <text>
        <r>
          <rPr>
            <sz val="9"/>
            <color indexed="81"/>
            <rFont val="Tahoma"/>
            <family val="2"/>
          </rPr>
          <t>Solver converged in probability to a global solution.</t>
        </r>
      </text>
    </comment>
    <comment ref="B20" authorId="0" shapeId="0" xr:uid="{87830BE9-B02A-4CE1-B9F0-F96D066254FC}">
      <text>
        <r>
          <rPr>
            <sz val="9"/>
            <color indexed="81"/>
            <rFont val="Tahoma"/>
            <family val="2"/>
          </rPr>
          <t>Solver converged in probability to a global solution.</t>
        </r>
      </text>
    </comment>
    <comment ref="B21" authorId="0" shapeId="0" xr:uid="{55A4EBE4-C76C-4C97-B989-E35D28834CA8}">
      <text>
        <r>
          <rPr>
            <sz val="9"/>
            <color indexed="81"/>
            <rFont val="Tahoma"/>
            <family val="2"/>
          </rPr>
          <t>Solver converged in probability to a global solution.</t>
        </r>
      </text>
    </comment>
    <comment ref="B22" authorId="0" shapeId="0" xr:uid="{4E0F617C-679C-4C53-A734-B40F45C1C313}">
      <text>
        <r>
          <rPr>
            <sz val="9"/>
            <color indexed="81"/>
            <rFont val="Tahoma"/>
            <family val="2"/>
          </rPr>
          <t>Solver converged in probability to a global solution.</t>
        </r>
      </text>
    </comment>
    <comment ref="B23" authorId="0" shapeId="0" xr:uid="{CFA90454-E7A4-4847-A8F1-5B4CD194CB80}">
      <text>
        <r>
          <rPr>
            <sz val="9"/>
            <color indexed="81"/>
            <rFont val="Tahoma"/>
            <family val="2"/>
          </rPr>
          <t>Solver converged in probability to a global solution.</t>
        </r>
      </text>
    </comment>
    <comment ref="B24" authorId="0" shapeId="0" xr:uid="{4A2FEB8A-9B85-45EF-82C4-C6943A61C771}">
      <text>
        <r>
          <rPr>
            <sz val="9"/>
            <color indexed="81"/>
            <rFont val="Tahoma"/>
            <family val="2"/>
          </rPr>
          <t>Solver converged in probability to a global solution.</t>
        </r>
      </text>
    </comment>
    <comment ref="B25" authorId="0" shapeId="0" xr:uid="{FD348F1C-5952-4879-A04F-0E265526941F}">
      <text>
        <r>
          <rPr>
            <sz val="9"/>
            <color indexed="81"/>
            <rFont val="Tahoma"/>
            <family val="2"/>
          </rPr>
          <t>Solver converged in probability to a global solution.</t>
        </r>
      </text>
    </comment>
    <comment ref="B26" authorId="0" shapeId="0" xr:uid="{6116083E-6A99-425A-AAE8-F606552F6D86}">
      <text>
        <r>
          <rPr>
            <sz val="9"/>
            <color indexed="81"/>
            <rFont val="Tahoma"/>
            <family val="2"/>
          </rPr>
          <t>Solver converged in probability to a global solution.</t>
        </r>
      </text>
    </comment>
    <comment ref="B27" authorId="0" shapeId="0" xr:uid="{EC8752E8-80DA-4B31-8F7E-04F20997E2A7}">
      <text>
        <r>
          <rPr>
            <sz val="9"/>
            <color indexed="81"/>
            <rFont val="Tahoma"/>
            <family val="2"/>
          </rPr>
          <t>Solver converged in probability to a global solution.</t>
        </r>
      </text>
    </comment>
    <comment ref="B28" authorId="0" shapeId="0" xr:uid="{25573A79-7B77-495F-BAC9-8C419E62AC87}">
      <text>
        <r>
          <rPr>
            <sz val="9"/>
            <color indexed="81"/>
            <rFont val="Tahoma"/>
            <family val="2"/>
          </rPr>
          <t>Solver converged in probability to a global solution.</t>
        </r>
      </text>
    </comment>
    <comment ref="B29" authorId="0" shapeId="0" xr:uid="{51306455-45B4-4795-8E55-2177DC9C0659}">
      <text>
        <r>
          <rPr>
            <sz val="9"/>
            <color indexed="81"/>
            <rFont val="Tahoma"/>
            <family val="2"/>
          </rPr>
          <t>Solver converged in probability to a global solution.</t>
        </r>
      </text>
    </comment>
    <comment ref="B30" authorId="0" shapeId="0" xr:uid="{748AD282-340D-4F8C-91A9-5B593257C745}">
      <text>
        <r>
          <rPr>
            <sz val="9"/>
            <color indexed="81"/>
            <rFont val="Tahoma"/>
            <family val="2"/>
          </rPr>
          <t>Solver converged in probability to a global solution.</t>
        </r>
      </text>
    </comment>
    <comment ref="B31" authorId="0" shapeId="0" xr:uid="{34F369BA-7FE1-42DD-9440-A0AEDD18F709}">
      <text>
        <r>
          <rPr>
            <sz val="9"/>
            <color indexed="81"/>
            <rFont val="Tahoma"/>
            <family val="2"/>
          </rPr>
          <t>Solver converged in probability to a global solution.</t>
        </r>
      </text>
    </comment>
    <comment ref="B32" authorId="0" shapeId="0" xr:uid="{E296E9A4-9775-4277-B73D-4BC3003D83E0}">
      <text>
        <r>
          <rPr>
            <sz val="9"/>
            <color indexed="81"/>
            <rFont val="Tahoma"/>
            <family val="2"/>
          </rPr>
          <t>Solver converged in probability to a global solution.</t>
        </r>
      </text>
    </comment>
    <comment ref="B33" authorId="0" shapeId="0" xr:uid="{0B18B708-788A-4227-B094-7028A55284CB}">
      <text>
        <r>
          <rPr>
            <sz val="9"/>
            <color indexed="81"/>
            <rFont val="Tahoma"/>
            <family val="2"/>
          </rPr>
          <t>Solver converged in probability to a global solution.</t>
        </r>
      </text>
    </comment>
    <comment ref="B34" authorId="0" shapeId="0" xr:uid="{DB08FBE3-E689-4177-894C-9D8127ED951A}">
      <text>
        <r>
          <rPr>
            <sz val="9"/>
            <color indexed="81"/>
            <rFont val="Tahoma"/>
            <family val="2"/>
          </rPr>
          <t>Solver converged in probability to a global solution.</t>
        </r>
      </text>
    </comment>
    <comment ref="B35" authorId="0" shapeId="0" xr:uid="{4A0432C7-1C1B-4079-AB64-FB319E2EE7F5}">
      <text>
        <r>
          <rPr>
            <sz val="9"/>
            <color indexed="81"/>
            <rFont val="Tahoma"/>
            <family val="2"/>
          </rPr>
          <t>Solver converged in probability to a global solution.</t>
        </r>
      </text>
    </comment>
    <comment ref="B36" authorId="0" shapeId="0" xr:uid="{45CAD525-B864-44F6-955D-9A071B4002D7}">
      <text>
        <r>
          <rPr>
            <sz val="9"/>
            <color indexed="81"/>
            <rFont val="Tahoma"/>
            <family val="2"/>
          </rPr>
          <t>Solver converged in probability to a global solution.</t>
        </r>
      </text>
    </comment>
    <comment ref="B37" authorId="0" shapeId="0" xr:uid="{5626D58A-5A44-440E-BC71-8221C7F23064}">
      <text>
        <r>
          <rPr>
            <sz val="9"/>
            <color indexed="81"/>
            <rFont val="Tahoma"/>
            <family val="2"/>
          </rPr>
          <t>Solver converged in probability to a global solution.</t>
        </r>
      </text>
    </comment>
    <comment ref="B38" authorId="0" shapeId="0" xr:uid="{1EB8C553-C447-4076-994C-4D23F0465160}">
      <text>
        <r>
          <rPr>
            <sz val="9"/>
            <color indexed="81"/>
            <rFont val="Tahoma"/>
            <family val="2"/>
          </rPr>
          <t>Solver converged in probability to a global solution.</t>
        </r>
      </text>
    </comment>
    <comment ref="B39" authorId="0" shapeId="0" xr:uid="{43D45B96-3A0E-4938-A174-0C1FF83A160D}">
      <text>
        <r>
          <rPr>
            <sz val="9"/>
            <color indexed="81"/>
            <rFont val="Tahoma"/>
            <family val="2"/>
          </rPr>
          <t>Solver converged in probability to a global solution.</t>
        </r>
      </text>
    </comment>
    <comment ref="B40" authorId="0" shapeId="0" xr:uid="{27BDF127-2C00-4014-BF8B-68AB62C42EEC}">
      <text>
        <r>
          <rPr>
            <sz val="9"/>
            <color rgb="FF000000"/>
            <rFont val="Tahoma"/>
            <family val="2"/>
          </rPr>
          <t>Solver converged in probability to a global solution.</t>
        </r>
      </text>
    </comment>
    <comment ref="B41" authorId="0" shapeId="0" xr:uid="{833AEF21-2D08-4B5F-B36E-E56AADE700E2}">
      <text>
        <r>
          <rPr>
            <sz val="9"/>
            <color rgb="FF000000"/>
            <rFont val="Tahoma"/>
            <family val="2"/>
          </rPr>
          <t>Solver converged in probability to a global solution.</t>
        </r>
      </text>
    </comment>
    <comment ref="B42" authorId="0" shapeId="0" xr:uid="{125640E4-3EF8-4D5C-AE10-7134349FC7FC}">
      <text>
        <r>
          <rPr>
            <sz val="9"/>
            <color indexed="81"/>
            <rFont val="Tahoma"/>
            <family val="2"/>
          </rPr>
          <t>Solver converged in probability to a global solution.</t>
        </r>
      </text>
    </comment>
    <comment ref="B43" authorId="0" shapeId="0" xr:uid="{FD9F74AB-D39D-4B1D-BDF1-25ABD8D00B01}">
      <text>
        <r>
          <rPr>
            <sz val="9"/>
            <color rgb="FF000000"/>
            <rFont val="Tahoma"/>
            <family val="2"/>
          </rPr>
          <t>Solver converged in probability to a global solution.</t>
        </r>
      </text>
    </comment>
    <comment ref="B44" authorId="0" shapeId="0" xr:uid="{3DAB62E9-2EE9-425A-A683-154B21556436}">
      <text>
        <r>
          <rPr>
            <sz val="9"/>
            <color rgb="FF000000"/>
            <rFont val="Tahoma"/>
            <family val="2"/>
          </rPr>
          <t>Solver converged in probability to a global solution.</t>
        </r>
      </text>
    </comment>
    <comment ref="B45" authorId="0" shapeId="0" xr:uid="{9F4F9992-CD38-475E-AD37-F2E30D586BD9}">
      <text>
        <r>
          <rPr>
            <sz val="9"/>
            <color indexed="81"/>
            <rFont val="Tahoma"/>
            <family val="2"/>
          </rPr>
          <t>Solver converged in probability to a global solution.</t>
        </r>
      </text>
    </comment>
    <comment ref="B46" authorId="0" shapeId="0" xr:uid="{5DDE6E74-FE3A-4FD3-8417-AEC11EE9FFD5}">
      <text>
        <r>
          <rPr>
            <sz val="9"/>
            <color indexed="81"/>
            <rFont val="Tahoma"/>
            <family val="2"/>
          </rPr>
          <t>Solver converged in probability to a global solution.</t>
        </r>
      </text>
    </comment>
    <comment ref="B47" authorId="0" shapeId="0" xr:uid="{B5A1763A-86C5-40CA-80C9-672895C00764}">
      <text>
        <r>
          <rPr>
            <sz val="9"/>
            <color rgb="FF000000"/>
            <rFont val="Tahoma"/>
            <family val="2"/>
          </rPr>
          <t>Solver converged in probability to a global solution.</t>
        </r>
      </text>
    </comment>
    <comment ref="B48" authorId="0" shapeId="0" xr:uid="{21FDE4AF-1308-43D0-B7DE-1C1E7ADA7C38}">
      <text>
        <r>
          <rPr>
            <sz val="9"/>
            <color rgb="FF000000"/>
            <rFont val="Tahoma"/>
            <family val="2"/>
          </rPr>
          <t>Solver converged in probability to a global solution.</t>
        </r>
      </text>
    </comment>
    <comment ref="B49" authorId="0" shapeId="0" xr:uid="{842B8B0B-67E8-4467-A99D-6060496093B9}">
      <text>
        <r>
          <rPr>
            <sz val="9"/>
            <color indexed="81"/>
            <rFont val="Tahoma"/>
            <family val="2"/>
          </rPr>
          <t>Solver converged in probability to a global solution.</t>
        </r>
      </text>
    </comment>
    <comment ref="B50" authorId="0" shapeId="0" xr:uid="{39DE46EB-4A43-40DF-B768-0AEA6939469E}">
      <text>
        <r>
          <rPr>
            <sz val="9"/>
            <color indexed="81"/>
            <rFont val="Tahoma"/>
            <family val="2"/>
          </rPr>
          <t>Solver converged in probability to a global solution.</t>
        </r>
      </text>
    </comment>
    <comment ref="B51" authorId="0" shapeId="0" xr:uid="{63EBAA27-0447-4E70-867D-EFD4C66046DB}">
      <text>
        <r>
          <rPr>
            <sz val="9"/>
            <color rgb="FF000000"/>
            <rFont val="Tahoma"/>
            <family val="2"/>
          </rPr>
          <t>Solver converged in probability to a global solution.</t>
        </r>
      </text>
    </comment>
    <comment ref="B52" authorId="0" shapeId="0" xr:uid="{AB101D49-DF2C-4F60-8B1E-282D166BD8FE}">
      <text>
        <r>
          <rPr>
            <sz val="9"/>
            <color indexed="81"/>
            <rFont val="Tahoma"/>
            <family val="2"/>
          </rPr>
          <t>Solver converged in probability to a global solution.</t>
        </r>
      </text>
    </comment>
    <comment ref="B53" authorId="0" shapeId="0" xr:uid="{14DE5B16-0B7C-49E3-881D-4B2D4396043D}">
      <text>
        <r>
          <rPr>
            <sz val="9"/>
            <color indexed="81"/>
            <rFont val="Tahoma"/>
            <family val="2"/>
          </rPr>
          <t>Solver converged in probability to a global solution.</t>
        </r>
      </text>
    </comment>
    <comment ref="B54" authorId="0" shapeId="0" xr:uid="{1E56F065-1432-4F8F-A4A7-2F085069A4AE}">
      <text>
        <r>
          <rPr>
            <sz val="9"/>
            <color rgb="FF000000"/>
            <rFont val="Tahoma"/>
            <family val="2"/>
          </rPr>
          <t>Solver converged in probability to a global solution.</t>
        </r>
      </text>
    </comment>
    <comment ref="B55" authorId="0" shapeId="0" xr:uid="{7D2EF775-0324-4DF8-8B62-CF41E0DC36D4}">
      <text>
        <r>
          <rPr>
            <sz val="9"/>
            <color indexed="81"/>
            <rFont val="Tahoma"/>
            <family val="2"/>
          </rPr>
          <t>Solver converged in probability to a global solution.</t>
        </r>
      </text>
    </comment>
  </commentList>
</comments>
</file>

<file path=xl/sharedStrings.xml><?xml version="1.0" encoding="utf-8"?>
<sst xmlns="http://schemas.openxmlformats.org/spreadsheetml/2006/main" count="243" uniqueCount="114">
  <si>
    <t>Period</t>
  </si>
  <si>
    <t>Price</t>
  </si>
  <si>
    <t>Demand</t>
  </si>
  <si>
    <t xml:space="preserve">Price and Demand for Aqua-Spa </t>
  </si>
  <si>
    <t>Price and Demand for Hydro-Luxe</t>
  </si>
  <si>
    <t>Decision variables:</t>
  </si>
  <si>
    <t>Objective function:</t>
  </si>
  <si>
    <t>Decision and inputs</t>
  </si>
  <si>
    <t xml:space="preserve">Manufacturing cost per unit
</t>
  </si>
  <si>
    <t>Demand function</t>
  </si>
  <si>
    <t>Constant</t>
  </si>
  <si>
    <t>Elasticity</t>
  </si>
  <si>
    <t>Price per unit for Aqua-spa tub</t>
  </si>
  <si>
    <t>Price per unit for Hydra-luxe tub</t>
  </si>
  <si>
    <t>Aqua-spa tub</t>
  </si>
  <si>
    <t>Hydro Luxe tub</t>
  </si>
  <si>
    <t>Total profit for Hydro-Luxe tubs</t>
  </si>
  <si>
    <t>Total profit for Aqua-spa tubs</t>
  </si>
  <si>
    <t>Objective function</t>
  </si>
  <si>
    <t>Constraints</t>
  </si>
  <si>
    <t>Maximum Pump(units)</t>
  </si>
  <si>
    <t>Maximum Labor(hours)</t>
  </si>
  <si>
    <t>L.H.S</t>
  </si>
  <si>
    <t>R.H.S</t>
  </si>
  <si>
    <t>MaximumTubing material(ft)</t>
  </si>
  <si>
    <t>&lt;=</t>
  </si>
  <si>
    <t>&gt;=</t>
  </si>
  <si>
    <t>Constraints:</t>
  </si>
  <si>
    <t>P1=</t>
  </si>
  <si>
    <t>P2=</t>
  </si>
  <si>
    <t>Minimum price per Aqua-spa tub ($)</t>
  </si>
  <si>
    <t>Minimum price per Hydro-Luxe tub($)</t>
  </si>
  <si>
    <t>Non-negativity for P1,P2</t>
  </si>
  <si>
    <t>Maximum price per Aqua-spa tub ($)</t>
  </si>
  <si>
    <t>Maximum price per Hydro-Luxe tub($)</t>
  </si>
  <si>
    <t>Price range for Hydro-Luxe tubs</t>
  </si>
  <si>
    <t>Minimum</t>
  </si>
  <si>
    <t>Maximum</t>
  </si>
  <si>
    <t>Increment</t>
  </si>
  <si>
    <t>$G$26</t>
  </si>
  <si>
    <t>$E$16,$F$5,$F$11</t>
  </si>
  <si>
    <t>Input</t>
  </si>
  <si>
    <t>Price per Aqua-spa tub($)</t>
  </si>
  <si>
    <t>P1</t>
  </si>
  <si>
    <t>Price per Hydro-Luxe tub($)</t>
  </si>
  <si>
    <t>P2</t>
  </si>
  <si>
    <t>Input variables:</t>
  </si>
  <si>
    <t>Decision</t>
  </si>
  <si>
    <t>Denoted by</t>
  </si>
  <si>
    <t>Inputs</t>
  </si>
  <si>
    <t>Total demand for Aqua-spa tubs</t>
  </si>
  <si>
    <t>D1</t>
  </si>
  <si>
    <t>Total demand for Hydro-Luxe tubs</t>
  </si>
  <si>
    <t>D2</t>
  </si>
  <si>
    <t>Maximize the total monthly profit for Blue Ridge Hot Tubs.</t>
  </si>
  <si>
    <t>Manufacturing cost for Aqua-spa tubs</t>
  </si>
  <si>
    <t>C1</t>
  </si>
  <si>
    <t>Manufacturing cost for Hydro-Luxe tubs</t>
  </si>
  <si>
    <t>C2</t>
  </si>
  <si>
    <t>Max[D1(P1-C1)+D2(P2-C2)]</t>
  </si>
  <si>
    <t>Maximum pump (units)</t>
  </si>
  <si>
    <t>D1+D2&lt;=200</t>
  </si>
  <si>
    <t>10D1+14D2&lt;=2600</t>
  </si>
  <si>
    <t>8D1+10D2&lt;=2000</t>
  </si>
  <si>
    <t>P1&gt;=540</t>
  </si>
  <si>
    <t>P2&gt;=640</t>
  </si>
  <si>
    <t>P1,P2 &gt;= 0</t>
  </si>
  <si>
    <t>Inputs for solverTable:</t>
  </si>
  <si>
    <t>Historical data for Aqua-spa and Hydro-LuxeTubs</t>
  </si>
  <si>
    <t>Demand Elasticity function for Blue Ridge Hot tubs</t>
  </si>
  <si>
    <t>Verification of solver results:</t>
  </si>
  <si>
    <t>Aqua-spa tubs</t>
  </si>
  <si>
    <t>Hydro-Luxe tubs</t>
  </si>
  <si>
    <t>Price($)</t>
  </si>
  <si>
    <t>Profit($)</t>
  </si>
  <si>
    <t>Tub type</t>
  </si>
  <si>
    <t>Supply constraints from the given data:</t>
  </si>
  <si>
    <t>Pumps(units)</t>
  </si>
  <si>
    <t>Tubing 
material(ft)</t>
  </si>
  <si>
    <t xml:space="preserve">
Labor
(hours)</t>
  </si>
  <si>
    <t>Aqua-spa</t>
  </si>
  <si>
    <t>Hydro-Luxe</t>
  </si>
  <si>
    <t>Total
availability</t>
  </si>
  <si>
    <t>Formulation of the new constraints:</t>
  </si>
  <si>
    <t>P1&lt;=1490</t>
  </si>
  <si>
    <t>P2&lt;=1990</t>
  </si>
  <si>
    <t>Q1-Based on the historical information on prices and demand, identify using regression analysis a constant elasticity demand function for each hut tub. Present and briefly describe these functions.</t>
  </si>
  <si>
    <t>Q2-Using the demand functions from question 1, formulate an NLP model that identifies the optimal prices of Aqua-Spa and Hydro-Luxe hot tubs
 that would maximize the total profit for next month. (Hint: the number of units produced for each spa should be equal to the respective demand).</t>
  </si>
  <si>
    <t>Q3-Develop a spreadsheet model in Excel and solve the model using Excel Solver. Present the optimal solution and explain it. Comment on the integer solution for the number of each spa.</t>
  </si>
  <si>
    <t>Q4-In order to avoid high prices for each hot tub and thus be more competitive, Howie decided to limit the price for Aqua-Spa to no more than $1,490. 
At the same time, he wants the price for Hydro-Luxe not to exceed $1,990. Define these constraints mathematically and add them to the spreadsheet from question 3. 
Solve this updated model using Excel Solver. Present and explain the optimal solution, and compare it with the solution in question 3.</t>
  </si>
  <si>
    <t>Comparision of results with no upper limit on pricing with the results from applying 
limits on the maximum selling prices(P1,P2)</t>
  </si>
  <si>
    <t>Parameters</t>
  </si>
  <si>
    <t>With no limits 
on selling price</t>
  </si>
  <si>
    <t>With limits 
on selling price</t>
  </si>
  <si>
    <t>Demand for Aqua-spa tub</t>
  </si>
  <si>
    <t>Demand for Hydro-Luxe tub</t>
  </si>
  <si>
    <t>Q5-For the optimal results in question 4, use SolverTable to analyze how changes in the maximum price for Hydro-Luxe from question 4 
(currently $1,990, take the range between $1,500 and $2,500 units with an increment of $20) affect the maximum total profit, the number of units produced, and the optimal price for each hot tub. Present and briefly explain your results.</t>
  </si>
  <si>
    <t>$G$28</t>
  </si>
  <si>
    <t>$E$18,$E$13,$F$13,$F$6,$F$7</t>
  </si>
  <si>
    <t>Oneway analysis for Solver model in Q5-solvertable input worksheet</t>
  </si>
  <si>
    <t>Input (cell $G$28) values along side, output cell(s) along top</t>
  </si>
  <si>
    <t>Data for chart</t>
  </si>
  <si>
    <t>Total Profit($)</t>
  </si>
  <si>
    <t>Demand(Aquaspa)</t>
  </si>
  <si>
    <t>Demand(HydroLuxe)</t>
  </si>
  <si>
    <t>Price(Aqua-spa)$</t>
  </si>
  <si>
    <t>Price(hydroluxe)$</t>
  </si>
  <si>
    <t>Constraint</t>
  </si>
  <si>
    <t>Equation</t>
  </si>
  <si>
    <t>D1=</t>
  </si>
  <si>
    <t>D2=</t>
  </si>
  <si>
    <t xml:space="preserve">Integer solution for the number of each spa. </t>
  </si>
  <si>
    <t>Max price 
of HydroLuxe</t>
  </si>
  <si>
    <r>
      <rPr>
        <b/>
        <u/>
        <sz val="12"/>
        <color theme="1"/>
        <rFont val="Calibri"/>
        <family val="2"/>
        <scheme val="minor"/>
      </rPr>
      <t>I</t>
    </r>
    <r>
      <rPr>
        <b/>
        <u/>
        <sz val="12"/>
        <color theme="1"/>
        <rFont val="Calibri (Body)"/>
      </rPr>
      <t>ndex notation representation: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</si>
</sst>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0.00000000"/>
  </numFmts>
  <fonts count="15">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2"/>
      <color theme="1"/>
      <name val="Calibri"/>
      <family val="2"/>
      <scheme val="minor"/>
    </font>
    <font>
      <u/>
      <sz val="12"/>
      <color theme="1"/>
      <name val="Calibri (Body)"/>
    </font>
    <font>
      <i/>
      <u/>
      <sz val="12"/>
      <color theme="1"/>
      <name val="Calibri"/>
      <family val="2"/>
      <scheme val="minor"/>
    </font>
    <font>
      <b/>
      <sz val="12"/>
      <color theme="1"/>
      <name val="Calibri"/>
      <family val="2"/>
      <scheme val="minor"/>
    </font>
    <font>
      <sz val="12"/>
      <color rgb="FFFFFFFF"/>
      <name val="Calibri"/>
      <family val="2"/>
      <scheme val="minor"/>
    </font>
    <font>
      <sz val="9"/>
      <color indexed="81"/>
      <name val="Tahoma"/>
      <family val="2"/>
    </font>
    <font>
      <sz val="9"/>
      <color rgb="FF000000"/>
      <name val="Tahoma"/>
      <family val="2"/>
    </font>
    <font>
      <b/>
      <u/>
      <sz val="12"/>
      <color theme="1"/>
      <name val="Calibri"/>
      <family val="2"/>
      <scheme val="minor"/>
    </font>
    <font>
      <i/>
      <u/>
      <sz val="12"/>
      <color theme="1"/>
      <name val="Calibri (Body)"/>
    </font>
    <font>
      <i/>
      <sz val="12"/>
      <color theme="1"/>
      <name val="Calibri"/>
      <family val="2"/>
      <scheme val="minor"/>
    </font>
    <font>
      <b/>
      <u/>
      <sz val="12"/>
      <color theme="1"/>
      <name val="Calibri (Body)"/>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254">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center"/>
    </xf>
    <xf numFmtId="0" fontId="0" fillId="0" borderId="2" xfId="0" applyBorder="1"/>
    <xf numFmtId="0" fontId="0" fillId="0" borderId="2" xfId="0" applyBorder="1" applyAlignment="1">
      <alignment horizontal="center" wrapText="1"/>
    </xf>
    <xf numFmtId="44" fontId="0" fillId="0" borderId="8" xfId="1" applyFont="1" applyBorder="1" applyAlignment="1">
      <alignment horizontal="left"/>
    </xf>
    <xf numFmtId="44" fontId="0" fillId="0" borderId="11" xfId="1" applyFont="1" applyBorder="1" applyAlignment="1">
      <alignment horizontal="left"/>
    </xf>
    <xf numFmtId="0" fontId="0" fillId="0" borderId="13" xfId="0" applyBorder="1"/>
    <xf numFmtId="0" fontId="0" fillId="0" borderId="20" xfId="0" applyBorder="1" applyAlignment="1">
      <alignment horizontal="left"/>
    </xf>
    <xf numFmtId="0" fontId="0" fillId="0" borderId="10" xfId="0" applyBorder="1"/>
    <xf numFmtId="0" fontId="0" fillId="0" borderId="11" xfId="0" applyBorder="1"/>
    <xf numFmtId="4" fontId="0" fillId="0" borderId="3" xfId="0" applyNumberFormat="1" applyBorder="1" applyAlignment="1">
      <alignment horizontal="left"/>
    </xf>
    <xf numFmtId="4" fontId="0" fillId="0" borderId="8" xfId="0" applyNumberFormat="1" applyBorder="1" applyAlignment="1">
      <alignment horizontal="left"/>
    </xf>
    <xf numFmtId="0" fontId="0" fillId="0" borderId="24" xfId="0" applyBorder="1"/>
    <xf numFmtId="0" fontId="0" fillId="0" borderId="26" xfId="0" applyBorder="1"/>
    <xf numFmtId="0" fontId="0" fillId="0" borderId="27" xfId="0" applyBorder="1"/>
    <xf numFmtId="0" fontId="0" fillId="0" borderId="28" xfId="0" applyBorder="1" applyAlignment="1">
      <alignment horizontal="center"/>
    </xf>
    <xf numFmtId="44" fontId="0" fillId="0" borderId="18" xfId="0" applyNumberFormat="1" applyBorder="1"/>
    <xf numFmtId="44" fontId="0" fillId="0" borderId="23" xfId="0" applyNumberFormat="1" applyBorder="1"/>
    <xf numFmtId="0" fontId="0" fillId="0" borderId="27" xfId="1" applyNumberFormat="1" applyFont="1" applyBorder="1"/>
    <xf numFmtId="0" fontId="0" fillId="4" borderId="0" xfId="0" applyFill="1"/>
    <xf numFmtId="0" fontId="0" fillId="3" borderId="3" xfId="0" applyFill="1" applyBorder="1" applyAlignment="1">
      <alignment horizontal="left"/>
    </xf>
    <xf numFmtId="0" fontId="0" fillId="3" borderId="10" xfId="0" applyFill="1" applyBorder="1" applyAlignment="1">
      <alignment horizontal="left"/>
    </xf>
    <xf numFmtId="44" fontId="0" fillId="3" borderId="3" xfId="1" applyFont="1" applyFill="1" applyBorder="1" applyAlignment="1">
      <alignment horizontal="left"/>
    </xf>
    <xf numFmtId="44" fontId="0" fillId="3" borderId="10" xfId="1" applyFont="1" applyFill="1" applyBorder="1" applyAlignment="1">
      <alignment horizontal="left"/>
    </xf>
    <xf numFmtId="44" fontId="0" fillId="2" borderId="2" xfId="1" applyFont="1" applyFill="1" applyBorder="1"/>
    <xf numFmtId="0" fontId="0" fillId="0" borderId="29" xfId="0" applyBorder="1"/>
    <xf numFmtId="0" fontId="0" fillId="0" borderId="30" xfId="0" applyBorder="1"/>
    <xf numFmtId="0" fontId="0" fillId="0" borderId="27" xfId="0" applyNumberFormat="1" applyBorder="1"/>
    <xf numFmtId="0" fontId="0" fillId="0" borderId="15" xfId="0" applyBorder="1" applyAlignment="1">
      <alignment horizontal="center"/>
    </xf>
    <xf numFmtId="0" fontId="0" fillId="0" borderId="19" xfId="0" applyBorder="1" applyAlignment="1">
      <alignment horizontal="left"/>
    </xf>
    <xf numFmtId="0" fontId="0" fillId="0" borderId="1" xfId="0" applyBorder="1" applyAlignment="1">
      <alignment horizontal="left"/>
    </xf>
    <xf numFmtId="0" fontId="0" fillId="0" borderId="7" xfId="0" applyBorder="1" applyAlignment="1">
      <alignment horizontal="left"/>
    </xf>
    <xf numFmtId="0" fontId="0" fillId="0" borderId="3" xfId="0" applyBorder="1" applyAlignment="1">
      <alignment horizontal="left"/>
    </xf>
    <xf numFmtId="49" fontId="0" fillId="0" borderId="0" xfId="0" applyNumberFormat="1"/>
    <xf numFmtId="0" fontId="0" fillId="0" borderId="0" xfId="0" applyAlignment="1">
      <alignment horizontal="center"/>
    </xf>
    <xf numFmtId="0" fontId="0" fillId="0" borderId="0" xfId="0" applyAlignment="1">
      <alignment horizontal="left"/>
    </xf>
    <xf numFmtId="0" fontId="0" fillId="0" borderId="1" xfId="0" applyBorder="1"/>
    <xf numFmtId="0" fontId="0" fillId="0" borderId="19" xfId="0" applyBorder="1"/>
    <xf numFmtId="0" fontId="0" fillId="0" borderId="9" xfId="0" applyBorder="1"/>
    <xf numFmtId="0" fontId="0" fillId="0" borderId="20" xfId="0" applyFill="1" applyBorder="1"/>
    <xf numFmtId="0" fontId="0" fillId="0" borderId="11" xfId="0" applyFill="1" applyBorder="1"/>
    <xf numFmtId="0" fontId="0" fillId="0" borderId="8" xfId="0" applyFill="1" applyBorder="1"/>
    <xf numFmtId="0" fontId="0" fillId="0" borderId="9" xfId="0" applyBorder="1" applyAlignment="1"/>
    <xf numFmtId="0" fontId="0" fillId="0" borderId="10" xfId="0" applyBorder="1" applyAlignment="1"/>
    <xf numFmtId="0" fontId="0" fillId="0" borderId="1" xfId="0" applyBorder="1" applyAlignment="1"/>
    <xf numFmtId="0" fontId="0" fillId="0" borderId="19" xfId="0" applyBorder="1" applyAlignment="1"/>
    <xf numFmtId="0" fontId="0" fillId="0" borderId="1" xfId="0" applyBorder="1" applyAlignment="1">
      <alignment horizontal="center"/>
    </xf>
    <xf numFmtId="0" fontId="0" fillId="0" borderId="35" xfId="0" applyBorder="1" applyAlignment="1">
      <alignment horizontal="center"/>
    </xf>
    <xf numFmtId="0" fontId="0" fillId="0" borderId="18" xfId="0" applyBorder="1"/>
    <xf numFmtId="0" fontId="0" fillId="0" borderId="37" xfId="0" applyBorder="1"/>
    <xf numFmtId="0" fontId="0" fillId="0" borderId="12" xfId="0" applyBorder="1"/>
    <xf numFmtId="0" fontId="0" fillId="0" borderId="38" xfId="0" applyBorder="1" applyAlignment="1">
      <alignment horizontal="center"/>
    </xf>
    <xf numFmtId="0" fontId="0" fillId="0" borderId="36" xfId="0" applyBorder="1" applyAlignment="1">
      <alignment horizontal="center"/>
    </xf>
    <xf numFmtId="0" fontId="0" fillId="0" borderId="32" xfId="0" applyBorder="1"/>
    <xf numFmtId="0" fontId="0" fillId="0" borderId="37"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44" fontId="2" fillId="0" borderId="41" xfId="1" applyFont="1" applyBorder="1"/>
    <xf numFmtId="44" fontId="2" fillId="0" borderId="27" xfId="1" applyFont="1" applyBorder="1"/>
    <xf numFmtId="44" fontId="2" fillId="0" borderId="30" xfId="1" applyFont="1" applyBorder="1"/>
    <xf numFmtId="0" fontId="0" fillId="0" borderId="39" xfId="0" applyBorder="1"/>
    <xf numFmtId="0" fontId="0" fillId="0" borderId="40" xfId="0" applyBorder="1"/>
    <xf numFmtId="44" fontId="0" fillId="0" borderId="27" xfId="1" applyFont="1" applyBorder="1"/>
    <xf numFmtId="0" fontId="3" fillId="0" borderId="0" xfId="0" applyFont="1" applyAlignment="1"/>
    <xf numFmtId="0" fontId="0" fillId="3" borderId="3" xfId="0" applyFill="1" applyBorder="1" applyAlignment="1">
      <alignment horizontal="center"/>
    </xf>
    <xf numFmtId="44" fontId="0" fillId="3" borderId="3" xfId="1" applyFont="1" applyFill="1" applyBorder="1" applyAlignment="1">
      <alignment horizontal="center"/>
    </xf>
    <xf numFmtId="44" fontId="0" fillId="0" borderId="8" xfId="1" applyFont="1" applyBorder="1" applyAlignment="1">
      <alignment horizontal="center"/>
    </xf>
    <xf numFmtId="0" fontId="0" fillId="3" borderId="10" xfId="0" applyFill="1" applyBorder="1" applyAlignment="1">
      <alignment horizontal="center"/>
    </xf>
    <xf numFmtId="44" fontId="0" fillId="3" borderId="10" xfId="1" applyFont="1" applyFill="1" applyBorder="1" applyAlignment="1">
      <alignment horizontal="center"/>
    </xf>
    <xf numFmtId="44" fontId="0" fillId="0" borderId="11" xfId="1" applyFont="1" applyBorder="1" applyAlignment="1">
      <alignment horizontal="center"/>
    </xf>
    <xf numFmtId="4" fontId="0" fillId="0" borderId="3" xfId="0" applyNumberFormat="1" applyBorder="1" applyAlignment="1">
      <alignment horizontal="center"/>
    </xf>
    <xf numFmtId="4" fontId="0" fillId="0" borderId="8" xfId="0" applyNumberFormat="1" applyBorder="1" applyAlignment="1">
      <alignment horizontal="center"/>
    </xf>
    <xf numFmtId="0" fontId="0" fillId="0" borderId="2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44" fontId="0" fillId="0" borderId="18" xfId="0" applyNumberFormat="1" applyBorder="1" applyAlignment="1">
      <alignment horizontal="center"/>
    </xf>
    <xf numFmtId="44" fontId="0" fillId="0" borderId="23" xfId="0" applyNumberFormat="1" applyBorder="1" applyAlignment="1">
      <alignment horizontal="center"/>
    </xf>
    <xf numFmtId="44" fontId="0" fillId="2" borderId="2" xfId="1" applyFont="1" applyFill="1" applyBorder="1" applyAlignment="1">
      <alignment horizontal="center"/>
    </xf>
    <xf numFmtId="0" fontId="0" fillId="0" borderId="13" xfId="0" applyBorder="1" applyAlignment="1">
      <alignment horizontal="center"/>
    </xf>
    <xf numFmtId="0" fontId="0" fillId="2" borderId="0" xfId="0" applyFill="1" applyAlignment="1">
      <alignment horizontal="left"/>
    </xf>
    <xf numFmtId="44" fontId="0" fillId="0" borderId="10" xfId="1" applyFont="1" applyBorder="1"/>
    <xf numFmtId="44" fontId="0" fillId="0" borderId="35" xfId="1" applyFont="1" applyBorder="1"/>
    <xf numFmtId="44" fontId="0" fillId="0" borderId="36" xfId="1" applyFont="1" applyBorder="1"/>
    <xf numFmtId="44" fontId="0" fillId="0" borderId="41" xfId="0" applyNumberFormat="1" applyBorder="1"/>
    <xf numFmtId="44" fontId="0" fillId="0" borderId="27" xfId="0" applyNumberFormat="1" applyBorder="1"/>
    <xf numFmtId="44" fontId="0" fillId="0" borderId="30" xfId="0" applyNumberFormat="1" applyBorder="1"/>
    <xf numFmtId="44" fontId="0" fillId="0" borderId="28" xfId="1" applyFont="1" applyBorder="1"/>
    <xf numFmtId="44" fontId="0" fillId="0" borderId="42" xfId="1" applyFont="1" applyBorder="1"/>
    <xf numFmtId="44" fontId="0" fillId="0" borderId="41" xfId="1" applyFont="1" applyBorder="1"/>
    <xf numFmtId="44" fontId="0" fillId="0" borderId="30" xfId="1" applyFont="1" applyBorder="1"/>
    <xf numFmtId="0" fontId="0" fillId="0" borderId="0" xfId="0" applyAlignment="1">
      <alignment horizontal="center" wrapText="1"/>
    </xf>
    <xf numFmtId="0" fontId="0" fillId="0" borderId="1" xfId="0" applyBorder="1" applyAlignment="1">
      <alignment horizontal="center" wrapText="1"/>
    </xf>
    <xf numFmtId="0" fontId="0" fillId="0" borderId="1" xfId="0" applyBorder="1" applyAlignment="1">
      <alignment wrapText="1"/>
    </xf>
    <xf numFmtId="8" fontId="0" fillId="0" borderId="38" xfId="1" applyNumberFormat="1" applyFont="1" applyFill="1" applyBorder="1" applyAlignment="1">
      <alignment horizontal="center"/>
    </xf>
    <xf numFmtId="8" fontId="0" fillId="0" borderId="35" xfId="1" applyNumberFormat="1" applyFont="1" applyBorder="1"/>
    <xf numFmtId="8" fontId="0" fillId="0" borderId="36" xfId="1" applyNumberFormat="1" applyFont="1" applyBorder="1"/>
    <xf numFmtId="8" fontId="0" fillId="0" borderId="41" xfId="0" applyNumberFormat="1" applyBorder="1"/>
    <xf numFmtId="8" fontId="0" fillId="0" borderId="0" xfId="1" applyNumberFormat="1" applyFont="1" applyBorder="1"/>
    <xf numFmtId="8" fontId="0" fillId="0" borderId="0" xfId="0" applyNumberFormat="1" applyBorder="1"/>
    <xf numFmtId="44" fontId="0" fillId="0" borderId="11" xfId="1" applyFont="1" applyBorder="1"/>
    <xf numFmtId="8" fontId="0" fillId="0" borderId="27" xfId="0" applyNumberFormat="1" applyBorder="1"/>
    <xf numFmtId="8" fontId="0" fillId="0" borderId="30" xfId="0" applyNumberFormat="1" applyBorder="1"/>
    <xf numFmtId="44" fontId="0" fillId="0" borderId="31" xfId="1" applyFont="1" applyFill="1" applyBorder="1" applyAlignment="1">
      <alignment horizontal="left"/>
    </xf>
    <xf numFmtId="8" fontId="0" fillId="4" borderId="35" xfId="1" applyNumberFormat="1" applyFont="1" applyFill="1" applyBorder="1"/>
    <xf numFmtId="8" fontId="0" fillId="4" borderId="27" xfId="0" applyNumberFormat="1" applyFill="1" applyBorder="1"/>
    <xf numFmtId="44" fontId="0" fillId="4" borderId="28" xfId="1" applyFont="1" applyFill="1" applyBorder="1"/>
    <xf numFmtId="44" fontId="0" fillId="4" borderId="27" xfId="1" applyFont="1" applyFill="1" applyBorder="1"/>
    <xf numFmtId="0" fontId="0" fillId="3" borderId="20" xfId="0" applyFill="1" applyBorder="1"/>
    <xf numFmtId="0" fontId="0" fillId="3" borderId="11" xfId="0" applyFill="1" applyBorder="1"/>
    <xf numFmtId="0" fontId="0" fillId="4" borderId="18" xfId="0" applyFill="1" applyBorder="1"/>
    <xf numFmtId="0" fontId="0" fillId="4" borderId="20" xfId="0" applyFill="1" applyBorder="1" applyAlignment="1"/>
    <xf numFmtId="0" fontId="0" fillId="4" borderId="11" xfId="0" applyFill="1" applyBorder="1" applyAlignment="1"/>
    <xf numFmtId="0" fontId="0" fillId="4" borderId="29" xfId="0" applyFill="1" applyBorder="1"/>
    <xf numFmtId="0" fontId="0" fillId="4" borderId="27" xfId="0" applyFill="1" applyBorder="1"/>
    <xf numFmtId="0" fontId="0" fillId="4" borderId="27" xfId="0" applyNumberFormat="1" applyFill="1" applyBorder="1"/>
    <xf numFmtId="0" fontId="0" fillId="4" borderId="30" xfId="0" applyFill="1" applyBorder="1"/>
    <xf numFmtId="0" fontId="0" fillId="4" borderId="27" xfId="1" applyNumberFormat="1" applyFont="1" applyFill="1" applyBorder="1"/>
    <xf numFmtId="0" fontId="0" fillId="4" borderId="24" xfId="0" applyFill="1" applyBorder="1"/>
    <xf numFmtId="0" fontId="0" fillId="4" borderId="27" xfId="0" applyFill="1" applyBorder="1" applyAlignment="1">
      <alignment horizontal="center"/>
    </xf>
    <xf numFmtId="0" fontId="0" fillId="4" borderId="24" xfId="0" applyFill="1" applyBorder="1" applyAlignment="1">
      <alignment horizontal="center"/>
    </xf>
    <xf numFmtId="0" fontId="0" fillId="4" borderId="27" xfId="1" applyNumberFormat="1" applyFont="1" applyFill="1" applyBorder="1" applyAlignment="1">
      <alignment horizontal="center"/>
    </xf>
    <xf numFmtId="44" fontId="0" fillId="0" borderId="38" xfId="1" applyFont="1" applyFill="1" applyBorder="1" applyAlignment="1">
      <alignment horizontal="center"/>
    </xf>
    <xf numFmtId="44" fontId="0" fillId="5" borderId="35" xfId="1" applyFont="1" applyFill="1" applyBorder="1"/>
    <xf numFmtId="44" fontId="0" fillId="5" borderId="27" xfId="0" applyNumberFormat="1" applyFill="1" applyBorder="1"/>
    <xf numFmtId="44" fontId="0" fillId="0" borderId="3" xfId="1" applyFont="1" applyFill="1" applyBorder="1" applyAlignment="1">
      <alignment horizontal="center"/>
    </xf>
    <xf numFmtId="44" fontId="0" fillId="0" borderId="8" xfId="1" applyFont="1" applyFill="1" applyBorder="1" applyAlignment="1">
      <alignment horizontal="left"/>
    </xf>
    <xf numFmtId="44" fontId="0" fillId="2" borderId="10" xfId="1" applyFont="1" applyFill="1" applyBorder="1" applyAlignment="1">
      <alignment horizontal="center"/>
    </xf>
    <xf numFmtId="44" fontId="0" fillId="2" borderId="11" xfId="1" applyFont="1" applyFill="1" applyBorder="1"/>
    <xf numFmtId="0" fontId="0" fillId="0" borderId="16" xfId="0" applyBorder="1"/>
    <xf numFmtId="0" fontId="0" fillId="0" borderId="17" xfId="0" applyBorder="1"/>
    <xf numFmtId="44" fontId="0" fillId="5" borderId="41" xfId="1" applyFont="1" applyFill="1" applyBorder="1"/>
    <xf numFmtId="44" fontId="0" fillId="0" borderId="24" xfId="1" applyFont="1" applyBorder="1"/>
    <xf numFmtId="44" fontId="0" fillId="5" borderId="30" xfId="1" applyFont="1" applyFill="1" applyBorder="1" applyAlignment="1">
      <alignment horizontal="center"/>
    </xf>
    <xf numFmtId="0" fontId="0" fillId="0" borderId="2" xfId="0" applyBorder="1" applyAlignment="1">
      <alignment horizontal="center" vertical="center" wrapText="1"/>
    </xf>
    <xf numFmtId="44" fontId="0" fillId="0" borderId="22" xfId="1" applyFont="1" applyFill="1" applyBorder="1" applyAlignment="1">
      <alignment horizontal="center"/>
    </xf>
    <xf numFmtId="44" fontId="0" fillId="0" borderId="23" xfId="1" applyFont="1" applyFill="1" applyBorder="1" applyAlignment="1">
      <alignment horizontal="left"/>
    </xf>
    <xf numFmtId="44" fontId="0" fillId="0" borderId="1" xfId="0" applyNumberFormat="1" applyFill="1" applyBorder="1" applyAlignment="1">
      <alignment horizontal="center"/>
    </xf>
    <xf numFmtId="44" fontId="0" fillId="0" borderId="20" xfId="0" applyNumberFormat="1" applyFill="1" applyBorder="1"/>
    <xf numFmtId="1" fontId="0" fillId="0" borderId="1" xfId="0" applyNumberFormat="1" applyFill="1" applyBorder="1" applyAlignment="1">
      <alignment horizontal="right"/>
    </xf>
    <xf numFmtId="1" fontId="0" fillId="0" borderId="22" xfId="0" applyNumberFormat="1" applyFill="1" applyBorder="1" applyAlignment="1">
      <alignment horizontal="right"/>
    </xf>
    <xf numFmtId="1" fontId="0" fillId="0" borderId="20" xfId="0" applyNumberFormat="1" applyFill="1" applyBorder="1" applyAlignment="1">
      <alignment horizontal="right"/>
    </xf>
    <xf numFmtId="1" fontId="0" fillId="0" borderId="23" xfId="0" applyNumberFormat="1" applyFill="1" applyBorder="1" applyAlignment="1">
      <alignment horizontal="right"/>
    </xf>
    <xf numFmtId="164" fontId="0" fillId="0" borderId="0" xfId="1" applyNumberFormat="1" applyFont="1"/>
    <xf numFmtId="0" fontId="0" fillId="6" borderId="18" xfId="0" applyFill="1" applyBorder="1"/>
    <xf numFmtId="0" fontId="0" fillId="6" borderId="11" xfId="0" applyFill="1" applyBorder="1"/>
    <xf numFmtId="0" fontId="7" fillId="0" borderId="0" xfId="0" applyFont="1"/>
    <xf numFmtId="0" fontId="0" fillId="0" borderId="0" xfId="0" applyNumberFormat="1"/>
    <xf numFmtId="0" fontId="8" fillId="0" borderId="0" xfId="0" applyFont="1"/>
    <xf numFmtId="44" fontId="0" fillId="0" borderId="43" xfId="0" applyNumberFormat="1" applyBorder="1"/>
    <xf numFmtId="0" fontId="0" fillId="0" borderId="0" xfId="0" applyNumberFormat="1" applyBorder="1"/>
    <xf numFmtId="44" fontId="0" fillId="0" borderId="0" xfId="0" applyNumberFormat="1" applyBorder="1"/>
    <xf numFmtId="44" fontId="0" fillId="0" borderId="44" xfId="0" applyNumberFormat="1" applyBorder="1"/>
    <xf numFmtId="44" fontId="0" fillId="0" borderId="45" xfId="0" applyNumberFormat="1" applyBorder="1"/>
    <xf numFmtId="0" fontId="0" fillId="0" borderId="31" xfId="0" applyNumberFormat="1" applyBorder="1"/>
    <xf numFmtId="44" fontId="0" fillId="0" borderId="31" xfId="0" applyNumberFormat="1" applyBorder="1"/>
    <xf numFmtId="44" fontId="0" fillId="0" borderId="46" xfId="0" applyNumberFormat="1" applyBorder="1"/>
    <xf numFmtId="44" fontId="0" fillId="8" borderId="43" xfId="0" applyNumberFormat="1" applyFill="1" applyBorder="1"/>
    <xf numFmtId="0" fontId="0" fillId="0" borderId="0" xfId="0" applyAlignment="1">
      <alignment horizontal="center"/>
    </xf>
    <xf numFmtId="0" fontId="0" fillId="4" borderId="0" xfId="0" applyNumberFormat="1" applyFill="1" applyBorder="1"/>
    <xf numFmtId="0" fontId="0" fillId="0" borderId="0" xfId="0" applyNumberFormat="1" applyFill="1"/>
    <xf numFmtId="44" fontId="0" fillId="8" borderId="44" xfId="0" applyNumberFormat="1" applyFill="1" applyBorder="1"/>
    <xf numFmtId="0" fontId="0" fillId="0" borderId="0" xfId="0" applyFill="1" applyBorder="1"/>
    <xf numFmtId="0" fontId="11" fillId="0" borderId="0" xfId="0" applyFont="1"/>
    <xf numFmtId="0" fontId="11" fillId="0" borderId="0" xfId="0" applyFont="1" applyFill="1" applyBorder="1"/>
    <xf numFmtId="0" fontId="0" fillId="0" borderId="22" xfId="0" applyFill="1"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30" xfId="0" applyBorder="1" applyAlignment="1">
      <alignment horizontal="center"/>
    </xf>
    <xf numFmtId="0" fontId="0" fillId="0" borderId="42" xfId="0" applyBorder="1" applyAlignment="1">
      <alignment horizontal="center"/>
    </xf>
    <xf numFmtId="0" fontId="0" fillId="0" borderId="31" xfId="0" applyBorder="1" applyAlignment="1">
      <alignment horizontal="center"/>
    </xf>
    <xf numFmtId="0" fontId="12" fillId="0" borderId="0" xfId="0" applyFont="1"/>
    <xf numFmtId="0" fontId="13" fillId="0" borderId="0" xfId="0" applyFont="1"/>
    <xf numFmtId="0" fontId="0" fillId="7" borderId="22" xfId="0" applyFill="1" applyBorder="1" applyAlignment="1">
      <alignment horizontal="center"/>
    </xf>
    <xf numFmtId="0" fontId="0" fillId="0" borderId="2" xfId="0" applyBorder="1" applyAlignment="1">
      <alignment horizontal="right" textRotation="90"/>
    </xf>
    <xf numFmtId="0" fontId="0" fillId="7" borderId="2" xfId="0" applyFill="1" applyBorder="1" applyAlignment="1">
      <alignment horizontal="right" textRotation="90"/>
    </xf>
    <xf numFmtId="0" fontId="0" fillId="0" borderId="2" xfId="0" applyBorder="1" applyAlignment="1">
      <alignment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4" fillId="0" borderId="0" xfId="0" applyFont="1" applyAlignment="1">
      <alignment horizontal="center" wrapText="1"/>
    </xf>
    <xf numFmtId="0" fontId="5"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12" fillId="0" borderId="0" xfId="0" applyFont="1" applyAlignment="1">
      <alignment horizontal="center" vertical="center" wrapText="1"/>
    </xf>
    <xf numFmtId="0" fontId="5" fillId="0" borderId="0" xfId="0" applyFont="1" applyAlignment="1">
      <alignment horizontal="center" vertical="center" wrapText="1"/>
    </xf>
    <xf numFmtId="0" fontId="0" fillId="0" borderId="16" xfId="0" applyBorder="1" applyAlignment="1">
      <alignment horizontal="left"/>
    </xf>
    <xf numFmtId="0" fontId="0" fillId="0" borderId="17" xfId="0" applyBorder="1" applyAlignment="1">
      <alignment horizontal="left"/>
    </xf>
    <xf numFmtId="0" fontId="0" fillId="0" borderId="33" xfId="0" applyBorder="1" applyAlignment="1">
      <alignment horizontal="center"/>
    </xf>
    <xf numFmtId="0" fontId="0" fillId="0" borderId="34" xfId="0" applyBorder="1" applyAlignment="1">
      <alignment horizontal="center"/>
    </xf>
    <xf numFmtId="0" fontId="0" fillId="0" borderId="12" xfId="0" applyBorder="1" applyAlignment="1">
      <alignment horizontal="center"/>
    </xf>
    <xf numFmtId="0" fontId="0" fillId="0" borderId="32" xfId="0"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32" xfId="0" applyFill="1" applyBorder="1" applyAlignment="1">
      <alignment horizontal="center"/>
    </xf>
    <xf numFmtId="0" fontId="0" fillId="0" borderId="19" xfId="0" applyBorder="1" applyAlignment="1">
      <alignment horizontal="left"/>
    </xf>
    <xf numFmtId="0" fontId="0" fillId="0" borderId="1" xfId="0" applyBorder="1" applyAlignment="1">
      <alignment horizontal="left"/>
    </xf>
    <xf numFmtId="0" fontId="0" fillId="0" borderId="9" xfId="0" applyBorder="1" applyAlignment="1">
      <alignment horizontal="center"/>
    </xf>
    <xf numFmtId="0" fontId="0" fillId="0" borderId="47" xfId="0"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9" xfId="0" applyFill="1" applyBorder="1" applyAlignment="1">
      <alignment horizontal="center"/>
    </xf>
    <xf numFmtId="0" fontId="0" fillId="0" borderId="11" xfId="0" applyFill="1" applyBorder="1" applyAlignment="1">
      <alignment horizontal="center"/>
    </xf>
    <xf numFmtId="1" fontId="0" fillId="0" borderId="4" xfId="0" applyNumberFormat="1" applyFill="1" applyBorder="1" applyAlignment="1">
      <alignment horizontal="center"/>
    </xf>
    <xf numFmtId="1" fontId="0" fillId="0" borderId="6" xfId="0" applyNumberFormat="1" applyFill="1" applyBorder="1" applyAlignment="1">
      <alignment horizontal="center"/>
    </xf>
    <xf numFmtId="0" fontId="0" fillId="0" borderId="7" xfId="0" applyBorder="1" applyAlignment="1">
      <alignment horizontal="center"/>
    </xf>
    <xf numFmtId="0" fontId="0" fillId="0" borderId="45" xfId="0" applyBorder="1" applyAlignment="1">
      <alignment horizontal="center"/>
    </xf>
    <xf numFmtId="44" fontId="0" fillId="0" borderId="16" xfId="0" applyNumberFormat="1" applyFill="1" applyBorder="1" applyAlignment="1">
      <alignment horizontal="center"/>
    </xf>
    <xf numFmtId="44" fontId="0" fillId="0" borderId="18" xfId="0" applyNumberFormat="1" applyFill="1" applyBorder="1" applyAlignment="1">
      <alignment horizontal="center"/>
    </xf>
    <xf numFmtId="44" fontId="0" fillId="0" borderId="4" xfId="0" applyNumberFormat="1" applyFill="1" applyBorder="1" applyAlignment="1">
      <alignment horizontal="center"/>
    </xf>
    <xf numFmtId="44" fontId="0" fillId="0" borderId="6" xfId="0" applyNumberFormat="1" applyFill="1" applyBorder="1" applyAlignment="1">
      <alignment horizontal="center"/>
    </xf>
    <xf numFmtId="0" fontId="0" fillId="0" borderId="19" xfId="0" applyBorder="1" applyAlignment="1">
      <alignment horizontal="center"/>
    </xf>
    <xf numFmtId="0" fontId="0" fillId="0" borderId="25" xfId="0" applyBorder="1" applyAlignment="1">
      <alignment horizontal="center"/>
    </xf>
    <xf numFmtId="0" fontId="0" fillId="0" borderId="25" xfId="0" applyBorder="1" applyAlignment="1">
      <alignment horizontal="left"/>
    </xf>
    <xf numFmtId="0" fontId="0" fillId="0" borderId="4" xfId="0" applyBorder="1" applyAlignment="1">
      <alignment horizontal="center"/>
    </xf>
    <xf numFmtId="0" fontId="0" fillId="0" borderId="6" xfId="0"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5" xfId="0" applyBorder="1" applyAlignment="1">
      <alignment horizontal="center"/>
    </xf>
    <xf numFmtId="0" fontId="0" fillId="0" borderId="7" xfId="0" applyBorder="1" applyAlignment="1">
      <alignment horizontal="left"/>
    </xf>
    <xf numFmtId="0" fontId="0" fillId="0" borderId="3"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2" borderId="4"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0" fillId="0" borderId="1"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3" xfId="0" applyBorder="1" applyAlignment="1">
      <alignment horizontal="center"/>
    </xf>
    <xf numFmtId="0" fontId="5" fillId="0" borderId="0" xfId="0" applyFont="1" applyAlignment="1">
      <alignment horizontal="center" wrapText="1"/>
    </xf>
    <xf numFmtId="0" fontId="0" fillId="0" borderId="0" xfId="0" applyAlignment="1">
      <alignment horizontal="center" wrapText="1"/>
    </xf>
    <xf numFmtId="0" fontId="0" fillId="0" borderId="15" xfId="0" applyBorder="1" applyAlignment="1">
      <alignment horizontal="center" wrapText="1"/>
    </xf>
    <xf numFmtId="0" fontId="0" fillId="6" borderId="16" xfId="0" applyFill="1" applyBorder="1" applyAlignment="1">
      <alignment horizontal="left"/>
    </xf>
    <xf numFmtId="0" fontId="0" fillId="6" borderId="17" xfId="0" applyFill="1" applyBorder="1" applyAlignment="1">
      <alignment horizontal="left"/>
    </xf>
    <xf numFmtId="0" fontId="0" fillId="6" borderId="9" xfId="0" applyFill="1" applyBorder="1" applyAlignment="1">
      <alignment horizontal="left"/>
    </xf>
    <xf numFmtId="0" fontId="0" fillId="6" borderId="10" xfId="0" applyFill="1" applyBorder="1" applyAlignment="1">
      <alignment horizontal="left"/>
    </xf>
    <xf numFmtId="0" fontId="12" fillId="0" borderId="0" xfId="0" applyFont="1" applyAlignment="1">
      <alignment horizontal="left" wrapText="1"/>
    </xf>
    <xf numFmtId="0" fontId="0" fillId="0" borderId="0" xfId="0" applyAlignment="1">
      <alignment horizontal="left" wrapText="1"/>
    </xf>
    <xf numFmtId="0" fontId="12" fillId="0" borderId="0" xfId="0" applyFont="1" applyAlignment="1">
      <alignment horizontal="left" vertical="center" wrapText="1"/>
    </xf>
    <xf numFmtId="0" fontId="0" fillId="0" borderId="0" xfId="0"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a:t>Demand (units) Vs. Price($) for Aqua-Spa tubs  </a:t>
            </a: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defRPr>
            </a:pPr>
            <a:endParaRPr lang="en-US"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60000"/>
                    <a:lumOff val="40000"/>
                  </a:schemeClr>
                </a:solidFill>
                <a:prstDash val="solid"/>
              </a:ln>
              <a:effectLst/>
            </c:spPr>
            <c:trendlineType val="power"/>
            <c:dispRSqr val="1"/>
            <c:dispEq val="1"/>
            <c:trendlineLbl>
              <c:layout>
                <c:manualLayout>
                  <c:x val="-6.2823576149456814E-2"/>
                  <c:y val="6.7424634159715613E-2"/>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'Q1'!$C$9:$C$26</c:f>
              <c:numCache>
                <c:formatCode>_("$"* #,##0.00_);_("$"* \(#,##0.00\);_("$"* "-"??_);_(@_)</c:formatCode>
                <c:ptCount val="18"/>
                <c:pt idx="0">
                  <c:v>1075</c:v>
                </c:pt>
                <c:pt idx="1">
                  <c:v>1225</c:v>
                </c:pt>
                <c:pt idx="2">
                  <c:v>1154</c:v>
                </c:pt>
                <c:pt idx="3">
                  <c:v>1262</c:v>
                </c:pt>
                <c:pt idx="4">
                  <c:v>1260</c:v>
                </c:pt>
                <c:pt idx="5">
                  <c:v>1164</c:v>
                </c:pt>
                <c:pt idx="6">
                  <c:v>985</c:v>
                </c:pt>
                <c:pt idx="7">
                  <c:v>869</c:v>
                </c:pt>
                <c:pt idx="8">
                  <c:v>1070</c:v>
                </c:pt>
                <c:pt idx="9">
                  <c:v>1095</c:v>
                </c:pt>
                <c:pt idx="10">
                  <c:v>969</c:v>
                </c:pt>
                <c:pt idx="11">
                  <c:v>989</c:v>
                </c:pt>
                <c:pt idx="12">
                  <c:v>1090</c:v>
                </c:pt>
                <c:pt idx="13">
                  <c:v>964</c:v>
                </c:pt>
                <c:pt idx="14">
                  <c:v>865</c:v>
                </c:pt>
                <c:pt idx="15">
                  <c:v>1062</c:v>
                </c:pt>
                <c:pt idx="16">
                  <c:v>1170</c:v>
                </c:pt>
                <c:pt idx="17">
                  <c:v>1225</c:v>
                </c:pt>
              </c:numCache>
            </c:numRef>
          </c:xVal>
          <c:yVal>
            <c:numRef>
              <c:f>'Q1'!$D$9:$D$26</c:f>
              <c:numCache>
                <c:formatCode>General</c:formatCode>
                <c:ptCount val="18"/>
                <c:pt idx="0">
                  <c:v>110</c:v>
                </c:pt>
                <c:pt idx="1">
                  <c:v>89</c:v>
                </c:pt>
                <c:pt idx="2">
                  <c:v>96</c:v>
                </c:pt>
                <c:pt idx="3">
                  <c:v>84</c:v>
                </c:pt>
                <c:pt idx="4">
                  <c:v>81</c:v>
                </c:pt>
                <c:pt idx="5">
                  <c:v>92</c:v>
                </c:pt>
                <c:pt idx="6">
                  <c:v>128</c:v>
                </c:pt>
                <c:pt idx="7">
                  <c:v>142</c:v>
                </c:pt>
                <c:pt idx="8">
                  <c:v>112</c:v>
                </c:pt>
                <c:pt idx="9">
                  <c:v>110</c:v>
                </c:pt>
                <c:pt idx="10">
                  <c:v>130</c:v>
                </c:pt>
                <c:pt idx="11">
                  <c:v>126</c:v>
                </c:pt>
                <c:pt idx="12">
                  <c:v>107</c:v>
                </c:pt>
                <c:pt idx="13">
                  <c:v>132</c:v>
                </c:pt>
                <c:pt idx="14">
                  <c:v>144</c:v>
                </c:pt>
                <c:pt idx="15">
                  <c:v>100</c:v>
                </c:pt>
                <c:pt idx="16">
                  <c:v>95</c:v>
                </c:pt>
                <c:pt idx="17">
                  <c:v>90</c:v>
                </c:pt>
              </c:numCache>
            </c:numRef>
          </c:yVal>
          <c:smooth val="0"/>
          <c:extLst>
            <c:ext xmlns:c16="http://schemas.microsoft.com/office/drawing/2014/chart" uri="{C3380CC4-5D6E-409C-BE32-E72D297353CC}">
              <c16:uniqueId val="{00000000-529C-8A4B-8FCF-FD1A613ADF88}"/>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'Q1'!$B$6</c:f>
              <c:numCache>
                <c:formatCode>General</c:formatCode>
                <c:ptCount val="1"/>
              </c:numCache>
            </c:numRef>
          </c:xVal>
          <c:yVal>
            <c:numRef>
              <c:f>'Q1'!$C$6</c:f>
              <c:numCache>
                <c:formatCode>General</c:formatCode>
                <c:ptCount val="1"/>
              </c:numCache>
            </c:numRef>
          </c:yVal>
          <c:smooth val="0"/>
          <c:extLst>
            <c:ext xmlns:c16="http://schemas.microsoft.com/office/drawing/2014/chart" uri="{C3380CC4-5D6E-409C-BE32-E72D297353CC}">
              <c16:uniqueId val="{00000002-529C-8A4B-8FCF-FD1A613ADF88}"/>
            </c:ext>
          </c:extLst>
        </c:ser>
        <c:ser>
          <c:idx val="2"/>
          <c:order val="2"/>
          <c:spPr>
            <a:ln w="25400" cap="rnd">
              <a:noFill/>
              <a:round/>
            </a:ln>
            <a:effectLst/>
          </c:spPr>
          <c:marker>
            <c:symbol val="circle"/>
            <c:size val="5"/>
            <c:spPr>
              <a:solidFill>
                <a:schemeClr val="accent3"/>
              </a:solidFill>
              <a:ln w="9525">
                <a:solidFill>
                  <a:schemeClr val="accent3"/>
                </a:solidFill>
              </a:ln>
              <a:effectLst/>
            </c:spPr>
          </c:marker>
          <c:xVal>
            <c:numRef>
              <c:f>'Q1'!$B$6</c:f>
              <c:numCache>
                <c:formatCode>General</c:formatCode>
                <c:ptCount val="1"/>
              </c:numCache>
            </c:numRef>
          </c:xVal>
          <c:yVal>
            <c:numRef>
              <c:f>'Q1'!$D$6</c:f>
              <c:numCache>
                <c:formatCode>General</c:formatCode>
                <c:ptCount val="1"/>
              </c:numCache>
            </c:numRef>
          </c:yVal>
          <c:smooth val="0"/>
          <c:extLst>
            <c:ext xmlns:c16="http://schemas.microsoft.com/office/drawing/2014/chart" uri="{C3380CC4-5D6E-409C-BE32-E72D297353CC}">
              <c16:uniqueId val="{00000003-529C-8A4B-8FCF-FD1A613ADF88}"/>
            </c:ext>
          </c:extLst>
        </c:ser>
        <c:dLbls>
          <c:showLegendKey val="0"/>
          <c:showVal val="0"/>
          <c:showCatName val="0"/>
          <c:showSerName val="0"/>
          <c:showPercent val="0"/>
          <c:showBubbleSize val="0"/>
        </c:dLbls>
        <c:axId val="188020975"/>
        <c:axId val="188718783"/>
      </c:scatterChart>
      <c:valAx>
        <c:axId val="188020975"/>
        <c:scaling>
          <c:orientation val="minMax"/>
          <c:min val="8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8783"/>
        <c:crossesAt val="0"/>
        <c:crossBetween val="midCat"/>
      </c:valAx>
      <c:valAx>
        <c:axId val="188718783"/>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 (units)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0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effectLst/>
              </a:rPr>
              <a:t>Demand (units) Vs. Price($) for </a:t>
            </a:r>
            <a:r>
              <a:rPr lang="en-US" sz="1200"/>
              <a:t>Hydro-Luxe tubs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60000"/>
                    <a:lumOff val="40000"/>
                  </a:schemeClr>
                </a:solidFill>
                <a:prstDash val="solid"/>
              </a:ln>
              <a:effectLst/>
            </c:spPr>
            <c:trendlineType val="power"/>
            <c:dispRSqr val="1"/>
            <c:dispEq val="1"/>
            <c:trendlineLbl>
              <c:layout>
                <c:manualLayout>
                  <c:x val="-9.8633858267716534E-2"/>
                  <c:y val="6.0513269174686495E-4"/>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'Q1'!$G$9:$G$26</c:f>
              <c:numCache>
                <c:formatCode>_("$"* #,##0.00_);_("$"* \(#,##0.00\);_("$"* "-"??_);_(@_)</c:formatCode>
                <c:ptCount val="18"/>
                <c:pt idx="0">
                  <c:v>1280</c:v>
                </c:pt>
                <c:pt idx="1">
                  <c:v>1290</c:v>
                </c:pt>
                <c:pt idx="2">
                  <c:v>1210</c:v>
                </c:pt>
                <c:pt idx="3">
                  <c:v>1190</c:v>
                </c:pt>
                <c:pt idx="4">
                  <c:v>1250</c:v>
                </c:pt>
                <c:pt idx="5">
                  <c:v>1299</c:v>
                </c:pt>
                <c:pt idx="6">
                  <c:v>1149</c:v>
                </c:pt>
                <c:pt idx="7">
                  <c:v>1149</c:v>
                </c:pt>
                <c:pt idx="8">
                  <c:v>1145</c:v>
                </c:pt>
                <c:pt idx="9">
                  <c:v>1195</c:v>
                </c:pt>
                <c:pt idx="10">
                  <c:v>1195</c:v>
                </c:pt>
                <c:pt idx="11">
                  <c:v>1210</c:v>
                </c:pt>
                <c:pt idx="12">
                  <c:v>1315</c:v>
                </c:pt>
                <c:pt idx="13">
                  <c:v>1190</c:v>
                </c:pt>
                <c:pt idx="14">
                  <c:v>1199</c:v>
                </c:pt>
                <c:pt idx="15">
                  <c:v>1210</c:v>
                </c:pt>
                <c:pt idx="16">
                  <c:v>1230</c:v>
                </c:pt>
                <c:pt idx="17">
                  <c:v>1250</c:v>
                </c:pt>
              </c:numCache>
            </c:numRef>
          </c:xVal>
          <c:yVal>
            <c:numRef>
              <c:f>'Q1'!$H$9:$H$26</c:f>
              <c:numCache>
                <c:formatCode>General</c:formatCode>
                <c:ptCount val="18"/>
                <c:pt idx="0">
                  <c:v>133</c:v>
                </c:pt>
                <c:pt idx="1">
                  <c:v>129</c:v>
                </c:pt>
                <c:pt idx="2">
                  <c:v>143</c:v>
                </c:pt>
                <c:pt idx="3">
                  <c:v>152</c:v>
                </c:pt>
                <c:pt idx="4">
                  <c:v>136</c:v>
                </c:pt>
                <c:pt idx="5">
                  <c:v>130</c:v>
                </c:pt>
                <c:pt idx="6">
                  <c:v>150</c:v>
                </c:pt>
                <c:pt idx="7">
                  <c:v>153</c:v>
                </c:pt>
                <c:pt idx="8">
                  <c:v>154</c:v>
                </c:pt>
                <c:pt idx="9">
                  <c:v>148</c:v>
                </c:pt>
                <c:pt idx="10">
                  <c:v>141</c:v>
                </c:pt>
                <c:pt idx="11">
                  <c:v>137</c:v>
                </c:pt>
                <c:pt idx="12">
                  <c:v>126</c:v>
                </c:pt>
                <c:pt idx="13">
                  <c:v>146</c:v>
                </c:pt>
                <c:pt idx="14">
                  <c:v>147</c:v>
                </c:pt>
                <c:pt idx="15">
                  <c:v>148</c:v>
                </c:pt>
                <c:pt idx="16">
                  <c:v>139</c:v>
                </c:pt>
                <c:pt idx="17">
                  <c:v>134</c:v>
                </c:pt>
              </c:numCache>
            </c:numRef>
          </c:yVal>
          <c:smooth val="0"/>
          <c:extLst>
            <c:ext xmlns:c16="http://schemas.microsoft.com/office/drawing/2014/chart" uri="{C3380CC4-5D6E-409C-BE32-E72D297353CC}">
              <c16:uniqueId val="{00000000-55EB-0A49-AF9E-D32E4EA89DE1}"/>
            </c:ext>
          </c:extLst>
        </c:ser>
        <c:dLbls>
          <c:showLegendKey val="0"/>
          <c:showVal val="0"/>
          <c:showCatName val="0"/>
          <c:showSerName val="0"/>
          <c:showPercent val="0"/>
          <c:showBubbleSize val="0"/>
        </c:dLbls>
        <c:axId val="193612047"/>
        <c:axId val="227602751"/>
      </c:scatterChart>
      <c:valAx>
        <c:axId val="193612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02751"/>
        <c:crosses val="autoZero"/>
        <c:crossBetween val="midCat"/>
      </c:valAx>
      <c:valAx>
        <c:axId val="227602751"/>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Vs. Price for Aqua-spa tubs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'Q3'!$B$33:$B$43</c:f>
              <c:numCache>
                <c:formatCode>_("$"* #,##0.00_);_("$"* \(#,##0.00\);_("$"* "-"??_);_(@_)</c:formatCode>
                <c:ptCount val="11"/>
                <c:pt idx="0">
                  <c:v>1518.4614414969401</c:v>
                </c:pt>
                <c:pt idx="1">
                  <c:v>1528.4614414969401</c:v>
                </c:pt>
                <c:pt idx="2">
                  <c:v>1538.4614414969401</c:v>
                </c:pt>
                <c:pt idx="3">
                  <c:v>1548.4614414969401</c:v>
                </c:pt>
                <c:pt idx="4">
                  <c:v>1558.4614414969401</c:v>
                </c:pt>
                <c:pt idx="5">
                  <c:v>1568.4614414969401</c:v>
                </c:pt>
                <c:pt idx="6">
                  <c:v>1578.4614414969401</c:v>
                </c:pt>
                <c:pt idx="7">
                  <c:v>1588.4614414969401</c:v>
                </c:pt>
                <c:pt idx="8">
                  <c:v>1598.4614414969401</c:v>
                </c:pt>
                <c:pt idx="9">
                  <c:v>1608.4614414969401</c:v>
                </c:pt>
                <c:pt idx="10">
                  <c:v>1618.4614414969401</c:v>
                </c:pt>
              </c:numCache>
            </c:numRef>
          </c:xVal>
          <c:yVal>
            <c:numRef>
              <c:f>'Q3'!$C$33:$C$43</c:f>
              <c:numCache>
                <c:formatCode>_("$"* #,##0.00_);_("$"* \(#,##0.00\);_("$"* "-"??_);_(@_)</c:formatCode>
                <c:ptCount val="11"/>
                <c:pt idx="0">
                  <c:v>62157.763415786518</c:v>
                </c:pt>
                <c:pt idx="1">
                  <c:v>62169.632921695724</c:v>
                </c:pt>
                <c:pt idx="2">
                  <c:v>62179.1860486183</c:v>
                </c:pt>
                <c:pt idx="3">
                  <c:v>62186.496162391275</c:v>
                </c:pt>
                <c:pt idx="4">
                  <c:v>62191.634168845165</c:v>
                </c:pt>
                <c:pt idx="5">
                  <c:v>62194.668607758947</c:v>
                </c:pt>
                <c:pt idx="6">
                  <c:v>62195.665742725738</c:v>
                </c:pt>
                <c:pt idx="7">
                  <c:v>62194.689647129606</c:v>
                </c:pt>
                <c:pt idx="8">
                  <c:v>62191.802286423241</c:v>
                </c:pt>
                <c:pt idx="9">
                  <c:v>62187.063596885986</c:v>
                </c:pt>
                <c:pt idx="10">
                  <c:v>62180.531561032309</c:v>
                </c:pt>
              </c:numCache>
            </c:numRef>
          </c:yVal>
          <c:smooth val="1"/>
          <c:extLst>
            <c:ext xmlns:c16="http://schemas.microsoft.com/office/drawing/2014/chart" uri="{C3380CC4-5D6E-409C-BE32-E72D297353CC}">
              <c16:uniqueId val="{00000000-DD7F-C641-B516-5BA8D3AEE797}"/>
            </c:ext>
          </c:extLst>
        </c:ser>
        <c:dLbls>
          <c:showLegendKey val="0"/>
          <c:showVal val="0"/>
          <c:showCatName val="0"/>
          <c:showSerName val="0"/>
          <c:showPercent val="0"/>
          <c:showBubbleSize val="0"/>
        </c:dLbls>
        <c:axId val="502196351"/>
        <c:axId val="254401599"/>
      </c:scatterChart>
      <c:valAx>
        <c:axId val="50219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01599"/>
        <c:crosses val="autoZero"/>
        <c:crossBetween val="midCat"/>
      </c:valAx>
      <c:valAx>
        <c:axId val="25440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963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Profit Vs. Price for Hydro-Luxe tubs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'Q3'!$D$33:$D$43</c:f>
              <c:numCache>
                <c:formatCode>_("$"* #,##0.00_);_("$"* \(#,##0.00\);_("$"* "-"??_);_(@_)</c:formatCode>
                <c:ptCount val="11"/>
                <c:pt idx="0">
                  <c:v>2140.98</c:v>
                </c:pt>
                <c:pt idx="1">
                  <c:v>2150.98</c:v>
                </c:pt>
                <c:pt idx="2">
                  <c:v>2160.98</c:v>
                </c:pt>
                <c:pt idx="3">
                  <c:v>2170.98</c:v>
                </c:pt>
                <c:pt idx="4">
                  <c:v>2180.98</c:v>
                </c:pt>
                <c:pt idx="5">
                  <c:v>2190.98</c:v>
                </c:pt>
                <c:pt idx="6">
                  <c:v>2200.9755167504163</c:v>
                </c:pt>
                <c:pt idx="7">
                  <c:v>2210.9755167504163</c:v>
                </c:pt>
                <c:pt idx="8">
                  <c:v>2220.9755167504163</c:v>
                </c:pt>
                <c:pt idx="9">
                  <c:v>2230.9755167504163</c:v>
                </c:pt>
                <c:pt idx="10">
                  <c:v>2240.9755167504163</c:v>
                </c:pt>
              </c:numCache>
            </c:numRef>
          </c:xVal>
          <c:yVal>
            <c:numRef>
              <c:f>'Q3'!$E$33:$E$43</c:f>
              <c:numCache>
                <c:formatCode>_("$"* #,##0.00_);_("$"* \(#,##0.00\);_("$"* "-"??_);_(@_)</c:formatCode>
                <c:ptCount val="11"/>
                <c:pt idx="0">
                  <c:v>98450.160153800447</c:v>
                </c:pt>
                <c:pt idx="1">
                  <c:v>98457.030465516378</c:v>
                </c:pt>
                <c:pt idx="2">
                  <c:v>98462.589106252926</c:v>
                </c:pt>
                <c:pt idx="3">
                  <c:v>98466.864673487042</c:v>
                </c:pt>
                <c:pt idx="4">
                  <c:v>98469.885098515238</c:v>
                </c:pt>
                <c:pt idx="5">
                  <c:v>98471.677664264891</c:v>
                </c:pt>
                <c:pt idx="6">
                  <c:v>98472.269022669745</c:v>
                </c:pt>
                <c:pt idx="7">
                  <c:v>98471.685732069527</c:v>
                </c:pt>
                <c:pt idx="8">
                  <c:v>98469.952699502304</c:v>
                </c:pt>
                <c:pt idx="9">
                  <c:v>98467.094782134503</c:v>
                </c:pt>
                <c:pt idx="10">
                  <c:v>98463.136269987532</c:v>
                </c:pt>
              </c:numCache>
            </c:numRef>
          </c:yVal>
          <c:smooth val="1"/>
          <c:extLst>
            <c:ext xmlns:c16="http://schemas.microsoft.com/office/drawing/2014/chart" uri="{C3380CC4-5D6E-409C-BE32-E72D297353CC}">
              <c16:uniqueId val="{00000000-BAF5-B64A-8C4E-19A4126DBF72}"/>
            </c:ext>
          </c:extLst>
        </c:ser>
        <c:dLbls>
          <c:showLegendKey val="0"/>
          <c:showVal val="0"/>
          <c:showCatName val="0"/>
          <c:showSerName val="0"/>
          <c:showPercent val="0"/>
          <c:showBubbleSize val="0"/>
        </c:dLbls>
        <c:axId val="2013902736"/>
        <c:axId val="2013904368"/>
      </c:scatterChart>
      <c:valAx>
        <c:axId val="2013902736"/>
        <c:scaling>
          <c:orientation val="minMax"/>
          <c:min val="21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04368"/>
        <c:crosses val="autoZero"/>
        <c:crossBetween val="midCat"/>
      </c:valAx>
      <c:valAx>
        <c:axId val="201390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02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Profit Vs. Price for Aqua-spa tubs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'Q4'!$B$39:$B$50</c:f>
              <c:numCache>
                <c:formatCode>"$"#,##0.00_);[Red]\("$"#,##0.00\)</c:formatCode>
                <c:ptCount val="12"/>
                <c:pt idx="0">
                  <c:v>1410</c:v>
                </c:pt>
                <c:pt idx="1">
                  <c:v>1420</c:v>
                </c:pt>
                <c:pt idx="2">
                  <c:v>1430</c:v>
                </c:pt>
                <c:pt idx="3">
                  <c:v>1440</c:v>
                </c:pt>
                <c:pt idx="4">
                  <c:v>1450</c:v>
                </c:pt>
                <c:pt idx="5">
                  <c:v>1460</c:v>
                </c:pt>
                <c:pt idx="6">
                  <c:v>1470</c:v>
                </c:pt>
                <c:pt idx="7">
                  <c:v>1480</c:v>
                </c:pt>
                <c:pt idx="8">
                  <c:v>1490</c:v>
                </c:pt>
                <c:pt idx="9">
                  <c:v>1500</c:v>
                </c:pt>
                <c:pt idx="10">
                  <c:v>1510</c:v>
                </c:pt>
                <c:pt idx="11">
                  <c:v>1520</c:v>
                </c:pt>
              </c:numCache>
            </c:numRef>
          </c:xVal>
          <c:yVal>
            <c:numRef>
              <c:f>'Q4'!$C$39:$C$50</c:f>
              <c:numCache>
                <c:formatCode>"$"#,##0.00_);[Red]\("$"#,##0.00\)</c:formatCode>
                <c:ptCount val="12"/>
                <c:pt idx="0">
                  <c:v>61857.390119582422</c:v>
                </c:pt>
                <c:pt idx="1">
                  <c:v>61899.876089163612</c:v>
                </c:pt>
                <c:pt idx="2">
                  <c:v>61939.061502494114</c:v>
                </c:pt>
                <c:pt idx="3">
                  <c:v>61975.053796007502</c:v>
                </c:pt>
                <c:pt idx="4">
                  <c:v>62007.956596402706</c:v>
                </c:pt>
                <c:pt idx="5">
                  <c:v>62037.869875656586</c:v>
                </c:pt>
                <c:pt idx="6">
                  <c:v>62064.890098830656</c:v>
                </c:pt>
                <c:pt idx="7">
                  <c:v>62089.110365047469</c:v>
                </c:pt>
                <c:pt idx="8">
                  <c:v>62110.62054199299</c:v>
                </c:pt>
                <c:pt idx="9">
                  <c:v>62129.507394282911</c:v>
                </c:pt>
                <c:pt idx="10">
                  <c:v>62145.854706005332</c:v>
                </c:pt>
                <c:pt idx="11">
                  <c:v>62159.743397742008</c:v>
                </c:pt>
              </c:numCache>
            </c:numRef>
          </c:yVal>
          <c:smooth val="1"/>
          <c:extLst>
            <c:ext xmlns:c16="http://schemas.microsoft.com/office/drawing/2014/chart" uri="{C3380CC4-5D6E-409C-BE32-E72D297353CC}">
              <c16:uniqueId val="{00000000-FE46-7F41-B28A-65CB70062D7C}"/>
            </c:ext>
          </c:extLst>
        </c:ser>
        <c:dLbls>
          <c:showLegendKey val="0"/>
          <c:showVal val="0"/>
          <c:showCatName val="0"/>
          <c:showSerName val="0"/>
          <c:showPercent val="0"/>
          <c:showBubbleSize val="0"/>
        </c:dLbls>
        <c:axId val="1960062864"/>
        <c:axId val="1960157472"/>
      </c:scatterChart>
      <c:valAx>
        <c:axId val="1960062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57472"/>
        <c:crosses val="autoZero"/>
        <c:crossBetween val="midCat"/>
      </c:valAx>
      <c:valAx>
        <c:axId val="196015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62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Profit Vs. Price for Hydro-Luxe tubs</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'Q4'!$D$39:$D$50</c:f>
              <c:numCache>
                <c:formatCode>_("$"* #,##0.00_);_("$"* \(#,##0.00\);_("$"* "-"??_);_(@_)</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xVal>
          <c:yVal>
            <c:numRef>
              <c:f>'Q4'!$E$39:$E$50</c:f>
              <c:numCache>
                <c:formatCode>_("$"* #,##0.00_);_("$"* \(#,##0.00\);_("$"* "-"??_);_(@_)</c:formatCode>
                <c:ptCount val="12"/>
                <c:pt idx="0">
                  <c:v>97848.004968436435</c:v>
                </c:pt>
                <c:pt idx="1">
                  <c:v>97895.006431751957</c:v>
                </c:pt>
                <c:pt idx="2">
                  <c:v>97939.798614110041</c:v>
                </c:pt>
                <c:pt idx="3">
                  <c:v>97982.432091230497</c:v>
                </c:pt>
                <c:pt idx="4">
                  <c:v>98022.956150768616</c:v>
                </c:pt>
                <c:pt idx="5">
                  <c:v>98061.418830359151</c:v>
                </c:pt>
                <c:pt idx="6">
                  <c:v>98097.866954367753</c:v>
                </c:pt>
                <c:pt idx="7">
                  <c:v>98132.346169398792</c:v>
                </c:pt>
                <c:pt idx="8">
                  <c:v>98164.900978608159</c:v>
                </c:pt>
                <c:pt idx="9">
                  <c:v>98195.574774865338</c:v>
                </c:pt>
                <c:pt idx="10">
                  <c:v>98224.409872810138</c:v>
                </c:pt>
                <c:pt idx="11">
                  <c:v>98251.447539845016</c:v>
                </c:pt>
              </c:numCache>
            </c:numRef>
          </c:yVal>
          <c:smooth val="1"/>
          <c:extLst>
            <c:ext xmlns:c16="http://schemas.microsoft.com/office/drawing/2014/chart" uri="{C3380CC4-5D6E-409C-BE32-E72D297353CC}">
              <c16:uniqueId val="{00000000-4C94-1F46-8400-FC9C94BFA876}"/>
            </c:ext>
          </c:extLst>
        </c:ser>
        <c:dLbls>
          <c:showLegendKey val="0"/>
          <c:showVal val="0"/>
          <c:showCatName val="0"/>
          <c:showSerName val="0"/>
          <c:showPercent val="0"/>
          <c:showBubbleSize val="0"/>
        </c:dLbls>
        <c:axId val="1960426480"/>
        <c:axId val="1960417648"/>
      </c:scatterChart>
      <c:valAx>
        <c:axId val="1960426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17648"/>
        <c:crosses val="autoZero"/>
        <c:crossBetween val="midCat"/>
      </c:valAx>
      <c:valAx>
        <c:axId val="196041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426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'Q5-sensitivity analysis'!$K$1</c:f>
          <c:strCache>
            <c:ptCount val="1"/>
            <c:pt idx="0">
              <c:v>Sensitivity of Total Profit($) to Input</c:v>
            </c:pt>
          </c:strCache>
        </c:strRef>
      </c:tx>
      <c:overlay val="0"/>
      <c:txPr>
        <a:bodyPr/>
        <a:lstStyle/>
        <a:p>
          <a:pPr>
            <a:defRPr sz="1200"/>
          </a:pPr>
          <a:endParaRPr lang="en-US"/>
        </a:p>
      </c:txPr>
    </c:title>
    <c:autoTitleDeleted val="0"/>
    <c:plotArea>
      <c:layout/>
      <c:lineChart>
        <c:grouping val="standard"/>
        <c:varyColors val="0"/>
        <c:ser>
          <c:idx val="0"/>
          <c:order val="0"/>
          <c:cat>
            <c:numRef>
              <c:f>'Q5-sensitivity analysis'!$A$5:$A$55</c:f>
              <c:numCache>
                <c:formatCode>General</c:formatCode>
                <c:ptCount val="51"/>
                <c:pt idx="0">
                  <c:v>1500</c:v>
                </c:pt>
                <c:pt idx="1">
                  <c:v>1520</c:v>
                </c:pt>
                <c:pt idx="2">
                  <c:v>1540</c:v>
                </c:pt>
                <c:pt idx="3">
                  <c:v>1560</c:v>
                </c:pt>
                <c:pt idx="4">
                  <c:v>1580</c:v>
                </c:pt>
                <c:pt idx="5">
                  <c:v>1600</c:v>
                </c:pt>
                <c:pt idx="6">
                  <c:v>1620</c:v>
                </c:pt>
                <c:pt idx="7">
                  <c:v>1640</c:v>
                </c:pt>
                <c:pt idx="8">
                  <c:v>1660</c:v>
                </c:pt>
                <c:pt idx="9">
                  <c:v>1680</c:v>
                </c:pt>
                <c:pt idx="10">
                  <c:v>1700</c:v>
                </c:pt>
                <c:pt idx="11">
                  <c:v>1720</c:v>
                </c:pt>
                <c:pt idx="12">
                  <c:v>1740</c:v>
                </c:pt>
                <c:pt idx="13">
                  <c:v>1760</c:v>
                </c:pt>
                <c:pt idx="14">
                  <c:v>1780</c:v>
                </c:pt>
                <c:pt idx="15">
                  <c:v>1800</c:v>
                </c:pt>
                <c:pt idx="16">
                  <c:v>1820</c:v>
                </c:pt>
                <c:pt idx="17">
                  <c:v>1840</c:v>
                </c:pt>
                <c:pt idx="18">
                  <c:v>1860</c:v>
                </c:pt>
                <c:pt idx="19">
                  <c:v>1880</c:v>
                </c:pt>
                <c:pt idx="20">
                  <c:v>1900</c:v>
                </c:pt>
                <c:pt idx="21">
                  <c:v>1920</c:v>
                </c:pt>
                <c:pt idx="22">
                  <c:v>1940</c:v>
                </c:pt>
                <c:pt idx="23">
                  <c:v>1960</c:v>
                </c:pt>
                <c:pt idx="24">
                  <c:v>1980</c:v>
                </c:pt>
                <c:pt idx="25">
                  <c:v>2000</c:v>
                </c:pt>
                <c:pt idx="26">
                  <c:v>2020</c:v>
                </c:pt>
                <c:pt idx="27">
                  <c:v>2040</c:v>
                </c:pt>
                <c:pt idx="28">
                  <c:v>2060</c:v>
                </c:pt>
                <c:pt idx="29">
                  <c:v>2080</c:v>
                </c:pt>
                <c:pt idx="30">
                  <c:v>2100</c:v>
                </c:pt>
                <c:pt idx="31">
                  <c:v>2120</c:v>
                </c:pt>
                <c:pt idx="32">
                  <c:v>2140</c:v>
                </c:pt>
                <c:pt idx="33">
                  <c:v>2160</c:v>
                </c:pt>
                <c:pt idx="34">
                  <c:v>2180</c:v>
                </c:pt>
                <c:pt idx="35">
                  <c:v>2200</c:v>
                </c:pt>
                <c:pt idx="36">
                  <c:v>2220</c:v>
                </c:pt>
                <c:pt idx="37">
                  <c:v>2240</c:v>
                </c:pt>
                <c:pt idx="38">
                  <c:v>2260</c:v>
                </c:pt>
                <c:pt idx="39">
                  <c:v>2280</c:v>
                </c:pt>
                <c:pt idx="40">
                  <c:v>2300</c:v>
                </c:pt>
                <c:pt idx="41">
                  <c:v>2320</c:v>
                </c:pt>
                <c:pt idx="42">
                  <c:v>2340</c:v>
                </c:pt>
                <c:pt idx="43">
                  <c:v>2360</c:v>
                </c:pt>
                <c:pt idx="44">
                  <c:v>2380</c:v>
                </c:pt>
                <c:pt idx="45">
                  <c:v>2400</c:v>
                </c:pt>
                <c:pt idx="46">
                  <c:v>2420</c:v>
                </c:pt>
                <c:pt idx="47">
                  <c:v>2440</c:v>
                </c:pt>
                <c:pt idx="48">
                  <c:v>2460</c:v>
                </c:pt>
                <c:pt idx="49">
                  <c:v>2480</c:v>
                </c:pt>
                <c:pt idx="50">
                  <c:v>2500</c:v>
                </c:pt>
              </c:numCache>
            </c:numRef>
          </c:cat>
          <c:val>
            <c:numRef>
              <c:f>'Q5-sensitivity analysis'!$K$5:$K$55</c:f>
              <c:numCache>
                <c:formatCode>General</c:formatCode>
                <c:ptCount val="51"/>
                <c:pt idx="0">
                  <c:v>155267.53</c:v>
                </c:pt>
                <c:pt idx="1">
                  <c:v>155670.25</c:v>
                </c:pt>
                <c:pt idx="2">
                  <c:v>156049.10999999999</c:v>
                </c:pt>
                <c:pt idx="3">
                  <c:v>156405.35999999999</c:v>
                </c:pt>
                <c:pt idx="4">
                  <c:v>156740.15</c:v>
                </c:pt>
                <c:pt idx="5">
                  <c:v>157054.57999999999</c:v>
                </c:pt>
                <c:pt idx="6">
                  <c:v>157349.70000000001</c:v>
                </c:pt>
                <c:pt idx="7">
                  <c:v>157626.48000000001</c:v>
                </c:pt>
                <c:pt idx="8">
                  <c:v>157885.82</c:v>
                </c:pt>
                <c:pt idx="9">
                  <c:v>158128.6</c:v>
                </c:pt>
                <c:pt idx="10">
                  <c:v>158355.62</c:v>
                </c:pt>
                <c:pt idx="11">
                  <c:v>158567.66</c:v>
                </c:pt>
                <c:pt idx="12">
                  <c:v>158765.45000000001</c:v>
                </c:pt>
                <c:pt idx="13">
                  <c:v>158949.66</c:v>
                </c:pt>
                <c:pt idx="14">
                  <c:v>159120.94</c:v>
                </c:pt>
                <c:pt idx="15">
                  <c:v>159279.92000000001</c:v>
                </c:pt>
                <c:pt idx="16">
                  <c:v>159427.16</c:v>
                </c:pt>
                <c:pt idx="17">
                  <c:v>159563.22</c:v>
                </c:pt>
                <c:pt idx="18">
                  <c:v>159688.60999999999</c:v>
                </c:pt>
                <c:pt idx="19">
                  <c:v>159803.84</c:v>
                </c:pt>
                <c:pt idx="20">
                  <c:v>159909.35999999999</c:v>
                </c:pt>
                <c:pt idx="21">
                  <c:v>160005.63</c:v>
                </c:pt>
                <c:pt idx="22">
                  <c:v>160093.04999999999</c:v>
                </c:pt>
                <c:pt idx="23">
                  <c:v>160172.04</c:v>
                </c:pt>
                <c:pt idx="24">
                  <c:v>160242.97</c:v>
                </c:pt>
                <c:pt idx="25">
                  <c:v>160306.20000000001</c:v>
                </c:pt>
                <c:pt idx="26">
                  <c:v>160362.07</c:v>
                </c:pt>
                <c:pt idx="27">
                  <c:v>160410.91</c:v>
                </c:pt>
                <c:pt idx="28">
                  <c:v>160453.03</c:v>
                </c:pt>
                <c:pt idx="29">
                  <c:v>160488.73000000001</c:v>
                </c:pt>
                <c:pt idx="30">
                  <c:v>160518.29</c:v>
                </c:pt>
                <c:pt idx="31">
                  <c:v>160541.97</c:v>
                </c:pt>
                <c:pt idx="32">
                  <c:v>160560.04</c:v>
                </c:pt>
                <c:pt idx="33">
                  <c:v>160572.72</c:v>
                </c:pt>
                <c:pt idx="34">
                  <c:v>160580.26</c:v>
                </c:pt>
                <c:pt idx="35">
                  <c:v>160582.88</c:v>
                </c:pt>
                <c:pt idx="36">
                  <c:v>160582.89000000001</c:v>
                </c:pt>
                <c:pt idx="37">
                  <c:v>160582.89000000001</c:v>
                </c:pt>
                <c:pt idx="38">
                  <c:v>160582.89000000001</c:v>
                </c:pt>
                <c:pt idx="39">
                  <c:v>160582.89000000001</c:v>
                </c:pt>
                <c:pt idx="40">
                  <c:v>160582.89000000001</c:v>
                </c:pt>
                <c:pt idx="41">
                  <c:v>160582.89000000001</c:v>
                </c:pt>
                <c:pt idx="42">
                  <c:v>160582.89000000001</c:v>
                </c:pt>
                <c:pt idx="43">
                  <c:v>160582.89000000001</c:v>
                </c:pt>
                <c:pt idx="44">
                  <c:v>160582.89000000001</c:v>
                </c:pt>
                <c:pt idx="45">
                  <c:v>160582.89000000001</c:v>
                </c:pt>
                <c:pt idx="46">
                  <c:v>160582.89000000001</c:v>
                </c:pt>
                <c:pt idx="47">
                  <c:v>160582.89000000001</c:v>
                </c:pt>
                <c:pt idx="48">
                  <c:v>160582.89000000001</c:v>
                </c:pt>
                <c:pt idx="49">
                  <c:v>160582.89000000001</c:v>
                </c:pt>
                <c:pt idx="50">
                  <c:v>160582.89000000001</c:v>
                </c:pt>
              </c:numCache>
            </c:numRef>
          </c:val>
          <c:smooth val="0"/>
          <c:extLst>
            <c:ext xmlns:c16="http://schemas.microsoft.com/office/drawing/2014/chart" uri="{C3380CC4-5D6E-409C-BE32-E72D297353CC}">
              <c16:uniqueId val="{00000001-1D86-4A58-A96C-D61E789956DB}"/>
            </c:ext>
          </c:extLst>
        </c:ser>
        <c:dLbls>
          <c:showLegendKey val="0"/>
          <c:showVal val="0"/>
          <c:showCatName val="0"/>
          <c:showSerName val="0"/>
          <c:showPercent val="0"/>
          <c:showBubbleSize val="0"/>
        </c:dLbls>
        <c:marker val="1"/>
        <c:smooth val="0"/>
        <c:axId val="582205856"/>
        <c:axId val="582208480"/>
      </c:lineChart>
      <c:catAx>
        <c:axId val="582205856"/>
        <c:scaling>
          <c:orientation val="minMax"/>
        </c:scaling>
        <c:delete val="0"/>
        <c:axPos val="b"/>
        <c:title>
          <c:tx>
            <c:rich>
              <a:bodyPr/>
              <a:lstStyle/>
              <a:p>
                <a:pPr>
                  <a:defRPr/>
                </a:pPr>
                <a:r>
                  <a:rPr lang="en-US"/>
                  <a:t>Max. price of Hydroluxe($)</a:t>
                </a:r>
              </a:p>
            </c:rich>
          </c:tx>
          <c:overlay val="0"/>
        </c:title>
        <c:numFmt formatCode="General" sourceLinked="1"/>
        <c:majorTickMark val="out"/>
        <c:minorTickMark val="none"/>
        <c:tickLblPos val="nextTo"/>
        <c:crossAx val="582208480"/>
        <c:crosses val="autoZero"/>
        <c:auto val="1"/>
        <c:lblAlgn val="ctr"/>
        <c:lblOffset val="100"/>
        <c:noMultiLvlLbl val="0"/>
      </c:catAx>
      <c:valAx>
        <c:axId val="582208480"/>
        <c:scaling>
          <c:orientation val="minMax"/>
        </c:scaling>
        <c:delete val="0"/>
        <c:axPos val="l"/>
        <c:majorGridlines/>
        <c:numFmt formatCode="General" sourceLinked="1"/>
        <c:majorTickMark val="out"/>
        <c:minorTickMark val="none"/>
        <c:tickLblPos val="nextTo"/>
        <c:crossAx val="58220585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11545</xdr:colOff>
      <xdr:row>6</xdr:row>
      <xdr:rowOff>25402</xdr:rowOff>
    </xdr:from>
    <xdr:to>
      <xdr:col>13</xdr:col>
      <xdr:colOff>808182</xdr:colOff>
      <xdr:row>19</xdr:row>
      <xdr:rowOff>115455</xdr:rowOff>
    </xdr:to>
    <xdr:graphicFrame macro="">
      <xdr:nvGraphicFramePr>
        <xdr:cNvPr id="2" name="Chart 1">
          <a:extLst>
            <a:ext uri="{FF2B5EF4-FFF2-40B4-BE49-F238E27FC236}">
              <a16:creationId xmlns:a16="http://schemas.microsoft.com/office/drawing/2014/main" id="{F0A8E692-750D-E74E-86B5-D45B97E1E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17318</xdr:colOff>
      <xdr:row>6</xdr:row>
      <xdr:rowOff>13854</xdr:rowOff>
    </xdr:from>
    <xdr:to>
      <xdr:col>19</xdr:col>
      <xdr:colOff>681182</xdr:colOff>
      <xdr:row>19</xdr:row>
      <xdr:rowOff>150091</xdr:rowOff>
    </xdr:to>
    <xdr:graphicFrame macro="">
      <xdr:nvGraphicFramePr>
        <xdr:cNvPr id="4" name="Chart 3">
          <a:extLst>
            <a:ext uri="{FF2B5EF4-FFF2-40B4-BE49-F238E27FC236}">
              <a16:creationId xmlns:a16="http://schemas.microsoft.com/office/drawing/2014/main" id="{D13301F4-FAE1-AC45-8D2E-B35FEF9BE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21</xdr:row>
      <xdr:rowOff>38100</xdr:rowOff>
    </xdr:from>
    <xdr:to>
      <xdr:col>18</xdr:col>
      <xdr:colOff>25400</xdr:colOff>
      <xdr:row>38</xdr:row>
      <xdr:rowOff>38100</xdr:rowOff>
    </xdr:to>
    <xdr:sp macro="" textlink="">
      <xdr:nvSpPr>
        <xdr:cNvPr id="3" name="TextBox 2">
          <a:extLst>
            <a:ext uri="{FF2B5EF4-FFF2-40B4-BE49-F238E27FC236}">
              <a16:creationId xmlns:a16="http://schemas.microsoft.com/office/drawing/2014/main" id="{B713C3CC-9501-CB41-B5E0-CCC12A378E7C}"/>
            </a:ext>
          </a:extLst>
        </xdr:cNvPr>
        <xdr:cNvSpPr txBox="1"/>
      </xdr:nvSpPr>
      <xdr:spPr>
        <a:xfrm>
          <a:off x="7581900" y="3733800"/>
          <a:ext cx="7531100" cy="3467100"/>
        </a:xfrm>
        <a:prstGeom prst="rect">
          <a:avLst/>
        </a:prstGeom>
        <a:solidFill>
          <a:schemeClr val="bg2">
            <a:lumMod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Wingdings" pitchFamily="2" charset="2"/>
            <a:buChar char="v"/>
          </a:pPr>
          <a:r>
            <a:rPr lang="en-US" sz="1200"/>
            <a:t>Using</a:t>
          </a:r>
          <a:r>
            <a:rPr lang="en-US" sz="1200" baseline="0"/>
            <a:t> the historical data for Price Vs. Demand, we can develop the Constant elasticity function for both Aqua-spa and Hydra-Luxe hot tubs.</a:t>
          </a:r>
        </a:p>
        <a:p>
          <a:pPr marL="171450" marR="0" lvl="0" indent="-171450" defTabSz="914400" eaLnBrk="1" fontAlgn="auto" latinLnBrk="0" hangingPunct="1">
            <a:lnSpc>
              <a:spcPct val="100000"/>
            </a:lnSpc>
            <a:spcBef>
              <a:spcPts val="0"/>
            </a:spcBef>
            <a:spcAft>
              <a:spcPts val="0"/>
            </a:spcAft>
            <a:buClrTx/>
            <a:buSzTx/>
            <a:buFont typeface="Wingdings" pitchFamily="2" charset="2"/>
            <a:buChar char="v"/>
            <a:tabLst/>
            <a:defRPr/>
          </a:pPr>
          <a:r>
            <a:rPr lang="en-US" sz="1200" b="1" u="sng" baseline="0">
              <a:solidFill>
                <a:schemeClr val="tx1"/>
              </a:solidFill>
              <a:effectLst/>
            </a:rPr>
            <a:t>Constant Elasticity Function : </a:t>
          </a:r>
          <a:r>
            <a:rPr lang="en-US" sz="1200" b="1" i="1" u="sng">
              <a:solidFill>
                <a:schemeClr val="tx1"/>
              </a:solidFill>
              <a:effectLst/>
              <a:latin typeface="+mn-lt"/>
              <a:ea typeface="+mn-ea"/>
              <a:cs typeface="+mn-cs"/>
            </a:rPr>
            <a:t>D = ap</a:t>
          </a:r>
          <a:r>
            <a:rPr lang="en-US" sz="1200" b="1" i="1" u="sng" baseline="30000">
              <a:solidFill>
                <a:schemeClr val="tx1"/>
              </a:solidFill>
              <a:effectLst/>
              <a:latin typeface="+mn-lt"/>
              <a:ea typeface="+mn-ea"/>
              <a:cs typeface="+mn-cs"/>
            </a:rPr>
            <a:t>b</a:t>
          </a:r>
          <a:r>
            <a:rPr lang="en-US" sz="1200" b="1" i="1" u="none" baseline="30000">
              <a:solidFill>
                <a:schemeClr val="tx1"/>
              </a:solidFill>
              <a:effectLst/>
              <a:latin typeface="+mn-lt"/>
              <a:ea typeface="+mn-ea"/>
              <a:cs typeface="+mn-cs"/>
            </a:rPr>
            <a:t>    </a:t>
          </a:r>
          <a:r>
            <a:rPr lang="en-US" sz="1200" b="0" i="1" u="none" baseline="0">
              <a:solidFill>
                <a:schemeClr val="tx1"/>
              </a:solidFill>
              <a:effectLst/>
              <a:latin typeface="+mn-lt"/>
              <a:ea typeface="+mn-ea"/>
              <a:cs typeface="+mn-cs"/>
            </a:rPr>
            <a:t>where </a:t>
          </a:r>
          <a:r>
            <a:rPr lang="en-US" sz="1200" b="0" i="1" u="none">
              <a:solidFill>
                <a:schemeClr val="tx1"/>
              </a:solidFill>
              <a:effectLst/>
              <a:latin typeface="+mn-lt"/>
              <a:ea typeface="+mn-ea"/>
              <a:cs typeface="+mn-cs"/>
            </a:rPr>
            <a:t> D = Demand , p = price , a = demand constant , b = elasticity of demand .</a:t>
          </a:r>
        </a:p>
        <a:p>
          <a:pPr marL="171450" indent="-171450">
            <a:buFont typeface="Wingdings" pitchFamily="2" charset="2"/>
            <a:buChar char="Ø"/>
          </a:pPr>
          <a:endParaRPr lang="en-US" sz="1200"/>
        </a:p>
        <a:p>
          <a:pPr marL="171450" indent="-171450">
            <a:buFont typeface="Wingdings" pitchFamily="2" charset="2"/>
            <a:buChar char="v"/>
          </a:pPr>
          <a:r>
            <a:rPr lang="en-US" sz="1200" baseline="0"/>
            <a:t>Aqua-spa tub's constant elasticity funtion constructed from the historical data is as follows:  </a:t>
          </a:r>
        </a:p>
        <a:p>
          <a:pPr marL="0" marR="0">
            <a:spcBef>
              <a:spcPts val="0"/>
            </a:spcBef>
            <a:spcAft>
              <a:spcPts val="0"/>
            </a:spcAft>
          </a:pPr>
          <a:r>
            <a:rPr lang="en-US" sz="1200" baseline="0"/>
            <a:t>       y=4,351,964.97</a:t>
          </a:r>
          <a:r>
            <a:rPr lang="en-US" sz="1200">
              <a:effectLst/>
              <a:latin typeface="Calibri" panose="020F0502020204030204" pitchFamily="34" charset="0"/>
              <a:ea typeface="Calibri" panose="020F0502020204030204" pitchFamily="34" charset="0"/>
              <a:cs typeface="Times New Roman" panose="02020603050405020304" pitchFamily="18" charset="0"/>
            </a:rPr>
            <a:t>x</a:t>
          </a:r>
          <a:r>
            <a:rPr lang="en-US" sz="1200" baseline="30000">
              <a:effectLst/>
              <a:latin typeface="Calibri" panose="020F0502020204030204" pitchFamily="34" charset="0"/>
              <a:ea typeface="Calibri" panose="020F0502020204030204" pitchFamily="34" charset="0"/>
              <a:cs typeface="Times New Roman" panose="02020603050405020304" pitchFamily="18" charset="0"/>
            </a:rPr>
            <a:t>-1.52</a:t>
          </a:r>
          <a:endParaRPr lang="en-US" sz="1200" baseline="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ea typeface="+mn-ea"/>
              <a:cs typeface="+mn-cs"/>
            </a:rPr>
            <a:t>       </a:t>
          </a:r>
          <a:r>
            <a:rPr lang="en-US" sz="1200" b="0" baseline="0">
              <a:effectLst/>
              <a:latin typeface="+mn-lt"/>
              <a:ea typeface="+mn-ea"/>
              <a:cs typeface="+mn-cs"/>
            </a:rPr>
            <a:t>Wh</a:t>
          </a:r>
          <a:r>
            <a:rPr lang="en-US" sz="1200" b="0" baseline="0">
              <a:effectLst/>
            </a:rPr>
            <a:t>ere ,the demand constant,  a =</a:t>
          </a:r>
          <a:r>
            <a:rPr lang="en-US" sz="1200" baseline="0"/>
            <a:t>4,351,964.97</a:t>
          </a:r>
          <a:r>
            <a:rPr lang="en-US" sz="1200" b="0" baseline="0">
              <a:solidFill>
                <a:schemeClr val="tx1"/>
              </a:solidFill>
              <a:effectLst/>
              <a:latin typeface="+mn-lt"/>
              <a:ea typeface="+mn-ea"/>
              <a:cs typeface="+mn-cs"/>
            </a:rPr>
            <a:t>. This implies the value of Demand when Price equals 1.</a:t>
          </a: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tx1"/>
              </a:solidFill>
              <a:effectLst/>
              <a:latin typeface="+mn-lt"/>
              <a:ea typeface="+mn-ea"/>
              <a:cs typeface="+mn-cs"/>
            </a:rPr>
            <a:t>        </a:t>
          </a:r>
          <a:r>
            <a:rPr lang="en-US" sz="1200" b="0" i="1" u="none">
              <a:solidFill>
                <a:schemeClr val="tx1"/>
              </a:solidFill>
              <a:effectLst/>
              <a:latin typeface="+mn-lt"/>
              <a:ea typeface="+mn-ea"/>
              <a:cs typeface="+mn-cs"/>
            </a:rPr>
            <a:t>elasticity of demand ,</a:t>
          </a:r>
          <a:r>
            <a:rPr lang="en-US" sz="1200" b="0" baseline="0">
              <a:solidFill>
                <a:schemeClr val="tx1"/>
              </a:solidFill>
              <a:effectLst/>
              <a:latin typeface="+mn-lt"/>
              <a:ea typeface="+mn-ea"/>
              <a:cs typeface="+mn-cs"/>
            </a:rPr>
            <a:t>b = -1.52  stating the demand decreases by 1.52% for 1% increase in Price.</a:t>
          </a: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tx1"/>
              </a:solidFill>
              <a:effectLst/>
              <a:latin typeface="+mn-lt"/>
              <a:ea typeface="+mn-ea"/>
              <a:cs typeface="+mn-cs"/>
            </a:rPr>
            <a:t>       ( y is the demand, x is the price.)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0" baseline="0">
            <a:solidFill>
              <a:schemeClr val="tx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itchFamily="2" charset="2"/>
            <a:buChar char="v"/>
            <a:tabLst/>
            <a:defRPr/>
          </a:pPr>
          <a:r>
            <a:rPr lang="en-US" sz="1200" b="0" baseline="0">
              <a:solidFill>
                <a:schemeClr val="tx1"/>
              </a:solidFill>
              <a:effectLst/>
              <a:latin typeface="+mn-lt"/>
              <a:ea typeface="+mn-ea"/>
              <a:cs typeface="+mn-cs"/>
            </a:rPr>
            <a:t>Hydro-Luxe's  </a:t>
          </a:r>
          <a:r>
            <a:rPr lang="en-US" sz="1200" baseline="0"/>
            <a:t>constant elasticity funtion constructed from the historical data is as follows:  </a:t>
          </a:r>
        </a:p>
        <a:p>
          <a:pPr marL="0" marR="0">
            <a:spcBef>
              <a:spcPts val="0"/>
            </a:spcBef>
            <a:spcAft>
              <a:spcPts val="0"/>
            </a:spcAft>
          </a:pPr>
          <a:r>
            <a:rPr lang="en-US" sz="1200" b="0" baseline="0">
              <a:solidFill>
                <a:schemeClr val="tx1"/>
              </a:solidFill>
              <a:effectLst/>
              <a:latin typeface="+mn-lt"/>
              <a:ea typeface="+mn-ea"/>
              <a:cs typeface="+mn-cs"/>
            </a:rPr>
            <a:t>      y = 3,258,406.79</a:t>
          </a:r>
          <a:r>
            <a:rPr lang="en-US" sz="1200">
              <a:effectLst/>
              <a:latin typeface="Calibri" panose="020F0502020204030204" pitchFamily="34" charset="0"/>
              <a:ea typeface="Calibri" panose="020F0502020204030204" pitchFamily="34" charset="0"/>
              <a:cs typeface="Times New Roman" panose="02020603050405020304" pitchFamily="18" charset="0"/>
            </a:rPr>
            <a:t>x</a:t>
          </a:r>
          <a:r>
            <a:rPr lang="en-US" sz="1200" baseline="30000">
              <a:effectLst/>
              <a:latin typeface="Calibri" panose="020F0502020204030204" pitchFamily="34" charset="0"/>
              <a:ea typeface="Calibri" panose="020F0502020204030204" pitchFamily="34" charset="0"/>
              <a:cs typeface="Times New Roman" panose="02020603050405020304" pitchFamily="18" charset="0"/>
            </a:rPr>
            <a:t>-1.41</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30000">
              <a:effectLst/>
              <a:latin typeface="Calibri" panose="020F0502020204030204" pitchFamily="34" charset="0"/>
              <a:ea typeface="Calibri" panose="020F0502020204030204" pitchFamily="34" charset="0"/>
              <a:cs typeface="Times New Roman" panose="02020603050405020304" pitchFamily="18" charset="0"/>
            </a:rPr>
            <a:t>        </a:t>
          </a:r>
          <a:r>
            <a:rPr lang="en-US" sz="1200" b="0" baseline="0">
              <a:effectLst/>
              <a:latin typeface="+mn-lt"/>
              <a:ea typeface="+mn-ea"/>
              <a:cs typeface="+mn-cs"/>
            </a:rPr>
            <a:t>Wh</a:t>
          </a:r>
          <a:r>
            <a:rPr lang="en-US" sz="1200" b="0" baseline="0">
              <a:effectLst/>
            </a:rPr>
            <a:t>ere ,the demand constant,  a = </a:t>
          </a:r>
          <a:r>
            <a:rPr lang="en-US" sz="1200" b="0" baseline="0">
              <a:solidFill>
                <a:schemeClr val="tx1"/>
              </a:solidFill>
              <a:effectLst/>
              <a:latin typeface="+mn-lt"/>
              <a:ea typeface="+mn-ea"/>
              <a:cs typeface="+mn-cs"/>
            </a:rPr>
            <a:t>3,258,406.79. This implies the value of Demand when Price equals 1.</a:t>
          </a: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tx1"/>
              </a:solidFill>
              <a:effectLst/>
              <a:latin typeface="+mn-lt"/>
              <a:ea typeface="+mn-ea"/>
              <a:cs typeface="+mn-cs"/>
            </a:rPr>
            <a:t>        </a:t>
          </a:r>
          <a:r>
            <a:rPr lang="en-US" sz="1200" b="0" i="1" u="none">
              <a:solidFill>
                <a:schemeClr val="tx1"/>
              </a:solidFill>
              <a:effectLst/>
              <a:latin typeface="+mn-lt"/>
              <a:ea typeface="+mn-ea"/>
              <a:cs typeface="+mn-cs"/>
            </a:rPr>
            <a:t>elasticity of demand ,</a:t>
          </a:r>
          <a:r>
            <a:rPr lang="en-US" sz="1200" b="0" baseline="0">
              <a:solidFill>
                <a:schemeClr val="tx1"/>
              </a:solidFill>
              <a:effectLst/>
              <a:latin typeface="+mn-lt"/>
              <a:ea typeface="+mn-ea"/>
              <a:cs typeface="+mn-cs"/>
            </a:rPr>
            <a:t>b = -1.41  stating that demand decreases by 1.41% for 1% increase in Price.</a:t>
          </a:r>
        </a:p>
        <a:p>
          <a:pPr marL="0" marR="0" lvl="0" indent="0" defTabSz="914400" eaLnBrk="1" fontAlgn="auto" latinLnBrk="0" hangingPunct="1">
            <a:lnSpc>
              <a:spcPct val="100000"/>
            </a:lnSpc>
            <a:spcBef>
              <a:spcPts val="0"/>
            </a:spcBef>
            <a:spcAft>
              <a:spcPts val="0"/>
            </a:spcAft>
            <a:buClrTx/>
            <a:buSzTx/>
            <a:buFontTx/>
            <a:buNone/>
            <a:tabLst/>
            <a:defRPr/>
          </a:pPr>
          <a:r>
            <a:rPr lang="en-US" sz="1200" b="0" baseline="0">
              <a:solidFill>
                <a:schemeClr val="tx1"/>
              </a:solidFill>
              <a:effectLst/>
              <a:latin typeface="+mn-lt"/>
              <a:ea typeface="+mn-ea"/>
              <a:cs typeface="+mn-cs"/>
            </a:rPr>
            <a:t>        (y is the demand, x is the price.)</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b="0" baseline="0">
            <a:solidFill>
              <a:schemeClr val="tx1"/>
            </a:solidFill>
            <a:effectLst/>
            <a:latin typeface="+mn-lt"/>
            <a:ea typeface="+mn-ea"/>
            <a:cs typeface="+mn-cs"/>
          </a:endParaRPr>
        </a:p>
        <a:p>
          <a:pPr marL="0" marR="0">
            <a:spcBef>
              <a:spcPts val="0"/>
            </a:spcBef>
            <a:spcAft>
              <a:spcPts val="0"/>
            </a:spcAft>
            <a:buFontTx/>
            <a:buNone/>
          </a:pP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11546</xdr:colOff>
      <xdr:row>3</xdr:row>
      <xdr:rowOff>23091</xdr:rowOff>
    </xdr:from>
    <xdr:to>
      <xdr:col>12</xdr:col>
      <xdr:colOff>0</xdr:colOff>
      <xdr:row>7</xdr:row>
      <xdr:rowOff>138546</xdr:rowOff>
    </xdr:to>
    <xdr:sp macro="" textlink="">
      <xdr:nvSpPr>
        <xdr:cNvPr id="2" name="TextBox 1">
          <a:extLst>
            <a:ext uri="{FF2B5EF4-FFF2-40B4-BE49-F238E27FC236}">
              <a16:creationId xmlns:a16="http://schemas.microsoft.com/office/drawing/2014/main" id="{2F92238A-7694-F040-92F6-0622A9D6213B}"/>
            </a:ext>
          </a:extLst>
        </xdr:cNvPr>
        <xdr:cNvSpPr txBox="1"/>
      </xdr:nvSpPr>
      <xdr:spPr>
        <a:xfrm>
          <a:off x="6419273" y="992909"/>
          <a:ext cx="5888182" cy="958273"/>
        </a:xfrm>
        <a:prstGeom prst="rect">
          <a:avLst/>
        </a:prstGeom>
        <a:solidFill>
          <a:schemeClr val="accent1">
            <a:lumMod val="20000"/>
            <a:lumOff val="80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Decision variables:</a:t>
          </a:r>
        </a:p>
        <a:p>
          <a:r>
            <a:rPr lang="en-US" sz="1100" u="none"/>
            <a:t>We have 2 decision variables for</a:t>
          </a:r>
          <a:r>
            <a:rPr lang="en-US" sz="1100" u="none" baseline="0"/>
            <a:t> this optimization model, P1 and P2. They are the prices for each tub type.</a:t>
          </a:r>
        </a:p>
        <a:p>
          <a:r>
            <a:rPr lang="en-US" sz="1100" u="none" baseline="0"/>
            <a:t>P1 denotes the Price per Aqua-spa tub,</a:t>
          </a:r>
        </a:p>
        <a:p>
          <a:r>
            <a:rPr lang="en-US" sz="1100" u="none"/>
            <a:t>P2 denotes the Priced</a:t>
          </a:r>
          <a:r>
            <a:rPr lang="en-US" sz="1100" u="none" baseline="0"/>
            <a:t> per Hydro-Luxe tub.</a:t>
          </a:r>
          <a:endParaRPr lang="en-US" sz="1100" u="none"/>
        </a:p>
      </xdr:txBody>
    </xdr:sp>
    <xdr:clientData/>
  </xdr:twoCellAnchor>
  <xdr:twoCellAnchor>
    <xdr:from>
      <xdr:col>5</xdr:col>
      <xdr:colOff>11546</xdr:colOff>
      <xdr:row>8</xdr:row>
      <xdr:rowOff>23090</xdr:rowOff>
    </xdr:from>
    <xdr:to>
      <xdr:col>11</xdr:col>
      <xdr:colOff>831273</xdr:colOff>
      <xdr:row>15</xdr:row>
      <xdr:rowOff>0</xdr:rowOff>
    </xdr:to>
    <xdr:sp macro="" textlink="">
      <xdr:nvSpPr>
        <xdr:cNvPr id="3" name="TextBox 2">
          <a:extLst>
            <a:ext uri="{FF2B5EF4-FFF2-40B4-BE49-F238E27FC236}">
              <a16:creationId xmlns:a16="http://schemas.microsoft.com/office/drawing/2014/main" id="{EA6A7FCB-6F42-C74D-8F36-07167FFEB62D}"/>
            </a:ext>
          </a:extLst>
        </xdr:cNvPr>
        <xdr:cNvSpPr txBox="1"/>
      </xdr:nvSpPr>
      <xdr:spPr>
        <a:xfrm>
          <a:off x="6419273" y="2043545"/>
          <a:ext cx="5876636" cy="1454728"/>
        </a:xfrm>
        <a:prstGeom prst="rect">
          <a:avLst/>
        </a:prstGeom>
        <a:solidFill>
          <a:schemeClr val="bg2">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Input variables:</a:t>
          </a:r>
        </a:p>
        <a:p>
          <a:r>
            <a:rPr lang="en-US" sz="1100"/>
            <a:t>Demands D1,D2</a:t>
          </a:r>
          <a:r>
            <a:rPr lang="en-US" sz="1100" baseline="0"/>
            <a:t> are dependent variables &amp; varies with prices P1 and P2 respectively, based on the constant elasticity function in our earlier analysis.</a:t>
          </a:r>
        </a:p>
        <a:p>
          <a:r>
            <a:rPr lang="en-US" sz="1100" baseline="0"/>
            <a:t>D1- Total demand for Aqua-spa tubs ,   D1=4,351,964.97</a:t>
          </a:r>
          <a:r>
            <a:rPr lang="en-US" sz="1100" baseline="0">
              <a:effectLst/>
              <a:latin typeface="Calibri" panose="020F0502020204030204" pitchFamily="34" charset="0"/>
              <a:cs typeface="Times New Roman" panose="02020603050405020304" pitchFamily="18" charset="0"/>
            </a:rPr>
            <a:t>(P1)</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-1.52</a:t>
          </a:r>
        </a:p>
        <a:p>
          <a:r>
            <a:rPr lang="en-US" sz="1100" baseline="0"/>
            <a:t>D2 -Total demand for Hydro-Luxe tubs, D2 =</a:t>
          </a:r>
          <a:r>
            <a:rPr lang="en-US" sz="1100" b="0" baseline="0">
              <a:solidFill>
                <a:schemeClr val="tx1"/>
              </a:solidFill>
              <a:effectLst/>
              <a:latin typeface="+mn-lt"/>
              <a:ea typeface="+mn-ea"/>
              <a:cs typeface="+mn-cs"/>
            </a:rPr>
            <a:t>3,258,406.79</a:t>
          </a:r>
          <a:r>
            <a:rPr lang="en-US" sz="1100" b="0" baseline="0">
              <a:solidFill>
                <a:schemeClr val="dk1"/>
              </a:solidFill>
              <a:effectLst/>
              <a:latin typeface="Calibri" panose="020F0502020204030204" pitchFamily="34" charset="0"/>
              <a:ea typeface="+mn-ea"/>
              <a:cs typeface="Times New Roman" panose="02020603050405020304" pitchFamily="18" charset="0"/>
            </a:rPr>
            <a:t>(P2)</a:t>
          </a:r>
          <a:r>
            <a:rPr lang="en-US" sz="1100" baseline="30000">
              <a:effectLst/>
              <a:latin typeface="Calibri" panose="020F0502020204030204" pitchFamily="34" charset="0"/>
              <a:ea typeface="Calibri" panose="020F0502020204030204" pitchFamily="34" charset="0"/>
              <a:cs typeface="Times New Roman" panose="02020603050405020304" pitchFamily="18" charset="0"/>
            </a:rPr>
            <a:t>-1.41</a:t>
          </a:r>
          <a:endParaRPr lang="en-US" sz="1100" baseline="0"/>
        </a:p>
        <a:p>
          <a:r>
            <a:rPr lang="en-US" sz="1100" baseline="0"/>
            <a:t>Cost prices C1,C2 are the cost incurred by the manufacturer to produce the tubs.</a:t>
          </a:r>
        </a:p>
        <a:p>
          <a:r>
            <a:rPr lang="en-US" sz="1100" baseline="0"/>
            <a:t>C1 -Manufacturing cost for Aqua-spa tubs , C2 -Manufacturing cost for Hydro-Luxe tubs</a:t>
          </a:r>
          <a:endParaRPr lang="en-US" sz="1100"/>
        </a:p>
      </xdr:txBody>
    </xdr:sp>
    <xdr:clientData/>
  </xdr:twoCellAnchor>
  <xdr:twoCellAnchor>
    <xdr:from>
      <xdr:col>5</xdr:col>
      <xdr:colOff>0</xdr:colOff>
      <xdr:row>15</xdr:row>
      <xdr:rowOff>207818</xdr:rowOff>
    </xdr:from>
    <xdr:to>
      <xdr:col>11</xdr:col>
      <xdr:colOff>842818</xdr:colOff>
      <xdr:row>21</xdr:row>
      <xdr:rowOff>115454</xdr:rowOff>
    </xdr:to>
    <xdr:sp macro="" textlink="">
      <xdr:nvSpPr>
        <xdr:cNvPr id="4" name="TextBox 3">
          <a:extLst>
            <a:ext uri="{FF2B5EF4-FFF2-40B4-BE49-F238E27FC236}">
              <a16:creationId xmlns:a16="http://schemas.microsoft.com/office/drawing/2014/main" id="{526C87B2-DFD6-2D4C-A448-7EE56B44B20F}"/>
            </a:ext>
          </a:extLst>
        </xdr:cNvPr>
        <xdr:cNvSpPr txBox="1"/>
      </xdr:nvSpPr>
      <xdr:spPr>
        <a:xfrm>
          <a:off x="6407727" y="3706091"/>
          <a:ext cx="5899727" cy="1189181"/>
        </a:xfrm>
        <a:prstGeom prst="rect">
          <a:avLst/>
        </a:prstGeom>
        <a:solidFill>
          <a:schemeClr val="accent4">
            <a:lumMod val="20000"/>
            <a:lumOff val="80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Objective function: </a:t>
          </a:r>
        </a:p>
        <a:p>
          <a:r>
            <a:rPr lang="en-US" sz="1100" u="none"/>
            <a:t>The</a:t>
          </a:r>
          <a:r>
            <a:rPr lang="en-US" sz="1100" u="none" baseline="0"/>
            <a:t> objective of this optimization model is to </a:t>
          </a:r>
          <a:r>
            <a:rPr lang="en-US" sz="1100" b="1" i="1" u="none" baseline="0"/>
            <a:t>maximize the total monthly profit for Blue-Ridge Hot-tubs.</a:t>
          </a:r>
        </a:p>
        <a:p>
          <a:r>
            <a:rPr lang="en-US" sz="1100" u="none" baseline="0"/>
            <a:t>Mathematically, Objective function is the sum of product of demand and profit</a:t>
          </a:r>
          <a:r>
            <a:rPr lang="en-US" sz="1100" b="1" u="none" baseline="0"/>
            <a:t> </a:t>
          </a:r>
          <a:r>
            <a:rPr lang="en-US" sz="1100" b="0" u="none" baseline="0"/>
            <a:t>of the 2 tub types manufactured by Blue-Ridge. </a:t>
          </a:r>
        </a:p>
        <a:p>
          <a:r>
            <a:rPr lang="en-US" sz="1100" b="0" u="none" baseline="0"/>
            <a:t>(Profit is the difference between the Price and manufacturing cost of the respective tubs.)</a:t>
          </a:r>
          <a:endParaRPr lang="en-US" sz="1100" u="none"/>
        </a:p>
      </xdr:txBody>
    </xdr:sp>
    <xdr:clientData/>
  </xdr:twoCellAnchor>
  <xdr:twoCellAnchor>
    <xdr:from>
      <xdr:col>5</xdr:col>
      <xdr:colOff>11546</xdr:colOff>
      <xdr:row>22</xdr:row>
      <xdr:rowOff>11546</xdr:rowOff>
    </xdr:from>
    <xdr:to>
      <xdr:col>11</xdr:col>
      <xdr:colOff>808182</xdr:colOff>
      <xdr:row>34</xdr:row>
      <xdr:rowOff>173182</xdr:rowOff>
    </xdr:to>
    <xdr:sp macro="" textlink="">
      <xdr:nvSpPr>
        <xdr:cNvPr id="5" name="TextBox 4">
          <a:extLst>
            <a:ext uri="{FF2B5EF4-FFF2-40B4-BE49-F238E27FC236}">
              <a16:creationId xmlns:a16="http://schemas.microsoft.com/office/drawing/2014/main" id="{832F23E1-E25E-5D4E-B0D0-DF2AFFDCD205}"/>
            </a:ext>
          </a:extLst>
        </xdr:cNvPr>
        <xdr:cNvSpPr txBox="1"/>
      </xdr:nvSpPr>
      <xdr:spPr>
        <a:xfrm>
          <a:off x="6419273" y="4999182"/>
          <a:ext cx="5853545" cy="2667000"/>
        </a:xfrm>
        <a:prstGeom prst="rect">
          <a:avLst/>
        </a:prstGeom>
        <a:solidFill>
          <a:schemeClr val="accent2">
            <a:lumMod val="20000"/>
            <a:lumOff val="80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Constraints: </a:t>
          </a:r>
        </a:p>
        <a:p>
          <a:r>
            <a:rPr lang="en-US" sz="1100" b="0" u="none"/>
            <a:t>We have 2 kinds of constraints in this model. </a:t>
          </a:r>
        </a:p>
        <a:p>
          <a:r>
            <a:rPr lang="en-US" sz="1100" b="0" u="none"/>
            <a:t>First one</a:t>
          </a:r>
          <a:r>
            <a:rPr lang="en-US" sz="1100" b="0" u="none" baseline="0"/>
            <a:t> is the supply constraint. This denotes the total availability of the raw materials (the tubs require Pumps, tubing materials and labor) needed to manufacture the 2 types of tubs. So as per the problem statment,</a:t>
          </a:r>
        </a:p>
        <a:p>
          <a:r>
            <a:rPr lang="en-US" sz="1100" b="0" u="none" baseline="0"/>
            <a:t>Maximum pumps available is 200 units</a:t>
          </a:r>
        </a:p>
        <a:p>
          <a:r>
            <a:rPr lang="en-US" sz="1100" b="0" u="none" baseline="0"/>
            <a:t>Maximum tubing material available for production is 2600 feet.</a:t>
          </a:r>
        </a:p>
        <a:p>
          <a:r>
            <a:rPr lang="en-US" sz="1100" b="0" u="none" baseline="0"/>
            <a:t>Maximum labor hours available for production is 2000 hours.</a:t>
          </a:r>
        </a:p>
        <a:p>
          <a:endParaRPr lang="en-US" sz="1100" b="0" u="none" baseline="0"/>
        </a:p>
        <a:p>
          <a:r>
            <a:rPr lang="en-US" sz="1100" b="0" u="none" baseline="0"/>
            <a:t>The second type of constraint is the cost constraint.</a:t>
          </a:r>
        </a:p>
        <a:p>
          <a:r>
            <a:rPr lang="en-US" sz="1100" b="0" u="none" baseline="0"/>
            <a:t>In order to profit, the selling price of each Aqua-spa tub should at least be fixed at $540, as it costs that much to produce one Aqua-spa tub.</a:t>
          </a:r>
        </a:p>
        <a:p>
          <a:r>
            <a:rPr lang="en-US" sz="1100" b="0" u="none" baseline="0"/>
            <a:t>The selling price of each Hydro-Luxe tub should at least be fixed at $640, as it costs that much to produce one Hydro-Luxe tub.</a:t>
          </a:r>
        </a:p>
        <a:p>
          <a:r>
            <a:rPr lang="en-US" sz="1100" b="0" u="none" baseline="0"/>
            <a:t>The selling prices of each tub type should be a non-negative number.</a:t>
          </a:r>
        </a:p>
        <a:p>
          <a:endParaRPr lang="en-US" sz="1100" b="0" u="none"/>
        </a:p>
      </xdr:txBody>
    </xdr:sp>
    <xdr:clientData/>
  </xdr:twoCellAnchor>
  <xdr:twoCellAnchor editAs="oneCell">
    <xdr:from>
      <xdr:col>0</xdr:col>
      <xdr:colOff>600365</xdr:colOff>
      <xdr:row>27</xdr:row>
      <xdr:rowOff>150092</xdr:rowOff>
    </xdr:from>
    <xdr:to>
      <xdr:col>3</xdr:col>
      <xdr:colOff>819729</xdr:colOff>
      <xdr:row>50</xdr:row>
      <xdr:rowOff>142618</xdr:rowOff>
    </xdr:to>
    <xdr:pic>
      <xdr:nvPicPr>
        <xdr:cNvPr id="7" name="Picture 6">
          <a:extLst>
            <a:ext uri="{FF2B5EF4-FFF2-40B4-BE49-F238E27FC236}">
              <a16:creationId xmlns:a16="http://schemas.microsoft.com/office/drawing/2014/main" id="{5F891074-A0AF-7A44-996F-84668C1A15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365" y="6384637"/>
          <a:ext cx="4445000" cy="47723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29</xdr:row>
      <xdr:rowOff>0</xdr:rowOff>
    </xdr:from>
    <xdr:to>
      <xdr:col>10</xdr:col>
      <xdr:colOff>673100</xdr:colOff>
      <xdr:row>43</xdr:row>
      <xdr:rowOff>190500</xdr:rowOff>
    </xdr:to>
    <xdr:graphicFrame macro="">
      <xdr:nvGraphicFramePr>
        <xdr:cNvPr id="3" name="Chart 2">
          <a:extLst>
            <a:ext uri="{FF2B5EF4-FFF2-40B4-BE49-F238E27FC236}">
              <a16:creationId xmlns:a16="http://schemas.microsoft.com/office/drawing/2014/main" id="{CDDBA112-9C6C-B041-9295-FF2D606C8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635000</xdr:colOff>
      <xdr:row>30</xdr:row>
      <xdr:rowOff>114300</xdr:rowOff>
    </xdr:from>
    <xdr:to>
      <xdr:col>10</xdr:col>
      <xdr:colOff>292100</xdr:colOff>
      <xdr:row>31</xdr:row>
      <xdr:rowOff>139700</xdr:rowOff>
    </xdr:to>
    <xdr:sp macro="" textlink="">
      <xdr:nvSpPr>
        <xdr:cNvPr id="8" name="Rounded Rectangular Callout 7">
          <a:extLst>
            <a:ext uri="{FF2B5EF4-FFF2-40B4-BE49-F238E27FC236}">
              <a16:creationId xmlns:a16="http://schemas.microsoft.com/office/drawing/2014/main" id="{5BD8515C-38B3-B042-9019-3F45EA713E5E}"/>
            </a:ext>
          </a:extLst>
        </xdr:cNvPr>
        <xdr:cNvSpPr/>
      </xdr:nvSpPr>
      <xdr:spPr>
        <a:xfrm>
          <a:off x="8356600" y="6731000"/>
          <a:ext cx="1435100" cy="241300"/>
        </a:xfrm>
        <a:prstGeom prst="wedgeRoundRectCallout">
          <a:avLst>
            <a:gd name="adj1" fmla="val -68106"/>
            <a:gd name="adj2" fmla="val 92500"/>
            <a:gd name="adj3" fmla="val 16667"/>
          </a:avLst>
        </a:prstGeom>
        <a:solidFill>
          <a:schemeClr val="accent6">
            <a:lumMod val="60000"/>
            <a:lumOff val="40000"/>
            <a:alpha val="4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tx1"/>
              </a:solidFill>
            </a:rPr>
            <a:t>$1578.46,$62195</a:t>
          </a:r>
          <a:r>
            <a:rPr lang="en-US"/>
            <a:t>Profit Vs. Price for Aqua-spa tubs</a:t>
          </a:r>
        </a:p>
        <a:p>
          <a:pPr algn="l"/>
          <a:r>
            <a:rPr lang="en-US" sz="1100">
              <a:solidFill>
                <a:schemeClr val="tx1"/>
              </a:solidFill>
            </a:rPr>
            <a:t>.67</a:t>
          </a:r>
        </a:p>
      </xdr:txBody>
    </xdr:sp>
    <xdr:clientData/>
  </xdr:twoCellAnchor>
  <xdr:oneCellAnchor>
    <xdr:from>
      <xdr:col>8</xdr:col>
      <xdr:colOff>88900</xdr:colOff>
      <xdr:row>16</xdr:row>
      <xdr:rowOff>38100</xdr:rowOff>
    </xdr:from>
    <xdr:ext cx="184731" cy="264431"/>
    <xdr:sp macro="" textlink="">
      <xdr:nvSpPr>
        <xdr:cNvPr id="10" name="TextBox 9">
          <a:extLst>
            <a:ext uri="{FF2B5EF4-FFF2-40B4-BE49-F238E27FC236}">
              <a16:creationId xmlns:a16="http://schemas.microsoft.com/office/drawing/2014/main" id="{F35AB1AD-74E2-5446-8BF4-67F39F214557}"/>
            </a:ext>
          </a:extLst>
        </xdr:cNvPr>
        <xdr:cNvSpPr txBox="1"/>
      </xdr:nvSpPr>
      <xdr:spPr>
        <a:xfrm>
          <a:off x="7810500" y="37338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8</xdr:col>
      <xdr:colOff>12701</xdr:colOff>
      <xdr:row>9</xdr:row>
      <xdr:rowOff>0</xdr:rowOff>
    </xdr:from>
    <xdr:to>
      <xdr:col>15</xdr:col>
      <xdr:colOff>646547</xdr:colOff>
      <xdr:row>26</xdr:row>
      <xdr:rowOff>207818</xdr:rowOff>
    </xdr:to>
    <xdr:sp macro="" textlink="">
      <xdr:nvSpPr>
        <xdr:cNvPr id="11" name="TextBox 10">
          <a:extLst>
            <a:ext uri="{FF2B5EF4-FFF2-40B4-BE49-F238E27FC236}">
              <a16:creationId xmlns:a16="http://schemas.microsoft.com/office/drawing/2014/main" id="{A925AE1D-86B2-BB4B-8AF5-B8B2DD95070C}"/>
            </a:ext>
          </a:extLst>
        </xdr:cNvPr>
        <xdr:cNvSpPr txBox="1"/>
      </xdr:nvSpPr>
      <xdr:spPr>
        <a:xfrm>
          <a:off x="7759701" y="2667000"/>
          <a:ext cx="6810664" cy="3821545"/>
        </a:xfrm>
        <a:prstGeom prst="rect">
          <a:avLst/>
        </a:prstGeom>
        <a:solidFill>
          <a:schemeClr val="bg2">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Optimal solution</a:t>
          </a:r>
          <a:r>
            <a:rPr lang="en-US" sz="1100" u="sng" baseline="0"/>
            <a:t> given by the solver:</a:t>
          </a:r>
        </a:p>
        <a:p>
          <a:r>
            <a:rPr lang="en-US" sz="1100" u="none"/>
            <a:t>As</a:t>
          </a:r>
          <a:r>
            <a:rPr lang="en-US" sz="1100" u="none" baseline="0"/>
            <a:t> per the solver analysis, we see the following values for the Prices P1 and P2,</a:t>
          </a:r>
        </a:p>
        <a:p>
          <a:r>
            <a:rPr lang="en-US" sz="1100" u="none" baseline="0"/>
            <a:t>Input variables D1 and D2 and the objective function.</a:t>
          </a:r>
        </a:p>
        <a:p>
          <a:r>
            <a:rPr lang="en-US" sz="1100" b="0" i="0" u="none" strike="noStrike">
              <a:solidFill>
                <a:schemeClr val="dk1"/>
              </a:solidFill>
              <a:effectLst/>
              <a:latin typeface="+mn-lt"/>
              <a:ea typeface="+mn-ea"/>
              <a:cs typeface="+mn-cs"/>
            </a:rPr>
            <a:t>Price per unit for Aqua-spa tub</a:t>
          </a:r>
          <a:r>
            <a:rPr lang="en-US"/>
            <a:t> is  $1578.46</a:t>
          </a:r>
        </a:p>
        <a:p>
          <a:r>
            <a:rPr lang="en-US" sz="1100" b="0" i="0" u="none" strike="noStrike">
              <a:solidFill>
                <a:schemeClr val="dk1"/>
              </a:solidFill>
              <a:effectLst/>
              <a:latin typeface="+mn-lt"/>
              <a:ea typeface="+mn-ea"/>
              <a:cs typeface="+mn-cs"/>
            </a:rPr>
            <a:t>Price per unit for Hydra-luxe tub</a:t>
          </a:r>
          <a:r>
            <a:rPr lang="en-US"/>
            <a:t>  is  $2200.98</a:t>
          </a:r>
          <a:endParaRPr lang="en-US" sz="1100" u="none" baseline="0"/>
        </a:p>
        <a:p>
          <a:r>
            <a:rPr lang="en-US" sz="1100" u="none" baseline="0"/>
            <a:t>Demand for Aqua-spa is fixed at D1 = </a:t>
          </a:r>
          <a:r>
            <a:rPr lang="en-US" sz="1100" b="0" i="0" u="none" strike="noStrike">
              <a:solidFill>
                <a:schemeClr val="dk1"/>
              </a:solidFill>
              <a:effectLst/>
              <a:latin typeface="+mn-lt"/>
              <a:ea typeface="+mn-ea"/>
              <a:cs typeface="+mn-cs"/>
            </a:rPr>
            <a:t>59.89219356</a:t>
          </a:r>
          <a:r>
            <a:rPr lang="en-US"/>
            <a:t>   (non-integer solution</a:t>
          </a:r>
          <a:r>
            <a:rPr lang="en-US" baseline="0"/>
            <a:t> for demand)</a:t>
          </a:r>
          <a:endParaRPr lang="en-US"/>
        </a:p>
        <a:p>
          <a:r>
            <a:rPr lang="en-US" sz="1100" u="none" baseline="0"/>
            <a:t>Demand for Hydro-Luxe is fixed at D2 = </a:t>
          </a:r>
          <a:r>
            <a:rPr lang="en-US" sz="1100" b="0" i="0" u="none" strike="noStrike">
              <a:solidFill>
                <a:schemeClr val="dk1"/>
              </a:solidFill>
              <a:effectLst/>
              <a:latin typeface="+mn-lt"/>
              <a:ea typeface="+mn-ea"/>
              <a:cs typeface="+mn-cs"/>
            </a:rPr>
            <a:t>63.0838011</a:t>
          </a:r>
          <a:r>
            <a:rPr lang="en-US"/>
            <a:t>  (non-integer solution</a:t>
          </a:r>
          <a:r>
            <a:rPr lang="en-US" baseline="0"/>
            <a:t> for demand)</a:t>
          </a:r>
        </a:p>
        <a:p>
          <a:endParaRPr lang="en-US" baseline="0"/>
        </a:p>
        <a:p>
          <a:r>
            <a:rPr lang="en-US" baseline="0"/>
            <a:t>The solver solution is manually verified in the Profit Vs.Price charts for Aqua-spa and Hydro-Luxe tubs respectively, using varying values of Prices and we can see the profit peaks at their optimal solution of prices.</a:t>
          </a:r>
        </a:p>
        <a:p>
          <a:endParaRPr lang="en-US" baseline="0"/>
        </a:p>
        <a:p>
          <a:r>
            <a:rPr lang="en-US" u="sng" baseline="0"/>
            <a:t>Constraints:</a:t>
          </a:r>
        </a:p>
        <a:p>
          <a:r>
            <a:rPr lang="en-US" u="none" baseline="0"/>
            <a:t>As per the solver analysis, we can see that all the raw materials are not consumed fully.</a:t>
          </a:r>
        </a:p>
        <a:p>
          <a:endParaRPr lang="en-US" u="none" baseline="0"/>
        </a:p>
        <a:p>
          <a:r>
            <a:rPr lang="en-US" u="none" baseline="0"/>
            <a:t>A total of 122.97 pumps units out of the available 200,only </a:t>
          </a:r>
          <a:r>
            <a:rPr lang="en-US" sz="1100" b="0" i="0" u="none" strike="noStrike">
              <a:solidFill>
                <a:schemeClr val="dk1"/>
              </a:solidFill>
              <a:effectLst/>
              <a:latin typeface="+mn-lt"/>
              <a:ea typeface="+mn-ea"/>
              <a:cs typeface="+mn-cs"/>
            </a:rPr>
            <a:t>1482.09</a:t>
          </a:r>
          <a:r>
            <a:rPr lang="en-US" u="none" baseline="0"/>
            <a:t> ft of the tubing material is used out of the 2600 ft and we use 1109.97 hours out of the available 2000 hours of the labor in the manufacturing process.</a:t>
          </a:r>
        </a:p>
        <a:p>
          <a:endParaRPr lang="en-US" u="none" baseline="0"/>
        </a:p>
        <a:p>
          <a:r>
            <a:rPr lang="en-US" u="none" baseline="0"/>
            <a:t>This is because the production is constrained to cater exactly to the demand and Blue-Ridge does not want to hold inventory.</a:t>
          </a:r>
        </a:p>
        <a:p>
          <a:r>
            <a:rPr lang="en-US" u="none" baseline="0"/>
            <a:t>Any excess usage of the raw materials would result in increased production and will impact the Price, hence the profit.</a:t>
          </a:r>
        </a:p>
        <a:p>
          <a:endParaRPr lang="en-US" u="none" baseline="0"/>
        </a:p>
        <a:p>
          <a:endParaRPr lang="en-US" u="none" baseline="0"/>
        </a:p>
        <a:p>
          <a:endParaRPr lang="en-US" sz="1100" u="none" baseline="0"/>
        </a:p>
      </xdr:txBody>
    </xdr:sp>
    <xdr:clientData/>
  </xdr:twoCellAnchor>
  <xdr:twoCellAnchor>
    <xdr:from>
      <xdr:col>8</xdr:col>
      <xdr:colOff>88900</xdr:colOff>
      <xdr:row>44</xdr:row>
      <xdr:rowOff>179277</xdr:rowOff>
    </xdr:from>
    <xdr:to>
      <xdr:col>16</xdr:col>
      <xdr:colOff>101600</xdr:colOff>
      <xdr:row>55</xdr:row>
      <xdr:rowOff>12700</xdr:rowOff>
    </xdr:to>
    <xdr:sp macro="" textlink="">
      <xdr:nvSpPr>
        <xdr:cNvPr id="12" name="TextBox 11">
          <a:extLst>
            <a:ext uri="{FF2B5EF4-FFF2-40B4-BE49-F238E27FC236}">
              <a16:creationId xmlns:a16="http://schemas.microsoft.com/office/drawing/2014/main" id="{FD0012C9-A26A-6D4B-8E1B-74BFBA83A9DA}"/>
            </a:ext>
          </a:extLst>
        </xdr:cNvPr>
        <xdr:cNvSpPr txBox="1"/>
      </xdr:nvSpPr>
      <xdr:spPr>
        <a:xfrm>
          <a:off x="7924800" y="10097977"/>
          <a:ext cx="7010400" cy="2106723"/>
        </a:xfrm>
        <a:prstGeom prst="rect">
          <a:avLst/>
        </a:prstGeom>
        <a:solidFill>
          <a:schemeClr val="bg2">
            <a:lumMod val="75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Comments on the integer solution:</a:t>
          </a:r>
        </a:p>
        <a:p>
          <a:endParaRPr lang="en-US" sz="1100" b="1" u="sng"/>
        </a:p>
        <a:p>
          <a:r>
            <a:rPr lang="en-US" sz="1100" b="0" u="none"/>
            <a:t>As</a:t>
          </a:r>
          <a:r>
            <a:rPr lang="en-US" sz="1100" b="0" u="none" baseline="0"/>
            <a:t> per the solver, we see the following demands for Aqua-spa and Hydro-Luxe tubs.</a:t>
          </a:r>
        </a:p>
        <a:p>
          <a:pPr marL="0" marR="0" indent="0" defTabSz="914400" eaLnBrk="1" fontAlgn="auto" latinLnBrk="0" hangingPunct="1">
            <a:lnSpc>
              <a:spcPct val="100000"/>
            </a:lnSpc>
            <a:spcBef>
              <a:spcPts val="0"/>
            </a:spcBef>
            <a:spcAft>
              <a:spcPts val="0"/>
            </a:spcAft>
            <a:buClrTx/>
            <a:buSzTx/>
            <a:buFontTx/>
            <a:buNone/>
            <a:tabLst/>
            <a:defRPr/>
          </a:pPr>
          <a:r>
            <a:rPr lang="en-US" sz="1100" b="0" u="none" baseline="0"/>
            <a:t>Demand for Aqua-spa - </a:t>
          </a:r>
          <a:r>
            <a:rPr lang="en-US" sz="1100" b="0" i="0" u="none" strike="noStrike">
              <a:solidFill>
                <a:srgbClr val="000000"/>
              </a:solidFill>
              <a:effectLst/>
              <a:latin typeface="Calibri" panose="020F0502020204030204" pitchFamily="34" charset="0"/>
            </a:rPr>
            <a:t>59.89219356</a:t>
          </a:r>
          <a:r>
            <a:rPr lang="en-US"/>
            <a:t> </a:t>
          </a:r>
        </a:p>
        <a:p>
          <a:pPr marL="0" marR="0" indent="0" defTabSz="914400" eaLnBrk="1" fontAlgn="auto" latinLnBrk="0" hangingPunct="1">
            <a:lnSpc>
              <a:spcPct val="100000"/>
            </a:lnSpc>
            <a:spcBef>
              <a:spcPts val="0"/>
            </a:spcBef>
            <a:spcAft>
              <a:spcPts val="0"/>
            </a:spcAft>
            <a:buClrTx/>
            <a:buSzTx/>
            <a:buFontTx/>
            <a:buNone/>
            <a:tabLst/>
            <a:defRPr/>
          </a:pPr>
          <a:r>
            <a:rPr lang="en-US" sz="1100" b="0" u="none"/>
            <a:t>Demand for Hydro-Luxe - </a:t>
          </a:r>
          <a:r>
            <a:rPr lang="en-US" sz="1100" b="0" i="0" u="none" strike="noStrike">
              <a:solidFill>
                <a:srgbClr val="000000"/>
              </a:solidFill>
              <a:effectLst/>
              <a:latin typeface="Calibri" panose="020F0502020204030204" pitchFamily="34" charset="0"/>
            </a:rPr>
            <a:t>63.0838011</a:t>
          </a:r>
          <a:r>
            <a:rPr lang="en-US"/>
            <a:t>  </a:t>
          </a:r>
        </a:p>
        <a:p>
          <a:pPr marL="0" marR="0" indent="0" defTabSz="914400" eaLnBrk="1" fontAlgn="auto" latinLnBrk="0" hangingPunct="1">
            <a:lnSpc>
              <a:spcPct val="100000"/>
            </a:lnSpc>
            <a:spcBef>
              <a:spcPts val="0"/>
            </a:spcBef>
            <a:spcAft>
              <a:spcPts val="0"/>
            </a:spcAft>
            <a:buClrTx/>
            <a:buSzTx/>
            <a:buFontTx/>
            <a:buNone/>
            <a:tabLst/>
            <a:defRPr/>
          </a:pPr>
          <a:r>
            <a:rPr lang="en-US" sz="1100" b="0" u="none"/>
            <a:t>When encountered with non-integer demand values while in</a:t>
          </a:r>
          <a:r>
            <a:rPr lang="en-US" sz="1100" b="0" u="none" baseline="0"/>
            <a:t> production, it is a good practice to round the non-integer to the nearest possible integer, provided all the constraints are met.</a:t>
          </a:r>
        </a:p>
        <a:p>
          <a:pPr marL="0" marR="0" indent="0" defTabSz="914400" eaLnBrk="1" fontAlgn="auto" latinLnBrk="0" hangingPunct="1">
            <a:lnSpc>
              <a:spcPct val="100000"/>
            </a:lnSpc>
            <a:spcBef>
              <a:spcPts val="0"/>
            </a:spcBef>
            <a:spcAft>
              <a:spcPts val="0"/>
            </a:spcAft>
            <a:buClrTx/>
            <a:buSzTx/>
            <a:buFontTx/>
            <a:buNone/>
            <a:tabLst/>
            <a:defRPr/>
          </a:pPr>
          <a:endParaRPr lang="en-US" sz="1100" b="0" u="none" baseline="0"/>
        </a:p>
        <a:p>
          <a:pPr marL="0" marR="0" indent="0" defTabSz="914400" eaLnBrk="1" fontAlgn="auto" latinLnBrk="0" hangingPunct="1">
            <a:lnSpc>
              <a:spcPct val="100000"/>
            </a:lnSpc>
            <a:spcBef>
              <a:spcPts val="0"/>
            </a:spcBef>
            <a:spcAft>
              <a:spcPts val="0"/>
            </a:spcAft>
            <a:buClrTx/>
            <a:buSzTx/>
            <a:buFontTx/>
            <a:buNone/>
            <a:tabLst/>
            <a:defRPr/>
          </a:pPr>
          <a:r>
            <a:rPr lang="en-US" sz="1100" b="0" i="0" u="none" baseline="0"/>
            <a:t>In</a:t>
          </a:r>
          <a:r>
            <a:rPr lang="en-US" sz="1100" b="0" u="none" baseline="0"/>
            <a:t> our case, Demand for Aqua-spa can be rounded up to 60 and Demand for Hydro-Luxe can be rounded up to 64 as it still falls under the permissible limits of the supplies and labor constraints .</a:t>
          </a:r>
        </a:p>
        <a:p>
          <a:pPr marL="0" marR="0" indent="0" defTabSz="914400" eaLnBrk="1" fontAlgn="auto" latinLnBrk="0" hangingPunct="1">
            <a:lnSpc>
              <a:spcPct val="100000"/>
            </a:lnSpc>
            <a:spcBef>
              <a:spcPts val="0"/>
            </a:spcBef>
            <a:spcAft>
              <a:spcPts val="0"/>
            </a:spcAft>
            <a:buClrTx/>
            <a:buSzTx/>
            <a:buFontTx/>
            <a:buNone/>
            <a:tabLst/>
            <a:defRPr/>
          </a:pPr>
          <a:endParaRPr lang="en-US" sz="1100" b="0" u="none" baseline="0"/>
        </a:p>
        <a:p>
          <a:pPr marL="0" marR="0" indent="0" defTabSz="914400" eaLnBrk="1" fontAlgn="auto" latinLnBrk="0" hangingPunct="1">
            <a:lnSpc>
              <a:spcPct val="100000"/>
            </a:lnSpc>
            <a:spcBef>
              <a:spcPts val="0"/>
            </a:spcBef>
            <a:spcAft>
              <a:spcPts val="0"/>
            </a:spcAft>
            <a:buClrTx/>
            <a:buSzTx/>
            <a:buFontTx/>
            <a:buNone/>
            <a:tabLst/>
            <a:defRPr/>
          </a:pPr>
          <a:endParaRPr lang="en-US" sz="1100" b="0" u="none" baseline="0"/>
        </a:p>
        <a:p>
          <a:pPr marL="0" marR="0" indent="0" defTabSz="914400" eaLnBrk="1" fontAlgn="auto" latinLnBrk="0" hangingPunct="1">
            <a:lnSpc>
              <a:spcPct val="100000"/>
            </a:lnSpc>
            <a:spcBef>
              <a:spcPts val="0"/>
            </a:spcBef>
            <a:spcAft>
              <a:spcPts val="0"/>
            </a:spcAft>
            <a:buClrTx/>
            <a:buSzTx/>
            <a:buFontTx/>
            <a:buNone/>
            <a:tabLst/>
            <a:defRPr/>
          </a:pPr>
          <a:endParaRPr lang="en-US" baseline="0"/>
        </a:p>
      </xdr:txBody>
    </xdr:sp>
    <xdr:clientData/>
  </xdr:twoCellAnchor>
  <xdr:twoCellAnchor>
    <xdr:from>
      <xdr:col>10</xdr:col>
      <xdr:colOff>837044</xdr:colOff>
      <xdr:row>28</xdr:row>
      <xdr:rowOff>204353</xdr:rowOff>
    </xdr:from>
    <xdr:to>
      <xdr:col>17</xdr:col>
      <xdr:colOff>11544</xdr:colOff>
      <xdr:row>44</xdr:row>
      <xdr:rowOff>23091</xdr:rowOff>
    </xdr:to>
    <xdr:graphicFrame macro="">
      <xdr:nvGraphicFramePr>
        <xdr:cNvPr id="14" name="Chart 13">
          <a:extLst>
            <a:ext uri="{FF2B5EF4-FFF2-40B4-BE49-F238E27FC236}">
              <a16:creationId xmlns:a16="http://schemas.microsoft.com/office/drawing/2014/main" id="{A4F6EDC7-B21C-CC48-91B9-5D5AD9ABF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0.61339</cdr:x>
      <cdr:y>0.16596</cdr:y>
    </cdr:from>
    <cdr:to>
      <cdr:x>0.88628</cdr:x>
      <cdr:y>0.24241</cdr:y>
    </cdr:to>
    <cdr:sp macro="" textlink="">
      <cdr:nvSpPr>
        <cdr:cNvPr id="2" name="Rounded Rectangular Callout 1">
          <a:extLst xmlns:a="http://schemas.openxmlformats.org/drawingml/2006/main">
            <a:ext uri="{FF2B5EF4-FFF2-40B4-BE49-F238E27FC236}">
              <a16:creationId xmlns:a16="http://schemas.microsoft.com/office/drawing/2014/main" id="{5BD8515C-38B3-B042-9019-3F45EA713E5E}"/>
            </a:ext>
          </a:extLst>
        </cdr:cNvPr>
        <cdr:cNvSpPr/>
      </cdr:nvSpPr>
      <cdr:spPr>
        <a:xfrm xmlns:a="http://schemas.openxmlformats.org/drawingml/2006/main">
          <a:off x="3209502" y="520011"/>
          <a:ext cx="1427869" cy="239551"/>
        </a:xfrm>
        <a:prstGeom xmlns:a="http://schemas.openxmlformats.org/drawingml/2006/main" prst="wedgeRoundRectCallout">
          <a:avLst>
            <a:gd name="adj1" fmla="val -68106"/>
            <a:gd name="adj2" fmla="val 92500"/>
            <a:gd name="adj3" fmla="val 16667"/>
          </a:avLst>
        </a:prstGeom>
        <a:solidFill xmlns:a="http://schemas.openxmlformats.org/drawingml/2006/main">
          <a:schemeClr val="accent6">
            <a:lumMod val="60000"/>
            <a:lumOff val="40000"/>
            <a:alpha val="4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tx1"/>
              </a:solidFill>
            </a:rPr>
            <a:t>$2200.98,$98472.27</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311150</xdr:colOff>
      <xdr:row>35</xdr:row>
      <xdr:rowOff>158750</xdr:rowOff>
    </xdr:from>
    <xdr:to>
      <xdr:col>10</xdr:col>
      <xdr:colOff>571500</xdr:colOff>
      <xdr:row>50</xdr:row>
      <xdr:rowOff>76200</xdr:rowOff>
    </xdr:to>
    <xdr:graphicFrame macro="">
      <xdr:nvGraphicFramePr>
        <xdr:cNvPr id="2" name="Chart 1">
          <a:extLst>
            <a:ext uri="{FF2B5EF4-FFF2-40B4-BE49-F238E27FC236}">
              <a16:creationId xmlns:a16="http://schemas.microsoft.com/office/drawing/2014/main" id="{1FA612D6-926C-C14B-836A-5FDBFBC90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215900</xdr:colOff>
      <xdr:row>37</xdr:row>
      <xdr:rowOff>203200</xdr:rowOff>
    </xdr:from>
    <xdr:to>
      <xdr:col>7</xdr:col>
      <xdr:colOff>1549400</xdr:colOff>
      <xdr:row>39</xdr:row>
      <xdr:rowOff>88900</xdr:rowOff>
    </xdr:to>
    <xdr:sp macro="" textlink="">
      <xdr:nvSpPr>
        <xdr:cNvPr id="3" name="Rounded Rectangular Callout 2">
          <a:extLst>
            <a:ext uri="{FF2B5EF4-FFF2-40B4-BE49-F238E27FC236}">
              <a16:creationId xmlns:a16="http://schemas.microsoft.com/office/drawing/2014/main" id="{4F0749D2-B61A-E14A-A591-0F35365BE8F6}"/>
            </a:ext>
          </a:extLst>
        </xdr:cNvPr>
        <xdr:cNvSpPr/>
      </xdr:nvSpPr>
      <xdr:spPr>
        <a:xfrm>
          <a:off x="6375400" y="9296400"/>
          <a:ext cx="2959100" cy="304800"/>
        </a:xfrm>
        <a:prstGeom prst="wedgeRoundRectCallout">
          <a:avLst>
            <a:gd name="adj1" fmla="val 60311"/>
            <a:gd name="adj2" fmla="val 95834"/>
            <a:gd name="adj3" fmla="val 16667"/>
          </a:avLst>
        </a:prstGeom>
        <a:solidFill>
          <a:schemeClr val="accent2">
            <a:lumMod val="60000"/>
            <a:lumOff val="40000"/>
            <a:alpha val="4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$1490,$62110.62 (selling</a:t>
          </a:r>
          <a:r>
            <a:rPr lang="en-US" sz="1100" baseline="0">
              <a:solidFill>
                <a:schemeClr val="tx1"/>
              </a:solidFill>
            </a:rPr>
            <a:t> price constraint)</a:t>
          </a:r>
          <a:endParaRPr lang="en-US" sz="1100">
            <a:solidFill>
              <a:schemeClr val="tx1"/>
            </a:solidFill>
          </a:endParaRPr>
        </a:p>
      </xdr:txBody>
    </xdr:sp>
    <xdr:clientData/>
  </xdr:twoCellAnchor>
  <xdr:twoCellAnchor>
    <xdr:from>
      <xdr:col>10</xdr:col>
      <xdr:colOff>825500</xdr:colOff>
      <xdr:row>35</xdr:row>
      <xdr:rowOff>171450</xdr:rowOff>
    </xdr:from>
    <xdr:to>
      <xdr:col>16</xdr:col>
      <xdr:colOff>685800</xdr:colOff>
      <xdr:row>50</xdr:row>
      <xdr:rowOff>63500</xdr:rowOff>
    </xdr:to>
    <xdr:graphicFrame macro="">
      <xdr:nvGraphicFramePr>
        <xdr:cNvPr id="4" name="Chart 3">
          <a:extLst>
            <a:ext uri="{FF2B5EF4-FFF2-40B4-BE49-F238E27FC236}">
              <a16:creationId xmlns:a16="http://schemas.microsoft.com/office/drawing/2014/main" id="{E6AC32D2-FB5A-5848-BC43-ECD6EC22C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265545</xdr:colOff>
      <xdr:row>10</xdr:row>
      <xdr:rowOff>34636</xdr:rowOff>
    </xdr:from>
    <xdr:to>
      <xdr:col>13</xdr:col>
      <xdr:colOff>736601</xdr:colOff>
      <xdr:row>31</xdr:row>
      <xdr:rowOff>63500</xdr:rowOff>
    </xdr:to>
    <xdr:sp macro="" textlink="">
      <xdr:nvSpPr>
        <xdr:cNvPr id="5" name="TextBox 4">
          <a:extLst>
            <a:ext uri="{FF2B5EF4-FFF2-40B4-BE49-F238E27FC236}">
              <a16:creationId xmlns:a16="http://schemas.microsoft.com/office/drawing/2014/main" id="{A6932CEF-3FC7-7F42-9B62-937B4F28C307}"/>
            </a:ext>
          </a:extLst>
        </xdr:cNvPr>
        <xdr:cNvSpPr txBox="1"/>
      </xdr:nvSpPr>
      <xdr:spPr>
        <a:xfrm>
          <a:off x="8050645" y="3489036"/>
          <a:ext cx="6490856" cy="4397664"/>
        </a:xfrm>
        <a:prstGeom prst="rect">
          <a:avLst/>
        </a:prstGeom>
        <a:solidFill>
          <a:schemeClr val="bg2">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Optimal solution</a:t>
          </a:r>
          <a:r>
            <a:rPr lang="en-US" sz="1100" u="sng" baseline="0"/>
            <a:t> given by the solver:</a:t>
          </a:r>
        </a:p>
        <a:p>
          <a:r>
            <a:rPr lang="en-US" sz="1100" u="none"/>
            <a:t>As</a:t>
          </a:r>
          <a:r>
            <a:rPr lang="en-US" sz="1100" u="none" baseline="0"/>
            <a:t> per the solver analysis, we see the following values for the Prices P1 and P2,</a:t>
          </a:r>
        </a:p>
        <a:p>
          <a:r>
            <a:rPr lang="en-US" sz="1100" u="none" baseline="0"/>
            <a:t>Input variables D1 and D2 and the objective function.</a:t>
          </a:r>
        </a:p>
        <a:p>
          <a:endParaRPr lang="en-US" sz="1100" u="none" baseline="0"/>
        </a:p>
        <a:p>
          <a:r>
            <a:rPr lang="en-US" sz="1100" b="0" i="0" u="none" strike="noStrike">
              <a:solidFill>
                <a:schemeClr val="dk1"/>
              </a:solidFill>
              <a:effectLst/>
              <a:latin typeface="+mn-lt"/>
              <a:ea typeface="+mn-ea"/>
              <a:cs typeface="+mn-cs"/>
            </a:rPr>
            <a:t>Price per unit for Aqua-spa tub</a:t>
          </a:r>
          <a:r>
            <a:rPr lang="en-US"/>
            <a:t> is  $1490.00</a:t>
          </a:r>
        </a:p>
        <a:p>
          <a:r>
            <a:rPr lang="en-US" sz="1100" b="0" i="0" u="none" strike="noStrike">
              <a:solidFill>
                <a:schemeClr val="dk1"/>
              </a:solidFill>
              <a:effectLst/>
              <a:latin typeface="+mn-lt"/>
              <a:ea typeface="+mn-ea"/>
              <a:cs typeface="+mn-cs"/>
            </a:rPr>
            <a:t>Price per unit for Hydra-luxe tub</a:t>
          </a:r>
          <a:r>
            <a:rPr lang="en-US"/>
            <a:t>  is  $1990.00</a:t>
          </a:r>
          <a:endParaRPr lang="en-US" sz="1100" u="none" baseline="0"/>
        </a:p>
        <a:p>
          <a:r>
            <a:rPr lang="en-US" sz="1100" u="none" baseline="0"/>
            <a:t>Demand for Aqua-spa is fixed at D1 = </a:t>
          </a:r>
          <a:r>
            <a:rPr lang="en-US" sz="1100" b="0" i="0" u="none" strike="noStrike">
              <a:solidFill>
                <a:schemeClr val="dk1"/>
              </a:solidFill>
              <a:effectLst/>
              <a:latin typeface="+mn-lt"/>
              <a:ea typeface="+mn-ea"/>
              <a:cs typeface="+mn-cs"/>
            </a:rPr>
            <a:t>65.37960057</a:t>
          </a:r>
          <a:r>
            <a:rPr lang="en-US"/>
            <a:t>  (non-integer solution</a:t>
          </a:r>
          <a:r>
            <a:rPr lang="en-US" baseline="0"/>
            <a:t> for demand)</a:t>
          </a:r>
          <a:endParaRPr lang="en-US"/>
        </a:p>
        <a:p>
          <a:r>
            <a:rPr lang="en-US" sz="1100" u="none" baseline="0"/>
            <a:t>Demand for Hydro-Luxe is fixed at D2 = </a:t>
          </a:r>
          <a:r>
            <a:rPr lang="en-US" sz="1100" b="0" i="0" u="none" strike="noStrike">
              <a:solidFill>
                <a:schemeClr val="dk1"/>
              </a:solidFill>
              <a:effectLst/>
              <a:latin typeface="+mn-lt"/>
              <a:ea typeface="+mn-ea"/>
              <a:cs typeface="+mn-cs"/>
            </a:rPr>
            <a:t>72.71474147</a:t>
          </a:r>
          <a:r>
            <a:rPr lang="en-US"/>
            <a:t>  (non-integer solution</a:t>
          </a:r>
          <a:r>
            <a:rPr lang="en-US" baseline="0"/>
            <a:t> for demand)</a:t>
          </a:r>
        </a:p>
        <a:p>
          <a:endParaRPr lang="en-US" baseline="0"/>
        </a:p>
        <a:p>
          <a:r>
            <a:rPr lang="en-US" baseline="0"/>
            <a:t>The solver solution is manually verified in the Profit Vs.Price charts for Aqua-spa and Hydro-Luxe tubs respectively, using varying values of Prices and we can see that the Profit($) continues to rise beyond the constraint point as well.</a:t>
          </a:r>
        </a:p>
        <a:p>
          <a:endParaRPr lang="en-US" sz="1100" baseline="0"/>
        </a:p>
        <a:p>
          <a:r>
            <a:rPr lang="en-US" u="sng" baseline="0"/>
            <a:t>Constraints:</a:t>
          </a:r>
        </a:p>
        <a:p>
          <a:r>
            <a:rPr lang="en-US" u="none" baseline="0"/>
            <a:t>As per the solver analysis, we can see that all the raw materials and labor are not consumed fully.</a:t>
          </a:r>
        </a:p>
        <a:p>
          <a:endParaRPr lang="en-US" u="none" baseline="0"/>
        </a:p>
        <a:p>
          <a:r>
            <a:rPr lang="en-US" u="none" baseline="0"/>
            <a:t>A total of 138.09 pumps units out of the available 200, 1671.802 ft of the tubing material is used out of the 2600 ft and  1250.1842 hours of labor are used in the manufacturing process.</a:t>
          </a:r>
        </a:p>
        <a:p>
          <a:endParaRPr lang="en-US" u="none" baseline="0"/>
        </a:p>
        <a:p>
          <a:r>
            <a:rPr lang="en-US" u="none" baseline="0"/>
            <a:t>This is because the production is constrained to cater exactly to the demand and Blue-Ridge does not want to hold inventory.</a:t>
          </a:r>
        </a:p>
        <a:p>
          <a:r>
            <a:rPr lang="en-US" u="none" baseline="0"/>
            <a:t>Any excess usage of the raw materials would result in increased production and will impact the Price ,Demand hence the profit.</a:t>
          </a:r>
        </a:p>
        <a:p>
          <a:r>
            <a:rPr lang="en-US" u="none" baseline="0"/>
            <a:t>Also the Maximum prices of Aqua-spa and Hydro-Luxe are fixed at $1490 and $1990 respectively.</a:t>
          </a:r>
        </a:p>
        <a:p>
          <a:r>
            <a:rPr lang="en-US" u="none" baseline="0"/>
            <a:t>This impacts the total units produced and the amount of raw materials consumed.</a:t>
          </a:r>
        </a:p>
        <a:p>
          <a:endParaRPr lang="en-US" u="none" baseline="0"/>
        </a:p>
        <a:p>
          <a:endParaRPr lang="en-US" sz="1100"/>
        </a:p>
      </xdr:txBody>
    </xdr:sp>
    <xdr:clientData/>
  </xdr:twoCellAnchor>
  <xdr:twoCellAnchor>
    <xdr:from>
      <xdr:col>8</xdr:col>
      <xdr:colOff>152400</xdr:colOff>
      <xdr:row>51</xdr:row>
      <xdr:rowOff>0</xdr:rowOff>
    </xdr:from>
    <xdr:to>
      <xdr:col>13</xdr:col>
      <xdr:colOff>825500</xdr:colOff>
      <xdr:row>64</xdr:row>
      <xdr:rowOff>12700</xdr:rowOff>
    </xdr:to>
    <xdr:sp macro="" textlink="">
      <xdr:nvSpPr>
        <xdr:cNvPr id="7" name="TextBox 6">
          <a:extLst>
            <a:ext uri="{FF2B5EF4-FFF2-40B4-BE49-F238E27FC236}">
              <a16:creationId xmlns:a16="http://schemas.microsoft.com/office/drawing/2014/main" id="{537A7201-1669-FE42-B9FB-D2F9A5836BA4}"/>
            </a:ext>
          </a:extLst>
        </xdr:cNvPr>
        <xdr:cNvSpPr txBox="1"/>
      </xdr:nvSpPr>
      <xdr:spPr>
        <a:xfrm>
          <a:off x="9766300" y="11963400"/>
          <a:ext cx="4864100" cy="2921000"/>
        </a:xfrm>
        <a:prstGeom prst="rect">
          <a:avLst/>
        </a:prstGeom>
        <a:solidFill>
          <a:schemeClr val="bg2">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Comparison of the results:</a:t>
          </a:r>
        </a:p>
        <a:p>
          <a:endParaRPr lang="en-US" sz="1100" u="none" baseline="0"/>
        </a:p>
        <a:p>
          <a:r>
            <a:rPr lang="en-US" sz="1100" b="0" i="0" u="none" strike="noStrike">
              <a:solidFill>
                <a:schemeClr val="dk1"/>
              </a:solidFill>
              <a:effectLst/>
              <a:latin typeface="+mn-lt"/>
              <a:ea typeface="+mn-ea"/>
              <a:cs typeface="+mn-cs"/>
            </a:rPr>
            <a:t>Price per unit for Aqua-spa tub</a:t>
          </a:r>
          <a:r>
            <a:rPr lang="en-US"/>
            <a:t> is</a:t>
          </a:r>
          <a:r>
            <a:rPr lang="en-US" baseline="0"/>
            <a:t> reduced by about 5.6% after applying the selling price constraint.</a:t>
          </a:r>
        </a:p>
        <a:p>
          <a:r>
            <a:rPr lang="en-US" sz="1100" b="0" i="0" u="none" strike="noStrike">
              <a:solidFill>
                <a:schemeClr val="dk1"/>
              </a:solidFill>
              <a:effectLst/>
              <a:latin typeface="+mn-lt"/>
              <a:ea typeface="+mn-ea"/>
              <a:cs typeface="+mn-cs"/>
            </a:rPr>
            <a:t>Price per unit for Hydra-luxe tub</a:t>
          </a:r>
          <a:r>
            <a:rPr lang="en-US"/>
            <a:t> is reduced by about 9.5% after applying the selling</a:t>
          </a:r>
          <a:r>
            <a:rPr lang="en-US" baseline="0"/>
            <a:t> price constraint.</a:t>
          </a:r>
          <a:endParaRPr lang="en-US" sz="1100" u="none" baseline="0"/>
        </a:p>
        <a:p>
          <a:endParaRPr lang="en-US" sz="1100" u="none"/>
        </a:p>
        <a:p>
          <a:r>
            <a:rPr lang="en-US" sz="1100" u="none"/>
            <a:t>This</a:t>
          </a:r>
          <a:r>
            <a:rPr lang="en-US" sz="1100" u="none" baseline="0"/>
            <a:t> price  change does not impact the Total profits(objective function) in a significant way(there is about a 0.24% reduction)</a:t>
          </a:r>
        </a:p>
        <a:p>
          <a:r>
            <a:rPr lang="en-US" sz="1100" u="none" baseline="0"/>
            <a:t>This also results in an increase in demand, which could positively influence the brand value of the company by increasing market penetration.</a:t>
          </a:r>
        </a:p>
        <a:p>
          <a:endParaRPr lang="en-US" sz="1100" u="none" baseline="0"/>
        </a:p>
        <a:p>
          <a:r>
            <a:rPr lang="en-US" sz="1100" u="none" baseline="0"/>
            <a:t>More customers could result in positive review both online and word-of-mouth.</a:t>
          </a:r>
        </a:p>
        <a:p>
          <a:endParaRPr lang="en-US" sz="1100" u="none" baseline="0"/>
        </a:p>
        <a:p>
          <a:r>
            <a:rPr lang="en-US" sz="1100" u="none" baseline="0"/>
            <a:t>Hence this model with constraints on selling price could prove to be a better business decision overall.</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0.20519</cdr:x>
      <cdr:y>0.15711</cdr:y>
    </cdr:from>
    <cdr:to>
      <cdr:x>0.75065</cdr:x>
      <cdr:y>0.23567</cdr:y>
    </cdr:to>
    <cdr:sp macro="" textlink="">
      <cdr:nvSpPr>
        <cdr:cNvPr id="2" name="Rounded Rectangular Callout 1">
          <a:extLst xmlns:a="http://schemas.openxmlformats.org/drawingml/2006/main">
            <a:ext uri="{FF2B5EF4-FFF2-40B4-BE49-F238E27FC236}">
              <a16:creationId xmlns:a16="http://schemas.microsoft.com/office/drawing/2014/main" id="{4F0749D2-B61A-E14A-A591-0F35365BE8F6}"/>
            </a:ext>
          </a:extLst>
        </cdr:cNvPr>
        <cdr:cNvSpPr/>
      </cdr:nvSpPr>
      <cdr:spPr>
        <a:xfrm xmlns:a="http://schemas.openxmlformats.org/drawingml/2006/main">
          <a:off x="1003300" y="469900"/>
          <a:ext cx="2667000" cy="234950"/>
        </a:xfrm>
        <a:prstGeom xmlns:a="http://schemas.openxmlformats.org/drawingml/2006/main" prst="wedgeRoundRectCallout">
          <a:avLst>
            <a:gd name="adj1" fmla="val 33882"/>
            <a:gd name="adj2" fmla="val 163672"/>
            <a:gd name="adj3" fmla="val 16667"/>
          </a:avLst>
        </a:prstGeom>
        <a:solidFill xmlns:a="http://schemas.openxmlformats.org/drawingml/2006/main">
          <a:schemeClr val="accent2">
            <a:lumMod val="60000"/>
            <a:lumOff val="40000"/>
            <a:alpha val="4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solidFill>
                <a:schemeClr val="tx1"/>
              </a:solidFill>
            </a:rPr>
            <a:t>$1990,$98,164.90 (selling price constraint)</a:t>
          </a: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11</xdr:col>
      <xdr:colOff>314325</xdr:colOff>
      <xdr:row>3</xdr:row>
      <xdr:rowOff>1346200</xdr:rowOff>
    </xdr:from>
    <xdr:to>
      <xdr:col>18</xdr:col>
      <xdr:colOff>390525</xdr:colOff>
      <xdr:row>17</xdr:row>
      <xdr:rowOff>120650</xdr:rowOff>
    </xdr:to>
    <xdr:graphicFrame macro="">
      <xdr:nvGraphicFramePr>
        <xdr:cNvPr id="2" name="STS_1_Chart">
          <a:extLst>
            <a:ext uri="{FF2B5EF4-FFF2-40B4-BE49-F238E27FC236}">
              <a16:creationId xmlns:a16="http://schemas.microsoft.com/office/drawing/2014/main" id="{B0C886AB-3C40-495C-8D6B-79D2717C6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47625</xdr:colOff>
      <xdr:row>2</xdr:row>
      <xdr:rowOff>171450</xdr:rowOff>
    </xdr:from>
    <xdr:to>
      <xdr:col>14</xdr:col>
      <xdr:colOff>428625</xdr:colOff>
      <xdr:row>3</xdr:row>
      <xdr:rowOff>720725</xdr:rowOff>
    </xdr:to>
    <xdr:sp macro="" textlink="">
      <xdr:nvSpPr>
        <xdr:cNvPr id="3" name="TextBox 2">
          <a:extLst>
            <a:ext uri="{FF2B5EF4-FFF2-40B4-BE49-F238E27FC236}">
              <a16:creationId xmlns:a16="http://schemas.microsoft.com/office/drawing/2014/main" id="{2F3C17AD-5729-46E9-A3BB-006A127FC119}"/>
            </a:ext>
          </a:extLst>
        </xdr:cNvPr>
        <xdr:cNvSpPr txBox="1"/>
      </xdr:nvSpPr>
      <xdr:spPr>
        <a:xfrm>
          <a:off x="8077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11</xdr:col>
      <xdr:colOff>165100</xdr:colOff>
      <xdr:row>17</xdr:row>
      <xdr:rowOff>177800</xdr:rowOff>
    </xdr:from>
    <xdr:to>
      <xdr:col>20</xdr:col>
      <xdr:colOff>25400</xdr:colOff>
      <xdr:row>36</xdr:row>
      <xdr:rowOff>152400</xdr:rowOff>
    </xdr:to>
    <xdr:sp macro="" textlink="">
      <xdr:nvSpPr>
        <xdr:cNvPr id="4" name="TextBox 3">
          <a:extLst>
            <a:ext uri="{FF2B5EF4-FFF2-40B4-BE49-F238E27FC236}">
              <a16:creationId xmlns:a16="http://schemas.microsoft.com/office/drawing/2014/main" id="{D274A1F1-4A58-454D-9E89-695C9B8E607E}"/>
            </a:ext>
          </a:extLst>
        </xdr:cNvPr>
        <xdr:cNvSpPr txBox="1"/>
      </xdr:nvSpPr>
      <xdr:spPr>
        <a:xfrm>
          <a:off x="8102600" y="4927600"/>
          <a:ext cx="5918200" cy="3835400"/>
        </a:xfrm>
        <a:prstGeom prst="rect">
          <a:avLst/>
        </a:prstGeom>
        <a:solidFill>
          <a:schemeClr val="bg2">
            <a:lumMod val="90000"/>
            <a:alpha val="4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Observations</a:t>
          </a:r>
          <a:r>
            <a:rPr lang="en-US" sz="1100" u="sng" baseline="0"/>
            <a:t> from the sensitivity analysis:</a:t>
          </a:r>
        </a:p>
        <a:p>
          <a:endParaRPr lang="en-US" sz="1100" u="sng" baseline="0"/>
        </a:p>
        <a:p>
          <a:r>
            <a:rPr lang="en-US" sz="1100" u="sng" baseline="0"/>
            <a:t>Sensitivity of maximum total profit to change in maximum prices of Hydro-Luxe tub:</a:t>
          </a:r>
        </a:p>
        <a:p>
          <a:endParaRPr lang="en-US" sz="1100" u="none" baseline="0"/>
        </a:p>
        <a:p>
          <a:r>
            <a:rPr lang="en-US" sz="1100" u="none" baseline="0"/>
            <a:t>The maximum total profit shows an uoward trend  when the maximum price is between $1500 and $2220. Beyond that it stabilizes and stays at $160,582.89</a:t>
          </a:r>
        </a:p>
        <a:p>
          <a:endParaRPr lang="en-US" sz="1100" u="none" baseline="0"/>
        </a:p>
        <a:p>
          <a:r>
            <a:rPr lang="en-US" sz="1100" u="none" baseline="0"/>
            <a:t>The demand and the optimal price for Aqua-spa tubs does not get affected by the changes in maximum price variations of Hydro-Luxe tubs.</a:t>
          </a:r>
        </a:p>
        <a:p>
          <a:endParaRPr lang="en-US" sz="1100" u="none" baseline="0"/>
        </a:p>
        <a:p>
          <a:r>
            <a:rPr lang="en-US" sz="1100" u="none" baseline="0"/>
            <a:t>However, the price variations of Hydro-Luxe has a direct impact on its own demand. When priced at $1500, the demand starts at 108.322 units but as the price increases the demand falls and hits a low of 63.0838 when the price is at $2500</a:t>
          </a:r>
        </a:p>
        <a:p>
          <a:endParaRPr lang="en-US" sz="1100" u="none" baseline="0"/>
        </a:p>
        <a:p>
          <a:r>
            <a:rPr lang="en-US" sz="1100" u="none" baseline="0"/>
            <a:t>When it comes to the optimal price, as long as the maximum price constraint is less than or equal to the optimal price, the price suggested by the model will be equal to the constraint. When the maximum price constraint is greater than the optimal price, the model recommendation remains at the optimal price.(the same price as in the earlier model with no constraints on maximum price)</a:t>
          </a:r>
        </a:p>
        <a:p>
          <a:endParaRPr lang="en-US" sz="110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815F-9D97-FE46-A430-602ABE18EEBA}">
  <dimension ref="A2:Q26"/>
  <sheetViews>
    <sheetView zoomScaleNormal="100" workbookViewId="0">
      <selection activeCell="A5" sqref="A5"/>
    </sheetView>
  </sheetViews>
  <sheetFormatPr baseColWidth="10" defaultColWidth="11" defaultRowHeight="16"/>
  <sheetData>
    <row r="2" spans="1:17">
      <c r="A2" s="187" t="s">
        <v>86</v>
      </c>
      <c r="B2" s="187"/>
      <c r="C2" s="187"/>
      <c r="D2" s="187"/>
      <c r="E2" s="187"/>
      <c r="F2" s="187"/>
      <c r="G2" s="187"/>
      <c r="H2" s="187"/>
      <c r="I2" s="187"/>
      <c r="J2" s="187"/>
      <c r="K2" s="187"/>
      <c r="L2" s="187"/>
      <c r="M2" s="187"/>
      <c r="N2" s="187"/>
      <c r="O2" s="187"/>
    </row>
    <row r="5" spans="1:17" ht="16" customHeight="1">
      <c r="C5" s="184" t="s">
        <v>68</v>
      </c>
      <c r="D5" s="184"/>
      <c r="E5" s="184"/>
      <c r="F5" s="184"/>
      <c r="G5" s="184"/>
      <c r="L5" s="185" t="s">
        <v>69</v>
      </c>
      <c r="M5" s="186"/>
      <c r="N5" s="186"/>
      <c r="O5" s="186"/>
      <c r="P5" s="186"/>
      <c r="Q5" s="186"/>
    </row>
    <row r="6" spans="1:17" ht="17" thickBot="1">
      <c r="B6" s="68"/>
      <c r="C6" s="68"/>
      <c r="D6" s="68"/>
      <c r="K6" s="68"/>
      <c r="L6" s="68"/>
      <c r="M6" s="68"/>
    </row>
    <row r="7" spans="1:17" ht="17" thickBot="1">
      <c r="B7" s="181" t="s">
        <v>3</v>
      </c>
      <c r="C7" s="182"/>
      <c r="D7" s="183"/>
      <c r="F7" s="181" t="s">
        <v>4</v>
      </c>
      <c r="G7" s="182"/>
      <c r="H7" s="183"/>
    </row>
    <row r="8" spans="1:17" ht="17" thickBot="1">
      <c r="B8" s="55" t="s">
        <v>0</v>
      </c>
      <c r="C8" s="7" t="s">
        <v>1</v>
      </c>
      <c r="D8" s="58" t="s">
        <v>2</v>
      </c>
      <c r="F8" s="55" t="s">
        <v>0</v>
      </c>
      <c r="G8" s="7" t="s">
        <v>1</v>
      </c>
      <c r="H8" s="58" t="s">
        <v>2</v>
      </c>
    </row>
    <row r="9" spans="1:17">
      <c r="B9" s="56">
        <v>1</v>
      </c>
      <c r="C9" s="62">
        <v>1075</v>
      </c>
      <c r="D9" s="59">
        <v>110</v>
      </c>
      <c r="F9" s="56">
        <v>1</v>
      </c>
      <c r="G9" s="62">
        <v>1280</v>
      </c>
      <c r="H9" s="54">
        <v>133</v>
      </c>
    </row>
    <row r="10" spans="1:17">
      <c r="B10" s="52">
        <v>2</v>
      </c>
      <c r="C10" s="63">
        <v>1225</v>
      </c>
      <c r="D10" s="60">
        <v>89</v>
      </c>
      <c r="F10" s="52">
        <v>2</v>
      </c>
      <c r="G10" s="67">
        <v>1290</v>
      </c>
      <c r="H10" s="65">
        <v>129</v>
      </c>
    </row>
    <row r="11" spans="1:17">
      <c r="B11" s="52">
        <v>3</v>
      </c>
      <c r="C11" s="63">
        <v>1154</v>
      </c>
      <c r="D11" s="60">
        <v>96</v>
      </c>
      <c r="F11" s="52">
        <v>3</v>
      </c>
      <c r="G11" s="63">
        <v>1210</v>
      </c>
      <c r="H11" s="65">
        <v>143</v>
      </c>
    </row>
    <row r="12" spans="1:17">
      <c r="B12" s="52">
        <v>4</v>
      </c>
      <c r="C12" s="63">
        <v>1262</v>
      </c>
      <c r="D12" s="60">
        <v>84</v>
      </c>
      <c r="F12" s="52">
        <v>4</v>
      </c>
      <c r="G12" s="63">
        <v>1190</v>
      </c>
      <c r="H12" s="65">
        <v>152</v>
      </c>
    </row>
    <row r="13" spans="1:17">
      <c r="B13" s="52">
        <v>5</v>
      </c>
      <c r="C13" s="63">
        <v>1260</v>
      </c>
      <c r="D13" s="60">
        <v>81</v>
      </c>
      <c r="F13" s="52">
        <v>5</v>
      </c>
      <c r="G13" s="63">
        <v>1250</v>
      </c>
      <c r="H13" s="65">
        <v>136</v>
      </c>
    </row>
    <row r="14" spans="1:17">
      <c r="B14" s="52">
        <v>6</v>
      </c>
      <c r="C14" s="63">
        <v>1164</v>
      </c>
      <c r="D14" s="60">
        <v>92</v>
      </c>
      <c r="F14" s="52">
        <v>6</v>
      </c>
      <c r="G14" s="63">
        <v>1299</v>
      </c>
      <c r="H14" s="65">
        <v>130</v>
      </c>
    </row>
    <row r="15" spans="1:17">
      <c r="B15" s="52">
        <v>7</v>
      </c>
      <c r="C15" s="63">
        <v>985</v>
      </c>
      <c r="D15" s="60">
        <v>128</v>
      </c>
      <c r="F15" s="52">
        <v>7</v>
      </c>
      <c r="G15" s="63">
        <v>1149</v>
      </c>
      <c r="H15" s="65">
        <v>150</v>
      </c>
    </row>
    <row r="16" spans="1:17">
      <c r="B16" s="52">
        <v>8</v>
      </c>
      <c r="C16" s="63">
        <v>869</v>
      </c>
      <c r="D16" s="60">
        <v>142</v>
      </c>
      <c r="F16" s="52">
        <v>8</v>
      </c>
      <c r="G16" s="63">
        <v>1149</v>
      </c>
      <c r="H16" s="65">
        <v>153</v>
      </c>
    </row>
    <row r="17" spans="2:8">
      <c r="B17" s="52">
        <v>9</v>
      </c>
      <c r="C17" s="63">
        <v>1070</v>
      </c>
      <c r="D17" s="60">
        <v>112</v>
      </c>
      <c r="F17" s="52">
        <v>9</v>
      </c>
      <c r="G17" s="63">
        <v>1145</v>
      </c>
      <c r="H17" s="65">
        <v>154</v>
      </c>
    </row>
    <row r="18" spans="2:8">
      <c r="B18" s="52">
        <v>10</v>
      </c>
      <c r="C18" s="63">
        <v>1095</v>
      </c>
      <c r="D18" s="60">
        <v>110</v>
      </c>
      <c r="F18" s="52">
        <v>10</v>
      </c>
      <c r="G18" s="63">
        <v>1195</v>
      </c>
      <c r="H18" s="65">
        <v>148</v>
      </c>
    </row>
    <row r="19" spans="2:8">
      <c r="B19" s="52">
        <v>11</v>
      </c>
      <c r="C19" s="63">
        <v>969</v>
      </c>
      <c r="D19" s="60">
        <v>130</v>
      </c>
      <c r="F19" s="52">
        <v>11</v>
      </c>
      <c r="G19" s="63">
        <v>1195</v>
      </c>
      <c r="H19" s="65">
        <v>141</v>
      </c>
    </row>
    <row r="20" spans="2:8">
      <c r="B20" s="52">
        <v>12</v>
      </c>
      <c r="C20" s="63">
        <v>989</v>
      </c>
      <c r="D20" s="60">
        <v>126</v>
      </c>
      <c r="F20" s="52">
        <v>12</v>
      </c>
      <c r="G20" s="63">
        <v>1210</v>
      </c>
      <c r="H20" s="65">
        <v>137</v>
      </c>
    </row>
    <row r="21" spans="2:8">
      <c r="B21" s="52">
        <v>13</v>
      </c>
      <c r="C21" s="63">
        <v>1090</v>
      </c>
      <c r="D21" s="60">
        <v>107</v>
      </c>
      <c r="F21" s="52">
        <v>13</v>
      </c>
      <c r="G21" s="63">
        <v>1315</v>
      </c>
      <c r="H21" s="65">
        <v>126</v>
      </c>
    </row>
    <row r="22" spans="2:8">
      <c r="B22" s="52">
        <v>14</v>
      </c>
      <c r="C22" s="63">
        <v>964</v>
      </c>
      <c r="D22" s="60">
        <v>132</v>
      </c>
      <c r="F22" s="52">
        <v>14</v>
      </c>
      <c r="G22" s="63">
        <v>1190</v>
      </c>
      <c r="H22" s="65">
        <v>146</v>
      </c>
    </row>
    <row r="23" spans="2:8">
      <c r="B23" s="52">
        <v>15</v>
      </c>
      <c r="C23" s="63">
        <v>865</v>
      </c>
      <c r="D23" s="60">
        <v>144</v>
      </c>
      <c r="F23" s="52">
        <v>15</v>
      </c>
      <c r="G23" s="63">
        <v>1199</v>
      </c>
      <c r="H23" s="65">
        <v>147</v>
      </c>
    </row>
    <row r="24" spans="2:8">
      <c r="B24" s="52">
        <v>16</v>
      </c>
      <c r="C24" s="63">
        <v>1062</v>
      </c>
      <c r="D24" s="60">
        <v>100</v>
      </c>
      <c r="F24" s="52">
        <v>16</v>
      </c>
      <c r="G24" s="63">
        <v>1210</v>
      </c>
      <c r="H24" s="65">
        <v>148</v>
      </c>
    </row>
    <row r="25" spans="2:8">
      <c r="B25" s="52">
        <v>17</v>
      </c>
      <c r="C25" s="63">
        <v>1170</v>
      </c>
      <c r="D25" s="60">
        <v>95</v>
      </c>
      <c r="F25" s="52">
        <v>17</v>
      </c>
      <c r="G25" s="63">
        <v>1230</v>
      </c>
      <c r="H25" s="65">
        <v>139</v>
      </c>
    </row>
    <row r="26" spans="2:8" ht="17" thickBot="1">
      <c r="B26" s="57">
        <v>18</v>
      </c>
      <c r="C26" s="64">
        <v>1225</v>
      </c>
      <c r="D26" s="61">
        <v>90</v>
      </c>
      <c r="F26" s="57">
        <v>18</v>
      </c>
      <c r="G26" s="64">
        <v>1250</v>
      </c>
      <c r="H26" s="66">
        <v>134</v>
      </c>
    </row>
  </sheetData>
  <mergeCells count="5">
    <mergeCell ref="B7:D7"/>
    <mergeCell ref="F7:H7"/>
    <mergeCell ref="C5:G5"/>
    <mergeCell ref="L5:Q5"/>
    <mergeCell ref="A2:O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0543-F2AF-D740-827B-B3779ADB57F4}">
  <dimension ref="A1:H27"/>
  <sheetViews>
    <sheetView zoomScale="110" zoomScaleNormal="110" workbookViewId="0">
      <selection activeCell="F52" sqref="F52"/>
    </sheetView>
  </sheetViews>
  <sheetFormatPr baseColWidth="10" defaultColWidth="11" defaultRowHeight="16"/>
  <cols>
    <col min="3" max="3" width="33.33203125" customWidth="1"/>
    <col min="4" max="4" width="17.5" customWidth="1"/>
  </cols>
  <sheetData>
    <row r="1" spans="1:8" ht="58" customHeight="1">
      <c r="A1" s="188" t="s">
        <v>87</v>
      </c>
      <c r="B1" s="189"/>
      <c r="C1" s="189"/>
      <c r="D1" s="189"/>
      <c r="E1" s="189"/>
      <c r="F1" s="189"/>
      <c r="G1" s="189"/>
      <c r="H1" s="189"/>
    </row>
    <row r="3" spans="1:8" ht="17" thickBot="1">
      <c r="A3" s="3" t="s">
        <v>5</v>
      </c>
      <c r="B3" s="3"/>
    </row>
    <row r="4" spans="1:8">
      <c r="B4" s="192" t="s">
        <v>47</v>
      </c>
      <c r="C4" s="193"/>
      <c r="D4" s="18" t="s">
        <v>48</v>
      </c>
    </row>
    <row r="5" spans="1:8">
      <c r="B5" s="42" t="s">
        <v>42</v>
      </c>
      <c r="C5" s="41"/>
      <c r="D5" s="112" t="s">
        <v>43</v>
      </c>
    </row>
    <row r="6" spans="1:8" ht="17" thickBot="1">
      <c r="B6" s="43" t="s">
        <v>44</v>
      </c>
      <c r="C6" s="13"/>
      <c r="D6" s="113" t="s">
        <v>45</v>
      </c>
    </row>
    <row r="8" spans="1:8">
      <c r="A8" t="s">
        <v>46</v>
      </c>
    </row>
    <row r="9" spans="1:8" ht="17" thickBot="1">
      <c r="B9" s="194" t="s">
        <v>49</v>
      </c>
      <c r="C9" s="195"/>
      <c r="D9" s="7" t="s">
        <v>48</v>
      </c>
    </row>
    <row r="10" spans="1:8">
      <c r="B10" s="36" t="s">
        <v>50</v>
      </c>
      <c r="C10" s="37"/>
      <c r="D10" s="46" t="s">
        <v>51</v>
      </c>
    </row>
    <row r="11" spans="1:8">
      <c r="B11" s="199" t="s">
        <v>52</v>
      </c>
      <c r="C11" s="200"/>
      <c r="D11" s="44" t="s">
        <v>53</v>
      </c>
    </row>
    <row r="12" spans="1:8">
      <c r="B12" s="34" t="s">
        <v>55</v>
      </c>
      <c r="C12" s="35"/>
      <c r="D12" s="44" t="s">
        <v>56</v>
      </c>
    </row>
    <row r="13" spans="1:8" ht="17" thickBot="1">
      <c r="B13" s="47" t="s">
        <v>57</v>
      </c>
      <c r="C13" s="48"/>
      <c r="D13" s="45" t="s">
        <v>58</v>
      </c>
    </row>
    <row r="15" spans="1:8">
      <c r="A15" s="2" t="s">
        <v>6</v>
      </c>
      <c r="B15" s="2"/>
    </row>
    <row r="16" spans="1:8" ht="17" thickBot="1">
      <c r="B16" t="s">
        <v>54</v>
      </c>
      <c r="D16" s="1"/>
    </row>
    <row r="17" spans="1:4" ht="17" thickBot="1">
      <c r="B17" s="196" t="s">
        <v>59</v>
      </c>
      <c r="C17" s="197"/>
      <c r="D17" s="198"/>
    </row>
    <row r="19" spans="1:4" ht="17" thickBot="1">
      <c r="A19" s="24" t="s">
        <v>27</v>
      </c>
    </row>
    <row r="20" spans="1:4">
      <c r="B20" s="190" t="s">
        <v>60</v>
      </c>
      <c r="C20" s="191"/>
      <c r="D20" s="114" t="s">
        <v>61</v>
      </c>
    </row>
    <row r="21" spans="1:4">
      <c r="B21" s="50" t="s">
        <v>24</v>
      </c>
      <c r="C21" s="49"/>
      <c r="D21" s="115" t="s">
        <v>62</v>
      </c>
    </row>
    <row r="22" spans="1:4">
      <c r="B22" s="50" t="s">
        <v>21</v>
      </c>
      <c r="C22" s="51"/>
      <c r="D22" s="115" t="s">
        <v>63</v>
      </c>
    </row>
    <row r="23" spans="1:4">
      <c r="B23" s="50" t="s">
        <v>30</v>
      </c>
      <c r="C23" s="49"/>
      <c r="D23" s="115" t="s">
        <v>64</v>
      </c>
    </row>
    <row r="24" spans="1:4">
      <c r="B24" s="50" t="s">
        <v>31</v>
      </c>
      <c r="C24" s="49"/>
      <c r="D24" s="115" t="s">
        <v>65</v>
      </c>
    </row>
    <row r="25" spans="1:4" ht="17" thickBot="1">
      <c r="B25" s="47" t="s">
        <v>32</v>
      </c>
      <c r="C25" s="48"/>
      <c r="D25" s="116" t="s">
        <v>66</v>
      </c>
    </row>
    <row r="27" spans="1:4">
      <c r="A27" s="167" t="s">
        <v>113</v>
      </c>
    </row>
  </sheetData>
  <mergeCells count="6">
    <mergeCell ref="A1:H1"/>
    <mergeCell ref="B20:C20"/>
    <mergeCell ref="B4:C4"/>
    <mergeCell ref="B9:C9"/>
    <mergeCell ref="B17:D17"/>
    <mergeCell ref="B11:C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D7A29-D2FD-0B4D-8867-E3DFD9A910B1}">
  <dimension ref="A1:M57"/>
  <sheetViews>
    <sheetView tabSelected="1" topLeftCell="A22" zoomScaleNormal="100" workbookViewId="0">
      <selection activeCell="S36" sqref="S36"/>
    </sheetView>
  </sheetViews>
  <sheetFormatPr baseColWidth="10" defaultColWidth="11" defaultRowHeight="16"/>
  <cols>
    <col min="3" max="3" width="15" customWidth="1"/>
    <col min="4" max="4" width="12.5" bestFit="1" customWidth="1"/>
    <col min="5" max="5" width="15" customWidth="1"/>
    <col min="6" max="6" width="14.5" customWidth="1"/>
    <col min="7" max="7" width="12.83203125" customWidth="1"/>
    <col min="8" max="8" width="11" customWidth="1"/>
    <col min="10" max="10" width="12.33203125" customWidth="1"/>
    <col min="12" max="12" width="13.5" customWidth="1"/>
  </cols>
  <sheetData>
    <row r="1" spans="1:13" ht="23" customHeight="1">
      <c r="A1" s="175" t="s">
        <v>88</v>
      </c>
      <c r="B1" s="176"/>
      <c r="C1" s="176"/>
      <c r="D1" s="176"/>
      <c r="E1" s="176"/>
      <c r="F1" s="176"/>
      <c r="G1" s="176"/>
      <c r="H1" s="176"/>
      <c r="I1" s="176"/>
      <c r="J1" s="176"/>
      <c r="K1" s="176"/>
      <c r="L1" s="176"/>
      <c r="M1" s="176"/>
    </row>
    <row r="4" spans="1:13" ht="17" thickBot="1">
      <c r="A4" s="3" t="s">
        <v>5</v>
      </c>
      <c r="B4" s="3"/>
      <c r="I4" t="s">
        <v>76</v>
      </c>
    </row>
    <row r="5" spans="1:13" ht="59" customHeight="1" thickBot="1">
      <c r="B5" s="218" t="s">
        <v>7</v>
      </c>
      <c r="C5" s="222"/>
      <c r="D5" s="219"/>
      <c r="E5" s="6"/>
      <c r="F5" s="6" t="s">
        <v>1</v>
      </c>
      <c r="G5" s="8" t="s">
        <v>8</v>
      </c>
      <c r="I5" s="51" t="s">
        <v>75</v>
      </c>
      <c r="J5" s="51" t="s">
        <v>77</v>
      </c>
      <c r="K5" s="96" t="s">
        <v>78</v>
      </c>
      <c r="L5" s="96" t="s">
        <v>79</v>
      </c>
    </row>
    <row r="6" spans="1:13">
      <c r="B6" s="223" t="s">
        <v>12</v>
      </c>
      <c r="C6" s="224"/>
      <c r="D6" s="224"/>
      <c r="E6" s="69" t="s">
        <v>28</v>
      </c>
      <c r="F6" s="70">
        <v>1578.4603074513548</v>
      </c>
      <c r="G6" s="71">
        <v>540</v>
      </c>
      <c r="I6" s="41" t="s">
        <v>80</v>
      </c>
      <c r="J6" s="51">
        <v>1</v>
      </c>
      <c r="K6" s="51">
        <v>10</v>
      </c>
      <c r="L6" s="51">
        <v>8</v>
      </c>
    </row>
    <row r="7" spans="1:13" ht="17" thickBot="1">
      <c r="B7" s="225" t="s">
        <v>13</v>
      </c>
      <c r="C7" s="226"/>
      <c r="D7" s="226"/>
      <c r="E7" s="72" t="s">
        <v>29</v>
      </c>
      <c r="F7" s="73">
        <v>2200.9755167504163</v>
      </c>
      <c r="G7" s="74">
        <v>640</v>
      </c>
      <c r="I7" s="41" t="s">
        <v>81</v>
      </c>
      <c r="J7" s="51">
        <v>1</v>
      </c>
      <c r="K7" s="51">
        <v>14</v>
      </c>
      <c r="L7" s="51">
        <v>10</v>
      </c>
    </row>
    <row r="8" spans="1:13" ht="34">
      <c r="B8" s="40"/>
      <c r="C8" s="40"/>
      <c r="D8" s="40"/>
      <c r="E8" s="39"/>
      <c r="F8" s="39"/>
      <c r="G8" s="39"/>
      <c r="I8" s="97" t="s">
        <v>82</v>
      </c>
      <c r="J8" s="51">
        <v>200</v>
      </c>
      <c r="K8" s="51">
        <v>2600</v>
      </c>
      <c r="L8" s="51">
        <v>2000</v>
      </c>
    </row>
    <row r="9" spans="1:13" ht="17" thickBot="1">
      <c r="B9" s="40"/>
      <c r="C9" s="40"/>
      <c r="D9" s="40"/>
      <c r="E9" s="39"/>
      <c r="F9" s="39"/>
      <c r="G9" s="39"/>
    </row>
    <row r="10" spans="1:13" ht="17" thickBot="1">
      <c r="B10" s="227" t="s">
        <v>9</v>
      </c>
      <c r="C10" s="228"/>
      <c r="D10" s="229"/>
      <c r="E10" s="6" t="s">
        <v>14</v>
      </c>
      <c r="F10" s="6" t="s">
        <v>15</v>
      </c>
      <c r="G10" s="39"/>
    </row>
    <row r="11" spans="1:13">
      <c r="B11" s="223" t="s">
        <v>10</v>
      </c>
      <c r="C11" s="224"/>
      <c r="D11" s="224"/>
      <c r="E11" s="75">
        <v>4351964.97</v>
      </c>
      <c r="F11" s="76">
        <v>3258406.79</v>
      </c>
      <c r="G11" s="39"/>
    </row>
    <row r="12" spans="1:13">
      <c r="B12" s="199" t="s">
        <v>11</v>
      </c>
      <c r="C12" s="200"/>
      <c r="D12" s="200"/>
      <c r="E12" s="51">
        <v>-1.52</v>
      </c>
      <c r="F12" s="77">
        <v>-1.41</v>
      </c>
      <c r="G12" s="39"/>
    </row>
    <row r="13" spans="1:13" ht="17" thickBot="1">
      <c r="B13" s="225" t="s">
        <v>2</v>
      </c>
      <c r="C13" s="226"/>
      <c r="D13" s="226"/>
      <c r="E13" s="78">
        <f>E11*F6^E12</f>
        <v>59.892193564292207</v>
      </c>
      <c r="F13" s="79">
        <f>F11*F7^F12</f>
        <v>63.083801101291989</v>
      </c>
      <c r="G13" s="39"/>
    </row>
    <row r="14" spans="1:13">
      <c r="B14" s="40"/>
      <c r="C14" s="40"/>
      <c r="D14" s="40"/>
      <c r="E14" s="39"/>
      <c r="F14" s="39"/>
      <c r="G14" s="39"/>
    </row>
    <row r="15" spans="1:13" ht="17" thickBot="1">
      <c r="A15" s="2" t="s">
        <v>6</v>
      </c>
      <c r="B15" s="84"/>
      <c r="C15" s="40"/>
      <c r="D15" s="40"/>
      <c r="E15" s="39"/>
      <c r="F15" s="39"/>
      <c r="G15" s="39"/>
    </row>
    <row r="16" spans="1:13">
      <c r="B16" s="190" t="s">
        <v>17</v>
      </c>
      <c r="C16" s="191"/>
      <c r="D16" s="191"/>
      <c r="E16" s="80">
        <f>E13*(F6-G6)</f>
        <v>62195.665742710939</v>
      </c>
      <c r="F16" s="39"/>
      <c r="G16" s="39"/>
    </row>
    <row r="17" spans="1:7" ht="17" thickBot="1">
      <c r="B17" s="232" t="s">
        <v>16</v>
      </c>
      <c r="C17" s="233"/>
      <c r="D17" s="233"/>
      <c r="E17" s="81">
        <f>F13*(F7-G7)</f>
        <v>98472.269022669745</v>
      </c>
      <c r="F17" s="39"/>
      <c r="G17" s="39"/>
    </row>
    <row r="18" spans="1:7" ht="17" thickBot="1">
      <c r="B18" s="234" t="s">
        <v>18</v>
      </c>
      <c r="C18" s="235"/>
      <c r="D18" s="236"/>
      <c r="E18" s="82">
        <f>SUM(E16:E17)</f>
        <v>160667.93476538069</v>
      </c>
      <c r="F18" s="39"/>
      <c r="G18" s="39"/>
    </row>
    <row r="19" spans="1:7">
      <c r="B19" s="40"/>
      <c r="C19" s="40"/>
      <c r="D19" s="40"/>
      <c r="E19" s="39"/>
      <c r="F19" s="39"/>
      <c r="G19" s="39"/>
    </row>
    <row r="20" spans="1:7" ht="17" thickBot="1">
      <c r="A20" s="24" t="s">
        <v>27</v>
      </c>
      <c r="B20" s="40"/>
      <c r="C20" s="40"/>
      <c r="D20" s="40"/>
      <c r="E20" s="39"/>
      <c r="F20" s="39"/>
      <c r="G20" s="39"/>
    </row>
    <row r="21" spans="1:7" ht="17" thickBot="1">
      <c r="B21" s="230" t="s">
        <v>19</v>
      </c>
      <c r="C21" s="231"/>
      <c r="D21" s="231"/>
      <c r="E21" s="6" t="s">
        <v>22</v>
      </c>
      <c r="F21" s="83"/>
      <c r="G21" s="6" t="s">
        <v>23</v>
      </c>
    </row>
    <row r="22" spans="1:7">
      <c r="B22" s="199" t="s">
        <v>20</v>
      </c>
      <c r="C22" s="200"/>
      <c r="D22" s="217"/>
      <c r="E22" s="123">
        <f>E13*1+F13*1</f>
        <v>122.9759946655842</v>
      </c>
      <c r="F22" s="20" t="s">
        <v>25</v>
      </c>
      <c r="G22" s="123">
        <v>200</v>
      </c>
    </row>
    <row r="23" spans="1:7">
      <c r="B23" s="199" t="s">
        <v>24</v>
      </c>
      <c r="C23" s="200"/>
      <c r="D23" s="217"/>
      <c r="E23" s="123">
        <f>10*E13+14*F13</f>
        <v>1482.0951510610098</v>
      </c>
      <c r="F23" s="20" t="s">
        <v>25</v>
      </c>
      <c r="G23" s="123">
        <v>2600</v>
      </c>
    </row>
    <row r="24" spans="1:7">
      <c r="B24" s="199" t="s">
        <v>21</v>
      </c>
      <c r="C24" s="200"/>
      <c r="D24" s="217"/>
      <c r="E24" s="123">
        <f>8*E13+10*F13</f>
        <v>1109.9755595272575</v>
      </c>
      <c r="F24" s="20" t="s">
        <v>25</v>
      </c>
      <c r="G24" s="123">
        <v>2000</v>
      </c>
    </row>
    <row r="25" spans="1:7">
      <c r="B25" s="199" t="s">
        <v>30</v>
      </c>
      <c r="C25" s="200"/>
      <c r="D25" s="217"/>
      <c r="E25" s="123">
        <f>F6</f>
        <v>1578.4603074513548</v>
      </c>
      <c r="F25" s="20" t="s">
        <v>26</v>
      </c>
      <c r="G25" s="125">
        <v>540</v>
      </c>
    </row>
    <row r="26" spans="1:7">
      <c r="B26" s="199" t="s">
        <v>31</v>
      </c>
      <c r="C26" s="200"/>
      <c r="D26" s="217"/>
      <c r="E26" s="123">
        <f>F7</f>
        <v>2200.9755167504163</v>
      </c>
      <c r="F26" s="20" t="s">
        <v>26</v>
      </c>
      <c r="G26" s="125">
        <v>640</v>
      </c>
    </row>
    <row r="27" spans="1:7" ht="17" thickBot="1">
      <c r="B27" s="220" t="s">
        <v>32</v>
      </c>
      <c r="C27" s="221"/>
      <c r="D27" s="221"/>
      <c r="E27" s="124"/>
      <c r="F27" s="33" t="s">
        <v>26</v>
      </c>
      <c r="G27" s="124">
        <v>0</v>
      </c>
    </row>
    <row r="30" spans="1:7" ht="17" thickBot="1">
      <c r="A30" s="167" t="s">
        <v>70</v>
      </c>
      <c r="B30" s="167"/>
    </row>
    <row r="31" spans="1:7" ht="17" thickBot="1">
      <c r="B31" s="218" t="s">
        <v>71</v>
      </c>
      <c r="C31" s="219"/>
      <c r="D31" s="218" t="s">
        <v>72</v>
      </c>
      <c r="E31" s="219"/>
    </row>
    <row r="32" spans="1:7" ht="17" thickBot="1">
      <c r="B32" s="55" t="s">
        <v>73</v>
      </c>
      <c r="C32" s="7" t="s">
        <v>74</v>
      </c>
      <c r="D32" s="7" t="s">
        <v>73</v>
      </c>
      <c r="E32" s="7" t="s">
        <v>74</v>
      </c>
    </row>
    <row r="33" spans="1:8">
      <c r="B33" s="126">
        <v>1518.4614414969401</v>
      </c>
      <c r="C33" s="88">
        <f>(B33-$G$6)*$E$11*B33^$E$12</f>
        <v>62157.763415786518</v>
      </c>
      <c r="D33" s="67">
        <v>2140.98</v>
      </c>
      <c r="E33" s="93">
        <f>(D33-$G$7)*$F$11*D33^$F$12</f>
        <v>98450.160153800447</v>
      </c>
    </row>
    <row r="34" spans="1:8">
      <c r="B34" s="86">
        <f>B33+10</f>
        <v>1528.4614414969401</v>
      </c>
      <c r="C34" s="89">
        <f t="shared" ref="C34:C43" si="0">(B34-$G$6)*$E$11*B34^$E$12</f>
        <v>62169.632921695724</v>
      </c>
      <c r="D34" s="67">
        <f>D33+10</f>
        <v>2150.98</v>
      </c>
      <c r="E34" s="93">
        <f t="shared" ref="E34:E43" si="1">(D34-$G$7)*$F$11*D34^$F$12</f>
        <v>98457.030465516378</v>
      </c>
    </row>
    <row r="35" spans="1:8">
      <c r="B35" s="86">
        <f t="shared" ref="B35:B43" si="2">B34+10</f>
        <v>1538.4614414969401</v>
      </c>
      <c r="C35" s="89">
        <f t="shared" si="0"/>
        <v>62179.1860486183</v>
      </c>
      <c r="D35" s="67">
        <f t="shared" ref="D35:D38" si="3">D34+10</f>
        <v>2160.98</v>
      </c>
      <c r="E35" s="93">
        <f t="shared" si="1"/>
        <v>98462.589106252926</v>
      </c>
    </row>
    <row r="36" spans="1:8">
      <c r="B36" s="86">
        <f t="shared" si="2"/>
        <v>1548.4614414969401</v>
      </c>
      <c r="C36" s="89">
        <f t="shared" si="0"/>
        <v>62186.496162391275</v>
      </c>
      <c r="D36" s="67">
        <f t="shared" si="3"/>
        <v>2170.98</v>
      </c>
      <c r="E36" s="93">
        <f t="shared" si="1"/>
        <v>98466.864673487042</v>
      </c>
    </row>
    <row r="37" spans="1:8">
      <c r="B37" s="86">
        <f t="shared" si="2"/>
        <v>1558.4614414969401</v>
      </c>
      <c r="C37" s="89">
        <f t="shared" si="0"/>
        <v>62191.634168845165</v>
      </c>
      <c r="D37" s="67">
        <f t="shared" si="3"/>
        <v>2180.98</v>
      </c>
      <c r="E37" s="93">
        <f t="shared" si="1"/>
        <v>98469.885098515238</v>
      </c>
    </row>
    <row r="38" spans="1:8">
      <c r="B38" s="86">
        <f t="shared" si="2"/>
        <v>1568.4614414969401</v>
      </c>
      <c r="C38" s="89">
        <f t="shared" si="0"/>
        <v>62194.668607758947</v>
      </c>
      <c r="D38" s="67">
        <f t="shared" si="3"/>
        <v>2190.98</v>
      </c>
      <c r="E38" s="93">
        <f t="shared" si="1"/>
        <v>98471.677664264891</v>
      </c>
    </row>
    <row r="39" spans="1:8" ht="17" thickBot="1">
      <c r="B39" s="127">
        <f>B38+10</f>
        <v>1578.4614414969401</v>
      </c>
      <c r="C39" s="128">
        <f t="shared" si="0"/>
        <v>62195.665742725738</v>
      </c>
      <c r="D39" s="137">
        <v>2200.9755167504163</v>
      </c>
      <c r="E39" s="135">
        <f t="shared" si="1"/>
        <v>98472.269022669745</v>
      </c>
    </row>
    <row r="40" spans="1:8">
      <c r="B40" s="86">
        <f t="shared" si="2"/>
        <v>1588.4614414969401</v>
      </c>
      <c r="C40" s="89">
        <f t="shared" si="0"/>
        <v>62194.689647129606</v>
      </c>
      <c r="D40" s="67">
        <f>D39+10</f>
        <v>2210.9755167504163</v>
      </c>
      <c r="E40" s="93">
        <f t="shared" si="1"/>
        <v>98471.685732069527</v>
      </c>
    </row>
    <row r="41" spans="1:8">
      <c r="B41" s="86">
        <f t="shared" si="2"/>
        <v>1598.4614414969401</v>
      </c>
      <c r="C41" s="89">
        <f t="shared" si="0"/>
        <v>62191.802286423241</v>
      </c>
      <c r="D41" s="67">
        <f t="shared" ref="D41:D43" si="4">D40+10</f>
        <v>2220.9755167504163</v>
      </c>
      <c r="E41" s="93">
        <f t="shared" si="1"/>
        <v>98469.952699502304</v>
      </c>
    </row>
    <row r="42" spans="1:8">
      <c r="B42" s="86">
        <f t="shared" si="2"/>
        <v>1608.4614414969401</v>
      </c>
      <c r="C42" s="89">
        <f t="shared" si="0"/>
        <v>62187.063596885986</v>
      </c>
      <c r="D42" s="67">
        <f t="shared" si="4"/>
        <v>2230.9755167504163</v>
      </c>
      <c r="E42" s="93">
        <f t="shared" si="1"/>
        <v>98467.094782134503</v>
      </c>
    </row>
    <row r="43" spans="1:8" ht="17" thickBot="1">
      <c r="B43" s="87">
        <f t="shared" si="2"/>
        <v>1618.4614414969401</v>
      </c>
      <c r="C43" s="90">
        <f t="shared" si="0"/>
        <v>62180.531561032309</v>
      </c>
      <c r="D43" s="94">
        <f t="shared" si="4"/>
        <v>2240.9755167504163</v>
      </c>
      <c r="E43" s="136">
        <f t="shared" si="1"/>
        <v>98463.136269987532</v>
      </c>
    </row>
    <row r="45" spans="1:8">
      <c r="A45" s="167" t="s">
        <v>111</v>
      </c>
      <c r="B45" s="168"/>
      <c r="C45" s="168"/>
      <c r="D45" s="166"/>
    </row>
    <row r="46" spans="1:8">
      <c r="A46" s="166"/>
      <c r="B46" s="166"/>
      <c r="C46" s="166"/>
      <c r="D46" s="166"/>
    </row>
    <row r="47" spans="1:8" ht="17" thickBot="1">
      <c r="B47" s="169" t="s">
        <v>109</v>
      </c>
      <c r="C47" s="177">
        <v>60</v>
      </c>
      <c r="D47" s="169" t="s">
        <v>110</v>
      </c>
      <c r="E47" s="177">
        <v>64</v>
      </c>
      <c r="F47" s="162"/>
      <c r="G47" s="162"/>
      <c r="H47" s="162"/>
    </row>
    <row r="48" spans="1:8" ht="17" thickBot="1">
      <c r="A48" s="166"/>
      <c r="B48" s="207" t="s">
        <v>107</v>
      </c>
      <c r="C48" s="208"/>
      <c r="D48" s="213" t="s">
        <v>108</v>
      </c>
      <c r="E48" s="214"/>
      <c r="F48" s="6" t="s">
        <v>22</v>
      </c>
      <c r="G48" s="6"/>
      <c r="H48" s="6" t="s">
        <v>23</v>
      </c>
    </row>
    <row r="49" spans="1:8">
      <c r="A49" s="166"/>
      <c r="B49" s="209" t="s">
        <v>60</v>
      </c>
      <c r="C49" s="210"/>
      <c r="D49" s="211" t="s">
        <v>61</v>
      </c>
      <c r="E49" s="212"/>
      <c r="F49" s="170">
        <f>(C47+E47)</f>
        <v>124</v>
      </c>
      <c r="G49" s="174" t="s">
        <v>25</v>
      </c>
      <c r="H49" s="170">
        <v>200</v>
      </c>
    </row>
    <row r="50" spans="1:8">
      <c r="A50" s="166"/>
      <c r="B50" s="215" t="s">
        <v>24</v>
      </c>
      <c r="C50" s="216"/>
      <c r="D50" s="203" t="s">
        <v>62</v>
      </c>
      <c r="E50" s="204"/>
      <c r="F50" s="171">
        <f>(10*C47+14*E47)</f>
        <v>1496</v>
      </c>
      <c r="G50" s="20" t="s">
        <v>25</v>
      </c>
      <c r="H50" s="171">
        <v>2600</v>
      </c>
    </row>
    <row r="51" spans="1:8" ht="17" thickBot="1">
      <c r="A51" s="166"/>
      <c r="B51" s="201" t="s">
        <v>21</v>
      </c>
      <c r="C51" s="202"/>
      <c r="D51" s="205" t="s">
        <v>63</v>
      </c>
      <c r="E51" s="206"/>
      <c r="F51" s="172">
        <f>(8*C47+10*E47)</f>
        <v>1120</v>
      </c>
      <c r="G51" s="173" t="s">
        <v>25</v>
      </c>
      <c r="H51" s="172">
        <v>2000</v>
      </c>
    </row>
    <row r="52" spans="1:8">
      <c r="A52" s="166"/>
      <c r="B52" s="166"/>
      <c r="C52" s="166"/>
      <c r="D52" s="166"/>
    </row>
    <row r="53" spans="1:8">
      <c r="A53" s="166"/>
    </row>
    <row r="57" spans="1:8">
      <c r="D57" s="166"/>
      <c r="E57" s="166"/>
      <c r="F57" s="166"/>
      <c r="G57" s="166"/>
    </row>
  </sheetData>
  <mergeCells count="27">
    <mergeCell ref="B21:D21"/>
    <mergeCell ref="B13:D13"/>
    <mergeCell ref="B16:D16"/>
    <mergeCell ref="B17:D17"/>
    <mergeCell ref="B18:D18"/>
    <mergeCell ref="B5:D5"/>
    <mergeCell ref="B6:D6"/>
    <mergeCell ref="B7:D7"/>
    <mergeCell ref="B11:D11"/>
    <mergeCell ref="B12:D12"/>
    <mergeCell ref="B10:D10"/>
    <mergeCell ref="B22:D22"/>
    <mergeCell ref="B24:D24"/>
    <mergeCell ref="B23:D23"/>
    <mergeCell ref="B31:C31"/>
    <mergeCell ref="D31:E31"/>
    <mergeCell ref="B25:D25"/>
    <mergeCell ref="B26:D26"/>
    <mergeCell ref="B27:D27"/>
    <mergeCell ref="B51:C51"/>
    <mergeCell ref="D50:E50"/>
    <mergeCell ref="D51:E51"/>
    <mergeCell ref="B48:C48"/>
    <mergeCell ref="B49:C49"/>
    <mergeCell ref="D49:E49"/>
    <mergeCell ref="D48:E48"/>
    <mergeCell ref="B50:C5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58DAF-ADD1-B74C-B4B2-C4FE8E697331}">
  <dimension ref="A1:L66"/>
  <sheetViews>
    <sheetView topLeftCell="A45" zoomScaleNormal="100" workbookViewId="0">
      <selection activeCell="N5" sqref="N5"/>
    </sheetView>
  </sheetViews>
  <sheetFormatPr baseColWidth="10" defaultColWidth="11" defaultRowHeight="16"/>
  <cols>
    <col min="3" max="3" width="15" customWidth="1"/>
    <col min="5" max="5" width="18.33203125" bestFit="1" customWidth="1"/>
    <col min="6" max="6" width="14.5" customWidth="1"/>
    <col min="7" max="7" width="21.33203125" customWidth="1"/>
    <col min="8" max="8" width="24" customWidth="1"/>
  </cols>
  <sheetData>
    <row r="1" spans="1:12" ht="64" customHeight="1">
      <c r="A1" s="250" t="s">
        <v>89</v>
      </c>
      <c r="B1" s="251"/>
      <c r="C1" s="251"/>
      <c r="D1" s="251"/>
      <c r="E1" s="251"/>
      <c r="F1" s="251"/>
      <c r="G1" s="251"/>
      <c r="H1" s="251"/>
      <c r="I1" s="251"/>
      <c r="J1" s="251"/>
      <c r="K1" s="251"/>
    </row>
    <row r="5" spans="1:12" ht="17" thickBot="1">
      <c r="A5" s="3" t="s">
        <v>5</v>
      </c>
      <c r="B5" s="3"/>
      <c r="I5" t="s">
        <v>76</v>
      </c>
    </row>
    <row r="6" spans="1:12" ht="59" customHeight="1" thickBot="1">
      <c r="B6" s="227" t="s">
        <v>7</v>
      </c>
      <c r="C6" s="228"/>
      <c r="D6" s="229"/>
      <c r="E6" s="6"/>
      <c r="F6" s="7" t="s">
        <v>1</v>
      </c>
      <c r="G6" s="8" t="s">
        <v>8</v>
      </c>
      <c r="I6" s="51" t="s">
        <v>75</v>
      </c>
      <c r="J6" s="51" t="s">
        <v>77</v>
      </c>
      <c r="K6" s="96" t="s">
        <v>78</v>
      </c>
      <c r="L6" s="96" t="s">
        <v>79</v>
      </c>
    </row>
    <row r="7" spans="1:12">
      <c r="B7" s="223" t="s">
        <v>12</v>
      </c>
      <c r="C7" s="224"/>
      <c r="D7" s="224"/>
      <c r="E7" s="25" t="s">
        <v>28</v>
      </c>
      <c r="F7" s="27">
        <v>1490</v>
      </c>
      <c r="G7" s="9">
        <v>540</v>
      </c>
      <c r="I7" s="41" t="s">
        <v>80</v>
      </c>
      <c r="J7" s="51">
        <v>1</v>
      </c>
      <c r="K7" s="51">
        <v>10</v>
      </c>
      <c r="L7" s="51">
        <v>8</v>
      </c>
    </row>
    <row r="8" spans="1:12" ht="17" thickBot="1">
      <c r="B8" s="225" t="s">
        <v>13</v>
      </c>
      <c r="C8" s="226"/>
      <c r="D8" s="226"/>
      <c r="E8" s="26" t="s">
        <v>29</v>
      </c>
      <c r="F8" s="28">
        <v>1990</v>
      </c>
      <c r="G8" s="10">
        <v>640</v>
      </c>
      <c r="I8" s="41" t="s">
        <v>81</v>
      </c>
      <c r="J8" s="51">
        <v>1</v>
      </c>
      <c r="K8" s="51">
        <v>14</v>
      </c>
      <c r="L8" s="51">
        <v>10</v>
      </c>
    </row>
    <row r="9" spans="1:12" ht="34">
      <c r="E9" s="4"/>
      <c r="F9" s="4"/>
      <c r="G9" s="4"/>
      <c r="I9" s="97" t="s">
        <v>82</v>
      </c>
      <c r="J9" s="51">
        <v>200</v>
      </c>
      <c r="K9" s="51">
        <v>2600</v>
      </c>
      <c r="L9" s="51">
        <v>2000</v>
      </c>
    </row>
    <row r="10" spans="1:12" ht="17" thickBot="1"/>
    <row r="11" spans="1:12" ht="17" thickBot="1">
      <c r="B11" s="227" t="s">
        <v>9</v>
      </c>
      <c r="C11" s="228"/>
      <c r="D11" s="229"/>
      <c r="E11" s="7" t="s">
        <v>14</v>
      </c>
      <c r="F11" s="7" t="s">
        <v>15</v>
      </c>
    </row>
    <row r="12" spans="1:12">
      <c r="B12" s="223" t="s">
        <v>10</v>
      </c>
      <c r="C12" s="224"/>
      <c r="D12" s="224"/>
      <c r="E12" s="15">
        <v>4351964.97</v>
      </c>
      <c r="F12" s="16">
        <v>3258406.79</v>
      </c>
    </row>
    <row r="13" spans="1:12">
      <c r="B13" s="199" t="s">
        <v>11</v>
      </c>
      <c r="C13" s="200"/>
      <c r="D13" s="200"/>
      <c r="E13" s="5">
        <v>-1.52</v>
      </c>
      <c r="F13" s="12">
        <v>-1.41</v>
      </c>
    </row>
    <row r="14" spans="1:12" ht="17" thickBot="1">
      <c r="B14" s="225" t="s">
        <v>2</v>
      </c>
      <c r="C14" s="226"/>
      <c r="D14" s="226"/>
      <c r="E14" s="13">
        <f>E12*F7^E13</f>
        <v>65.379600570518946</v>
      </c>
      <c r="F14" s="14">
        <f>F12*F8^F13</f>
        <v>72.714741465635669</v>
      </c>
    </row>
    <row r="16" spans="1:12" ht="17" thickBot="1">
      <c r="A16" s="2" t="s">
        <v>6</v>
      </c>
      <c r="B16" s="2"/>
    </row>
    <row r="17" spans="1:7">
      <c r="B17" s="190" t="s">
        <v>17</v>
      </c>
      <c r="C17" s="191"/>
      <c r="D17" s="191"/>
      <c r="E17" s="21">
        <f>E14*(F7-G7)</f>
        <v>62110.620541992997</v>
      </c>
    </row>
    <row r="18" spans="1:7" ht="17" thickBot="1">
      <c r="B18" s="232" t="s">
        <v>16</v>
      </c>
      <c r="C18" s="233"/>
      <c r="D18" s="233"/>
      <c r="E18" s="22">
        <f>F14*(F8-G8)</f>
        <v>98164.900978608159</v>
      </c>
    </row>
    <row r="19" spans="1:7" ht="17" thickBot="1">
      <c r="B19" s="234" t="s">
        <v>18</v>
      </c>
      <c r="C19" s="235"/>
      <c r="D19" s="236"/>
      <c r="E19" s="29">
        <f>SUM(E17:E18)</f>
        <v>160275.52152060115</v>
      </c>
    </row>
    <row r="21" spans="1:7" ht="17" thickBot="1">
      <c r="A21" s="24" t="s">
        <v>27</v>
      </c>
    </row>
    <row r="22" spans="1:7" ht="17" thickBot="1">
      <c r="B22" s="230" t="s">
        <v>19</v>
      </c>
      <c r="C22" s="231"/>
      <c r="D22" s="231"/>
      <c r="E22" s="18" t="s">
        <v>22</v>
      </c>
      <c r="F22" s="11"/>
      <c r="G22" s="7" t="s">
        <v>23</v>
      </c>
    </row>
    <row r="23" spans="1:7">
      <c r="B23" s="199" t="s">
        <v>20</v>
      </c>
      <c r="C23" s="200"/>
      <c r="D23" s="217"/>
      <c r="E23" s="117">
        <f>E14*1+F14*1</f>
        <v>138.09434203615461</v>
      </c>
      <c r="F23" s="20" t="s">
        <v>25</v>
      </c>
      <c r="G23" s="117">
        <v>200</v>
      </c>
    </row>
    <row r="24" spans="1:7">
      <c r="B24" s="199" t="s">
        <v>24</v>
      </c>
      <c r="C24" s="200"/>
      <c r="D24" s="217"/>
      <c r="E24" s="118">
        <f>10*E14+14*F14</f>
        <v>1671.8023862240889</v>
      </c>
      <c r="F24" s="20" t="s">
        <v>25</v>
      </c>
      <c r="G24" s="118">
        <v>2600</v>
      </c>
    </row>
    <row r="25" spans="1:7">
      <c r="B25" s="199" t="s">
        <v>21</v>
      </c>
      <c r="C25" s="200"/>
      <c r="D25" s="217"/>
      <c r="E25" s="118">
        <f>8*E14+10*F14</f>
        <v>1250.1842192205081</v>
      </c>
      <c r="F25" s="20" t="s">
        <v>25</v>
      </c>
      <c r="G25" s="118">
        <v>2000</v>
      </c>
    </row>
    <row r="26" spans="1:7">
      <c r="B26" s="199" t="s">
        <v>30</v>
      </c>
      <c r="C26" s="200"/>
      <c r="D26" s="217"/>
      <c r="E26" s="118">
        <f>F7</f>
        <v>1490</v>
      </c>
      <c r="F26" s="20" t="s">
        <v>26</v>
      </c>
      <c r="G26" s="121">
        <v>540</v>
      </c>
    </row>
    <row r="27" spans="1:7">
      <c r="B27" s="199" t="s">
        <v>31</v>
      </c>
      <c r="C27" s="200"/>
      <c r="D27" s="217"/>
      <c r="E27" s="118">
        <f>F8</f>
        <v>1990</v>
      </c>
      <c r="F27" s="20" t="s">
        <v>26</v>
      </c>
      <c r="G27" s="121">
        <v>640</v>
      </c>
    </row>
    <row r="28" spans="1:7">
      <c r="B28" s="199" t="s">
        <v>33</v>
      </c>
      <c r="C28" s="200"/>
      <c r="D28" s="217"/>
      <c r="E28" s="119">
        <f>F7</f>
        <v>1490</v>
      </c>
      <c r="F28" s="20" t="s">
        <v>25</v>
      </c>
      <c r="G28" s="121">
        <v>1490</v>
      </c>
    </row>
    <row r="29" spans="1:7">
      <c r="B29" s="199" t="s">
        <v>34</v>
      </c>
      <c r="C29" s="200"/>
      <c r="D29" s="217"/>
      <c r="E29" s="119">
        <f>F8</f>
        <v>1990</v>
      </c>
      <c r="F29" s="20" t="s">
        <v>25</v>
      </c>
      <c r="G29" s="121">
        <v>1990</v>
      </c>
    </row>
    <row r="30" spans="1:7" ht="17" thickBot="1">
      <c r="B30" s="220" t="s">
        <v>32</v>
      </c>
      <c r="C30" s="221"/>
      <c r="D30" s="221"/>
      <c r="E30" s="120"/>
      <c r="F30" s="33" t="s">
        <v>26</v>
      </c>
      <c r="G30" s="122">
        <v>0</v>
      </c>
    </row>
    <row r="32" spans="1:7" ht="17" thickBot="1">
      <c r="A32" t="s">
        <v>83</v>
      </c>
    </row>
    <row r="33" spans="1:5">
      <c r="B33" s="246" t="s">
        <v>33</v>
      </c>
      <c r="C33" s="247"/>
      <c r="D33" s="247"/>
      <c r="E33" s="148" t="s">
        <v>84</v>
      </c>
    </row>
    <row r="34" spans="1:5" ht="17" thickBot="1">
      <c r="B34" s="248" t="s">
        <v>34</v>
      </c>
      <c r="C34" s="249"/>
      <c r="D34" s="249"/>
      <c r="E34" s="149" t="s">
        <v>85</v>
      </c>
    </row>
    <row r="36" spans="1:5" ht="17" thickBot="1">
      <c r="A36" t="s">
        <v>70</v>
      </c>
    </row>
    <row r="37" spans="1:5" ht="17" thickBot="1">
      <c r="B37" s="218" t="s">
        <v>71</v>
      </c>
      <c r="C37" s="219"/>
      <c r="D37" s="218" t="s">
        <v>72</v>
      </c>
      <c r="E37" s="219"/>
    </row>
    <row r="38" spans="1:5" ht="17" thickBot="1">
      <c r="B38" s="55" t="s">
        <v>73</v>
      </c>
      <c r="C38" s="7" t="s">
        <v>74</v>
      </c>
      <c r="D38" s="11" t="s">
        <v>73</v>
      </c>
      <c r="E38" s="7" t="s">
        <v>74</v>
      </c>
    </row>
    <row r="39" spans="1:5">
      <c r="B39" s="98">
        <v>1410</v>
      </c>
      <c r="C39" s="101">
        <f>(B39-$G$7)*$E$12*B39^$E$13</f>
        <v>61857.390119582422</v>
      </c>
      <c r="D39" s="107">
        <v>1910</v>
      </c>
      <c r="E39" s="93">
        <f>(D39-$G$8)*$F$12*D39^$F$13</f>
        <v>97848.004968436435</v>
      </c>
    </row>
    <row r="40" spans="1:5">
      <c r="B40" s="99">
        <f>B39+10</f>
        <v>1420</v>
      </c>
      <c r="C40" s="105">
        <f>(B40-$G$7)*$E$12*B40^$E$13</f>
        <v>61899.876089163612</v>
      </c>
      <c r="D40" s="91">
        <f>D39+10</f>
        <v>1920</v>
      </c>
      <c r="E40" s="67">
        <f t="shared" ref="E40:E50" si="0">(D40-$G$8)*$F$12*D40^$F$13</f>
        <v>97895.006431751957</v>
      </c>
    </row>
    <row r="41" spans="1:5">
      <c r="B41" s="99">
        <f t="shared" ref="B41:B49" si="1">B40+10</f>
        <v>1430</v>
      </c>
      <c r="C41" s="105">
        <f>(B41-$G$7)*$E$12*B41^$E$13</f>
        <v>61939.061502494114</v>
      </c>
      <c r="D41" s="91">
        <f t="shared" ref="D41:D50" si="2">D40+10</f>
        <v>1930</v>
      </c>
      <c r="E41" s="67">
        <f t="shared" si="0"/>
        <v>97939.798614110041</v>
      </c>
    </row>
    <row r="42" spans="1:5">
      <c r="B42" s="99">
        <f t="shared" si="1"/>
        <v>1440</v>
      </c>
      <c r="C42" s="105">
        <f>(B42-$G$7)*$E$12*B42^$E$13</f>
        <v>61975.053796007502</v>
      </c>
      <c r="D42" s="91">
        <f t="shared" si="2"/>
        <v>1940</v>
      </c>
      <c r="E42" s="67">
        <f t="shared" si="0"/>
        <v>97982.432091230497</v>
      </c>
    </row>
    <row r="43" spans="1:5">
      <c r="B43" s="99">
        <f t="shared" si="1"/>
        <v>1450</v>
      </c>
      <c r="C43" s="105">
        <f>(B43-$G$7)*$E$12*B43^$E$13</f>
        <v>62007.956596402706</v>
      </c>
      <c r="D43" s="91">
        <f t="shared" si="2"/>
        <v>1950</v>
      </c>
      <c r="E43" s="67">
        <f t="shared" si="0"/>
        <v>98022.956150768616</v>
      </c>
    </row>
    <row r="44" spans="1:5">
      <c r="B44" s="99">
        <f t="shared" si="1"/>
        <v>1460</v>
      </c>
      <c r="C44" s="105">
        <f t="shared" ref="C44:C50" si="3">(B44-$G$7)*$E$12*B44^$E$13</f>
        <v>62037.869875656586</v>
      </c>
      <c r="D44" s="91">
        <f t="shared" si="2"/>
        <v>1960</v>
      </c>
      <c r="E44" s="67">
        <f t="shared" si="0"/>
        <v>98061.418830359151</v>
      </c>
    </row>
    <row r="45" spans="1:5">
      <c r="B45" s="99">
        <f t="shared" si="1"/>
        <v>1470</v>
      </c>
      <c r="C45" s="105">
        <f t="shared" si="3"/>
        <v>62064.890098830656</v>
      </c>
      <c r="D45" s="91">
        <f t="shared" si="2"/>
        <v>1970</v>
      </c>
      <c r="E45" s="67">
        <f t="shared" si="0"/>
        <v>98097.866954367753</v>
      </c>
    </row>
    <row r="46" spans="1:5">
      <c r="B46" s="99">
        <f t="shared" si="1"/>
        <v>1480</v>
      </c>
      <c r="C46" s="105">
        <f t="shared" si="3"/>
        <v>62089.110365047469</v>
      </c>
      <c r="D46" s="91">
        <f t="shared" si="2"/>
        <v>1980</v>
      </c>
      <c r="E46" s="67">
        <f t="shared" si="0"/>
        <v>98132.346169398792</v>
      </c>
    </row>
    <row r="47" spans="1:5">
      <c r="B47" s="108">
        <f t="shared" si="1"/>
        <v>1490</v>
      </c>
      <c r="C47" s="109">
        <f t="shared" si="3"/>
        <v>62110.62054199299</v>
      </c>
      <c r="D47" s="110">
        <f t="shared" si="2"/>
        <v>1990</v>
      </c>
      <c r="E47" s="111">
        <f t="shared" si="0"/>
        <v>98164.900978608159</v>
      </c>
    </row>
    <row r="48" spans="1:5">
      <c r="B48" s="99">
        <f t="shared" si="1"/>
        <v>1500</v>
      </c>
      <c r="C48" s="105">
        <f t="shared" si="3"/>
        <v>62129.507394282911</v>
      </c>
      <c r="D48" s="91">
        <f t="shared" si="2"/>
        <v>2000</v>
      </c>
      <c r="E48" s="67">
        <f t="shared" si="0"/>
        <v>98195.574774865338</v>
      </c>
    </row>
    <row r="49" spans="2:9">
      <c r="B49" s="99">
        <f t="shared" si="1"/>
        <v>1510</v>
      </c>
      <c r="C49" s="105">
        <f t="shared" si="3"/>
        <v>62145.854706005332</v>
      </c>
      <c r="D49" s="91">
        <f t="shared" si="2"/>
        <v>2010</v>
      </c>
      <c r="E49" s="67">
        <f t="shared" si="0"/>
        <v>98224.409872810138</v>
      </c>
    </row>
    <row r="50" spans="2:9" ht="17" thickBot="1">
      <c r="B50" s="100">
        <f>B49+10</f>
        <v>1520</v>
      </c>
      <c r="C50" s="106">
        <f t="shared" si="3"/>
        <v>62159.743397742008</v>
      </c>
      <c r="D50" s="92">
        <f t="shared" si="2"/>
        <v>2020</v>
      </c>
      <c r="E50" s="94">
        <f t="shared" si="0"/>
        <v>98251.447539845016</v>
      </c>
    </row>
    <row r="51" spans="2:9">
      <c r="B51" s="102"/>
      <c r="C51" s="103"/>
    </row>
    <row r="52" spans="2:9">
      <c r="B52" s="102"/>
      <c r="C52" s="103"/>
    </row>
    <row r="53" spans="2:9" ht="16" customHeight="1">
      <c r="B53" s="102"/>
      <c r="C53" s="103"/>
      <c r="E53" s="243" t="s">
        <v>90</v>
      </c>
      <c r="F53" s="244"/>
      <c r="G53" s="244"/>
      <c r="H53" s="244"/>
      <c r="I53" s="95"/>
    </row>
    <row r="54" spans="2:9" ht="17" thickBot="1">
      <c r="B54" s="102"/>
      <c r="C54" s="103"/>
      <c r="E54" s="245"/>
      <c r="F54" s="245"/>
      <c r="G54" s="245"/>
      <c r="H54" s="245"/>
      <c r="I54" s="95"/>
    </row>
    <row r="55" spans="2:9" ht="35" thickBot="1">
      <c r="B55" s="102"/>
      <c r="C55" s="103"/>
      <c r="E55" s="218" t="s">
        <v>91</v>
      </c>
      <c r="F55" s="219"/>
      <c r="G55" s="138" t="s">
        <v>92</v>
      </c>
      <c r="H55" s="8" t="s">
        <v>93</v>
      </c>
    </row>
    <row r="56" spans="2:9">
      <c r="E56" s="209" t="s">
        <v>12</v>
      </c>
      <c r="F56" s="242"/>
      <c r="G56" s="129">
        <v>1578.4603074513548</v>
      </c>
      <c r="H56" s="130">
        <v>1490</v>
      </c>
    </row>
    <row r="57" spans="2:9">
      <c r="E57" s="238" t="s">
        <v>13</v>
      </c>
      <c r="F57" s="239"/>
      <c r="G57" s="139">
        <v>2200.9755167504163</v>
      </c>
      <c r="H57" s="140">
        <v>1990</v>
      </c>
    </row>
    <row r="58" spans="2:9">
      <c r="E58" s="215" t="s">
        <v>94</v>
      </c>
      <c r="F58" s="237"/>
      <c r="G58" s="143">
        <v>59.892193564292207</v>
      </c>
      <c r="H58" s="145">
        <v>65.379600570518946</v>
      </c>
    </row>
    <row r="59" spans="2:9">
      <c r="E59" s="238" t="s">
        <v>95</v>
      </c>
      <c r="F59" s="239"/>
      <c r="G59" s="144">
        <v>63.083801101291989</v>
      </c>
      <c r="H59" s="146">
        <v>72.714741465635669</v>
      </c>
    </row>
    <row r="60" spans="2:9">
      <c r="E60" s="215" t="s">
        <v>17</v>
      </c>
      <c r="F60" s="237"/>
      <c r="G60" s="141">
        <v>62195.665742710939</v>
      </c>
      <c r="H60" s="142">
        <v>62110.620541992997</v>
      </c>
    </row>
    <row r="61" spans="2:9">
      <c r="E61" s="215" t="s">
        <v>16</v>
      </c>
      <c r="F61" s="237"/>
      <c r="G61" s="141">
        <v>98472.269022669745</v>
      </c>
      <c r="H61" s="142">
        <v>98164.900978608159</v>
      </c>
    </row>
    <row r="62" spans="2:9" ht="17" thickBot="1">
      <c r="E62" s="240" t="s">
        <v>18</v>
      </c>
      <c r="F62" s="241"/>
      <c r="G62" s="131">
        <v>160667.93476538069</v>
      </c>
      <c r="H62" s="132">
        <v>160275.52152060115</v>
      </c>
    </row>
    <row r="66" spans="7:7">
      <c r="G66" s="147"/>
    </row>
  </sheetData>
  <mergeCells count="33">
    <mergeCell ref="B30:D30"/>
    <mergeCell ref="B28:D28"/>
    <mergeCell ref="B29:D29"/>
    <mergeCell ref="B23:D23"/>
    <mergeCell ref="B6:D6"/>
    <mergeCell ref="B7:D7"/>
    <mergeCell ref="B8:D8"/>
    <mergeCell ref="B11:D11"/>
    <mergeCell ref="B12:D12"/>
    <mergeCell ref="B13:D13"/>
    <mergeCell ref="B14:D14"/>
    <mergeCell ref="B17:D17"/>
    <mergeCell ref="B18:D18"/>
    <mergeCell ref="B19:D19"/>
    <mergeCell ref="B22:D22"/>
    <mergeCell ref="A1:K1"/>
    <mergeCell ref="B24:D24"/>
    <mergeCell ref="B25:D25"/>
    <mergeCell ref="B26:D26"/>
    <mergeCell ref="B27:D27"/>
    <mergeCell ref="E55:F55"/>
    <mergeCell ref="E56:F56"/>
    <mergeCell ref="E57:F57"/>
    <mergeCell ref="E53:H54"/>
    <mergeCell ref="B33:D33"/>
    <mergeCell ref="B34:D34"/>
    <mergeCell ref="B37:C37"/>
    <mergeCell ref="D37:E37"/>
    <mergeCell ref="E58:F58"/>
    <mergeCell ref="E59:F59"/>
    <mergeCell ref="E60:F60"/>
    <mergeCell ref="E61:F61"/>
    <mergeCell ref="E62:F6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32D7-2B74-43C1-8AE0-9BFD174293DB}">
  <dimension ref="A1:M29"/>
  <sheetViews>
    <sheetView workbookViewId="0">
      <selection activeCell="N17" sqref="N17"/>
    </sheetView>
  </sheetViews>
  <sheetFormatPr baseColWidth="10" defaultColWidth="11" defaultRowHeight="16"/>
  <cols>
    <col min="3" max="3" width="15" customWidth="1"/>
    <col min="4" max="4" width="14.83203125" customWidth="1"/>
    <col min="5" max="5" width="18.33203125" bestFit="1" customWidth="1"/>
    <col min="6" max="6" width="14.5" customWidth="1"/>
    <col min="7" max="7" width="12.83203125" customWidth="1"/>
    <col min="10" max="10" width="11.6640625" customWidth="1"/>
  </cols>
  <sheetData>
    <row r="1" spans="1:13" ht="59" customHeight="1">
      <c r="A1" s="252" t="s">
        <v>96</v>
      </c>
      <c r="B1" s="253"/>
      <c r="C1" s="253"/>
      <c r="D1" s="253"/>
      <c r="E1" s="253"/>
      <c r="F1" s="253"/>
      <c r="G1" s="253"/>
      <c r="H1" s="253"/>
      <c r="I1" s="253"/>
      <c r="J1" s="253"/>
      <c r="K1" s="253"/>
      <c r="L1" s="253"/>
      <c r="M1" s="253"/>
    </row>
    <row r="4" spans="1:13" ht="17" thickBot="1">
      <c r="A4" s="3" t="s">
        <v>5</v>
      </c>
      <c r="B4" s="3"/>
    </row>
    <row r="5" spans="1:13" ht="59" customHeight="1" thickBot="1">
      <c r="B5" s="227" t="s">
        <v>7</v>
      </c>
      <c r="C5" s="228"/>
      <c r="D5" s="229"/>
      <c r="E5" s="6"/>
      <c r="F5" s="7" t="s">
        <v>1</v>
      </c>
      <c r="G5" s="8" t="s">
        <v>8</v>
      </c>
      <c r="I5" s="133" t="s">
        <v>67</v>
      </c>
      <c r="J5" s="134"/>
      <c r="K5" s="134" t="s">
        <v>36</v>
      </c>
      <c r="L5" s="134" t="s">
        <v>37</v>
      </c>
      <c r="M5" s="53" t="s">
        <v>38</v>
      </c>
    </row>
    <row r="6" spans="1:13" ht="17" thickBot="1">
      <c r="B6" s="223" t="s">
        <v>12</v>
      </c>
      <c r="C6" s="224"/>
      <c r="D6" s="224"/>
      <c r="E6" s="25" t="s">
        <v>28</v>
      </c>
      <c r="F6" s="27">
        <v>1490</v>
      </c>
      <c r="G6" s="9">
        <v>540</v>
      </c>
      <c r="I6" s="43" t="s">
        <v>35</v>
      </c>
      <c r="J6" s="13"/>
      <c r="K6" s="85">
        <v>1500</v>
      </c>
      <c r="L6" s="85">
        <v>2500</v>
      </c>
      <c r="M6" s="104">
        <v>20</v>
      </c>
    </row>
    <row r="7" spans="1:13" ht="17" thickBot="1">
      <c r="B7" s="225" t="s">
        <v>13</v>
      </c>
      <c r="C7" s="226"/>
      <c r="D7" s="226"/>
      <c r="E7" s="26" t="s">
        <v>29</v>
      </c>
      <c r="F7" s="28">
        <v>1990</v>
      </c>
      <c r="G7" s="10">
        <v>640</v>
      </c>
    </row>
    <row r="8" spans="1:13">
      <c r="E8" s="4"/>
      <c r="F8" s="4"/>
      <c r="G8" s="4"/>
      <c r="I8" s="186"/>
      <c r="J8" s="186"/>
    </row>
    <row r="9" spans="1:13" ht="17" thickBot="1"/>
    <row r="10" spans="1:13" ht="17" thickBot="1">
      <c r="B10" s="227" t="s">
        <v>9</v>
      </c>
      <c r="C10" s="228"/>
      <c r="D10" s="229"/>
      <c r="E10" s="7" t="s">
        <v>14</v>
      </c>
      <c r="F10" s="7" t="s">
        <v>15</v>
      </c>
    </row>
    <row r="11" spans="1:13">
      <c r="B11" s="223" t="s">
        <v>10</v>
      </c>
      <c r="C11" s="224"/>
      <c r="D11" s="224"/>
      <c r="E11" s="15">
        <v>4351964.97</v>
      </c>
      <c r="F11" s="16">
        <v>3258406.79</v>
      </c>
    </row>
    <row r="12" spans="1:13">
      <c r="B12" s="199" t="s">
        <v>11</v>
      </c>
      <c r="C12" s="200"/>
      <c r="D12" s="200"/>
      <c r="E12" s="5">
        <v>-1.52</v>
      </c>
      <c r="F12" s="12">
        <v>-1.41</v>
      </c>
    </row>
    <row r="13" spans="1:13" ht="17" thickBot="1">
      <c r="B13" s="225" t="s">
        <v>2</v>
      </c>
      <c r="C13" s="226"/>
      <c r="D13" s="226"/>
      <c r="E13" s="13">
        <f>E11*F6^E12</f>
        <v>65.379600570518946</v>
      </c>
      <c r="F13" s="14">
        <f>F11*F7^F12</f>
        <v>72.714741465635669</v>
      </c>
    </row>
    <row r="15" spans="1:13" ht="17" thickBot="1">
      <c r="A15" s="2" t="s">
        <v>6</v>
      </c>
      <c r="B15" s="2"/>
    </row>
    <row r="16" spans="1:13">
      <c r="B16" s="190" t="s">
        <v>17</v>
      </c>
      <c r="C16" s="191"/>
      <c r="D16" s="191"/>
      <c r="E16" s="21">
        <f>E13*(F6-G6)</f>
        <v>62110.620541992997</v>
      </c>
    </row>
    <row r="17" spans="1:7" ht="17" thickBot="1">
      <c r="B17" s="232" t="s">
        <v>16</v>
      </c>
      <c r="C17" s="233"/>
      <c r="D17" s="233"/>
      <c r="E17" s="22">
        <f>F13*(F7-G7)</f>
        <v>98164.900978608159</v>
      </c>
    </row>
    <row r="18" spans="1:7" ht="17" thickBot="1">
      <c r="B18" s="234" t="s">
        <v>18</v>
      </c>
      <c r="C18" s="235"/>
      <c r="D18" s="236"/>
      <c r="E18" s="29">
        <f>SUM(E16:E17)</f>
        <v>160275.52152060115</v>
      </c>
    </row>
    <row r="20" spans="1:7" ht="17" thickBot="1">
      <c r="A20" s="24" t="s">
        <v>27</v>
      </c>
    </row>
    <row r="21" spans="1:7" ht="17" thickBot="1">
      <c r="B21" s="230" t="s">
        <v>19</v>
      </c>
      <c r="C21" s="231"/>
      <c r="D21" s="231"/>
      <c r="E21" s="18" t="s">
        <v>22</v>
      </c>
      <c r="F21" s="11"/>
      <c r="G21" s="7" t="s">
        <v>23</v>
      </c>
    </row>
    <row r="22" spans="1:7">
      <c r="B22" s="199" t="s">
        <v>20</v>
      </c>
      <c r="C22" s="200"/>
      <c r="D22" s="217"/>
      <c r="E22" s="30">
        <f>E13*1+F13*1</f>
        <v>138.09434203615461</v>
      </c>
      <c r="F22" s="20" t="s">
        <v>25</v>
      </c>
      <c r="G22" s="30">
        <v>200</v>
      </c>
    </row>
    <row r="23" spans="1:7">
      <c r="B23" s="199" t="s">
        <v>24</v>
      </c>
      <c r="C23" s="200"/>
      <c r="D23" s="217"/>
      <c r="E23" s="19">
        <f>10*E13+14*F13</f>
        <v>1671.8023862240889</v>
      </c>
      <c r="F23" s="20" t="s">
        <v>25</v>
      </c>
      <c r="G23" s="19">
        <v>2600</v>
      </c>
    </row>
    <row r="24" spans="1:7">
      <c r="B24" s="199" t="s">
        <v>21</v>
      </c>
      <c r="C24" s="200"/>
      <c r="D24" s="217"/>
      <c r="E24" s="19">
        <f>8*E13+10*F13</f>
        <v>1250.1842192205081</v>
      </c>
      <c r="F24" s="20" t="s">
        <v>25</v>
      </c>
      <c r="G24" s="19">
        <v>2000</v>
      </c>
    </row>
    <row r="25" spans="1:7">
      <c r="B25" s="199" t="s">
        <v>30</v>
      </c>
      <c r="C25" s="200"/>
      <c r="D25" s="217"/>
      <c r="E25" s="19">
        <f>F6</f>
        <v>1490</v>
      </c>
      <c r="F25" s="20" t="s">
        <v>26</v>
      </c>
      <c r="G25" s="23">
        <v>540</v>
      </c>
    </row>
    <row r="26" spans="1:7">
      <c r="B26" s="199" t="s">
        <v>31</v>
      </c>
      <c r="C26" s="200"/>
      <c r="D26" s="217"/>
      <c r="E26" s="19">
        <f>F7</f>
        <v>1990</v>
      </c>
      <c r="F26" s="20" t="s">
        <v>26</v>
      </c>
      <c r="G26" s="23">
        <v>640</v>
      </c>
    </row>
    <row r="27" spans="1:7">
      <c r="B27" s="199" t="s">
        <v>33</v>
      </c>
      <c r="C27" s="200"/>
      <c r="D27" s="217"/>
      <c r="E27" s="32">
        <f>F6</f>
        <v>1490</v>
      </c>
      <c r="F27" s="20" t="s">
        <v>25</v>
      </c>
      <c r="G27" s="23">
        <v>1490</v>
      </c>
    </row>
    <row r="28" spans="1:7">
      <c r="B28" s="199" t="s">
        <v>34</v>
      </c>
      <c r="C28" s="200"/>
      <c r="D28" s="217"/>
      <c r="E28" s="32">
        <f>F7</f>
        <v>1990</v>
      </c>
      <c r="F28" s="20" t="s">
        <v>25</v>
      </c>
      <c r="G28" s="23">
        <v>1990</v>
      </c>
    </row>
    <row r="29" spans="1:7" ht="17" thickBot="1">
      <c r="B29" s="220" t="s">
        <v>32</v>
      </c>
      <c r="C29" s="221"/>
      <c r="D29" s="221"/>
      <c r="E29" s="31"/>
      <c r="F29" s="33" t="s">
        <v>26</v>
      </c>
      <c r="G29" s="17">
        <v>0</v>
      </c>
    </row>
  </sheetData>
  <mergeCells count="21">
    <mergeCell ref="B29:D29"/>
    <mergeCell ref="B23:D23"/>
    <mergeCell ref="B24:D24"/>
    <mergeCell ref="B25:D25"/>
    <mergeCell ref="B26:D26"/>
    <mergeCell ref="B27:D27"/>
    <mergeCell ref="B28:D28"/>
    <mergeCell ref="A1:M1"/>
    <mergeCell ref="B22:D22"/>
    <mergeCell ref="B5:D5"/>
    <mergeCell ref="B6:D6"/>
    <mergeCell ref="B7:D7"/>
    <mergeCell ref="B10:D10"/>
    <mergeCell ref="B11:D11"/>
    <mergeCell ref="B12:D12"/>
    <mergeCell ref="B13:D13"/>
    <mergeCell ref="B16:D16"/>
    <mergeCell ref="B17:D17"/>
    <mergeCell ref="B18:D18"/>
    <mergeCell ref="B21:D21"/>
    <mergeCell ref="I8:J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64897-570E-46C2-8E70-C4C21EF57DDC}">
  <dimension ref="A1:B15"/>
  <sheetViews>
    <sheetView workbookViewId="0"/>
  </sheetViews>
  <sheetFormatPr baseColWidth="10" defaultColWidth="8.83203125" defaultRowHeight="16"/>
  <sheetData>
    <row r="1" spans="1:2">
      <c r="A1">
        <v>1</v>
      </c>
    </row>
    <row r="2" spans="1:2">
      <c r="A2" t="s">
        <v>97</v>
      </c>
    </row>
    <row r="3" spans="1:2">
      <c r="A3">
        <v>1</v>
      </c>
    </row>
    <row r="4" spans="1:2">
      <c r="A4">
        <v>1500</v>
      </c>
    </row>
    <row r="5" spans="1:2">
      <c r="A5">
        <v>2500</v>
      </c>
    </row>
    <row r="6" spans="1:2">
      <c r="A6">
        <v>20</v>
      </c>
    </row>
    <row r="8" spans="1:2">
      <c r="A8" s="38"/>
      <c r="B8" s="38"/>
    </row>
    <row r="9" spans="1:2">
      <c r="A9" t="s">
        <v>98</v>
      </c>
    </row>
    <row r="10" spans="1:2">
      <c r="A10" t="s">
        <v>41</v>
      </c>
    </row>
    <row r="15" spans="1:2">
      <c r="B15"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A967B-7797-4AC8-AB11-3CDC86431A90}">
  <dimension ref="A1:B15"/>
  <sheetViews>
    <sheetView workbookViewId="0"/>
  </sheetViews>
  <sheetFormatPr baseColWidth="10" defaultColWidth="8.83203125" defaultRowHeight="16"/>
  <sheetData>
    <row r="1" spans="1:2">
      <c r="A1">
        <v>1</v>
      </c>
    </row>
    <row r="2" spans="1:2">
      <c r="A2" t="s">
        <v>39</v>
      </c>
    </row>
    <row r="3" spans="1:2">
      <c r="A3">
        <v>1</v>
      </c>
    </row>
    <row r="4" spans="1:2">
      <c r="A4">
        <v>1500</v>
      </c>
    </row>
    <row r="5" spans="1:2">
      <c r="A5">
        <v>2500</v>
      </c>
    </row>
    <row r="6" spans="1:2">
      <c r="A6">
        <v>20</v>
      </c>
    </row>
    <row r="8" spans="1:2">
      <c r="A8" s="38"/>
      <c r="B8" s="38"/>
    </row>
    <row r="9" spans="1:2">
      <c r="A9" t="s">
        <v>40</v>
      </c>
    </row>
    <row r="10" spans="1:2">
      <c r="A10" t="s">
        <v>41</v>
      </c>
    </row>
    <row r="15" spans="1:2">
      <c r="B15"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D6F3-EFCE-42C6-A10D-9A03FA41EDB1}">
  <dimension ref="A1:K55"/>
  <sheetViews>
    <sheetView topLeftCell="A35" zoomScaleNormal="100" workbookViewId="0">
      <selection activeCell="W43" sqref="W43"/>
    </sheetView>
  </sheetViews>
  <sheetFormatPr baseColWidth="10" defaultColWidth="8.83203125" defaultRowHeight="16"/>
  <cols>
    <col min="1" max="1" width="9.83203125" customWidth="1"/>
    <col min="2" max="2" width="12.1640625" bestFit="1" customWidth="1"/>
    <col min="5" max="6" width="10.1640625" bestFit="1" customWidth="1"/>
  </cols>
  <sheetData>
    <row r="1" spans="1:11">
      <c r="A1" s="150" t="s">
        <v>99</v>
      </c>
      <c r="K1" s="152" t="str">
        <f>CONCATENATE("Sensitivity of ",$K$4," to ","Input")</f>
        <v>Sensitivity of Total Profit($) to Input</v>
      </c>
    </row>
    <row r="3" spans="1:11" ht="17" thickBot="1">
      <c r="A3" t="s">
        <v>100</v>
      </c>
      <c r="K3" t="s">
        <v>101</v>
      </c>
    </row>
    <row r="4" spans="1:11" ht="117" customHeight="1" thickBot="1">
      <c r="A4" s="180" t="s">
        <v>112</v>
      </c>
      <c r="B4" s="178" t="s">
        <v>102</v>
      </c>
      <c r="C4" s="178" t="s">
        <v>103</v>
      </c>
      <c r="D4" s="178" t="s">
        <v>104</v>
      </c>
      <c r="E4" s="178" t="s">
        <v>105</v>
      </c>
      <c r="F4" s="178" t="s">
        <v>106</v>
      </c>
      <c r="J4" s="152">
        <f>MATCH($K$4,OutputAddresses,0)</f>
        <v>1</v>
      </c>
      <c r="K4" s="179" t="s">
        <v>102</v>
      </c>
    </row>
    <row r="5" spans="1:11">
      <c r="A5" s="151">
        <v>1500</v>
      </c>
      <c r="B5" s="153">
        <v>155267.53</v>
      </c>
      <c r="C5" s="154">
        <v>65.379600570518946</v>
      </c>
      <c r="D5" s="154">
        <v>108.32198922816127</v>
      </c>
      <c r="E5" s="155">
        <v>1490</v>
      </c>
      <c r="F5" s="156">
        <v>1500</v>
      </c>
      <c r="K5">
        <f>INDEX(OutputValues,1,$J$4)</f>
        <v>155267.53</v>
      </c>
    </row>
    <row r="6" spans="1:11">
      <c r="A6" s="151">
        <v>1520</v>
      </c>
      <c r="B6" s="153">
        <v>155670.25</v>
      </c>
      <c r="C6" s="154">
        <v>65.379600570518946</v>
      </c>
      <c r="D6" s="154">
        <v>106.31776615937459</v>
      </c>
      <c r="E6" s="155">
        <v>1490</v>
      </c>
      <c r="F6" s="156">
        <v>1520</v>
      </c>
      <c r="K6">
        <f>INDEX(OutputValues,2,$J$4)</f>
        <v>155670.25</v>
      </c>
    </row>
    <row r="7" spans="1:11">
      <c r="A7" s="151">
        <v>1540</v>
      </c>
      <c r="B7" s="153">
        <v>156049.10999999999</v>
      </c>
      <c r="C7" s="154">
        <v>65.379600570518946</v>
      </c>
      <c r="D7" s="154">
        <v>104.37610486356517</v>
      </c>
      <c r="E7" s="155">
        <v>1490</v>
      </c>
      <c r="F7" s="156">
        <v>1540</v>
      </c>
      <c r="K7">
        <f>INDEX(OutputValues,3,$J$4)</f>
        <v>156049.10999999999</v>
      </c>
    </row>
    <row r="8" spans="1:11">
      <c r="A8" s="151">
        <v>1560</v>
      </c>
      <c r="B8" s="153">
        <v>156405.35999999999</v>
      </c>
      <c r="C8" s="154">
        <v>65.379600570518946</v>
      </c>
      <c r="D8" s="154">
        <v>102.49427750654846</v>
      </c>
      <c r="E8" s="155">
        <v>1490</v>
      </c>
      <c r="F8" s="156">
        <v>1560</v>
      </c>
      <c r="K8">
        <f>INDEX(OutputValues,4,$J$4)</f>
        <v>156405.35999999999</v>
      </c>
    </row>
    <row r="9" spans="1:11">
      <c r="A9" s="151">
        <v>1580</v>
      </c>
      <c r="B9" s="153">
        <v>156740.15</v>
      </c>
      <c r="C9" s="154">
        <v>65.379600570518946</v>
      </c>
      <c r="D9" s="154">
        <v>100.66970813071508</v>
      </c>
      <c r="E9" s="155">
        <v>1490</v>
      </c>
      <c r="F9" s="156">
        <v>1580</v>
      </c>
      <c r="K9">
        <f>INDEX(OutputValues,5,$J$4)</f>
        <v>156740.15</v>
      </c>
    </row>
    <row r="10" spans="1:11">
      <c r="A10" s="151">
        <v>1600</v>
      </c>
      <c r="B10" s="153">
        <v>157054.57999999999</v>
      </c>
      <c r="C10" s="154">
        <v>65.379600570518946</v>
      </c>
      <c r="D10" s="154">
        <v>98.899962410988621</v>
      </c>
      <c r="E10" s="155">
        <v>1490</v>
      </c>
      <c r="F10" s="156">
        <v>1600</v>
      </c>
      <c r="K10">
        <f>INDEX(OutputValues,6,$J$4)</f>
        <v>157054.57999999999</v>
      </c>
    </row>
    <row r="11" spans="1:11">
      <c r="A11" s="151">
        <v>1620</v>
      </c>
      <c r="B11" s="153">
        <v>157349.70000000001</v>
      </c>
      <c r="C11" s="154">
        <v>65.379600570518946</v>
      </c>
      <c r="D11" s="154">
        <v>97.182738219376986</v>
      </c>
      <c r="E11" s="155">
        <v>1490</v>
      </c>
      <c r="F11" s="156">
        <v>1620</v>
      </c>
      <c r="K11">
        <f>INDEX(OutputValues,7,$J$4)</f>
        <v>157349.70000000001</v>
      </c>
    </row>
    <row r="12" spans="1:11">
      <c r="A12" s="151">
        <v>1640</v>
      </c>
      <c r="B12" s="153">
        <v>157626.48000000001</v>
      </c>
      <c r="C12" s="154">
        <v>65.379600570518946</v>
      </c>
      <c r="D12" s="154">
        <v>95.515856925230565</v>
      </c>
      <c r="E12" s="155">
        <v>1490</v>
      </c>
      <c r="F12" s="156">
        <v>1640</v>
      </c>
      <c r="K12">
        <f>INDEX(OutputValues,8,$J$4)</f>
        <v>157626.48000000001</v>
      </c>
    </row>
    <row r="13" spans="1:11">
      <c r="A13" s="151">
        <v>1660</v>
      </c>
      <c r="B13" s="153">
        <v>157885.82</v>
      </c>
      <c r="C13" s="154">
        <v>65.379600570518946</v>
      </c>
      <c r="D13" s="154">
        <v>93.897255365691265</v>
      </c>
      <c r="E13" s="155">
        <v>1490</v>
      </c>
      <c r="F13" s="156">
        <v>1660</v>
      </c>
      <c r="K13">
        <f>INDEX(OutputValues,9,$J$4)</f>
        <v>157885.82</v>
      </c>
    </row>
    <row r="14" spans="1:11">
      <c r="A14" s="151">
        <v>1680</v>
      </c>
      <c r="B14" s="153">
        <v>158128.6</v>
      </c>
      <c r="C14" s="154">
        <v>65.379600570518946</v>
      </c>
      <c r="D14" s="154">
        <v>92.324978427359127</v>
      </c>
      <c r="E14" s="155">
        <v>1490</v>
      </c>
      <c r="F14" s="156">
        <v>1680</v>
      </c>
      <c r="K14">
        <f>INDEX(OutputValues,10,$J$4)</f>
        <v>158128.6</v>
      </c>
    </row>
    <row r="15" spans="1:11">
      <c r="A15" s="151">
        <v>1700</v>
      </c>
      <c r="B15" s="153">
        <v>158355.62</v>
      </c>
      <c r="C15" s="154">
        <v>65.379600570518946</v>
      </c>
      <c r="D15" s="154">
        <v>90.797172186021427</v>
      </c>
      <c r="E15" s="155">
        <v>1490</v>
      </c>
      <c r="F15" s="156">
        <v>1700</v>
      </c>
      <c r="K15">
        <f>INDEX(OutputValues,11,$J$4)</f>
        <v>158355.62</v>
      </c>
    </row>
    <row r="16" spans="1:11">
      <c r="A16" s="151">
        <v>1720</v>
      </c>
      <c r="B16" s="153">
        <v>158567.66</v>
      </c>
      <c r="C16" s="154">
        <v>65.379600570518946</v>
      </c>
      <c r="D16" s="154">
        <v>89.312077556477107</v>
      </c>
      <c r="E16" s="155">
        <v>1490</v>
      </c>
      <c r="F16" s="156">
        <v>1720</v>
      </c>
      <c r="K16">
        <f>INDEX(OutputValues,12,$J$4)</f>
        <v>158567.66</v>
      </c>
    </row>
    <row r="17" spans="1:11">
      <c r="A17" s="151">
        <v>1740</v>
      </c>
      <c r="B17" s="153">
        <v>158765.45000000001</v>
      </c>
      <c r="C17" s="154">
        <v>65.379600570518946</v>
      </c>
      <c r="D17" s="154">
        <v>87.868024409116188</v>
      </c>
      <c r="E17" s="155">
        <v>1490</v>
      </c>
      <c r="F17" s="156">
        <v>1740</v>
      </c>
      <c r="K17">
        <f>INDEX(OutputValues,13,$J$4)</f>
        <v>158765.45000000001</v>
      </c>
    </row>
    <row r="18" spans="1:11">
      <c r="A18" s="151">
        <v>1760</v>
      </c>
      <c r="B18" s="153">
        <v>158949.66</v>
      </c>
      <c r="C18" s="154">
        <v>65.379600570518946</v>
      </c>
      <c r="D18" s="154">
        <v>86.463426114040203</v>
      </c>
      <c r="E18" s="155">
        <v>1490</v>
      </c>
      <c r="F18" s="156">
        <v>1760</v>
      </c>
      <c r="K18">
        <f>INDEX(OutputValues,14,$J$4)</f>
        <v>158949.66</v>
      </c>
    </row>
    <row r="19" spans="1:11">
      <c r="A19" s="151">
        <v>1780</v>
      </c>
      <c r="B19" s="153">
        <v>159120.94</v>
      </c>
      <c r="C19" s="154">
        <v>65.379600570518946</v>
      </c>
      <c r="D19" s="154">
        <v>85.096774477213614</v>
      </c>
      <c r="E19" s="155">
        <v>1490</v>
      </c>
      <c r="F19" s="156">
        <v>1780</v>
      </c>
      <c r="K19">
        <f>INDEX(OutputValues,15,$J$4)</f>
        <v>159120.94</v>
      </c>
    </row>
    <row r="20" spans="1:11">
      <c r="A20" s="151">
        <v>1800</v>
      </c>
      <c r="B20" s="153">
        <v>159279.92000000001</v>
      </c>
      <c r="C20" s="154">
        <v>65.379600570518946</v>
      </c>
      <c r="D20" s="154">
        <v>83.766635036443276</v>
      </c>
      <c r="E20" s="155">
        <v>1490</v>
      </c>
      <c r="F20" s="156">
        <v>1800</v>
      </c>
      <c r="K20">
        <f>INDEX(OutputValues,16,$J$4)</f>
        <v>159279.92000000001</v>
      </c>
    </row>
    <row r="21" spans="1:11">
      <c r="A21" s="151">
        <v>1820</v>
      </c>
      <c r="B21" s="153">
        <v>159427.16</v>
      </c>
      <c r="C21" s="154">
        <v>65.379600570518946</v>
      </c>
      <c r="D21" s="154">
        <v>82.47164268795018</v>
      </c>
      <c r="E21" s="155">
        <v>1490</v>
      </c>
      <c r="F21" s="156">
        <v>1820</v>
      </c>
      <c r="K21">
        <f>INDEX(OutputValues,17,$J$4)</f>
        <v>159427.16</v>
      </c>
    </row>
    <row r="22" spans="1:11">
      <c r="A22" s="151">
        <v>1840</v>
      </c>
      <c r="B22" s="153">
        <v>159563.22</v>
      </c>
      <c r="C22" s="154">
        <v>65.379600570518946</v>
      </c>
      <c r="D22" s="154">
        <v>81.210497616969676</v>
      </c>
      <c r="E22" s="155">
        <v>1490</v>
      </c>
      <c r="F22" s="156">
        <v>1840</v>
      </c>
      <c r="K22">
        <f>INDEX(OutputValues,18,$J$4)</f>
        <v>159563.22</v>
      </c>
    </row>
    <row r="23" spans="1:11">
      <c r="A23" s="151">
        <v>1860</v>
      </c>
      <c r="B23" s="153">
        <v>159688.60999999999</v>
      </c>
      <c r="C23" s="154">
        <v>65.379600570518946</v>
      </c>
      <c r="D23" s="154">
        <v>79.981961508207817</v>
      </c>
      <c r="E23" s="155">
        <v>1490</v>
      </c>
      <c r="F23" s="156">
        <v>1860</v>
      </c>
      <c r="K23">
        <f>INDEX(OutputValues,19,$J$4)</f>
        <v>159688.60999999999</v>
      </c>
    </row>
    <row r="24" spans="1:11">
      <c r="A24" s="151">
        <v>1880</v>
      </c>
      <c r="B24" s="153">
        <v>159803.84</v>
      </c>
      <c r="C24" s="154">
        <v>65.379600570518946</v>
      </c>
      <c r="D24" s="154">
        <v>78.784854014142624</v>
      </c>
      <c r="E24" s="155">
        <v>1490</v>
      </c>
      <c r="F24" s="156">
        <v>1880</v>
      </c>
      <c r="K24">
        <f>INDEX(OutputValues,20,$J$4)</f>
        <v>159803.84</v>
      </c>
    </row>
    <row r="25" spans="1:11">
      <c r="A25" s="151">
        <v>1900</v>
      </c>
      <c r="B25" s="153">
        <v>159909.35999999999</v>
      </c>
      <c r="C25" s="154">
        <v>65.379600570518946</v>
      </c>
      <c r="D25" s="154">
        <v>77.618049461102473</v>
      </c>
      <c r="E25" s="155">
        <v>1490</v>
      </c>
      <c r="F25" s="156">
        <v>1900</v>
      </c>
      <c r="K25">
        <f>INDEX(OutputValues,21,$J$4)</f>
        <v>159909.35999999999</v>
      </c>
    </row>
    <row r="26" spans="1:11">
      <c r="A26" s="151">
        <v>1920</v>
      </c>
      <c r="B26" s="153">
        <v>160005.63</v>
      </c>
      <c r="C26" s="154">
        <v>65.379600570518946</v>
      </c>
      <c r="D26" s="154">
        <v>76.480473774806228</v>
      </c>
      <c r="E26" s="155">
        <v>1490</v>
      </c>
      <c r="F26" s="156">
        <v>1920</v>
      </c>
      <c r="K26">
        <f>INDEX(OutputValues,22,$J$4)</f>
        <v>160005.63</v>
      </c>
    </row>
    <row r="27" spans="1:11">
      <c r="A27" s="151">
        <v>1940</v>
      </c>
      <c r="B27" s="153">
        <v>160093.04999999999</v>
      </c>
      <c r="C27" s="154">
        <v>65.379600570518946</v>
      </c>
      <c r="D27" s="154">
        <v>75.371101608638853</v>
      </c>
      <c r="E27" s="155">
        <v>1490</v>
      </c>
      <c r="F27" s="156">
        <v>1940</v>
      </c>
      <c r="K27">
        <f>INDEX(OutputValues,23,$J$4)</f>
        <v>160093.04999999999</v>
      </c>
    </row>
    <row r="28" spans="1:11">
      <c r="A28" s="151">
        <v>1960</v>
      </c>
      <c r="B28" s="153">
        <v>160172.04</v>
      </c>
      <c r="C28" s="154">
        <v>65.379600570518946</v>
      </c>
      <c r="D28" s="154">
        <v>74.288953659363003</v>
      </c>
      <c r="E28" s="155">
        <v>1490</v>
      </c>
      <c r="F28" s="156">
        <v>1960</v>
      </c>
      <c r="K28">
        <f>INDEX(OutputValues,24,$J$4)</f>
        <v>160172.04</v>
      </c>
    </row>
    <row r="29" spans="1:11">
      <c r="A29" s="151">
        <v>1980</v>
      </c>
      <c r="B29" s="153">
        <v>160242.97</v>
      </c>
      <c r="C29" s="154">
        <v>65.379600570518946</v>
      </c>
      <c r="D29" s="154">
        <v>73.233094156267754</v>
      </c>
      <c r="E29" s="155">
        <v>1490</v>
      </c>
      <c r="F29" s="156">
        <v>1980</v>
      </c>
      <c r="K29">
        <f>INDEX(OutputValues,25,$J$4)</f>
        <v>160242.97</v>
      </c>
    </row>
    <row r="30" spans="1:11">
      <c r="A30" s="151">
        <v>2000</v>
      </c>
      <c r="B30" s="153">
        <v>160306.20000000001</v>
      </c>
      <c r="C30" s="154">
        <v>65.379600570518946</v>
      </c>
      <c r="D30" s="154">
        <v>72.20262851093041</v>
      </c>
      <c r="E30" s="155">
        <v>1490</v>
      </c>
      <c r="F30" s="156">
        <v>2000</v>
      </c>
      <c r="K30">
        <f>INDEX(OutputValues,26,$J$4)</f>
        <v>160306.20000000001</v>
      </c>
    </row>
    <row r="31" spans="1:11">
      <c r="A31" s="151">
        <v>2020</v>
      </c>
      <c r="B31" s="153">
        <v>160362.07</v>
      </c>
      <c r="C31" s="154">
        <v>65.379600570518946</v>
      </c>
      <c r="D31" s="154">
        <v>71.196701115829725</v>
      </c>
      <c r="E31" s="155">
        <v>1490</v>
      </c>
      <c r="F31" s="156">
        <v>2020</v>
      </c>
      <c r="K31">
        <f>INDEX(OutputValues,27,$J$4)</f>
        <v>160362.07</v>
      </c>
    </row>
    <row r="32" spans="1:11">
      <c r="A32" s="151">
        <v>2040</v>
      </c>
      <c r="B32" s="153">
        <v>160410.91</v>
      </c>
      <c r="C32" s="154">
        <v>65.379600570518946</v>
      </c>
      <c r="D32" s="154">
        <v>70.21449328102085</v>
      </c>
      <c r="E32" s="155">
        <v>1490</v>
      </c>
      <c r="F32" s="156">
        <v>2040</v>
      </c>
      <c r="K32">
        <f>INDEX(OutputValues,28,$J$4)</f>
        <v>160410.91</v>
      </c>
    </row>
    <row r="33" spans="1:11">
      <c r="A33" s="151">
        <v>2060</v>
      </c>
      <c r="B33" s="153">
        <v>160453.03</v>
      </c>
      <c r="C33" s="154">
        <v>65.379600570518946</v>
      </c>
      <c r="D33" s="154">
        <v>69.255221298959597</v>
      </c>
      <c r="E33" s="155">
        <v>1490</v>
      </c>
      <c r="F33" s="156">
        <v>2060</v>
      </c>
      <c r="K33">
        <f>INDEX(OutputValues,29,$J$4)</f>
        <v>160453.03</v>
      </c>
    </row>
    <row r="34" spans="1:11">
      <c r="A34" s="151">
        <v>2080</v>
      </c>
      <c r="B34" s="153">
        <v>160488.73000000001</v>
      </c>
      <c r="C34" s="154">
        <v>65.379600570518946</v>
      </c>
      <c r="D34" s="154">
        <v>68.318134628362259</v>
      </c>
      <c r="E34" s="155">
        <v>1490</v>
      </c>
      <c r="F34" s="156">
        <v>2080</v>
      </c>
      <c r="K34">
        <f>INDEX(OutputValues,30,$J$4)</f>
        <v>160488.73000000001</v>
      </c>
    </row>
    <row r="35" spans="1:11">
      <c r="A35" s="151">
        <v>2100</v>
      </c>
      <c r="B35" s="153">
        <v>160518.29</v>
      </c>
      <c r="C35" s="154">
        <v>65.379600570518946</v>
      </c>
      <c r="D35" s="154">
        <v>67.402514188717362</v>
      </c>
      <c r="E35" s="155">
        <v>1490</v>
      </c>
      <c r="F35" s="156">
        <v>2100</v>
      </c>
      <c r="K35">
        <f>INDEX(OutputValues,31,$J$4)</f>
        <v>160518.29</v>
      </c>
    </row>
    <row r="36" spans="1:11">
      <c r="A36" s="151">
        <v>2120</v>
      </c>
      <c r="B36" s="153">
        <v>160541.97</v>
      </c>
      <c r="C36" s="154">
        <v>65.379600570518946</v>
      </c>
      <c r="D36" s="154">
        <v>66.50767075773129</v>
      </c>
      <c r="E36" s="155">
        <v>1490</v>
      </c>
      <c r="F36" s="156">
        <v>2120</v>
      </c>
      <c r="K36">
        <f>INDEX(OutputValues,32,$J$4)</f>
        <v>160541.97</v>
      </c>
    </row>
    <row r="37" spans="1:11">
      <c r="A37" s="151">
        <v>2140</v>
      </c>
      <c r="B37" s="153">
        <v>160560.04</v>
      </c>
      <c r="C37" s="154">
        <v>65.379600570518946</v>
      </c>
      <c r="D37" s="154">
        <v>65.632943464590014</v>
      </c>
      <c r="E37" s="155">
        <v>1490</v>
      </c>
      <c r="F37" s="156">
        <v>2140</v>
      </c>
      <c r="K37">
        <f>INDEX(OutputValues,33,$J$4)</f>
        <v>160560.04</v>
      </c>
    </row>
    <row r="38" spans="1:11">
      <c r="A38" s="151">
        <v>2160</v>
      </c>
      <c r="B38" s="153">
        <v>160572.72</v>
      </c>
      <c r="C38" s="154">
        <v>65.379600570518946</v>
      </c>
      <c r="D38" s="154">
        <v>64.777698372478312</v>
      </c>
      <c r="E38" s="155">
        <v>1490</v>
      </c>
      <c r="F38" s="156">
        <v>2160</v>
      </c>
      <c r="K38">
        <f>INDEX(OutputValues,34,$J$4)</f>
        <v>160572.72</v>
      </c>
    </row>
    <row r="39" spans="1:11">
      <c r="A39" s="151">
        <v>2180</v>
      </c>
      <c r="B39" s="153">
        <v>160580.26</v>
      </c>
      <c r="C39" s="154">
        <v>65.379600570518946</v>
      </c>
      <c r="D39" s="154">
        <v>63.9413271442981</v>
      </c>
      <c r="E39" s="155">
        <v>1490</v>
      </c>
      <c r="F39" s="156">
        <v>2180</v>
      </c>
      <c r="K39">
        <f>INDEX(OutputValues,35,$J$4)</f>
        <v>160580.26</v>
      </c>
    </row>
    <row r="40" spans="1:11">
      <c r="A40" s="151">
        <v>2200</v>
      </c>
      <c r="B40" s="153">
        <v>160582.88</v>
      </c>
      <c r="C40" s="154">
        <v>65.379600570518946</v>
      </c>
      <c r="D40" s="154">
        <v>63.123245785993198</v>
      </c>
      <c r="E40" s="155">
        <v>1490</v>
      </c>
      <c r="F40" s="156">
        <v>2200</v>
      </c>
      <c r="K40">
        <f>INDEX(OutputValues,36,$J$4)</f>
        <v>160582.88</v>
      </c>
    </row>
    <row r="41" spans="1:11">
      <c r="A41" s="164">
        <v>2220</v>
      </c>
      <c r="B41" s="161">
        <v>160582.89000000001</v>
      </c>
      <c r="C41" s="154">
        <v>65.379600570518946</v>
      </c>
      <c r="D41" s="154">
        <v>63.08378520648759</v>
      </c>
      <c r="E41" s="155">
        <v>1490</v>
      </c>
      <c r="F41" s="165">
        <v>2200.98</v>
      </c>
      <c r="K41">
        <f>INDEX(OutputValues,37,$J$4)</f>
        <v>160582.89000000001</v>
      </c>
    </row>
    <row r="42" spans="1:11">
      <c r="A42" s="151">
        <v>2240</v>
      </c>
      <c r="B42" s="153">
        <v>160582.89000000001</v>
      </c>
      <c r="C42" s="154">
        <v>65.379600570518946</v>
      </c>
      <c r="D42" s="154">
        <v>63.083651461161502</v>
      </c>
      <c r="E42" s="155">
        <v>1490</v>
      </c>
      <c r="F42" s="156">
        <v>2200.98</v>
      </c>
      <c r="K42">
        <f>INDEX(OutputValues,38,$J$4)</f>
        <v>160582.89000000001</v>
      </c>
    </row>
    <row r="43" spans="1:11">
      <c r="A43" s="151">
        <v>2260</v>
      </c>
      <c r="B43" s="153">
        <v>160582.89000000001</v>
      </c>
      <c r="C43" s="154">
        <v>65.379600570518946</v>
      </c>
      <c r="D43" s="154">
        <v>63.083373869974182</v>
      </c>
      <c r="E43" s="155">
        <v>1490</v>
      </c>
      <c r="F43" s="156">
        <v>2200.9899999999998</v>
      </c>
      <c r="K43">
        <f>INDEX(OutputValues,39,$J$4)</f>
        <v>160582.89000000001</v>
      </c>
    </row>
    <row r="44" spans="1:11">
      <c r="A44" s="151">
        <v>2280</v>
      </c>
      <c r="B44" s="153">
        <v>160582.89000000001</v>
      </c>
      <c r="C44" s="154">
        <v>65.379600570518946</v>
      </c>
      <c r="D44" s="163">
        <v>63.083797333304254</v>
      </c>
      <c r="E44" s="155">
        <v>1490</v>
      </c>
      <c r="F44" s="156">
        <v>2200.98</v>
      </c>
      <c r="K44">
        <f>INDEX(OutputValues,40,$J$4)</f>
        <v>160582.89000000001</v>
      </c>
    </row>
    <row r="45" spans="1:11">
      <c r="A45" s="151">
        <v>2300</v>
      </c>
      <c r="B45" s="153">
        <v>160582.89000000001</v>
      </c>
      <c r="C45" s="154">
        <v>65.379600570518946</v>
      </c>
      <c r="D45" s="154">
        <v>63.083797338818691</v>
      </c>
      <c r="E45" s="155">
        <v>1490</v>
      </c>
      <c r="F45" s="156">
        <v>2200.98</v>
      </c>
      <c r="K45">
        <f>INDEX(OutputValues,41,$J$4)</f>
        <v>160582.89000000001</v>
      </c>
    </row>
    <row r="46" spans="1:11">
      <c r="A46" s="151">
        <v>2320</v>
      </c>
      <c r="B46" s="153">
        <v>160582.89000000001</v>
      </c>
      <c r="C46" s="154">
        <v>65.379600570518946</v>
      </c>
      <c r="D46" s="154">
        <v>63.083797331825295</v>
      </c>
      <c r="E46" s="155">
        <v>1490</v>
      </c>
      <c r="F46" s="156">
        <v>2200.98</v>
      </c>
      <c r="K46">
        <f>INDEX(OutputValues,42,$J$4)</f>
        <v>160582.89000000001</v>
      </c>
    </row>
    <row r="47" spans="1:11">
      <c r="A47" s="151">
        <v>2340</v>
      </c>
      <c r="B47" s="153">
        <v>160582.89000000001</v>
      </c>
      <c r="C47" s="154">
        <v>65.379600570518946</v>
      </c>
      <c r="D47" s="154">
        <v>63.08379732608045</v>
      </c>
      <c r="E47" s="155">
        <v>1490</v>
      </c>
      <c r="F47" s="156">
        <v>2200.98</v>
      </c>
      <c r="K47">
        <f>INDEX(OutputValues,43,$J$4)</f>
        <v>160582.89000000001</v>
      </c>
    </row>
    <row r="48" spans="1:11">
      <c r="A48" s="151">
        <v>2360</v>
      </c>
      <c r="B48" s="153">
        <v>160582.89000000001</v>
      </c>
      <c r="C48" s="154">
        <v>65.379600570518946</v>
      </c>
      <c r="D48" s="154">
        <v>63.083797327580257</v>
      </c>
      <c r="E48" s="155">
        <v>1490</v>
      </c>
      <c r="F48" s="156">
        <v>2200.98</v>
      </c>
      <c r="K48">
        <f>INDEX(OutputValues,44,$J$4)</f>
        <v>160582.89000000001</v>
      </c>
    </row>
    <row r="49" spans="1:11">
      <c r="A49" s="151">
        <v>2380</v>
      </c>
      <c r="B49" s="153">
        <v>160582.89000000001</v>
      </c>
      <c r="C49" s="154">
        <v>65.379600570518946</v>
      </c>
      <c r="D49" s="154">
        <v>63.083797310418362</v>
      </c>
      <c r="E49" s="155">
        <v>1490</v>
      </c>
      <c r="F49" s="156">
        <v>2200.98</v>
      </c>
      <c r="K49">
        <f>INDEX(OutputValues,45,$J$4)</f>
        <v>160582.89000000001</v>
      </c>
    </row>
    <row r="50" spans="1:11">
      <c r="A50" s="151">
        <v>2400</v>
      </c>
      <c r="B50" s="153">
        <v>160582.89000000001</v>
      </c>
      <c r="C50" s="154">
        <v>65.379600570518946</v>
      </c>
      <c r="D50" s="154">
        <v>63.083797282133688</v>
      </c>
      <c r="E50" s="155">
        <v>1490</v>
      </c>
      <c r="F50" s="156">
        <v>2200.98</v>
      </c>
      <c r="K50">
        <f>INDEX(OutputValues,46,$J$4)</f>
        <v>160582.89000000001</v>
      </c>
    </row>
    <row r="51" spans="1:11">
      <c r="A51" s="151">
        <v>2420</v>
      </c>
      <c r="B51" s="153">
        <v>160582.89000000001</v>
      </c>
      <c r="C51" s="154">
        <v>65.379600570518946</v>
      </c>
      <c r="D51" s="154">
        <v>63.083797282133688</v>
      </c>
      <c r="E51" s="155">
        <v>1490</v>
      </c>
      <c r="F51" s="156">
        <v>2200.98</v>
      </c>
      <c r="K51">
        <f>INDEX(OutputValues,47,$J$4)</f>
        <v>160582.89000000001</v>
      </c>
    </row>
    <row r="52" spans="1:11">
      <c r="A52" s="151">
        <v>2440</v>
      </c>
      <c r="B52" s="153">
        <v>160582.89000000001</v>
      </c>
      <c r="C52" s="154">
        <v>65.379600570518946</v>
      </c>
      <c r="D52" s="154">
        <v>63.083797282133688</v>
      </c>
      <c r="E52" s="155">
        <v>1490</v>
      </c>
      <c r="F52" s="156">
        <v>2200.98</v>
      </c>
      <c r="K52">
        <f>INDEX(OutputValues,48,$J$4)</f>
        <v>160582.89000000001</v>
      </c>
    </row>
    <row r="53" spans="1:11">
      <c r="A53" s="151">
        <v>2460</v>
      </c>
      <c r="B53" s="153">
        <v>160582.89000000001</v>
      </c>
      <c r="C53" s="154">
        <v>65.379600570518946</v>
      </c>
      <c r="D53" s="154">
        <v>63.083797282133688</v>
      </c>
      <c r="E53" s="155">
        <v>1490</v>
      </c>
      <c r="F53" s="156">
        <v>2200.98</v>
      </c>
      <c r="K53">
        <f>INDEX(OutputValues,49,$J$4)</f>
        <v>160582.89000000001</v>
      </c>
    </row>
    <row r="54" spans="1:11">
      <c r="A54" s="151">
        <v>2480</v>
      </c>
      <c r="B54" s="153">
        <v>160582.89000000001</v>
      </c>
      <c r="C54" s="154">
        <v>65.379600570518946</v>
      </c>
      <c r="D54" s="154">
        <v>63.083797282133688</v>
      </c>
      <c r="E54" s="155">
        <v>1490</v>
      </c>
      <c r="F54" s="156">
        <v>2200.98</v>
      </c>
      <c r="K54">
        <f>INDEX(OutputValues,50,$J$4)</f>
        <v>160582.89000000001</v>
      </c>
    </row>
    <row r="55" spans="1:11">
      <c r="A55" s="151">
        <v>2500</v>
      </c>
      <c r="B55" s="157">
        <v>160582.89000000001</v>
      </c>
      <c r="C55" s="158">
        <v>65.379600570518946</v>
      </c>
      <c r="D55" s="158">
        <v>63.083797282133688</v>
      </c>
      <c r="E55" s="159">
        <v>1490</v>
      </c>
      <c r="F55" s="160">
        <v>2200.98</v>
      </c>
      <c r="K55">
        <f>INDEX(OutputValues,51,$J$4)</f>
        <v>160582.89000000001</v>
      </c>
    </row>
  </sheetData>
  <dataValidations count="1">
    <dataValidation type="list" allowBlank="1" showInputMessage="1" showErrorMessage="1" sqref="K4" xr:uid="{6B3300F6-ECCE-4729-85CA-B36EF2D1407A}">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Q1</vt:lpstr>
      <vt:lpstr>Q2</vt:lpstr>
      <vt:lpstr>Q3</vt:lpstr>
      <vt:lpstr>Q4</vt:lpstr>
      <vt:lpstr>Q5-solvertable input</vt:lpstr>
      <vt:lpstr>Q5-sensitivity analysis</vt:lpstr>
      <vt:lpstr>'Q5-sensitivity analysis'!ChartData</vt:lpstr>
      <vt:lpstr>'Q5-sensitivity analysis'!InputValues</vt:lpstr>
      <vt:lpstr>'Q5-sensitivity analysis'!OutputAddresses</vt:lpstr>
      <vt:lpstr>'Q5-sensitivity analysis'!OutputValues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2020-09-13T06:50:16Z</dcterms:created>
  <dcterms:modified xsi:type="dcterms:W3CDTF">2020-09-15T18:50:46Z</dcterms:modified>
</cp:coreProperties>
</file>