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c\Desktop\MSBA\BAN630_Optimization\TermProject\Final Submission\"/>
    </mc:Choice>
  </mc:AlternateContent>
  <xr:revisionPtr revIDLastSave="0" documentId="13_ncr:1_{AE01BD16-6D83-4E34-997B-B844A2E0FEFC}" xr6:coauthVersionLast="45" xr6:coauthVersionMax="45" xr10:uidLastSave="{00000000-0000-0000-0000-000000000000}"/>
  <bookViews>
    <workbookView xWindow="-120" yWindow="-120" windowWidth="20730" windowHeight="11160" tabRatio="740" xr2:uid="{499C3103-B316-4340-8B15-0FD6CFC92B73}"/>
  </bookViews>
  <sheets>
    <sheet name="Formulation" sheetId="13" r:id="rId1"/>
    <sheet name="Inbound_baseline" sheetId="3" r:id="rId2"/>
    <sheet name="Outbound_baseline" sheetId="2" r:id="rId3"/>
    <sheet name="Opt -transportation+WH cost" sheetId="4" r:id="rId4"/>
    <sheet name="2-way capacity check" sheetId="21" r:id="rId5"/>
    <sheet name="Opt -transportation+4WH cost" sheetId="12" r:id="rId6"/>
    <sheet name="Optimal WH need" sheetId="15" r:id="rId7"/>
    <sheet name="Opt -transportation+NewConst" sheetId="22" r:id="rId8"/>
    <sheet name="Opt -transportation+WH cost_STS" sheetId="14" state="veryHidden" r:id="rId9"/>
    <sheet name="Opt -transportation+NewCons_STS" sheetId="23" state="veryHidden" r:id="rId10"/>
  </sheets>
  <definedNames>
    <definedName name="ChartData" localSheetId="6">'Optimal WH need'!$K$5:$K$8</definedName>
    <definedName name="ChartData1" localSheetId="4">'2-way capacity check'!$X$5:$X$25</definedName>
    <definedName name="ChartData2" localSheetId="4">'2-way capacity check'!$AB$5:$AB$25</definedName>
    <definedName name="InputValues" localSheetId="6">'Optimal WH need'!$A$5:$A$8</definedName>
    <definedName name="InputValues1" localSheetId="4">'2-way capacity check'!$A$5:$A$25</definedName>
    <definedName name="InputValues2" localSheetId="4">'2-way capacity check'!$B$4:$V$4</definedName>
    <definedName name="OutputAddresses" localSheetId="4">'2-way capacity check'!$AZ$2</definedName>
    <definedName name="OutputAddresses" localSheetId="6">'Optimal WH need'!$B$4</definedName>
    <definedName name="OutputValues" localSheetId="6">'Optimal WH need'!$B$5:$B$8</definedName>
    <definedName name="OutputValues_1" localSheetId="4">'2-way capacity check'!$B$5:$V$25</definedName>
    <definedName name="solver_adj" localSheetId="5" hidden="1">'Opt -transportation+4WH cost'!$C$11:$F$12,'Opt -transportation+4WH cost'!$C$22:$F$22,'Opt -transportation+4WH cost'!$I$12:$R$15</definedName>
    <definedName name="solver_adj" localSheetId="7" hidden="1">'Opt -transportation+NewConst'!$C$11:$F$12,'Opt -transportation+NewConst'!$C$22:$F$22,'Opt -transportation+NewConst'!$I$12:$R$15</definedName>
    <definedName name="solver_adj" localSheetId="3" hidden="1">'Opt -transportation+WH cost'!$C$11:$F$12,'Opt -transportation+WH cost'!$C$22:$F$22,'Opt -transportation+WH cost'!$I$12:$R$15</definedName>
    <definedName name="solver_cvg" localSheetId="5" hidden="1">0.0001</definedName>
    <definedName name="solver_cvg" localSheetId="7" hidden="1">0.0001</definedName>
    <definedName name="solver_cvg" localSheetId="3" hidden="1">0.0001</definedName>
    <definedName name="solver_drv" localSheetId="5" hidden="1">1</definedName>
    <definedName name="solver_drv" localSheetId="7" hidden="1">1</definedName>
    <definedName name="solver_drv" localSheetId="3" hidden="1">1</definedName>
    <definedName name="solver_eng" localSheetId="5" hidden="1">2</definedName>
    <definedName name="solver_eng" localSheetId="7" hidden="1">2</definedName>
    <definedName name="solver_eng" localSheetId="3" hidden="1">2</definedName>
    <definedName name="solver_est" localSheetId="7" hidden="1">1</definedName>
    <definedName name="solver_est" localSheetId="3" hidden="1">1</definedName>
    <definedName name="solver_itr" localSheetId="5" hidden="1">2147483647</definedName>
    <definedName name="solver_itr" localSheetId="7" hidden="1">2147483647</definedName>
    <definedName name="solver_itr" localSheetId="3" hidden="1">2147483647</definedName>
    <definedName name="solver_lhs1" localSheetId="5" hidden="1">'Opt -transportation+4WH cost'!$C$22:$F$22</definedName>
    <definedName name="solver_lhs1" localSheetId="7" hidden="1">'Opt -transportation+NewConst'!$C$22:$F$22</definedName>
    <definedName name="solver_lhs1" localSheetId="3" hidden="1">'Opt -transportation+WH cost'!$C$22:$F$22</definedName>
    <definedName name="solver_lhs2" localSheetId="5" hidden="1">'Opt -transportation+4WH cost'!$E$24</definedName>
    <definedName name="solver_lhs2" localSheetId="7" hidden="1">'Opt -transportation+NewConst'!$K$29:$K$30</definedName>
    <definedName name="solver_lhs2" localSheetId="3" hidden="1">'Opt -transportation+WH cost'!$K$29:$K$30</definedName>
    <definedName name="solver_lhs3" localSheetId="5" hidden="1">'Opt -transportation+4WH cost'!$K$29:$K$30</definedName>
    <definedName name="solver_lhs3" localSheetId="7" hidden="1">'Opt -transportation+NewConst'!$K$33:$K$42</definedName>
    <definedName name="solver_lhs3" localSheetId="3" hidden="1">'Opt -transportation+WH cost'!$K$33:$K$42</definedName>
    <definedName name="solver_lhs4" localSheetId="5" hidden="1">'Opt -transportation+4WH cost'!$K$33:$K$42</definedName>
    <definedName name="solver_lhs4" localSheetId="7" hidden="1">'Opt -transportation+NewConst'!$K$46:$K$49</definedName>
    <definedName name="solver_lhs4" localSheetId="3" hidden="1">'Opt -transportation+WH cost'!$K$46:$K$49</definedName>
    <definedName name="solver_lhs5" localSheetId="5" hidden="1">'Opt -transportation+4WH cost'!$K$46:$K$49</definedName>
    <definedName name="solver_lhs5" localSheetId="7" hidden="1">'Opt -transportation+NewConst'!$T$12:$T$15</definedName>
    <definedName name="solver_lhs5" localSheetId="3" hidden="1">'Opt -transportation+WH cost'!$T$12:$T$15</definedName>
    <definedName name="solver_lhs6" localSheetId="5" hidden="1">'Opt -transportation+4WH cost'!$T$12:$T$15</definedName>
    <definedName name="solver_lin" localSheetId="5" hidden="1">1</definedName>
    <definedName name="solver_lin" localSheetId="7" hidden="1">1</definedName>
    <definedName name="solver_lin" localSheetId="3" hidden="1">1</definedName>
    <definedName name="solver_mip" localSheetId="5" hidden="1">2147483647</definedName>
    <definedName name="solver_mip" localSheetId="7" hidden="1">2147483647</definedName>
    <definedName name="solver_mip" localSheetId="3" hidden="1">2147483647</definedName>
    <definedName name="solver_mni" localSheetId="5" hidden="1">30</definedName>
    <definedName name="solver_mni" localSheetId="7" hidden="1">30</definedName>
    <definedName name="solver_mni" localSheetId="3" hidden="1">30</definedName>
    <definedName name="solver_mrt" localSheetId="5" hidden="1">0.075</definedName>
    <definedName name="solver_mrt" localSheetId="7" hidden="1">0.075</definedName>
    <definedName name="solver_mrt" localSheetId="3" hidden="1">0.075</definedName>
    <definedName name="solver_msl" localSheetId="5" hidden="1">2</definedName>
    <definedName name="solver_msl" localSheetId="7" hidden="1">2</definedName>
    <definedName name="solver_msl" localSheetId="3" hidden="1">2</definedName>
    <definedName name="solver_neg" localSheetId="5" hidden="1">1</definedName>
    <definedName name="solver_neg" localSheetId="7" hidden="1">1</definedName>
    <definedName name="solver_neg" localSheetId="3" hidden="1">1</definedName>
    <definedName name="solver_nod" localSheetId="5" hidden="1">2147483647</definedName>
    <definedName name="solver_nod" localSheetId="7" hidden="1">2147483647</definedName>
    <definedName name="solver_nod" localSheetId="3" hidden="1">2147483647</definedName>
    <definedName name="solver_num" localSheetId="5" hidden="1">6</definedName>
    <definedName name="solver_num" localSheetId="7" hidden="1">5</definedName>
    <definedName name="solver_num" localSheetId="3" hidden="1">5</definedName>
    <definedName name="solver_nwt" localSheetId="7" hidden="1">1</definedName>
    <definedName name="solver_nwt" localSheetId="3" hidden="1">1</definedName>
    <definedName name="solver_opt" localSheetId="5" hidden="1">'Opt -transportation+4WH cost'!$C$42</definedName>
    <definedName name="solver_opt" localSheetId="7" hidden="1">'Opt -transportation+NewConst'!$C$42</definedName>
    <definedName name="solver_opt" localSheetId="3" hidden="1">'Opt -transportation+WH cost'!$C$42</definedName>
    <definedName name="solver_pre" localSheetId="5" hidden="1">0.000001</definedName>
    <definedName name="solver_pre" localSheetId="7" hidden="1">0.000001</definedName>
    <definedName name="solver_pre" localSheetId="3" hidden="1">0.000001</definedName>
    <definedName name="solver_rbv" localSheetId="5" hidden="1">1</definedName>
    <definedName name="solver_rbv" localSheetId="7" hidden="1">1</definedName>
    <definedName name="solver_rbv" localSheetId="3" hidden="1">1</definedName>
    <definedName name="solver_rel1" localSheetId="5" hidden="1">5</definedName>
    <definedName name="solver_rel1" localSheetId="7" hidden="1">5</definedName>
    <definedName name="solver_rel1" localSheetId="3" hidden="1">5</definedName>
    <definedName name="solver_rel2" localSheetId="5" hidden="1">2</definedName>
    <definedName name="solver_rel2" localSheetId="7" hidden="1">1</definedName>
    <definedName name="solver_rel2" localSheetId="3" hidden="1">1</definedName>
    <definedName name="solver_rel3" localSheetId="5" hidden="1">1</definedName>
    <definedName name="solver_rel3" localSheetId="7" hidden="1">3</definedName>
    <definedName name="solver_rel3" localSheetId="3" hidden="1">3</definedName>
    <definedName name="solver_rel4" localSheetId="5" hidden="1">3</definedName>
    <definedName name="solver_rel4" localSheetId="7" hidden="1">2</definedName>
    <definedName name="solver_rel4" localSheetId="3" hidden="1">2</definedName>
    <definedName name="solver_rel5" localSheetId="5" hidden="1">2</definedName>
    <definedName name="solver_rel5" localSheetId="7" hidden="1">1</definedName>
    <definedName name="solver_rel5" localSheetId="3" hidden="1">1</definedName>
    <definedName name="solver_rel6" localSheetId="5" hidden="1">1</definedName>
    <definedName name="solver_rhs1" localSheetId="5" hidden="1">binary</definedName>
    <definedName name="solver_rhs1" localSheetId="7" hidden="1">binary</definedName>
    <definedName name="solver_rhs1" localSheetId="3" hidden="1">binary</definedName>
    <definedName name="solver_rhs2" localSheetId="5" hidden="1">'Opt -transportation+4WH cost'!$E$25</definedName>
    <definedName name="solver_rhs2" localSheetId="7" hidden="1">'Opt -transportation+NewConst'!$M$29:$M$30</definedName>
    <definedName name="solver_rhs2" localSheetId="3" hidden="1">'Opt -transportation+WH cost'!$M$29:$M$30</definedName>
    <definedName name="solver_rhs3" localSheetId="5" hidden="1">'Opt -transportation+4WH cost'!$M$29:$M$30</definedName>
    <definedName name="solver_rhs3" localSheetId="7" hidden="1">'Opt -transportation+NewConst'!$M$33:$M$42</definedName>
    <definedName name="solver_rhs3" localSheetId="3" hidden="1">'Opt -transportation+WH cost'!$M$33:$M$42</definedName>
    <definedName name="solver_rhs4" localSheetId="5" hidden="1">'Opt -transportation+4WH cost'!$M$33:$M$42</definedName>
    <definedName name="solver_rhs4" localSheetId="7" hidden="1">'Opt -transportation+NewConst'!$M$46:$M$49</definedName>
    <definedName name="solver_rhs4" localSheetId="3" hidden="1">'Opt -transportation+WH cost'!$M$46:$M$49</definedName>
    <definedName name="solver_rhs5" localSheetId="5" hidden="1">'Opt -transportation+4WH cost'!$M$46:$M$49</definedName>
    <definedName name="solver_rhs5" localSheetId="7" hidden="1">0</definedName>
    <definedName name="solver_rhs5" localSheetId="3" hidden="1">0</definedName>
    <definedName name="solver_rhs6" localSheetId="5" hidden="1">0</definedName>
    <definedName name="solver_rlx" localSheetId="5" hidden="1">2</definedName>
    <definedName name="solver_rlx" localSheetId="7" hidden="1">2</definedName>
    <definedName name="solver_rlx" localSheetId="3" hidden="1">2</definedName>
    <definedName name="solver_rsd" localSheetId="5" hidden="1">0</definedName>
    <definedName name="solver_rsd" localSheetId="7" hidden="1">0</definedName>
    <definedName name="solver_rsd" localSheetId="3" hidden="1">0</definedName>
    <definedName name="solver_scl" localSheetId="5" hidden="1">1</definedName>
    <definedName name="solver_scl" localSheetId="7" hidden="1">1</definedName>
    <definedName name="solver_scl" localSheetId="3" hidden="1">1</definedName>
    <definedName name="solver_sho" localSheetId="5" hidden="1">2</definedName>
    <definedName name="solver_sho" localSheetId="7" hidden="1">2</definedName>
    <definedName name="solver_sho" localSheetId="3" hidden="1">2</definedName>
    <definedName name="solver_ssz" localSheetId="5" hidden="1">100</definedName>
    <definedName name="solver_ssz" localSheetId="7" hidden="1">100</definedName>
    <definedName name="solver_ssz" localSheetId="3" hidden="1">100</definedName>
    <definedName name="solver_tim" localSheetId="5" hidden="1">2147483647</definedName>
    <definedName name="solver_tim" localSheetId="7" hidden="1">2147483647</definedName>
    <definedName name="solver_tim" localSheetId="3" hidden="1">2147483647</definedName>
    <definedName name="solver_tol" localSheetId="5" hidden="1">0.01</definedName>
    <definedName name="solver_tol" localSheetId="7" hidden="1">0.01</definedName>
    <definedName name="solver_tol" localSheetId="3" hidden="1">0.01</definedName>
    <definedName name="solver_typ" localSheetId="5" hidden="1">2</definedName>
    <definedName name="solver_typ" localSheetId="7" hidden="1">2</definedName>
    <definedName name="solver_typ" localSheetId="3" hidden="1">2</definedName>
    <definedName name="solver_val" localSheetId="5" hidden="1">0</definedName>
    <definedName name="solver_val" localSheetId="7" hidden="1">0</definedName>
    <definedName name="solver_val" localSheetId="3" hidden="1">0</definedName>
    <definedName name="solver_ver" localSheetId="5" hidden="1">3</definedName>
    <definedName name="solver_ver" localSheetId="7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5" i="2" l="1"/>
  <c r="G46" i="2" s="1"/>
  <c r="G45" i="2"/>
  <c r="J21" i="2"/>
  <c r="J8" i="3"/>
  <c r="O29" i="4" l="1"/>
  <c r="O30" i="4"/>
  <c r="M49" i="22" l="1"/>
  <c r="K49" i="22"/>
  <c r="M48" i="22"/>
  <c r="K48" i="22"/>
  <c r="M47" i="22"/>
  <c r="K47" i="22"/>
  <c r="M46" i="22"/>
  <c r="K46" i="22"/>
  <c r="K42" i="22"/>
  <c r="K41" i="22"/>
  <c r="K40" i="22"/>
  <c r="C40" i="22"/>
  <c r="K39" i="22"/>
  <c r="K38" i="22"/>
  <c r="C38" i="22"/>
  <c r="K37" i="22"/>
  <c r="K36" i="22"/>
  <c r="K35" i="22"/>
  <c r="K34" i="22"/>
  <c r="K33" i="22"/>
  <c r="K30" i="22"/>
  <c r="O30" i="22" s="1"/>
  <c r="K29" i="22"/>
  <c r="O29" i="22" s="1"/>
  <c r="E24" i="22"/>
  <c r="C36" i="22" s="1"/>
  <c r="S16" i="22"/>
  <c r="S15" i="22"/>
  <c r="T15" i="22" s="1"/>
  <c r="S14" i="22"/>
  <c r="T14" i="22" s="1"/>
  <c r="S13" i="22"/>
  <c r="T13" i="22" s="1"/>
  <c r="S12" i="22"/>
  <c r="T12" i="22" s="1"/>
  <c r="AB1" i="21"/>
  <c r="X1" i="21"/>
  <c r="AD4" i="21"/>
  <c r="AA4" i="21"/>
  <c r="AA5" i="21" s="1"/>
  <c r="Z4" i="21"/>
  <c r="W4" i="21"/>
  <c r="W5" i="21" s="1"/>
  <c r="C36" i="12"/>
  <c r="AB24" i="21"/>
  <c r="X9" i="21"/>
  <c r="AB5" i="21"/>
  <c r="AB23" i="21"/>
  <c r="X22" i="21"/>
  <c r="X16" i="21"/>
  <c r="X8" i="21"/>
  <c r="X12" i="21"/>
  <c r="X10" i="21"/>
  <c r="X13" i="21"/>
  <c r="X21" i="21"/>
  <c r="X7" i="21"/>
  <c r="AB14" i="21"/>
  <c r="X6" i="21"/>
  <c r="X11" i="21"/>
  <c r="AB13" i="21"/>
  <c r="AB15" i="21"/>
  <c r="AB25" i="21"/>
  <c r="X18" i="21"/>
  <c r="AB18" i="21"/>
  <c r="X14" i="21"/>
  <c r="AB17" i="21"/>
  <c r="AB8" i="21"/>
  <c r="AB11" i="21"/>
  <c r="X15" i="21"/>
  <c r="AB22" i="21"/>
  <c r="AB7" i="21"/>
  <c r="AB19" i="21"/>
  <c r="AB12" i="21"/>
  <c r="AB6" i="21"/>
  <c r="AB9" i="21"/>
  <c r="AB10" i="21"/>
  <c r="X23" i="21"/>
  <c r="X17" i="21"/>
  <c r="AB20" i="21"/>
  <c r="AB16" i="21"/>
  <c r="AB21" i="21"/>
  <c r="X25" i="21"/>
  <c r="X20" i="21"/>
  <c r="X24" i="21"/>
  <c r="X5" i="21"/>
  <c r="X19" i="21"/>
  <c r="C42" i="22" l="1"/>
  <c r="S12" i="4"/>
  <c r="T12" i="4" s="1"/>
  <c r="K47" i="4"/>
  <c r="M46" i="4"/>
  <c r="K46" i="4"/>
  <c r="K34" i="4"/>
  <c r="K33" i="4"/>
  <c r="K30" i="4"/>
  <c r="K29" i="4"/>
  <c r="C40" i="4"/>
  <c r="C38" i="4"/>
  <c r="E24" i="4"/>
  <c r="C36" i="4" s="1"/>
  <c r="C42" i="4" l="1"/>
  <c r="C44" i="2" l="1"/>
  <c r="C28" i="3"/>
  <c r="E24" i="12"/>
  <c r="K1" i="15" l="1"/>
  <c r="J4" i="15"/>
  <c r="K6" i="15" s="1"/>
  <c r="K8" i="15" l="1"/>
  <c r="K7" i="15"/>
  <c r="K5" i="15"/>
  <c r="M49" i="12"/>
  <c r="K49" i="12"/>
  <c r="M48" i="12"/>
  <c r="K48" i="12"/>
  <c r="M47" i="12"/>
  <c r="K47" i="12"/>
  <c r="M46" i="12"/>
  <c r="K46" i="12"/>
  <c r="K42" i="12"/>
  <c r="K41" i="12"/>
  <c r="K40" i="12"/>
  <c r="C40" i="12"/>
  <c r="K39" i="12"/>
  <c r="K38" i="12"/>
  <c r="C38" i="12"/>
  <c r="K37" i="12"/>
  <c r="K36" i="12"/>
  <c r="K35" i="12"/>
  <c r="K34" i="12"/>
  <c r="K33" i="12"/>
  <c r="K30" i="12"/>
  <c r="K29" i="12"/>
  <c r="S16" i="12"/>
  <c r="S15" i="12"/>
  <c r="S14" i="12"/>
  <c r="T14" i="12" s="1"/>
  <c r="S13" i="12"/>
  <c r="T13" i="12" s="1"/>
  <c r="S12" i="12"/>
  <c r="T12" i="12" s="1"/>
  <c r="S16" i="4"/>
  <c r="M47" i="4"/>
  <c r="M48" i="4"/>
  <c r="M49" i="4"/>
  <c r="K49" i="4"/>
  <c r="K48" i="4"/>
  <c r="S13" i="4"/>
  <c r="S14" i="4"/>
  <c r="S15" i="4"/>
  <c r="K42" i="4"/>
  <c r="K41" i="4"/>
  <c r="K40" i="4"/>
  <c r="K39" i="4"/>
  <c r="K38" i="4"/>
  <c r="K37" i="4"/>
  <c r="K36" i="4"/>
  <c r="K35" i="4"/>
  <c r="T13" i="4" l="1"/>
  <c r="C42" i="12"/>
  <c r="T15" i="12"/>
  <c r="T15" i="4"/>
  <c r="T14" i="4"/>
  <c r="C3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stsc</author>
  </authors>
  <commentList>
    <comment ref="B5" authorId="0" shapeId="0" xr:uid="{264FA071-556E-44A3-A80B-4847502190C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" authorId="0" shapeId="0" xr:uid="{10551561-2FD9-4A27-93D1-3284B21916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" authorId="0" shapeId="0" xr:uid="{85A4EAF4-FA36-4FE1-9214-C891EC65AB1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" authorId="0" shapeId="0" xr:uid="{9A5A462B-9F53-4998-A7FB-167421041AD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" authorId="0" shapeId="0" xr:uid="{09F0F94D-13AE-4DD8-82BC-AAE60E2D352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" authorId="0" shapeId="0" xr:uid="{A5DF963F-FE0A-4942-97DC-D9A5E47DD5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" authorId="0" shapeId="0" xr:uid="{4FB13614-F17D-426D-A2F6-9303DD9C26F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" authorId="0" shapeId="0" xr:uid="{4FC2F811-48B9-4948-A283-246B6F8412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" authorId="0" shapeId="0" xr:uid="{A41DEF20-7844-4908-B46B-2A518F2361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" authorId="0" shapeId="0" xr:uid="{2B120C0D-0195-4595-B457-BEE83C889F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" authorId="0" shapeId="0" xr:uid="{E2CF9CA1-6007-450F-871C-2F2D050CEC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5" authorId="0" shapeId="0" xr:uid="{20B55177-71B8-47B2-B12D-AC6D072612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5" authorId="0" shapeId="0" xr:uid="{B8902FD1-BA95-4A5C-AF85-063D38CB85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5" authorId="0" shapeId="0" xr:uid="{D46A0958-101B-4F02-8E41-9AC142C32A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5" authorId="0" shapeId="0" xr:uid="{F737F2A1-1BC8-4D34-ACA6-C8853F0425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5" authorId="0" shapeId="0" xr:uid="{315950CA-B5CC-4FEA-AF74-C275522E5A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5" authorId="0" shapeId="0" xr:uid="{BDA02142-4936-4454-BDA1-26B7830C4B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5" authorId="0" shapeId="0" xr:uid="{12BFEF5A-B703-456E-A4AB-645F272C29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5" authorId="0" shapeId="0" xr:uid="{DB848D9F-2D79-4BA4-AF64-CE15CA3391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5" authorId="0" shapeId="0" xr:uid="{C9B4F76E-7ED8-49C0-A826-6ED4D31F53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5" authorId="0" shapeId="0" xr:uid="{3EE5B1B3-7E4B-4DCF-A909-05E2512234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47D6D556-68EB-4554-866E-2F6189B02E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" authorId="0" shapeId="0" xr:uid="{D5287621-AA3A-457F-AAE5-763E81CB77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" authorId="0" shapeId="0" xr:uid="{DBDA1939-4EE4-4C32-9ACF-F6839EADC7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" authorId="0" shapeId="0" xr:uid="{2B00F3E7-9143-4BC3-A2C4-52CDC66669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" authorId="0" shapeId="0" xr:uid="{7F64BD93-0067-433A-8CB7-F5F6E80B55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" authorId="0" shapeId="0" xr:uid="{8513EC99-5D83-47C8-971A-0FF860DAF71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" authorId="0" shapeId="0" xr:uid="{9E4986A6-1DDE-4CF7-85CE-920FD5CF67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" authorId="0" shapeId="0" xr:uid="{1B2E63A5-F97C-43E0-8C0F-CC20337D37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" authorId="0" shapeId="0" xr:uid="{99D9DDEC-C5ED-480C-8832-63015F6641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" authorId="0" shapeId="0" xr:uid="{501BE9A0-6069-40BC-89B8-328776C3C9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" authorId="0" shapeId="0" xr:uid="{AFB730BF-B72B-4619-8EF0-93E57AC94D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6" authorId="0" shapeId="0" xr:uid="{CB605172-BE18-4D4B-8E65-FB3ECEA015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6" authorId="0" shapeId="0" xr:uid="{3D457234-05B7-47C0-86B6-709AC4A1CB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6" authorId="0" shapeId="0" xr:uid="{E53324F8-6184-403A-98D7-B89CBF2EC3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6" authorId="0" shapeId="0" xr:uid="{F026CC55-7187-48A0-AB6B-8274B0C757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6" authorId="0" shapeId="0" xr:uid="{91248398-D61A-4B36-9E26-3296F1B866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6" authorId="0" shapeId="0" xr:uid="{08F47803-605F-4A79-BD5B-2A73E300BB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6" authorId="0" shapeId="0" xr:uid="{70AE8175-5220-4916-A121-AA8243F865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6" authorId="0" shapeId="0" xr:uid="{A8BF4575-F001-4A0E-868B-1F359A13F4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6" authorId="0" shapeId="0" xr:uid="{FA225BC5-C883-41B2-A6AC-444B77E6BD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6" authorId="0" shapeId="0" xr:uid="{D5F17013-27D7-4E30-BCEF-05B8746B6A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736CD768-578D-4BC6-8917-99C8831CD3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" authorId="0" shapeId="0" xr:uid="{80A11D5A-A37D-4117-9448-C91283770BB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" authorId="0" shapeId="0" xr:uid="{FF970F93-8AEC-4071-88FA-36287E35B89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" authorId="0" shapeId="0" xr:uid="{189BE722-BC0B-428A-B6AC-AE793CD287B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" authorId="0" shapeId="0" xr:uid="{00FD98A8-5E32-4801-AFA0-C0EECE178F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" authorId="0" shapeId="0" xr:uid="{F3BB4791-A587-4F49-A026-1A45F5C877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" authorId="0" shapeId="0" xr:uid="{BEE8BEB6-5617-4C5E-B2F4-21D8397C13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" authorId="0" shapeId="0" xr:uid="{A78606C1-3D65-4D2A-A4E2-BB415EEEFA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" authorId="0" shapeId="0" xr:uid="{D92F2D85-6563-454A-B439-DB0DB4D783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" authorId="0" shapeId="0" xr:uid="{4943E52E-CA65-4387-8289-1460D4B449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7" authorId="0" shapeId="0" xr:uid="{8E42AD15-2EC2-4169-BBA5-BFDC3A121D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7" authorId="0" shapeId="0" xr:uid="{CB5AF71C-25F9-4CAE-B1AB-AD8056FF3B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7" authorId="0" shapeId="0" xr:uid="{A1605A08-5DC5-45F0-8C6F-68BF28A76D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7" authorId="0" shapeId="0" xr:uid="{96D394A7-1698-4060-9419-FCAC24E4CB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7" authorId="0" shapeId="0" xr:uid="{0B22285C-B493-44AD-94FA-62CC96626B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7" authorId="0" shapeId="0" xr:uid="{0E6ABCC5-4989-4130-AE75-781D583EB0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7" authorId="0" shapeId="0" xr:uid="{5FB984F1-1B05-44D9-962C-530E56FA21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7" authorId="0" shapeId="0" xr:uid="{F10EBBD0-6C46-47A2-894F-2CF74F9913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7" authorId="0" shapeId="0" xr:uid="{83869859-335C-4922-9B95-D68D9628D3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7" authorId="0" shapeId="0" xr:uid="{BAD9772D-5B3E-48D2-8249-626164DF71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7" authorId="0" shapeId="0" xr:uid="{02AB6FAE-258D-486D-98C8-683EA173E2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74617D7C-3952-4FDB-B2DA-30BB20D831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" authorId="0" shapeId="0" xr:uid="{3C9703FA-4D57-4CFF-8166-ECA2CC6592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" authorId="0" shapeId="0" xr:uid="{AECF7316-6AAC-4C50-9EF7-65D63FB515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" authorId="0" shapeId="0" xr:uid="{F0E60D8D-5AEC-446F-AC53-639D45338F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" authorId="0" shapeId="0" xr:uid="{A446E76D-8841-4A33-B58E-102E98F52B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" authorId="0" shapeId="0" xr:uid="{79934461-C529-4247-A96C-A7F8FEFB6B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" authorId="0" shapeId="0" xr:uid="{33470FDA-DAA3-4299-A17A-1E6EE046D8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" authorId="0" shapeId="0" xr:uid="{BEB31F76-9974-4B21-89CF-986A71565D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" authorId="0" shapeId="0" xr:uid="{F1905C52-B629-44B0-91A9-71F74EC312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" authorId="0" shapeId="0" xr:uid="{5BBE58CC-EF7E-452E-892F-6C69F62364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" authorId="0" shapeId="0" xr:uid="{147FC8F3-6F19-469D-8A64-486C78F391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8" authorId="0" shapeId="0" xr:uid="{4DACB2BE-350C-45F2-B72C-72770F06BF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8" authorId="0" shapeId="0" xr:uid="{605844FD-6386-4492-98D9-FE0B5A9EC6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8" authorId="0" shapeId="0" xr:uid="{07C28EB6-3363-42BD-A8B5-80A2881637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8" authorId="0" shapeId="0" xr:uid="{AE343F47-D992-43BC-8D8B-82548D4AAE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8" authorId="0" shapeId="0" xr:uid="{FBF96D0A-521A-4A0A-9E30-78F1D12500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8" authorId="0" shapeId="0" xr:uid="{B8AA3072-CC72-4257-BCC4-5666E04174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8" authorId="0" shapeId="0" xr:uid="{730B2F0A-692E-4B4A-AFEF-CF9833EA40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8" authorId="0" shapeId="0" xr:uid="{57A949D7-7398-4389-BF8E-AF95EF2142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8" authorId="0" shapeId="0" xr:uid="{A1718B51-A00B-4B36-8818-810230ED4B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8" authorId="0" shapeId="0" xr:uid="{B0FF90D8-7864-4CC3-94D6-DC70F60E42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67CE778-0553-47E7-951C-5D677305CA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" authorId="0" shapeId="0" xr:uid="{028884E0-63F3-4D7E-AFA3-10153DCAF86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" authorId="0" shapeId="0" xr:uid="{A0210710-5FE1-40B1-8F61-ED67FC6358C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" authorId="0" shapeId="0" xr:uid="{7806F9EA-8D7C-419E-BA32-4C078B01AE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 shapeId="0" xr:uid="{DE8D68A1-3AB6-41AD-B89C-45813E47DE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" authorId="0" shapeId="0" xr:uid="{77AA1E92-D3F2-4051-8EBD-1FC7C399A9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" authorId="0" shapeId="0" xr:uid="{C0F6C5CB-E2EF-4721-A137-366F65C4B8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" authorId="0" shapeId="0" xr:uid="{2AF18EEF-BC46-44A8-9B5B-BC59CBAB52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" authorId="0" shapeId="0" xr:uid="{B9414A84-91EA-4BE2-939B-945F44239D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" authorId="0" shapeId="0" xr:uid="{9B9D7725-F14C-4C5D-BF43-189E2BA964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9" authorId="0" shapeId="0" xr:uid="{1007CC8B-90DE-41BF-8DF4-1B54D61C63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9" authorId="0" shapeId="0" xr:uid="{F1AD86DE-13A1-45E0-B6A6-7098E5061B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9" authorId="0" shapeId="0" xr:uid="{FD638AF1-A927-46C2-9F49-8939F29765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9" authorId="0" shapeId="0" xr:uid="{0E9FDD1E-4AF9-4DD0-8FC2-B7E8AAE6F1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9" authorId="0" shapeId="0" xr:uid="{920B5E4C-E4EA-4ED9-956A-3E6ADC3819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9" authorId="0" shapeId="0" xr:uid="{212B60C4-F589-4756-815B-659089070A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9" authorId="0" shapeId="0" xr:uid="{D10E57F9-15CD-416A-B193-368D7DB8C9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9" authorId="0" shapeId="0" xr:uid="{D2BFD263-0ED6-4223-A323-5E21336B76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9" authorId="0" shapeId="0" xr:uid="{51ADFF53-AF41-447A-B15B-599499FBAC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9" authorId="0" shapeId="0" xr:uid="{C52C36EC-5AB2-49B9-90F2-A7956FCA1B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9" authorId="0" shapeId="0" xr:uid="{67487D74-F55D-4208-95EA-5EC0E57D2D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76329638-BE13-4205-9189-C5485D69BEB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" authorId="0" shapeId="0" xr:uid="{DD626C27-6B35-4609-A12E-428FD48E910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" authorId="0" shapeId="0" xr:uid="{5B5AFE44-C3E1-4585-90E3-D1CBB857CD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 shapeId="0" xr:uid="{A767E71C-EC04-4E46-92C4-448882CFB7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" authorId="0" shapeId="0" xr:uid="{E2F653A1-486D-40C8-B083-D02C72E4C5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" authorId="0" shapeId="0" xr:uid="{384EDBFF-FDA3-405D-BC12-21D3808DE6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" authorId="0" shapeId="0" xr:uid="{DB19E16A-1393-40EA-9668-A82933F62D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" authorId="0" shapeId="0" xr:uid="{59504868-90CB-4690-A285-AD6C04DFBF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" authorId="0" shapeId="0" xr:uid="{AF43C875-4129-4E2E-BFE5-B1732F488E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" authorId="0" shapeId="0" xr:uid="{FCB52291-421B-444E-BE39-86A748C466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" authorId="0" shapeId="0" xr:uid="{C0D2865D-F8FD-4ACC-B1AA-43D0D1C41B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0" authorId="0" shapeId="0" xr:uid="{16856C40-BEF5-41FC-81E4-9287A75717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0" authorId="0" shapeId="0" xr:uid="{C5B5E9F5-14FB-497D-9C99-B2552D8EA6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0" authorId="0" shapeId="0" xr:uid="{0F36E856-9A74-4D23-8CD2-A605C03851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0" authorId="0" shapeId="0" xr:uid="{30475FC8-D22F-453A-8BFE-E7ECE85442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0" authorId="0" shapeId="0" xr:uid="{665597A5-8B74-4909-80ED-FCC30E10D4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0" authorId="0" shapeId="0" xr:uid="{891F0A7F-12D4-47CB-8303-D4150D1501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0" authorId="0" shapeId="0" xr:uid="{A13EDB51-A1ED-4F0C-8C37-F9640B93A7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0" authorId="0" shapeId="0" xr:uid="{CF812B63-F3C8-435F-B149-5C621D1746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0" authorId="0" shapeId="0" xr:uid="{7C6DB703-7433-462C-AA36-E8D0959829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0" authorId="0" shapeId="0" xr:uid="{12CC8EC1-87A9-4123-B315-05C059A9A7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15230D38-B7C9-4AC7-BBF2-2D63652A38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" authorId="0" shapeId="0" xr:uid="{97983BF9-6B4E-4BA3-9DB6-F62A4C31C0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 shapeId="0" xr:uid="{6FD27015-90A7-4053-96F9-C54925B5A9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" authorId="0" shapeId="0" xr:uid="{501D3540-2BDD-485F-8A52-AB021FD483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" authorId="0" shapeId="0" xr:uid="{D86DF73C-3F6B-4653-8A59-0AF303EC7A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" authorId="0" shapeId="0" xr:uid="{1F15EC01-CC84-4047-80B2-CED2FF4926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" authorId="0" shapeId="0" xr:uid="{C9DDC28A-F6D7-4338-8465-1E27DCB3F1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" authorId="0" shapeId="0" xr:uid="{2653CB68-90DE-4141-9DD6-6C709C9E7F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" authorId="0" shapeId="0" xr:uid="{87EB4DD0-8BCA-4048-817A-A18AE22A71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" authorId="0" shapeId="0" xr:uid="{2597DF0F-8C14-42B0-954F-D89CD307CE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" authorId="0" shapeId="0" xr:uid="{E08E63DB-82A5-4492-95F8-FAB4084210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1" authorId="0" shapeId="0" xr:uid="{D3A887B8-93B3-47E6-90DB-5E2123AAEA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1" authorId="0" shapeId="0" xr:uid="{7F335DF5-3FDB-4631-AAA1-D0D43C7F22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1" authorId="0" shapeId="0" xr:uid="{99CD3827-6D87-4376-B894-F66DCB57D3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1" authorId="0" shapeId="0" xr:uid="{2C31D287-E6F4-4209-964A-DDF9A9B8C1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1" authorId="0" shapeId="0" xr:uid="{1B08661A-ED81-4676-B40D-D7173B2504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1" authorId="0" shapeId="0" xr:uid="{BF56FF95-C6B5-450E-8E4E-E2CDFAB950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1" authorId="0" shapeId="0" xr:uid="{533DA5D5-7585-43E1-9DEF-1F2DAA58C1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1" authorId="0" shapeId="0" xr:uid="{339ABC68-63BD-47F2-AB9E-8190B4DB19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1" authorId="0" shapeId="0" xr:uid="{BC191492-2938-4F04-B382-C51E0770E5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1" authorId="0" shapeId="0" xr:uid="{AC1A7081-5FC8-4C56-BFF9-AA3579745F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99CF3402-275E-481B-8C39-C9D662B6B3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" authorId="0" shapeId="0" xr:uid="{B08B46A0-800B-470A-8E9A-FD73BEA9F7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" authorId="0" shapeId="0" xr:uid="{20637161-D6C3-4145-935C-67E41E172B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" authorId="0" shapeId="0" xr:uid="{5AE10B59-E46E-4957-ABD7-60FEBADDA1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" authorId="0" shapeId="0" xr:uid="{FF89EF34-BBE1-43AB-82CA-CF3E5F0382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" authorId="0" shapeId="0" xr:uid="{E9920ECB-249A-4F92-81DA-8D8D3C18E6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" authorId="0" shapeId="0" xr:uid="{BA685C9E-2E75-4282-99B4-89D8F8759C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" authorId="0" shapeId="0" xr:uid="{AF32DC47-0604-4B8A-BA2E-DB96628884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" authorId="0" shapeId="0" xr:uid="{CC2CDEBF-DB6F-4488-AFED-F6A75BD931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" authorId="0" shapeId="0" xr:uid="{F8C0195F-B138-4AB1-93E9-631FA4F48E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2" authorId="0" shapeId="0" xr:uid="{4CCE3FA2-D788-4E52-A88A-27BF3667C8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2" authorId="0" shapeId="0" xr:uid="{799D268F-4531-43D9-B355-0CE5FF806D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2" authorId="0" shapeId="0" xr:uid="{9BA34B36-3D1F-4940-8501-3474AEFF33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2" authorId="0" shapeId="0" xr:uid="{C0FEFA3F-0225-4710-8940-791F560C68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2" authorId="0" shapeId="0" xr:uid="{AA21567F-3A05-450D-B520-F92CE1E407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2" authorId="0" shapeId="0" xr:uid="{C5735FDF-8CE2-440A-B6EA-0FBDC1CB50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2" authorId="0" shapeId="0" xr:uid="{C1CE064D-C304-4975-A66D-A979CB41A9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2" authorId="0" shapeId="0" xr:uid="{13019DE6-E16F-4864-B650-3A7E855F27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2" authorId="0" shapeId="0" xr:uid="{854DBF85-C112-47C1-A5C5-737FD0C270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2" authorId="0" shapeId="0" xr:uid="{16FD6E22-D423-455E-BC60-4CB3F04523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2" authorId="0" shapeId="0" xr:uid="{F75A6B8B-38D0-4F53-ADE7-FBFFF36325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FE3A7ADB-DDB6-40C0-BCAB-65478EC09E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" authorId="0" shapeId="0" xr:uid="{886026DF-F132-43F9-8EF3-902DC685E3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" authorId="0" shapeId="0" xr:uid="{059B4BB0-37AF-492E-A4D6-ABEA596821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" authorId="0" shapeId="0" xr:uid="{5645C89E-B987-462A-906D-42C8772C64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" authorId="0" shapeId="0" xr:uid="{3824B6AD-1D47-42A4-AF4F-536D7AFF7E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" authorId="0" shapeId="0" xr:uid="{0D70D765-77A8-4920-AD97-2F94E25696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" authorId="0" shapeId="0" xr:uid="{0586F457-9985-4CAE-936D-75DCF5F4B6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" authorId="0" shapeId="0" xr:uid="{0C131D22-19C4-414C-B050-CB4496FF61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" authorId="0" shapeId="0" xr:uid="{A53FC95F-F2CF-453F-9293-88CB84C8E3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" authorId="0" shapeId="0" xr:uid="{D3D8EF7B-DCA1-42EE-80E1-4EBF305CD2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3" authorId="0" shapeId="0" xr:uid="{8973C550-9DB5-41AB-AC36-A3EB6F1DA4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3" authorId="0" shapeId="0" xr:uid="{7C897373-E626-48FC-B178-A4C31B0A50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3" authorId="0" shapeId="0" xr:uid="{88FDDA07-BFAD-4EF9-A87F-9F5F7DE518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3" authorId="0" shapeId="0" xr:uid="{FCF1FCF5-25D6-4D84-B41D-D4BF0043CD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3" authorId="0" shapeId="0" xr:uid="{B8562BB5-3314-4043-820F-29C5855945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3" authorId="0" shapeId="0" xr:uid="{D5997C00-E749-4756-9945-E4E1FF26C1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3" authorId="0" shapeId="0" xr:uid="{3CD026CE-6342-431B-A01D-C83EF03D2F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3" authorId="0" shapeId="0" xr:uid="{1137C90C-666A-4F0E-B996-D4D71712CC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3" authorId="0" shapeId="0" xr:uid="{D0FB985D-ED1B-4406-B2B3-D7E145A7C2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3" authorId="0" shapeId="0" xr:uid="{29EAE54D-2F42-4510-9100-B1F7DD3372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3" authorId="0" shapeId="0" xr:uid="{672FB7DC-F2F9-4AC1-98F2-6AA704598E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3D9A29DE-17E4-48C9-96FE-924EB2D81C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" authorId="0" shapeId="0" xr:uid="{3C87B708-7A25-46AA-8BE9-98B261AD08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" authorId="0" shapeId="0" xr:uid="{B3EB7B64-95FB-4003-AD9C-5AA29151C1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" authorId="0" shapeId="0" xr:uid="{90CB1DC4-53DA-4FE3-9F99-0F7EF141DB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" authorId="0" shapeId="0" xr:uid="{C87FA2FE-857E-46DE-AC57-2C81B658BE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" authorId="0" shapeId="0" xr:uid="{8BA98848-1D17-404F-8E78-F32DF5B2F7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4" authorId="0" shapeId="0" xr:uid="{96591423-708D-4F67-8FBF-0521D18F11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4" authorId="0" shapeId="0" xr:uid="{393286F1-F9D9-4D69-99CC-AD5119EF1C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4" authorId="0" shapeId="0" xr:uid="{EFD67391-6248-4DAC-BFBA-726F432554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4" authorId="0" shapeId="0" xr:uid="{623AAE1D-0B2F-4819-BA7A-16488932AD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4" authorId="0" shapeId="0" xr:uid="{7800C0AA-D698-4BAC-8789-244DB32B00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4" authorId="0" shapeId="0" xr:uid="{B90F62EC-DB7D-49B8-B7E5-A91A8C3153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4" authorId="0" shapeId="0" xr:uid="{6DEA12C9-31A0-4F16-BA49-4368A64BCC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4" authorId="0" shapeId="0" xr:uid="{17DF560F-9953-463A-9785-E3E3DF06D4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4" authorId="0" shapeId="0" xr:uid="{01A71919-9E2C-4E9B-A68C-9243F40CB7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4" authorId="0" shapeId="0" xr:uid="{C4B95116-6242-452A-AFB9-11C5BE0F7E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4" authorId="0" shapeId="0" xr:uid="{6F6F86E1-2BDB-4F1F-B1E5-2BBB0C4F9E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4" authorId="0" shapeId="0" xr:uid="{2C9D79BB-1907-4F4F-919B-BE8833F847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4" authorId="0" shapeId="0" xr:uid="{3326D92E-13D0-4CB3-92A7-1337041733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4" authorId="0" shapeId="0" xr:uid="{A8E30D2F-46D7-4826-ADED-E025E8377E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4" authorId="0" shapeId="0" xr:uid="{9466C92B-DDF3-480C-B1F6-AA128CD797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6A418858-AEE2-42DF-8E0F-FE940066D9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" authorId="0" shapeId="0" xr:uid="{BC2ACC29-39B7-4353-9BC9-C19B4B833F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" authorId="0" shapeId="0" xr:uid="{E9A52049-B357-4177-8A7B-C3FA75F696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" authorId="0" shapeId="0" xr:uid="{8579E0DE-C1AD-4CCE-A9ED-3AF7AC2932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" authorId="0" shapeId="0" xr:uid="{6F0DAB11-D8D6-4F97-BC8C-B181F808D2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" authorId="0" shapeId="0" xr:uid="{AB3366D2-F156-4AE3-91F6-A1EA089475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5" authorId="0" shapeId="0" xr:uid="{A93C9F90-116E-488E-92F4-935AFC11B4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5" authorId="0" shapeId="0" xr:uid="{1E776754-95D3-412F-A63C-CD4AAE445D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5" authorId="0" shapeId="0" xr:uid="{47082E4B-0745-4421-87B0-8D7F758B51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5" authorId="0" shapeId="0" xr:uid="{28336159-C799-4C3E-B2B7-3F28930A3D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5" authorId="0" shapeId="0" xr:uid="{7E923A3C-D2AC-4BF1-ADF0-556A4E5BA8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5" authorId="0" shapeId="0" xr:uid="{B79014C7-047A-4A3C-B7C7-627458C9F9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5" authorId="0" shapeId="0" xr:uid="{E2AF0E42-9EED-4D37-AF4D-F091A14B94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5" authorId="0" shapeId="0" xr:uid="{697689AB-31F0-457E-993C-2F55955805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5" authorId="0" shapeId="0" xr:uid="{BD6FB0AD-DF02-4A0D-AD57-22EECC1018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5" authorId="0" shapeId="0" xr:uid="{D6B3E900-6364-4F86-A50A-34CA377D37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5" authorId="0" shapeId="0" xr:uid="{BA638D91-46AD-4B3B-861B-7AA237381B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5" authorId="0" shapeId="0" xr:uid="{3449B22E-B0FB-4FE6-AE1D-53EE6AD2E6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5" authorId="0" shapeId="0" xr:uid="{92CDB1E4-6C8D-4821-BCFD-0EF28B34D2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5" authorId="0" shapeId="0" xr:uid="{3D0E4632-0F22-43CA-9B21-806E6EE6B5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5" authorId="0" shapeId="0" xr:uid="{B4FA5450-FA51-4CF7-88F8-7267824512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05967B29-9F95-49B6-93E8-7884B34871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" authorId="0" shapeId="0" xr:uid="{9424ACB0-979D-4F7A-943A-AF1717A109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" authorId="0" shapeId="0" xr:uid="{C8AF6CA6-F687-4183-8162-26AD42AE88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" authorId="0" shapeId="0" xr:uid="{36593703-5FB8-4AED-B98B-C93BE25B08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" authorId="0" shapeId="0" xr:uid="{6509837F-5031-422F-8D94-CF2CBE1E0B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" authorId="0" shapeId="0" xr:uid="{41F899F9-17F1-4599-A3EF-0B434D6AF1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6" authorId="0" shapeId="0" xr:uid="{AF8DDD55-5A90-4404-8A30-8F60F5A57A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6" authorId="0" shapeId="0" xr:uid="{76E309CC-F983-4196-910F-730FB83BC4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6" authorId="0" shapeId="0" xr:uid="{4D16374B-A40D-4337-A196-585BE064A1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6" authorId="0" shapeId="0" xr:uid="{6DD1A1F5-C16C-49A9-BAE2-946FBFBD87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6" authorId="0" shapeId="0" xr:uid="{CEDEB724-7357-4D92-A79F-F4C78784A3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6" authorId="0" shapeId="0" xr:uid="{AFCECE39-1CC6-46B4-AA60-E2A48AFA51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6" authorId="0" shapeId="0" xr:uid="{ED5DC40F-85F1-4DAD-8EF1-1C7FB2DB04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6" authorId="0" shapeId="0" xr:uid="{0A856BEB-EDB4-41BC-913B-201494A351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6" authorId="0" shapeId="0" xr:uid="{5900EB6D-FE13-4525-8F2B-2FD566DE76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6" authorId="0" shapeId="0" xr:uid="{5E45B6F8-6261-44D5-92FB-E6545754B2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6" authorId="0" shapeId="0" xr:uid="{07DCD472-5710-49E0-91CF-59C33EECA9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6" authorId="0" shapeId="0" xr:uid="{CD3E9434-0038-4C95-83AF-ABA9F61CD5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6" authorId="0" shapeId="0" xr:uid="{EDBDFC19-4942-4A3D-A925-C9C2DF222B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6" authorId="0" shapeId="0" xr:uid="{D33799D5-B4B6-4771-BFAD-DA3F492981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6" authorId="0" shapeId="0" xr:uid="{0AD593CF-CDC7-4223-A138-DBEB7DC185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99ADD134-4CB6-4F43-BA44-03A546F838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" authorId="0" shapeId="0" xr:uid="{DC8382DA-AC35-417B-B10C-48B6987F8B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" authorId="0" shapeId="0" xr:uid="{C61CFCC7-7370-4D57-9EB9-10B4456B65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" authorId="0" shapeId="0" xr:uid="{9AEC24D3-A4DA-4D8D-937A-E8F92650BF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" authorId="0" shapeId="0" xr:uid="{85AEB87F-8BA3-4BE8-8A0F-5D421ECE73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" authorId="0" shapeId="0" xr:uid="{5CD04182-8D18-41F5-889B-1BBA5841F6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7" authorId="0" shapeId="0" xr:uid="{3AECF378-77B5-4080-9192-DF70A262E0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7" authorId="0" shapeId="0" xr:uid="{07681BDD-01CB-4E18-AC3A-41F8552993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7" authorId="0" shapeId="0" xr:uid="{E1BA6D45-13C3-4514-8FC3-93D4E085D7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7" authorId="0" shapeId="0" xr:uid="{88753C6F-2A44-4DDE-B05F-BE139650EB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7" authorId="0" shapeId="0" xr:uid="{5A9C5A3B-59E6-4882-87D5-3FD81AE79D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7" authorId="0" shapeId="0" xr:uid="{B767A2FD-E831-4F5D-9988-6093B584C3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7" authorId="0" shapeId="0" xr:uid="{587BBC73-5C54-46FB-8593-10336B4538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7" authorId="0" shapeId="0" xr:uid="{29C30235-6996-412D-9F84-3BBECBBACD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7" authorId="0" shapeId="0" xr:uid="{80EAC7B2-D697-47D2-BCAD-072C4BF40C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7" authorId="0" shapeId="0" xr:uid="{C7ED1DE7-4552-435A-B027-03EE9D2B12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7" authorId="0" shapeId="0" xr:uid="{FE152917-1683-4078-8BE5-DA6EDC5579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7" authorId="0" shapeId="0" xr:uid="{96653BCE-B68E-456C-AA53-062FC96082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7" authorId="0" shapeId="0" xr:uid="{2C20C5E5-C415-4FE8-93CB-FF201B5451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7" authorId="0" shapeId="0" xr:uid="{DA7A18AF-D88E-428C-A75D-D702CE9496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7" authorId="0" shapeId="0" xr:uid="{A50F334E-AC10-4E7A-B053-117133B71C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08A1DE53-69FD-4538-A135-E375AF5137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" authorId="0" shapeId="0" xr:uid="{7CE5F59E-3EC0-4FF0-9D41-5AF3E9195C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" authorId="0" shapeId="0" xr:uid="{61F54ECB-CEEB-4DFF-B632-E2C158359A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" authorId="0" shapeId="0" xr:uid="{8E39DFDA-EE09-4C76-8F2C-E8A00192BD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" authorId="0" shapeId="0" xr:uid="{49D302A1-D271-4EE1-8767-9599042BA5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" authorId="0" shapeId="0" xr:uid="{6A4A4B55-53F9-42C4-8419-009D64A739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8" authorId="0" shapeId="0" xr:uid="{B8D020CB-2C47-420C-90DD-15529CB9B6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8" authorId="0" shapeId="0" xr:uid="{4BB1B5C2-8E89-42B1-AB1A-B612A3692C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8" authorId="0" shapeId="0" xr:uid="{ECB3C8C8-40FF-411E-8CE6-3C5CD9F877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8" authorId="0" shapeId="0" xr:uid="{9EEDE871-109A-40EA-86EE-100441F242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8" authorId="0" shapeId="0" xr:uid="{F3C4B370-9990-41D4-84D5-511ABC48D9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8" authorId="0" shapeId="0" xr:uid="{CDDB6AF6-5DAF-427B-8F31-7981E06086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8" authorId="0" shapeId="0" xr:uid="{66AFC058-40A4-4C92-93FE-DBE9D4FFBC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8" authorId="0" shapeId="0" xr:uid="{230BB3D5-89AF-49C5-8208-05455B7631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8" authorId="0" shapeId="0" xr:uid="{D27EACAD-8D8D-4DB1-AA9A-62F9D74CDA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8" authorId="0" shapeId="0" xr:uid="{C4BB8F16-5602-4BCD-A297-2AAA160AC8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8" authorId="0" shapeId="0" xr:uid="{A24D9B02-552A-4C53-A687-86BD1BA3B7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8" authorId="0" shapeId="0" xr:uid="{E0726C7A-85B9-4276-9847-ABFC90167D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8" authorId="0" shapeId="0" xr:uid="{9EEE465C-328B-4B29-AE82-F7EE86258A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8" authorId="0" shapeId="0" xr:uid="{CFA0C91E-E963-4F3A-9D25-58D78DE593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8" authorId="0" shapeId="0" xr:uid="{3BBE3BEA-8C31-4082-B1E1-3BC7F1CCB6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6BE12328-80F8-440A-9DFB-C3044EF9A9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" authorId="0" shapeId="0" xr:uid="{D0EB3000-D26E-4906-BFA5-95ED63891B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" authorId="0" shapeId="0" xr:uid="{227F3E7F-19A4-45D2-9B33-F1447DB12A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" authorId="0" shapeId="0" xr:uid="{5A6C102C-06A0-45B6-9F28-D402015E0A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" authorId="0" shapeId="0" xr:uid="{19E825D2-DCB2-4835-BD4B-799635A2FF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" authorId="0" shapeId="0" xr:uid="{C0D299C9-DFB2-4DF1-A73D-C976545B94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9" authorId="0" shapeId="0" xr:uid="{61C27E23-A077-4108-BBD9-60AA4C7B40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9" authorId="0" shapeId="0" xr:uid="{EF473097-6036-4AED-88BD-F29ACD81F1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9" authorId="0" shapeId="0" xr:uid="{3F53A27D-9DA3-434A-A5DC-9A8357378F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9" authorId="0" shapeId="0" xr:uid="{49EDC0A4-4086-41D6-8721-C5789FCD24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9" authorId="0" shapeId="0" xr:uid="{4D6151A9-F90B-41F5-9B44-19DDFDF40B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9" authorId="0" shapeId="0" xr:uid="{95E71DD2-63F1-449E-B4CC-C740B01198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9" authorId="0" shapeId="0" xr:uid="{E631FC74-161E-4C1C-937F-2FD517BC48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9" authorId="0" shapeId="0" xr:uid="{0708F333-4510-492C-B7B9-EDEB828C01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9" authorId="0" shapeId="0" xr:uid="{8BD1AA0E-7123-465C-8D83-4267D05F38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9" authorId="0" shapeId="0" xr:uid="{CD49A965-DB3C-4008-8039-AFA8AF7247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19" authorId="0" shapeId="0" xr:uid="{08B7DC7E-59FA-4EAB-AAB3-3308ECE26B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19" authorId="0" shapeId="0" xr:uid="{B3CFC8D5-588F-4181-B18D-E225E9A02E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19" authorId="0" shapeId="0" xr:uid="{E09487DE-3716-4571-A95B-91FFBD7267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19" authorId="0" shapeId="0" xr:uid="{4A0B1078-D797-48B7-9CF3-E6CA7CD101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19" authorId="0" shapeId="0" xr:uid="{A87CB2E4-469B-4FA3-9BEF-715AADACFF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4555749E-04CE-4E46-BAD4-419CCA719D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" authorId="0" shapeId="0" xr:uid="{951A908A-42AD-41CF-98B0-46935C3467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" authorId="0" shapeId="0" xr:uid="{84076B66-0029-497C-A372-C17F70E6BC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" authorId="0" shapeId="0" xr:uid="{89A3E337-5E93-4333-8E86-6144DC5336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" authorId="0" shapeId="0" xr:uid="{02B01E99-7A87-4364-BFFE-A39F02D676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" authorId="0" shapeId="0" xr:uid="{6BF9A6BE-C1E7-48AA-8CA8-F92073825E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0" authorId="0" shapeId="0" xr:uid="{91C6166E-E3F5-4AA7-AA95-E82EC75F36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0" authorId="0" shapeId="0" xr:uid="{F4A2B830-B644-464E-AF03-AAFCDC3594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0" authorId="0" shapeId="0" xr:uid="{2AC56F6F-CD84-4C6A-9A20-811A1A6F87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0" authorId="0" shapeId="0" xr:uid="{D089655D-DF56-43DC-9EA4-B99F13928B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0" authorId="0" shapeId="0" xr:uid="{541E0B90-9591-4CD3-8CDC-447B4CD548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20" authorId="0" shapeId="0" xr:uid="{68D8846D-1A7A-4DD8-AAAD-5C14B0568D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0" authorId="0" shapeId="0" xr:uid="{9125A47A-D567-490A-B981-08A41926F3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20" authorId="0" shapeId="0" xr:uid="{01D77263-D599-4C31-8067-137ADC77E4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20" authorId="0" shapeId="0" xr:uid="{8CC8C034-F658-4F06-8E45-ACB8831601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20" authorId="0" shapeId="0" xr:uid="{571E6333-E13B-415A-9D69-548D0A942C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20" authorId="0" shapeId="0" xr:uid="{133FEA35-1831-4528-9D43-E59A439A1E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0" authorId="0" shapeId="0" xr:uid="{77542714-CC52-4E51-AE9A-B67C1B25DD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0" authorId="0" shapeId="0" xr:uid="{50D1C82B-EABC-484F-A793-AD97072D68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0" authorId="0" shapeId="0" xr:uid="{29F2D7BA-E3F1-4D74-AD2D-1789AEE4FD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0" authorId="0" shapeId="0" xr:uid="{13DF302A-0B45-450B-AA9D-BC49C02AE3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320C35CA-227A-47D5-B8C7-E8B7AFAD79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" authorId="0" shapeId="0" xr:uid="{D6CDE482-3AF8-4E74-A35B-4E11D17D05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" authorId="0" shapeId="0" xr:uid="{1FBFD068-E4B5-4E72-AA46-6E76ECFFA4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" authorId="0" shapeId="0" xr:uid="{6B66D444-B3D0-432D-AAB6-892951E457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" authorId="0" shapeId="0" xr:uid="{1F5D7A4A-1190-41E8-849B-CA0441BFAC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1" authorId="0" shapeId="0" xr:uid="{F4328222-8A76-40D5-96F4-0103A61221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1" authorId="0" shapeId="0" xr:uid="{D05AF66E-B462-494F-B63B-BB88C73658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1" authorId="0" shapeId="0" xr:uid="{F82639F7-4CF4-4768-9533-5E0620CEC8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1" authorId="0" shapeId="0" xr:uid="{96ADC492-74E8-412B-A4EC-D081D7C6B2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1" authorId="0" shapeId="0" xr:uid="{ED3BBA48-9FF8-443B-8CB8-A4FABC0656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1" authorId="0" shapeId="0" xr:uid="{A41A4E8C-2E58-46E9-9340-521AC49FE6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21" authorId="0" shapeId="0" xr:uid="{8633B7F0-D1F5-4D46-816E-9CC9A4CF7F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1" authorId="0" shapeId="0" xr:uid="{07CA2508-1882-4CCD-B1AD-A2BA9CA724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21" authorId="0" shapeId="0" xr:uid="{8E87E4EE-5541-4AE4-8C99-3A3B5D855F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21" authorId="0" shapeId="0" xr:uid="{7835E532-F1F2-47A1-972C-381FCD83FD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21" authorId="0" shapeId="0" xr:uid="{39C31AE1-ADD4-4BCA-A15C-575C70810B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21" authorId="0" shapeId="0" xr:uid="{9070267A-4556-43BE-B5F7-9B4483CB39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1" authorId="0" shapeId="0" xr:uid="{FC919820-855C-4E58-BEBE-404DA8DA5D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1" authorId="0" shapeId="0" xr:uid="{10815F0D-56BE-4800-BDDB-914827DDB2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1" authorId="0" shapeId="0" xr:uid="{5FF0ED8F-BCA4-41F8-BE66-1F5740C977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1" authorId="0" shapeId="0" xr:uid="{584080DE-787E-45B2-9B8B-A664D3D495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D6A6D9DC-ACB0-46B4-A86F-81379D580D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" authorId="0" shapeId="0" xr:uid="{961B0098-910F-4D4B-9F2C-1777575014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" authorId="0" shapeId="0" xr:uid="{10D7CC6A-21EF-48F1-A194-D407F22096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" authorId="0" shapeId="0" xr:uid="{CCB63C4A-83E4-47E7-945D-A721A0FC55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" authorId="0" shapeId="0" xr:uid="{85CA2382-62C6-4988-B252-D7B38FE410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2" authorId="0" shapeId="0" xr:uid="{97131A6C-5305-4A45-8CEB-0184BDE4D5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2" authorId="0" shapeId="0" xr:uid="{9DCFCB7C-5B47-48F0-8A86-8A1BE96DFB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2" authorId="0" shapeId="0" xr:uid="{D822828C-0590-4DEA-A69A-657E20DBB3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2" authorId="0" shapeId="0" xr:uid="{52E834E2-1E41-45AC-B9C8-C84D40E711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2" authorId="0" shapeId="0" xr:uid="{7907001B-3EFF-4CC5-8B9A-76F1E69426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2" authorId="0" shapeId="0" xr:uid="{BF2D944A-5CB0-4A17-BFED-948626C5D8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22" authorId="0" shapeId="0" xr:uid="{8C26179B-839F-4EF2-8863-8E7E348139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2" authorId="0" shapeId="0" xr:uid="{21840073-6424-43A2-868A-770D331ACA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22" authorId="0" shapeId="0" xr:uid="{5F1F13C1-1A8F-44BF-8C60-A7199207F4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22" authorId="0" shapeId="0" xr:uid="{46BC66FB-6EEA-4904-AC14-6782FE49A8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22" authorId="0" shapeId="0" xr:uid="{C9776723-836F-4785-A387-524E41B953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22" authorId="0" shapeId="0" xr:uid="{6803FF4E-4BDC-4612-B2AB-264BB0ADBC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2" authorId="0" shapeId="0" xr:uid="{0CE019CA-3659-498D-9D9E-C64FF5E9EF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2" authorId="0" shapeId="0" xr:uid="{F6921D24-8AC9-454F-82DA-AD03C8C2FA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2" authorId="0" shapeId="0" xr:uid="{2AF461C5-A3C1-4635-AA60-E8284350E0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2" authorId="0" shapeId="0" xr:uid="{B8000B27-EE01-4816-AC58-3658BF1FC7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7E4FD23B-8583-4F22-9789-32CBD2DCA6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" authorId="0" shapeId="0" xr:uid="{70C0D1F6-9AE6-42B4-9AFB-4BCBE9537D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" authorId="0" shapeId="0" xr:uid="{62B1C634-BE6A-459D-8712-9FB2B5E6B1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" authorId="0" shapeId="0" xr:uid="{CDE45A2D-579C-4F4C-BCDF-31BEFD98BD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" authorId="0" shapeId="0" xr:uid="{6FCB1A5F-4EF1-4DB7-9283-1A84DEC808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" authorId="0" shapeId="0" xr:uid="{963E850C-16DC-48EA-9EF7-9DB58A7A91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3" authorId="0" shapeId="0" xr:uid="{8B6933B9-0A69-4759-B134-D81C126729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3" authorId="0" shapeId="0" xr:uid="{0EBC7807-0BDD-49A0-8B15-282EC7CF5A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3" authorId="0" shapeId="0" xr:uid="{B808EB82-5F0E-4352-AF75-E72D568136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3" authorId="0" shapeId="0" xr:uid="{54FC95BD-A551-4EA8-A01A-890EE80B6E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3" authorId="0" shapeId="0" xr:uid="{F402F4EB-50FF-480C-BAF2-F90BEB954D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23" authorId="0" shapeId="0" xr:uid="{DB331B00-B5A0-43F5-94A2-3932B8E039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3" authorId="0" shapeId="0" xr:uid="{D58937B0-F722-4928-93C0-3DF5FB5147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23" authorId="0" shapeId="0" xr:uid="{5937E17F-0EF1-416F-AF92-B4213A7821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23" authorId="0" shapeId="0" xr:uid="{2993BBBC-8323-44ED-BBDB-F5E7C78624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23" authorId="0" shapeId="0" xr:uid="{91EB5832-6F27-4829-972E-15E40EBF56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23" authorId="0" shapeId="0" xr:uid="{338940FB-364C-4198-84B9-216E45CD7A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3" authorId="0" shapeId="0" xr:uid="{F87C986C-BB82-4B52-A318-B05E8A6280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3" authorId="0" shapeId="0" xr:uid="{08CD5E42-A4DC-45D9-B780-DCF381AB1A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3" authorId="0" shapeId="0" xr:uid="{3179D462-B963-4ECE-B425-549AB053BC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3" authorId="0" shapeId="0" xr:uid="{E2DCD7D7-D519-43BE-94A0-21965B277E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3FEF9F91-015D-448E-9935-37F5A39812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" authorId="0" shapeId="0" xr:uid="{CD86BB6B-8BA6-4E0A-8B06-D9307073EA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" authorId="0" shapeId="0" xr:uid="{3B7D2129-D2CB-4D40-AE79-ABE9843DF8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" authorId="0" shapeId="0" xr:uid="{4F762D17-A88A-4187-9DD3-405C42BDFD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" authorId="0" shapeId="0" xr:uid="{696EE1F1-545A-42C4-94A0-56E736ACFF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" authorId="0" shapeId="0" xr:uid="{0608BA32-D043-473E-A1FF-1BAABAE119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4" authorId="0" shapeId="0" xr:uid="{4F1774EF-5663-4860-8F75-EFED191AAA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4" authorId="0" shapeId="0" xr:uid="{86E3A239-7951-4FC5-BAFD-74CAB7D4CB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4" authorId="0" shapeId="0" xr:uid="{07EE1E0B-F239-412F-B71D-B82A78FBB3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4" authorId="0" shapeId="0" xr:uid="{50C8239A-D580-4042-AC28-49AD53A93F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4" authorId="0" shapeId="0" xr:uid="{F513EADA-7DE4-463D-B91D-8D2CC5001E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24" authorId="0" shapeId="0" xr:uid="{6B592C57-F64F-467E-8D20-DE9292F71C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4" authorId="0" shapeId="0" xr:uid="{3A44B234-A0B1-4DE3-9699-23BD7A7452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24" authorId="0" shapeId="0" xr:uid="{92792E0D-EDF3-47FA-B71D-30C928DD34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24" authorId="0" shapeId="0" xr:uid="{BB87E3BA-C172-4E71-B909-EAA61D9DFA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24" authorId="0" shapeId="0" xr:uid="{090C2E0B-AED3-4599-8A61-96AAC4F15F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24" authorId="0" shapeId="0" xr:uid="{F479C1C5-513C-4A52-8DFD-5F3FB9717E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4" authorId="0" shapeId="0" xr:uid="{51C20E88-C9BA-4DBF-8EBD-8B2A212184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4" authorId="0" shapeId="0" xr:uid="{C32811E1-AF50-476F-AB80-C558B96ACF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4" authorId="0" shapeId="0" xr:uid="{EE3AC4D2-1D39-4B9D-B6FF-9D3E64DB6A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4" authorId="0" shapeId="0" xr:uid="{2566477C-3F81-46A9-BFE0-0C2560EA4A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18B18530-1B6D-4602-BF40-910F6FCAE9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" authorId="0" shapeId="0" xr:uid="{8202C347-1E94-44CC-A64E-2A82B1CA06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" authorId="0" shapeId="0" xr:uid="{CB628890-1AEB-441D-9619-4D30DCB874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" authorId="0" shapeId="0" xr:uid="{9ECB7924-2EAA-459C-A9F5-5C0D0C2C72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" authorId="0" shapeId="0" xr:uid="{701E1D74-411D-4FF2-A58B-9D3B5AE6A1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" authorId="0" shapeId="0" xr:uid="{1ACB2AC8-8EE8-45DB-A958-0431962683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5" authorId="0" shapeId="0" xr:uid="{DCD519DB-FBF4-4A50-9ACE-51F2FA7B30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5" authorId="0" shapeId="0" xr:uid="{DEFEB2C4-1D73-41D3-89FB-51783A64B9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5" authorId="0" shapeId="0" xr:uid="{18296AED-8B7F-4C04-AE0B-96BA4F114F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5" authorId="0" shapeId="0" xr:uid="{1057C5E6-35B7-4178-B1BE-7553C7168D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5" authorId="0" shapeId="0" xr:uid="{4CFCE709-1FDD-4F81-8444-1C42D399F8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25" authorId="0" shapeId="0" xr:uid="{E3AA0879-4BC7-422C-9489-45F5422EFB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5" authorId="0" shapeId="0" xr:uid="{8D98B04A-FBF5-4301-A9CC-F4F5288297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25" authorId="0" shapeId="0" xr:uid="{B26DAAB6-CB4D-41C8-8DEC-1039F56129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25" authorId="0" shapeId="0" xr:uid="{026434D7-8F22-4ED7-A482-0487ADE4DA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25" authorId="0" shapeId="0" xr:uid="{14F28EE1-6511-40EB-87FF-B924926C99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R25" authorId="0" shapeId="0" xr:uid="{D2BE167F-E3C8-418E-B620-5DB82E256F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S25" authorId="0" shapeId="0" xr:uid="{93B419D2-C4FB-48B6-86B0-251E10A66F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T25" authorId="0" shapeId="0" xr:uid="{FF4B7AD3-B54F-493B-B2E7-B6D20507F8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U25" authorId="0" shapeId="0" xr:uid="{4B89F31F-B87E-4FE5-8B4D-8429260757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V25" authorId="0" shapeId="0" xr:uid="{0CCDAF26-BD5E-4352-BC46-A3B18CA50F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Usha Praveen</author>
  </authors>
  <commentList>
    <comment ref="B5" authorId="0" shapeId="0" xr:uid="{6B43DADF-8C5C-4847-AFC2-7D98D1232F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F36F161F-0780-45F0-A13C-191D5D35E4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BBA78998-F3AD-4A6D-B5D7-F095790601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0FEF4B04-FC48-41E7-A734-660B878A52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<sst xmlns="http://schemas.openxmlformats.org/spreadsheetml/2006/main" count="892" uniqueCount="220">
  <si>
    <t>Origin City</t>
  </si>
  <si>
    <t>Origin State</t>
  </si>
  <si>
    <t>Destination City</t>
  </si>
  <si>
    <t>Destination State</t>
  </si>
  <si>
    <t>Item Description</t>
  </si>
  <si>
    <t>Weight (lbs.)</t>
  </si>
  <si>
    <t>Distance (mi)</t>
  </si>
  <si>
    <t>Rate ($/mi/lb.)</t>
  </si>
  <si>
    <t>Freight Charge ($)</t>
  </si>
  <si>
    <t>Litchfield</t>
  </si>
  <si>
    <t>IL</t>
  </si>
  <si>
    <t>Calgary</t>
  </si>
  <si>
    <t>AB</t>
  </si>
  <si>
    <t>Connectors</t>
  </si>
  <si>
    <t>Markham</t>
  </si>
  <si>
    <t>ON</t>
  </si>
  <si>
    <t>Moncton</t>
  </si>
  <si>
    <t>NB</t>
  </si>
  <si>
    <t>Sacramento</t>
  </si>
  <si>
    <t>CA</t>
  </si>
  <si>
    <t>Coquitlam</t>
  </si>
  <si>
    <t>BC</t>
  </si>
  <si>
    <t>Row Labels</t>
  </si>
  <si>
    <t>Inbound baseline spending</t>
  </si>
  <si>
    <t>Weight (lbs)</t>
  </si>
  <si>
    <t>$/lbs./mi</t>
  </si>
  <si>
    <t>Clavet</t>
  </si>
  <si>
    <t>SK</t>
  </si>
  <si>
    <t>Halifax</t>
  </si>
  <si>
    <t>NS</t>
  </si>
  <si>
    <t>Montreal</t>
  </si>
  <si>
    <t>QC</t>
  </si>
  <si>
    <t>St Johns</t>
  </si>
  <si>
    <t>NL</t>
  </si>
  <si>
    <t>Winnipeg</t>
  </si>
  <si>
    <t>MB</t>
  </si>
  <si>
    <t>Charlottetown</t>
  </si>
  <si>
    <t>PE</t>
  </si>
  <si>
    <t>Outbound baseline</t>
  </si>
  <si>
    <t>Inbound</t>
  </si>
  <si>
    <t>Distance(miles)</t>
  </si>
  <si>
    <t>Total inbound cost</t>
  </si>
  <si>
    <t>Total outbound cost</t>
  </si>
  <si>
    <t>Constraints:</t>
  </si>
  <si>
    <t>Supply constraints:</t>
  </si>
  <si>
    <t>Maximum production capacity of Litchfied Plant</t>
  </si>
  <si>
    <t>Maximum production capacity of Sacramento Plant</t>
  </si>
  <si>
    <t>Demand constraints:</t>
  </si>
  <si>
    <t>Minimum requirement for Calgary Customer</t>
  </si>
  <si>
    <t>Minimum requirement for Charlottetown Customer</t>
  </si>
  <si>
    <t>Minimum requirement for Clavet Customer</t>
  </si>
  <si>
    <t>Minimum requirement for Coquitlam Customer</t>
  </si>
  <si>
    <t>Minimum requirement for Halifax Customer</t>
  </si>
  <si>
    <t>Minimum requirement for Markham Customer</t>
  </si>
  <si>
    <t>Minimum requirement for Moncton Customer</t>
  </si>
  <si>
    <t>Minimum requirement for Montreal Customer</t>
  </si>
  <si>
    <t>Minimum requirement for St Johns Customer</t>
  </si>
  <si>
    <t>Minimum requirement for Winnipeg Customer</t>
  </si>
  <si>
    <t>Conservtion of flow constraint:</t>
  </si>
  <si>
    <t>What flows into the warehouse should flow out of the warehouse</t>
  </si>
  <si>
    <t>R.H.S</t>
  </si>
  <si>
    <t>L.H.S</t>
  </si>
  <si>
    <t>&lt;=</t>
  </si>
  <si>
    <t>(historical demand from baseline)</t>
  </si>
  <si>
    <t>&gt;=</t>
  </si>
  <si>
    <t>Shipment sent to Calgary warehouse</t>
  </si>
  <si>
    <t>Shipment sent out of Calgary warehouse</t>
  </si>
  <si>
    <t>Shipment sent to Coquitlam warehouse</t>
  </si>
  <si>
    <t>Shipment sent out of Coquitlam warehouse</t>
  </si>
  <si>
    <t>Shipment sent to Markham warehouse</t>
  </si>
  <si>
    <t>Shipment sent out of Markham warehouse</t>
  </si>
  <si>
    <t>Shipment sent to Moncton warehouse</t>
  </si>
  <si>
    <t>Shipment sent out of Moncton warehouse</t>
  </si>
  <si>
    <t>=</t>
  </si>
  <si>
    <t>Warehouse operating cost</t>
  </si>
  <si>
    <t>Total warehouse cost</t>
  </si>
  <si>
    <t>Total</t>
  </si>
  <si>
    <t>Constraints</t>
  </si>
  <si>
    <t xml:space="preserve">Open/close </t>
  </si>
  <si>
    <t>Total demand =</t>
  </si>
  <si>
    <t>Total warehouses open =</t>
  </si>
  <si>
    <t>Total Cost</t>
  </si>
  <si>
    <t>No. of WH that must be open</t>
  </si>
  <si>
    <t>Cost of doing business</t>
  </si>
  <si>
    <t>(no constraints on the no. of
WHs to be kept open)</t>
  </si>
  <si>
    <t>Linking constraints</t>
  </si>
  <si>
    <t>This constraint ensures that the warehouse is opened if any quantity flows through it</t>
  </si>
  <si>
    <t>Equation used to enforce this constraint:</t>
  </si>
  <si>
    <t>Linking constraint =</t>
  </si>
  <si>
    <t>Weight flowing through a warehouse - (open/close binary variable * Big M number)</t>
  </si>
  <si>
    <t>Where the big M number is the total demand ( sum of historial demands in our case)</t>
  </si>
  <si>
    <t>Linking constraint</t>
  </si>
  <si>
    <t>(Objective function)</t>
  </si>
  <si>
    <t>Legend:</t>
  </si>
  <si>
    <t>Obj. function</t>
  </si>
  <si>
    <t>$D$25</t>
  </si>
  <si>
    <t>$B$42</t>
  </si>
  <si>
    <t>Input</t>
  </si>
  <si>
    <t>Input (cell $D$25) values along side, output cell(s) along top</t>
  </si>
  <si>
    <t>Data for chart</t>
  </si>
  <si>
    <t/>
  </si>
  <si>
    <t>LF max capacity</t>
  </si>
  <si>
    <t>SAC max capacity</t>
  </si>
  <si>
    <t>Output and LF max capacity value for chart</t>
  </si>
  <si>
    <t>Output</t>
  </si>
  <si>
    <t>LF max capacity value</t>
  </si>
  <si>
    <t>Output and SAC max capacity value for chart</t>
  </si>
  <si>
    <t>SAC max capacity value</t>
  </si>
  <si>
    <t>Not feasible</t>
  </si>
  <si>
    <t>Warehouses</t>
  </si>
  <si>
    <t>Plants</t>
  </si>
  <si>
    <t>Warehouse</t>
  </si>
  <si>
    <t>Outbound</t>
  </si>
  <si>
    <t>Customers</t>
  </si>
  <si>
    <t>Inbound Baseline</t>
  </si>
  <si>
    <t>Each warehouse costs $200,000 per period to operate.</t>
  </si>
  <si>
    <t>Outbound Baseline</t>
  </si>
  <si>
    <t>Twoway analysis for Solver model in Opt -transportation+WH cost worksheet</t>
  </si>
  <si>
    <t>Conservation of flow constraint:</t>
  </si>
  <si>
    <t>Legends:</t>
  </si>
  <si>
    <t>Decision variables</t>
  </si>
  <si>
    <t>$M$29</t>
  </si>
  <si>
    <t>$M$30</t>
  </si>
  <si>
    <t>$C$42</t>
  </si>
  <si>
    <t>LF max capacity (cell $M$29) values along side, SAC max capacity (cell $M$30) values along top, output cell in corner</t>
  </si>
  <si>
    <t>Surplus Capacity</t>
  </si>
  <si>
    <t>Oneway analysis for Solver model in Opt -transportation+4WH cost worksheet</t>
  </si>
  <si>
    <t>Inbound data (Aggregated):</t>
  </si>
  <si>
    <t>Outbound data (Aggregated):</t>
  </si>
  <si>
    <t>Total cost (Inbound+Outbound+Warehouse operational cost for 4 warehouses)</t>
  </si>
  <si>
    <t>p</t>
  </si>
  <si>
    <t>index for plants of Chicago Tools (p = L, S)</t>
  </si>
  <si>
    <t>L= Litchfield; S = Sacramento</t>
  </si>
  <si>
    <t>w</t>
  </si>
  <si>
    <t>index for warehouses (w = 1,2,3,4)</t>
  </si>
  <si>
    <t>1 = Calgary; 2 = Coquitlam; 3 = Markham; 4 =Moncton</t>
  </si>
  <si>
    <t>c</t>
  </si>
  <si>
    <t>index for Customers (c = 0 to 9)</t>
  </si>
  <si>
    <t>0 = Calgary; 1 = Charlottetown; 2 = Clavet; 3= Coquitlam; 4 = Halifax; 5 = Markham; 6 = Moncton; 7 = Montreal; 8 = St Johns; 9 = Winnipeg</t>
  </si>
  <si>
    <t>X</t>
  </si>
  <si>
    <t>Weights being shipped from origin to destination</t>
  </si>
  <si>
    <t>Cost of operating warehouse</t>
  </si>
  <si>
    <t>Distance between plant and warehouses</t>
  </si>
  <si>
    <t>Distance between warehouse and customers</t>
  </si>
  <si>
    <t>Rate ($/mi/lb.) of shipment between plant and warehouses</t>
  </si>
  <si>
    <t>Rate ($/mi/lb.) of shipment between warehouses and customers</t>
  </si>
  <si>
    <t>Weights being shipped from plant to warehouse</t>
  </si>
  <si>
    <t>(where p = L, S and w = 1,2,3,4)</t>
  </si>
  <si>
    <t>(where w = 1 to 4 and c = 0 to 9)</t>
  </si>
  <si>
    <t>Binary variable (0-1) showcasing Warehouse being close or open</t>
  </si>
  <si>
    <t>(where w = 1 to 4)</t>
  </si>
  <si>
    <t>Decision variables:</t>
  </si>
  <si>
    <t>Illustration of decision variables for Inbound and Outbound flow:</t>
  </si>
  <si>
    <t>Objective function:</t>
  </si>
  <si>
    <t>Minimize total shipment cost i.e. minimize both Inbound shipment cost and outbound shipment cost which is a function of Distance between origin and destination along with weight and rate of shipment. It also includes warehouse operational cost which is dependent on number of functional/open warehouses.</t>
  </si>
  <si>
    <t>Inputs:</t>
  </si>
  <si>
    <r>
      <t>X</t>
    </r>
    <r>
      <rPr>
        <vertAlign val="subscript"/>
        <sz val="12"/>
        <color theme="1"/>
        <rFont val="Times New Roman"/>
        <family val="1"/>
      </rPr>
      <t>L1</t>
    </r>
  </si>
  <si>
    <r>
      <t>X</t>
    </r>
    <r>
      <rPr>
        <vertAlign val="subscript"/>
        <sz val="12"/>
        <color theme="1"/>
        <rFont val="Times New Roman"/>
        <family val="1"/>
      </rPr>
      <t>L2</t>
    </r>
  </si>
  <si>
    <r>
      <t>X</t>
    </r>
    <r>
      <rPr>
        <vertAlign val="subscript"/>
        <sz val="12"/>
        <color theme="1"/>
        <rFont val="Times New Roman"/>
        <family val="1"/>
      </rPr>
      <t>L3</t>
    </r>
  </si>
  <si>
    <r>
      <t>X</t>
    </r>
    <r>
      <rPr>
        <vertAlign val="subscript"/>
        <sz val="12"/>
        <color theme="1"/>
        <rFont val="Times New Roman"/>
        <family val="1"/>
      </rPr>
      <t>L4</t>
    </r>
  </si>
  <si>
    <r>
      <t>X</t>
    </r>
    <r>
      <rPr>
        <vertAlign val="subscript"/>
        <sz val="12"/>
        <color theme="1"/>
        <rFont val="Times New Roman"/>
        <family val="1"/>
      </rPr>
      <t>S1</t>
    </r>
  </si>
  <si>
    <r>
      <t>X</t>
    </r>
    <r>
      <rPr>
        <vertAlign val="subscript"/>
        <sz val="12"/>
        <color theme="1"/>
        <rFont val="Times New Roman"/>
        <family val="1"/>
      </rPr>
      <t>S2</t>
    </r>
  </si>
  <si>
    <r>
      <t>X</t>
    </r>
    <r>
      <rPr>
        <vertAlign val="subscript"/>
        <sz val="12"/>
        <color theme="1"/>
        <rFont val="Times New Roman"/>
        <family val="1"/>
      </rPr>
      <t>S3</t>
    </r>
  </si>
  <si>
    <r>
      <t>X</t>
    </r>
    <r>
      <rPr>
        <vertAlign val="subscript"/>
        <sz val="12"/>
        <color theme="1"/>
        <rFont val="Times New Roman"/>
        <family val="1"/>
      </rPr>
      <t>S4</t>
    </r>
  </si>
  <si>
    <r>
      <t>X</t>
    </r>
    <r>
      <rPr>
        <vertAlign val="subscript"/>
        <sz val="12"/>
        <color theme="1"/>
        <rFont val="Times New Roman"/>
        <family val="1"/>
      </rPr>
      <t>10</t>
    </r>
  </si>
  <si>
    <r>
      <t>X</t>
    </r>
    <r>
      <rPr>
        <vertAlign val="subscript"/>
        <sz val="12"/>
        <color theme="1"/>
        <rFont val="Times New Roman"/>
        <family val="1"/>
      </rPr>
      <t>11</t>
    </r>
  </si>
  <si>
    <r>
      <t>X</t>
    </r>
    <r>
      <rPr>
        <vertAlign val="subscript"/>
        <sz val="12"/>
        <color theme="1"/>
        <rFont val="Times New Roman"/>
        <family val="1"/>
      </rPr>
      <t>12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</si>
  <si>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</si>
  <si>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14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</si>
  <si>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15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</si>
  <si>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16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</si>
  <si>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17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</si>
  <si>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18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</si>
  <si>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19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</si>
  <si>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20</t>
    </r>
  </si>
  <si>
    <r>
      <t>X</t>
    </r>
    <r>
      <rPr>
        <vertAlign val="subscript"/>
        <sz val="12"/>
        <color theme="1"/>
        <rFont val="Times New Roman"/>
        <family val="1"/>
      </rPr>
      <t>21</t>
    </r>
  </si>
  <si>
    <r>
      <t>X</t>
    </r>
    <r>
      <rPr>
        <vertAlign val="subscript"/>
        <sz val="12"/>
        <color theme="1"/>
        <rFont val="Times New Roman"/>
        <family val="1"/>
      </rPr>
      <t>22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</si>
  <si>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23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</si>
  <si>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24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</si>
  <si>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25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</si>
  <si>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26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</si>
  <si>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27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</si>
  <si>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28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</si>
  <si>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29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</si>
  <si>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30</t>
    </r>
  </si>
  <si>
    <r>
      <t>X</t>
    </r>
    <r>
      <rPr>
        <vertAlign val="subscript"/>
        <sz val="12"/>
        <color theme="1"/>
        <rFont val="Times New Roman"/>
        <family val="1"/>
      </rPr>
      <t>31</t>
    </r>
  </si>
  <si>
    <r>
      <t>X</t>
    </r>
    <r>
      <rPr>
        <vertAlign val="subscript"/>
        <sz val="12"/>
        <color theme="1"/>
        <rFont val="Times New Roman"/>
        <family val="1"/>
      </rPr>
      <t>32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</si>
  <si>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33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</si>
  <si>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34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</si>
  <si>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35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</si>
  <si>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36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</si>
  <si>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37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</si>
  <si>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38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</si>
  <si>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39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</si>
  <si>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40</t>
    </r>
  </si>
  <si>
    <r>
      <t>X</t>
    </r>
    <r>
      <rPr>
        <vertAlign val="subscript"/>
        <sz val="12"/>
        <color theme="1"/>
        <rFont val="Times New Roman"/>
        <family val="1"/>
      </rPr>
      <t>41</t>
    </r>
  </si>
  <si>
    <r>
      <t>X</t>
    </r>
    <r>
      <rPr>
        <vertAlign val="subscript"/>
        <sz val="12"/>
        <color theme="1"/>
        <rFont val="Times New Roman"/>
        <family val="1"/>
      </rPr>
      <t>42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</si>
  <si>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43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</si>
  <si>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44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</si>
  <si>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45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</si>
  <si>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46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</si>
  <si>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47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</si>
  <si>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48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</si>
  <si>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2"/>
        <color theme="1"/>
        <rFont val="Times New Roman"/>
        <family val="1"/>
      </rPr>
      <t>49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</si>
  <si>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vertAlign val="subscript"/>
        <sz val="12"/>
        <color theme="1"/>
        <rFont val="Times New Roman"/>
        <family val="1"/>
      </rPr>
      <t>1</t>
    </r>
  </si>
  <si>
    <r>
      <t>W</t>
    </r>
    <r>
      <rPr>
        <vertAlign val="subscript"/>
        <sz val="12"/>
        <color theme="1"/>
        <rFont val="Times New Roman"/>
        <family val="1"/>
      </rPr>
      <t>2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</si>
  <si>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vertAlign val="subscript"/>
        <sz val="12"/>
        <color theme="1"/>
        <rFont val="Times New Roman"/>
        <family val="1"/>
      </rPr>
      <t>3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</si>
  <si>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vertAlign val="subscript"/>
        <sz val="12"/>
        <color theme="1"/>
        <rFont val="Times New Roman"/>
        <family val="1"/>
      </rPr>
      <t>4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</si>
  <si>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vertAlign val="subscript"/>
        <sz val="12"/>
        <color theme="1"/>
        <rFont val="Times New Roman"/>
        <family val="1"/>
      </rPr>
      <t>w</t>
    </r>
  </si>
  <si>
    <r>
      <t>D</t>
    </r>
    <r>
      <rPr>
        <i/>
        <vertAlign val="subscript"/>
        <sz val="12"/>
        <color theme="1"/>
        <rFont val="Times New Roman"/>
        <family val="1"/>
      </rPr>
      <t>pw</t>
    </r>
  </si>
  <si>
    <r>
      <t>D</t>
    </r>
    <r>
      <rPr>
        <i/>
        <vertAlign val="subscript"/>
        <sz val="12"/>
        <color theme="1"/>
        <rFont val="Times New Roman"/>
        <family val="1"/>
      </rPr>
      <t>wc</t>
    </r>
  </si>
  <si>
    <r>
      <t>R</t>
    </r>
    <r>
      <rPr>
        <i/>
        <vertAlign val="subscript"/>
        <sz val="12"/>
        <color theme="1"/>
        <rFont val="Times New Roman"/>
        <family val="1"/>
      </rPr>
      <t>pw</t>
    </r>
  </si>
  <si>
    <r>
      <t>R</t>
    </r>
    <r>
      <rPr>
        <i/>
        <vertAlign val="subscript"/>
        <sz val="12"/>
        <color theme="1"/>
        <rFont val="Times New Roman"/>
        <family val="1"/>
      </rPr>
      <t>wc</t>
    </r>
  </si>
  <si>
    <r>
      <t>X</t>
    </r>
    <r>
      <rPr>
        <vertAlign val="subscript"/>
        <sz val="12"/>
        <color theme="1"/>
        <rFont val="Times New Roman"/>
        <family val="1"/>
      </rPr>
      <t>pw</t>
    </r>
  </si>
  <si>
    <r>
      <t>X</t>
    </r>
    <r>
      <rPr>
        <vertAlign val="subscript"/>
        <sz val="12"/>
        <color theme="1"/>
        <rFont val="Times New Roman"/>
        <family val="1"/>
      </rPr>
      <t>wc</t>
    </r>
  </si>
  <si>
    <r>
      <t>W</t>
    </r>
    <r>
      <rPr>
        <vertAlign val="subscript"/>
        <sz val="12"/>
        <color theme="1"/>
        <rFont val="Times New Roman"/>
        <family val="1"/>
      </rPr>
      <t>w</t>
    </r>
  </si>
  <si>
    <t>Total inbound freight charges incurred</t>
  </si>
  <si>
    <t>Total outbound freight charges incurred</t>
  </si>
  <si>
    <t>Total actual cost incurred</t>
  </si>
  <si>
    <t>Baseline deviation from actual
cost incurred by Chicago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</si>
</sst>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&quot;$&quot;#,##0.00"/>
  </numFmts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"/>
      <name val="Calibri (Body)"/>
    </font>
    <font>
      <u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9"/>
      <color indexed="81"/>
      <name val="Tahoma"/>
      <family val="2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9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44" fontId="0" fillId="0" borderId="0" xfId="0" applyNumberFormat="1"/>
    <xf numFmtId="0" fontId="0" fillId="0" borderId="1" xfId="0" applyFill="1" applyBorder="1"/>
    <xf numFmtId="0" fontId="0" fillId="0" borderId="0" xfId="0" applyFill="1" applyBorder="1"/>
    <xf numFmtId="165" fontId="0" fillId="0" borderId="1" xfId="2" applyNumberFormat="1" applyFont="1" applyBorder="1" applyAlignment="1">
      <alignment horizontal="center"/>
    </xf>
    <xf numFmtId="165" fontId="0" fillId="0" borderId="1" xfId="2" applyNumberFormat="1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Font="1" applyBorder="1"/>
    <xf numFmtId="0" fontId="5" fillId="0" borderId="0" xfId="0" applyFont="1"/>
    <xf numFmtId="43" fontId="0" fillId="0" borderId="5" xfId="0" applyNumberFormat="1" applyBorder="1"/>
    <xf numFmtId="43" fontId="0" fillId="0" borderId="11" xfId="0" applyNumberFormat="1" applyBorder="1"/>
    <xf numFmtId="0" fontId="0" fillId="0" borderId="2" xfId="0" applyFill="1" applyBorder="1"/>
    <xf numFmtId="0" fontId="0" fillId="0" borderId="12" xfId="0" applyBorder="1" applyAlignment="1">
      <alignment horizontal="center"/>
    </xf>
    <xf numFmtId="44" fontId="0" fillId="0" borderId="1" xfId="2" applyFont="1" applyBorder="1"/>
    <xf numFmtId="0" fontId="6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2" xfId="0" applyBorder="1"/>
    <xf numFmtId="0" fontId="7" fillId="0" borderId="1" xfId="0" applyFont="1" applyBorder="1"/>
    <xf numFmtId="0" fontId="0" fillId="0" borderId="17" xfId="0" applyBorder="1"/>
    <xf numFmtId="0" fontId="0" fillId="0" borderId="18" xfId="0" applyBorder="1"/>
    <xf numFmtId="43" fontId="0" fillId="0" borderId="19" xfId="1" applyFont="1" applyBorder="1"/>
    <xf numFmtId="0" fontId="0" fillId="0" borderId="19" xfId="0" applyBorder="1"/>
    <xf numFmtId="0" fontId="7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3" borderId="5" xfId="0" applyFill="1" applyBorder="1" applyAlignment="1">
      <alignment horizontal="center"/>
    </xf>
    <xf numFmtId="0" fontId="0" fillId="3" borderId="25" xfId="0" applyFill="1" applyBorder="1"/>
    <xf numFmtId="0" fontId="7" fillId="0" borderId="0" xfId="0" applyFont="1"/>
    <xf numFmtId="0" fontId="0" fillId="0" borderId="26" xfId="0" applyFill="1" applyBorder="1"/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/>
    <xf numFmtId="44" fontId="0" fillId="0" borderId="6" xfId="2" applyFont="1" applyBorder="1"/>
    <xf numFmtId="0" fontId="0" fillId="0" borderId="12" xfId="0" applyFill="1" applyBorder="1"/>
    <xf numFmtId="0" fontId="0" fillId="3" borderId="1" xfId="0" applyFill="1" applyBorder="1"/>
    <xf numFmtId="0" fontId="0" fillId="0" borderId="8" xfId="0" applyBorder="1"/>
    <xf numFmtId="0" fontId="0" fillId="3" borderId="5" xfId="0" applyFill="1" applyBorder="1"/>
    <xf numFmtId="0" fontId="0" fillId="0" borderId="16" xfId="0" applyBorder="1"/>
    <xf numFmtId="43" fontId="0" fillId="0" borderId="19" xfId="1" applyFont="1" applyBorder="1" applyAlignment="1">
      <alignment horizontal="center"/>
    </xf>
    <xf numFmtId="0" fontId="8" fillId="0" borderId="0" xfId="0" applyFont="1"/>
    <xf numFmtId="0" fontId="6" fillId="0" borderId="0" xfId="0" applyFont="1" applyBorder="1"/>
    <xf numFmtId="49" fontId="0" fillId="0" borderId="0" xfId="0" applyNumberFormat="1"/>
    <xf numFmtId="0" fontId="4" fillId="0" borderId="0" xfId="0" applyFont="1"/>
    <xf numFmtId="0" fontId="0" fillId="0" borderId="0" xfId="0" applyNumberFormat="1"/>
    <xf numFmtId="0" fontId="0" fillId="0" borderId="0" xfId="0" applyAlignment="1">
      <alignment horizontal="right" textRotation="90"/>
    </xf>
    <xf numFmtId="0" fontId="0" fillId="4" borderId="0" xfId="0" applyFill="1" applyAlignment="1">
      <alignment horizontal="right" textRotation="90"/>
    </xf>
    <xf numFmtId="0" fontId="9" fillId="0" borderId="0" xfId="0" applyFont="1"/>
    <xf numFmtId="44" fontId="0" fillId="0" borderId="6" xfId="0" applyNumberFormat="1" applyBorder="1"/>
    <xf numFmtId="44" fontId="0" fillId="0" borderId="27" xfId="0" applyNumberFormat="1" applyBorder="1"/>
    <xf numFmtId="44" fontId="0" fillId="0" borderId="12" xfId="0" applyNumberFormat="1" applyBorder="1"/>
    <xf numFmtId="43" fontId="0" fillId="0" borderId="0" xfId="0" applyNumberFormat="1"/>
    <xf numFmtId="0" fontId="0" fillId="0" borderId="0" xfId="0" applyAlignment="1">
      <alignment horizontal="right"/>
    </xf>
    <xf numFmtId="0" fontId="0" fillId="5" borderId="0" xfId="0" applyFill="1"/>
    <xf numFmtId="0" fontId="0" fillId="6" borderId="26" xfId="0" applyFill="1" applyBorder="1"/>
    <xf numFmtId="0" fontId="0" fillId="6" borderId="30" xfId="0" applyFill="1" applyBorder="1"/>
    <xf numFmtId="44" fontId="0" fillId="0" borderId="30" xfId="0" applyNumberFormat="1" applyBorder="1"/>
    <xf numFmtId="44" fontId="0" fillId="0" borderId="32" xfId="0" applyNumberFormat="1" applyBorder="1"/>
    <xf numFmtId="0" fontId="0" fillId="6" borderId="28" xfId="0" applyFill="1" applyBorder="1"/>
    <xf numFmtId="0" fontId="0" fillId="6" borderId="0" xfId="0" applyFill="1" applyBorder="1"/>
    <xf numFmtId="44" fontId="0" fillId="0" borderId="0" xfId="0" applyNumberFormat="1" applyBorder="1"/>
    <xf numFmtId="44" fontId="0" fillId="0" borderId="7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3" fontId="0" fillId="0" borderId="16" xfId="0" applyNumberFormat="1" applyBorder="1" applyAlignment="1">
      <alignment horizontal="center"/>
    </xf>
    <xf numFmtId="0" fontId="4" fillId="0" borderId="1" xfId="0" applyFont="1" applyBorder="1"/>
    <xf numFmtId="0" fontId="11" fillId="0" borderId="0" xfId="0" applyFont="1"/>
    <xf numFmtId="0" fontId="4" fillId="0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4" fillId="4" borderId="13" xfId="0" applyFont="1" applyFill="1" applyBorder="1"/>
    <xf numFmtId="44" fontId="4" fillId="4" borderId="15" xfId="2" applyFont="1" applyFill="1" applyBorder="1"/>
    <xf numFmtId="0" fontId="0" fillId="4" borderId="1" xfId="0" applyFill="1" applyBorder="1"/>
    <xf numFmtId="164" fontId="0" fillId="0" borderId="1" xfId="1" applyNumberFormat="1" applyFont="1" applyBorder="1"/>
    <xf numFmtId="164" fontId="0" fillId="0" borderId="19" xfId="1" applyNumberFormat="1" applyFont="1" applyBorder="1"/>
    <xf numFmtId="164" fontId="0" fillId="0" borderId="0" xfId="0" applyNumberFormat="1"/>
    <xf numFmtId="164" fontId="0" fillId="0" borderId="1" xfId="1" applyNumberFormat="1" applyFont="1" applyBorder="1" applyAlignment="1">
      <alignment horizontal="right"/>
    </xf>
    <xf numFmtId="164" fontId="0" fillId="0" borderId="23" xfId="1" applyNumberFormat="1" applyFont="1" applyBorder="1" applyAlignment="1">
      <alignment horizontal="right"/>
    </xf>
    <xf numFmtId="164" fontId="0" fillId="0" borderId="19" xfId="1" applyNumberFormat="1" applyFont="1" applyBorder="1" applyAlignment="1">
      <alignment horizontal="right"/>
    </xf>
    <xf numFmtId="164" fontId="0" fillId="0" borderId="24" xfId="1" applyNumberFormat="1" applyFont="1" applyBorder="1" applyAlignment="1">
      <alignment horizontal="right"/>
    </xf>
    <xf numFmtId="44" fontId="0" fillId="4" borderId="0" xfId="0" applyNumberFormat="1" applyFill="1" applyBorder="1"/>
    <xf numFmtId="164" fontId="0" fillId="0" borderId="1" xfId="0" applyNumberFormat="1" applyBorder="1"/>
    <xf numFmtId="0" fontId="3" fillId="0" borderId="1" xfId="0" applyFont="1" applyBorder="1"/>
    <xf numFmtId="164" fontId="3" fillId="0" borderId="1" xfId="1" applyNumberFormat="1" applyFont="1" applyFill="1" applyBorder="1"/>
    <xf numFmtId="165" fontId="3" fillId="0" borderId="1" xfId="2" applyNumberFormat="1" applyFont="1" applyFill="1" applyBorder="1"/>
    <xf numFmtId="44" fontId="3" fillId="0" borderId="1" xfId="0" applyNumberFormat="1" applyFont="1" applyBorder="1"/>
    <xf numFmtId="166" fontId="0" fillId="0" borderId="1" xfId="0" applyNumberFormat="1" applyBorder="1"/>
    <xf numFmtId="44" fontId="0" fillId="0" borderId="1" xfId="0" applyNumberFormat="1" applyBorder="1"/>
    <xf numFmtId="166" fontId="0" fillId="0" borderId="0" xfId="0" applyNumberFormat="1"/>
    <xf numFmtId="166" fontId="4" fillId="0" borderId="0" xfId="2" applyNumberFormat="1" applyFont="1"/>
    <xf numFmtId="165" fontId="0" fillId="0" borderId="1" xfId="2" applyNumberFormat="1" applyFont="1" applyBorder="1" applyAlignment="1">
      <alignment horizontal="center" vertical="center"/>
    </xf>
    <xf numFmtId="164" fontId="0" fillId="0" borderId="23" xfId="1" applyNumberFormat="1" applyFont="1" applyBorder="1"/>
    <xf numFmtId="164" fontId="0" fillId="0" borderId="24" xfId="1" applyNumberFormat="1" applyFont="1" applyBorder="1"/>
    <xf numFmtId="44" fontId="0" fillId="7" borderId="28" xfId="0" applyNumberFormat="1" applyFill="1" applyBorder="1"/>
    <xf numFmtId="44" fontId="0" fillId="7" borderId="29" xfId="0" applyNumberFormat="1" applyFill="1" applyBorder="1"/>
    <xf numFmtId="44" fontId="0" fillId="7" borderId="0" xfId="0" applyNumberFormat="1" applyFill="1" applyBorder="1"/>
    <xf numFmtId="44" fontId="0" fillId="7" borderId="31" xfId="0" applyNumberFormat="1" applyFill="1" applyBorder="1"/>
    <xf numFmtId="44" fontId="0" fillId="7" borderId="7" xfId="0" applyNumberFormat="1" applyFill="1" applyBorder="1"/>
    <xf numFmtId="44" fontId="0" fillId="7" borderId="8" xfId="0" applyNumberFormat="1" applyFill="1" applyBorder="1"/>
    <xf numFmtId="1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0" fillId="0" borderId="19" xfId="0" applyNumberFormat="1" applyBorder="1"/>
    <xf numFmtId="0" fontId="0" fillId="0" borderId="1" xfId="0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3" fillId="0" borderId="36" xfId="0" applyFont="1" applyBorder="1" applyAlignment="1">
      <alignment vertical="center"/>
    </xf>
    <xf numFmtId="0" fontId="13" fillId="0" borderId="38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13" fillId="0" borderId="0" xfId="0" applyFont="1"/>
    <xf numFmtId="0" fontId="13" fillId="0" borderId="36" xfId="0" applyFont="1" applyBorder="1"/>
    <xf numFmtId="0" fontId="13" fillId="0" borderId="37" xfId="0" applyFont="1" applyBorder="1"/>
    <xf numFmtId="0" fontId="13" fillId="0" borderId="3" xfId="0" applyFont="1" applyBorder="1"/>
    <xf numFmtId="0" fontId="13" fillId="0" borderId="21" xfId="0" applyFont="1" applyBorder="1"/>
    <xf numFmtId="0" fontId="13" fillId="0" borderId="38" xfId="0" applyFont="1" applyBorder="1"/>
    <xf numFmtId="0" fontId="13" fillId="0" borderId="39" xfId="0" applyFont="1" applyBorder="1"/>
    <xf numFmtId="0" fontId="17" fillId="0" borderId="0" xfId="0" applyFont="1"/>
    <xf numFmtId="0" fontId="13" fillId="0" borderId="1" xfId="0" applyFont="1" applyBorder="1"/>
    <xf numFmtId="0" fontId="18" fillId="0" borderId="1" xfId="0" applyFont="1" applyBorder="1"/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0" borderId="18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15" fillId="0" borderId="38" xfId="0" applyFont="1" applyBorder="1" applyAlignment="1">
      <alignment vertical="center"/>
    </xf>
    <xf numFmtId="0" fontId="13" fillId="0" borderId="3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35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4" fontId="4" fillId="0" borderId="0" xfId="2" applyFont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33" xfId="0" applyBorder="1" applyAlignment="1">
      <alignment horizontal="left" indent="5"/>
    </xf>
    <xf numFmtId="0" fontId="0" fillId="0" borderId="34" xfId="0" applyBorder="1" applyAlignment="1">
      <alignment horizontal="left" indent="5"/>
    </xf>
    <xf numFmtId="0" fontId="0" fillId="0" borderId="9" xfId="0" applyBorder="1" applyAlignment="1">
      <alignment horizontal="left" indent="5"/>
    </xf>
    <xf numFmtId="0" fontId="0" fillId="0" borderId="10" xfId="0" applyBorder="1" applyAlignment="1">
      <alignment horizontal="left" indent="5"/>
    </xf>
    <xf numFmtId="0" fontId="0" fillId="3" borderId="2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0" borderId="0" xfId="0" applyFont="1"/>
    <xf numFmtId="44" fontId="3" fillId="0" borderId="0" xfId="0" applyNumberFormat="1" applyFont="1"/>
    <xf numFmtId="0" fontId="21" fillId="0" borderId="40" xfId="0" applyFont="1" applyBorder="1"/>
    <xf numFmtId="0" fontId="3" fillId="0" borderId="41" xfId="0" applyFont="1" applyBorder="1"/>
    <xf numFmtId="44" fontId="3" fillId="0" borderId="42" xfId="0" applyNumberFormat="1" applyFont="1" applyBorder="1"/>
    <xf numFmtId="0" fontId="21" fillId="0" borderId="43" xfId="0" applyFont="1" applyBorder="1"/>
    <xf numFmtId="0" fontId="3" fillId="0" borderId="44" xfId="0" applyFont="1" applyBorder="1"/>
    <xf numFmtId="10" fontId="3" fillId="0" borderId="45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Sensitivity of objective function to Sacramento production 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'2-way capacity check'!$B$4:$V$4</c:f>
              <c:numCache>
                <c:formatCode>_(* #,##0_);_(* \(#,##0\);_(* "-"??_);_(@_)</c:formatCode>
                <c:ptCount val="21"/>
                <c:pt idx="0">
                  <c:v>1500000</c:v>
                </c:pt>
                <c:pt idx="1">
                  <c:v>1600000</c:v>
                </c:pt>
                <c:pt idx="2">
                  <c:v>1700000</c:v>
                </c:pt>
                <c:pt idx="3">
                  <c:v>1800000</c:v>
                </c:pt>
                <c:pt idx="4">
                  <c:v>1900000</c:v>
                </c:pt>
                <c:pt idx="5">
                  <c:v>2000000</c:v>
                </c:pt>
                <c:pt idx="6">
                  <c:v>2100000</c:v>
                </c:pt>
                <c:pt idx="7">
                  <c:v>2200000</c:v>
                </c:pt>
                <c:pt idx="8">
                  <c:v>2300000</c:v>
                </c:pt>
                <c:pt idx="9">
                  <c:v>2400000</c:v>
                </c:pt>
                <c:pt idx="10">
                  <c:v>2500000</c:v>
                </c:pt>
                <c:pt idx="11">
                  <c:v>2600000</c:v>
                </c:pt>
                <c:pt idx="12">
                  <c:v>2700000</c:v>
                </c:pt>
                <c:pt idx="13">
                  <c:v>2800000</c:v>
                </c:pt>
                <c:pt idx="14">
                  <c:v>2900000</c:v>
                </c:pt>
                <c:pt idx="15">
                  <c:v>3000000</c:v>
                </c:pt>
                <c:pt idx="16">
                  <c:v>3100000</c:v>
                </c:pt>
                <c:pt idx="17">
                  <c:v>3200000</c:v>
                </c:pt>
                <c:pt idx="18">
                  <c:v>3300000</c:v>
                </c:pt>
                <c:pt idx="19">
                  <c:v>3400000</c:v>
                </c:pt>
                <c:pt idx="20">
                  <c:v>3500000</c:v>
                </c:pt>
              </c:numCache>
            </c:numRef>
          </c:cat>
          <c:val>
            <c:numRef>
              <c:f>'2-way capacity check'!$X$5:$X$25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1471251.08</c:v>
                </c:pt>
                <c:pt idx="4">
                  <c:v>1467511.08</c:v>
                </c:pt>
                <c:pt idx="5">
                  <c:v>1463771.08</c:v>
                </c:pt>
                <c:pt idx="6">
                  <c:v>1460031.08</c:v>
                </c:pt>
                <c:pt idx="7">
                  <c:v>1459646.12</c:v>
                </c:pt>
                <c:pt idx="8">
                  <c:v>1459646.12</c:v>
                </c:pt>
                <c:pt idx="9">
                  <c:v>1459646.12</c:v>
                </c:pt>
                <c:pt idx="10">
                  <c:v>1459646.12</c:v>
                </c:pt>
                <c:pt idx="11">
                  <c:v>1459646.12</c:v>
                </c:pt>
                <c:pt idx="12">
                  <c:v>1459646.12</c:v>
                </c:pt>
                <c:pt idx="13">
                  <c:v>1459646.12</c:v>
                </c:pt>
                <c:pt idx="14">
                  <c:v>1459646.12</c:v>
                </c:pt>
                <c:pt idx="15">
                  <c:v>1459646.12</c:v>
                </c:pt>
                <c:pt idx="16">
                  <c:v>1459646.12</c:v>
                </c:pt>
                <c:pt idx="17">
                  <c:v>1459646.12</c:v>
                </c:pt>
                <c:pt idx="18">
                  <c:v>1459646.12</c:v>
                </c:pt>
                <c:pt idx="19">
                  <c:v>1459646.12</c:v>
                </c:pt>
                <c:pt idx="20">
                  <c:v>1459646.12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D-4577-9E16-8C430EA6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9407"/>
        <c:axId val="421622895"/>
      </c:lineChart>
      <c:catAx>
        <c:axId val="422579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Sacramento production capacity</a:t>
                </a:r>
                <a:endParaRPr lang="en-US"/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421622895"/>
        <c:crosses val="autoZero"/>
        <c:auto val="1"/>
        <c:lblAlgn val="ctr"/>
        <c:lblOffset val="100"/>
        <c:noMultiLvlLbl val="0"/>
      </c:catAx>
      <c:valAx>
        <c:axId val="4216228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57940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Sensitivity of objective function to Litchfield production 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'2-way capacity check'!$A$5:$A$25</c:f>
              <c:numCache>
                <c:formatCode>_(* #,##0_);_(* \(#,##0\);_(* "-"??_);_(@_)</c:formatCode>
                <c:ptCount val="21"/>
                <c:pt idx="0">
                  <c:v>3600000</c:v>
                </c:pt>
                <c:pt idx="1">
                  <c:v>3700000</c:v>
                </c:pt>
                <c:pt idx="2">
                  <c:v>3800000</c:v>
                </c:pt>
                <c:pt idx="3">
                  <c:v>3900000</c:v>
                </c:pt>
                <c:pt idx="4">
                  <c:v>4000000</c:v>
                </c:pt>
                <c:pt idx="5">
                  <c:v>4100000</c:v>
                </c:pt>
                <c:pt idx="6">
                  <c:v>4200000</c:v>
                </c:pt>
                <c:pt idx="7">
                  <c:v>4300000</c:v>
                </c:pt>
                <c:pt idx="8">
                  <c:v>4400000</c:v>
                </c:pt>
                <c:pt idx="9">
                  <c:v>4500000</c:v>
                </c:pt>
                <c:pt idx="10">
                  <c:v>4600000</c:v>
                </c:pt>
                <c:pt idx="11">
                  <c:v>4700000</c:v>
                </c:pt>
                <c:pt idx="12">
                  <c:v>4800000</c:v>
                </c:pt>
                <c:pt idx="13">
                  <c:v>4900000</c:v>
                </c:pt>
                <c:pt idx="14">
                  <c:v>5000000</c:v>
                </c:pt>
                <c:pt idx="15">
                  <c:v>5100000</c:v>
                </c:pt>
                <c:pt idx="16">
                  <c:v>5200000</c:v>
                </c:pt>
                <c:pt idx="17">
                  <c:v>5300000</c:v>
                </c:pt>
                <c:pt idx="18">
                  <c:v>5400000</c:v>
                </c:pt>
                <c:pt idx="19">
                  <c:v>5500000</c:v>
                </c:pt>
                <c:pt idx="20">
                  <c:v>5600000</c:v>
                </c:pt>
              </c:numCache>
            </c:numRef>
          </c:cat>
          <c:val>
            <c:numRef>
              <c:f>'2-way capacity check'!$AB$5:$AB$25</c:f>
              <c:numCache>
                <c:formatCode>General</c:formatCode>
                <c:ptCount val="21"/>
                <c:pt idx="0">
                  <c:v>1459646.12</c:v>
                </c:pt>
                <c:pt idx="1">
                  <c:v>1459646.12</c:v>
                </c:pt>
                <c:pt idx="2">
                  <c:v>1459646.12</c:v>
                </c:pt>
                <c:pt idx="3">
                  <c:v>1459646.12</c:v>
                </c:pt>
                <c:pt idx="4">
                  <c:v>1459646.12</c:v>
                </c:pt>
                <c:pt idx="5">
                  <c:v>1459646.12</c:v>
                </c:pt>
                <c:pt idx="6">
                  <c:v>1459646.12</c:v>
                </c:pt>
                <c:pt idx="7">
                  <c:v>1459646.12</c:v>
                </c:pt>
                <c:pt idx="8">
                  <c:v>1459646.12</c:v>
                </c:pt>
                <c:pt idx="9">
                  <c:v>1459646.12</c:v>
                </c:pt>
                <c:pt idx="10">
                  <c:v>1459646.12</c:v>
                </c:pt>
                <c:pt idx="11">
                  <c:v>1459646.12</c:v>
                </c:pt>
                <c:pt idx="12">
                  <c:v>1459646.12</c:v>
                </c:pt>
                <c:pt idx="13">
                  <c:v>1459646.12</c:v>
                </c:pt>
                <c:pt idx="14">
                  <c:v>1459646.12</c:v>
                </c:pt>
                <c:pt idx="15">
                  <c:v>1459646.12</c:v>
                </c:pt>
                <c:pt idx="16">
                  <c:v>1459646.12</c:v>
                </c:pt>
                <c:pt idx="17">
                  <c:v>1459646.12</c:v>
                </c:pt>
                <c:pt idx="18">
                  <c:v>1459646.12</c:v>
                </c:pt>
                <c:pt idx="19">
                  <c:v>1459646.12</c:v>
                </c:pt>
                <c:pt idx="20">
                  <c:v>1459646.12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4F4-A9BE-85A7F1241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3807"/>
        <c:axId val="421628303"/>
      </c:lineChart>
      <c:catAx>
        <c:axId val="42257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Litchfield production capacity</a:t>
                </a:r>
                <a:endParaRPr lang="en-US"/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421628303"/>
        <c:crosses val="autoZero"/>
        <c:auto val="1"/>
        <c:lblAlgn val="ctr"/>
        <c:lblOffset val="100"/>
        <c:noMultiLvlLbl val="0"/>
      </c:catAx>
      <c:valAx>
        <c:axId val="4216283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57380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Impact of warehouses on Total supply chain cost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>
              <c:idx val="0"/>
              <c:layout>
                <c:manualLayout>
                  <c:x val="-8.4488448844884462E-2"/>
                  <c:y val="5.3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1B-40EB-BDFD-3FCD82CB45A2}"/>
                </c:ext>
              </c:extLst>
            </c:dLbl>
            <c:dLbl>
              <c:idx val="1"/>
              <c:layout>
                <c:manualLayout>
                  <c:x val="-4.7524752475247574E-2"/>
                  <c:y val="5.3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1B-40EB-BDFD-3FCD82CB45A2}"/>
                </c:ext>
              </c:extLst>
            </c:dLbl>
            <c:dLbl>
              <c:idx val="2"/>
              <c:layout>
                <c:manualLayout>
                  <c:x val="-2.3762376237623763E-2"/>
                  <c:y val="0.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1B-40EB-BDFD-3FCD82CB45A2}"/>
                </c:ext>
              </c:extLst>
            </c:dLbl>
            <c:dLbl>
              <c:idx val="3"/>
              <c:layout>
                <c:manualLayout>
                  <c:x val="-7.920792079208018E-3"/>
                  <c:y val="0.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1B-40EB-BDFD-3FCD82CB45A2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wrap="square" lIns="38100" tIns="19050" rIns="38100" bIns="19050" anchor="ctr" anchorCtr="0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'Optimal WH need'!$A$5:$A$8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'Optimal WH need'!$K$5:$K$8</c:f>
              <c:numCache>
                <c:formatCode>General</c:formatCode>
                <c:ptCount val="4"/>
                <c:pt idx="0">
                  <c:v>1951845.87</c:v>
                </c:pt>
                <c:pt idx="1">
                  <c:v>1463771.08</c:v>
                </c:pt>
                <c:pt idx="2">
                  <c:v>1542157.19</c:v>
                </c:pt>
                <c:pt idx="3">
                  <c:v>1668939.91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D-4E92-BB38-70C40DD0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476128"/>
        <c:axId val="568481376"/>
      </c:lineChart>
      <c:catAx>
        <c:axId val="56847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open warehouses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481376"/>
        <c:crosses val="autoZero"/>
        <c:auto val="1"/>
        <c:lblAlgn val="ctr"/>
        <c:lblOffset val="100"/>
        <c:noMultiLvlLbl val="0"/>
      </c:catAx>
      <c:valAx>
        <c:axId val="568481376"/>
        <c:scaling>
          <c:orientation val="minMax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numFmt formatCode="&quot;$&quot;#,##0" sourceLinked="0"/>
        <c:majorTickMark val="out"/>
        <c:minorTickMark val="none"/>
        <c:tickLblPos val="nextTo"/>
        <c:crossAx val="5684761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6</xdr:col>
      <xdr:colOff>656609</xdr:colOff>
      <xdr:row>50</xdr:row>
      <xdr:rowOff>9374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1A643C-4F6D-4B7A-8D24-B158092D0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1153775"/>
          <a:ext cx="4923809" cy="1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6</xdr:col>
      <xdr:colOff>818514</xdr:colOff>
      <xdr:row>59</xdr:row>
      <xdr:rowOff>18848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0C91EB-B309-4D12-A74F-14E9E83AC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12553950"/>
          <a:ext cx="5085714" cy="1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6</xdr:col>
      <xdr:colOff>751848</xdr:colOff>
      <xdr:row>80</xdr:row>
      <xdr:rowOff>199500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5B4C2F-FF87-46D4-8A06-713FA2FF6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14354175"/>
          <a:ext cx="5019048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6</xdr:col>
      <xdr:colOff>475657</xdr:colOff>
      <xdr:row>93</xdr:row>
      <xdr:rowOff>9224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C6A2B2-A2F2-41EF-9B09-6C1C40631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" y="18554700"/>
          <a:ext cx="4742857" cy="2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6</xdr:col>
      <xdr:colOff>408990</xdr:colOff>
      <xdr:row>105</xdr:row>
      <xdr:rowOff>47344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D40A7B9-044F-44B3-A6E0-0640A8182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" y="21155025"/>
          <a:ext cx="4676190" cy="2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5</xdr:col>
      <xdr:colOff>466238</xdr:colOff>
      <xdr:row>112</xdr:row>
      <xdr:rowOff>85539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590E95-22EE-410E-9647-2C11F00E3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23355300"/>
          <a:ext cx="3895238" cy="1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7</xdr:col>
      <xdr:colOff>827933</xdr:colOff>
      <xdr:row>133</xdr:row>
      <xdr:rowOff>151881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3C10611-3773-4CA7-8813-FE60EB7C4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" y="24955500"/>
          <a:ext cx="5933333" cy="4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5</xdr:col>
      <xdr:colOff>809095</xdr:colOff>
      <xdr:row>140</xdr:row>
      <xdr:rowOff>9374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4341714-CA1E-4119-926C-0EA2E4E9E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400" y="29156025"/>
          <a:ext cx="4238095" cy="12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109257</xdr:colOff>
      <xdr:row>25</xdr:row>
      <xdr:rowOff>154081</xdr:rowOff>
    </xdr:from>
    <xdr:to>
      <xdr:col>5</xdr:col>
      <xdr:colOff>23532</xdr:colOff>
      <xdr:row>40</xdr:row>
      <xdr:rowOff>11207</xdr:rowOff>
    </xdr:to>
    <xdr:graphicFrame macro="">
      <xdr:nvGraphicFramePr>
        <xdr:cNvPr id="2" name="STS_2_Chart1">
          <a:extLst>
            <a:ext uri="{FF2B5EF4-FFF2-40B4-BE49-F238E27FC236}">
              <a16:creationId xmlns:a16="http://schemas.microsoft.com/office/drawing/2014/main" id="{A9066A83-99DA-4876-A05A-39976C41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106456</xdr:colOff>
      <xdr:row>25</xdr:row>
      <xdr:rowOff>154080</xdr:rowOff>
    </xdr:from>
    <xdr:to>
      <xdr:col>9</xdr:col>
      <xdr:colOff>790015</xdr:colOff>
      <xdr:row>40</xdr:row>
      <xdr:rowOff>11206</xdr:rowOff>
    </xdr:to>
    <xdr:graphicFrame macro="">
      <xdr:nvGraphicFramePr>
        <xdr:cNvPr id="3" name="STS_2_Chart2">
          <a:extLst>
            <a:ext uri="{FF2B5EF4-FFF2-40B4-BE49-F238E27FC236}">
              <a16:creationId xmlns:a16="http://schemas.microsoft.com/office/drawing/2014/main" id="{CE0FB931-8666-451E-A90F-C9CC6AAE0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31</xdr:col>
      <xdr:colOff>352425</xdr:colOff>
      <xdr:row>6</xdr:row>
      <xdr:rowOff>95250</xdr:rowOff>
    </xdr:from>
    <xdr:to>
      <xdr:col>36</xdr:col>
      <xdr:colOff>581025</xdr:colOff>
      <xdr:row>13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E8F7830-C697-4815-84F9-00CEA246B863}"/>
            </a:ext>
          </a:extLst>
        </xdr:cNvPr>
        <xdr:cNvSpPr txBox="1"/>
      </xdr:nvSpPr>
      <xdr:spPr>
        <a:xfrm>
          <a:off x="29298900" y="1552575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$X$4, $Y$4, $AB$4, and $AC$4, you can chart any row (in left chart) or column (in right chart) of any table to the left.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419100</xdr:colOff>
      <xdr:row>3</xdr:row>
      <xdr:rowOff>57150</xdr:rowOff>
    </xdr:from>
    <xdr:to>
      <xdr:col>9</xdr:col>
      <xdr:colOff>495300</xdr:colOff>
      <xdr:row>15</xdr:row>
      <xdr:rowOff>19050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942463E9-3BAD-40FB-AA70-97FCB1642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609600</xdr:colOff>
      <xdr:row>2</xdr:row>
      <xdr:rowOff>19050</xdr:rowOff>
    </xdr:from>
    <xdr:to>
      <xdr:col>15</xdr:col>
      <xdr:colOff>314325</xdr:colOff>
      <xdr:row>3</xdr:row>
      <xdr:rowOff>581025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35FF7F-A6B0-4CB5-8483-F4218EEF4C32}"/>
            </a:ext>
          </a:extLst>
        </xdr:cNvPr>
        <xdr:cNvSpPr txBox="1"/>
      </xdr:nvSpPr>
      <xdr:spPr>
        <a:xfrm>
          <a:off x="8410575" y="419100"/>
          <a:ext cx="2409825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42A6-5469-7B41-A969-EADE52D7EF60}">
  <dimension ref="B1:L44"/>
  <sheetViews>
    <sheetView showGridLines="0" tabSelected="1" workbookViewId="0"/>
  </sheetViews>
  <sheetFormatPr defaultColWidth="11" defaultRowHeight="15.75"/>
  <cols>
    <col min="1" max="1" width="2" style="128" customWidth="1"/>
    <col min="2" max="2" width="11.25" style="128" customWidth="1"/>
    <col min="3" max="3" width="11.75" style="128" customWidth="1"/>
    <col min="4" max="16384" width="11" style="128"/>
  </cols>
  <sheetData>
    <row r="1" spans="2:10" ht="16.5" thickBot="1">
      <c r="B1" s="127" t="s">
        <v>155</v>
      </c>
    </row>
    <row r="2" spans="2:10" ht="28.5" customHeight="1">
      <c r="B2" s="153" t="s">
        <v>130</v>
      </c>
      <c r="C2" s="124" t="s">
        <v>131</v>
      </c>
      <c r="D2" s="129"/>
      <c r="E2" s="129"/>
      <c r="F2" s="129"/>
      <c r="G2" s="129"/>
      <c r="H2" s="129"/>
      <c r="I2" s="129"/>
      <c r="J2" s="130"/>
    </row>
    <row r="3" spans="2:10" ht="28.5" customHeight="1">
      <c r="B3" s="154"/>
      <c r="C3" s="122" t="s">
        <v>132</v>
      </c>
      <c r="D3" s="131"/>
      <c r="E3" s="131"/>
      <c r="F3" s="131"/>
      <c r="G3" s="131"/>
      <c r="H3" s="131"/>
      <c r="I3" s="131"/>
      <c r="J3" s="132"/>
    </row>
    <row r="4" spans="2:10" ht="28.5" customHeight="1">
      <c r="B4" s="154" t="s">
        <v>133</v>
      </c>
      <c r="C4" s="121" t="s">
        <v>134</v>
      </c>
      <c r="D4" s="131"/>
      <c r="E4" s="131"/>
      <c r="F4" s="131"/>
      <c r="G4" s="131"/>
      <c r="H4" s="131"/>
      <c r="I4" s="131"/>
      <c r="J4" s="132"/>
    </row>
    <row r="5" spans="2:10" ht="28.5" customHeight="1">
      <c r="B5" s="154"/>
      <c r="C5" s="122" t="s">
        <v>135</v>
      </c>
      <c r="D5" s="131"/>
      <c r="E5" s="131"/>
      <c r="F5" s="131"/>
      <c r="G5" s="131"/>
      <c r="H5" s="131"/>
      <c r="I5" s="131"/>
      <c r="J5" s="132"/>
    </row>
    <row r="6" spans="2:10" ht="28.5" customHeight="1">
      <c r="B6" s="154" t="s">
        <v>136</v>
      </c>
      <c r="C6" s="121" t="s">
        <v>137</v>
      </c>
      <c r="D6" s="131"/>
      <c r="E6" s="131"/>
      <c r="F6" s="131"/>
      <c r="G6" s="131"/>
      <c r="H6" s="131"/>
      <c r="I6" s="131"/>
      <c r="J6" s="132"/>
    </row>
    <row r="7" spans="2:10" ht="28.5" customHeight="1">
      <c r="B7" s="154"/>
      <c r="C7" s="123" t="s">
        <v>138</v>
      </c>
      <c r="D7" s="131"/>
      <c r="E7" s="131"/>
      <c r="F7" s="131"/>
      <c r="G7" s="131"/>
      <c r="H7" s="131"/>
      <c r="I7" s="131"/>
      <c r="J7" s="132"/>
    </row>
    <row r="8" spans="2:10" ht="28.5" customHeight="1">
      <c r="B8" s="140" t="s">
        <v>139</v>
      </c>
      <c r="C8" s="121" t="s">
        <v>140</v>
      </c>
      <c r="D8" s="131"/>
      <c r="E8" s="131"/>
      <c r="F8" s="131"/>
      <c r="G8" s="131"/>
      <c r="H8" s="131"/>
      <c r="I8" s="131"/>
      <c r="J8" s="132"/>
    </row>
    <row r="9" spans="2:10" ht="28.5" customHeight="1">
      <c r="B9" s="140" t="s">
        <v>208</v>
      </c>
      <c r="C9" s="121" t="s">
        <v>141</v>
      </c>
      <c r="D9" s="131"/>
      <c r="E9" s="131"/>
      <c r="F9" s="131"/>
      <c r="G9" s="131"/>
      <c r="H9" s="131"/>
      <c r="I9" s="131"/>
      <c r="J9" s="132"/>
    </row>
    <row r="10" spans="2:10" ht="28.5" customHeight="1">
      <c r="B10" s="140" t="s">
        <v>209</v>
      </c>
      <c r="C10" s="121" t="s">
        <v>142</v>
      </c>
      <c r="D10" s="131"/>
      <c r="E10" s="131"/>
      <c r="F10" s="131"/>
      <c r="G10" s="131"/>
      <c r="H10" s="131"/>
      <c r="I10" s="131"/>
      <c r="J10" s="132"/>
    </row>
    <row r="11" spans="2:10" ht="28.5" customHeight="1">
      <c r="B11" s="140" t="s">
        <v>210</v>
      </c>
      <c r="C11" s="121" t="s">
        <v>143</v>
      </c>
      <c r="D11" s="131"/>
      <c r="E11" s="131"/>
      <c r="F11" s="131"/>
      <c r="G11" s="131"/>
      <c r="H11" s="131"/>
      <c r="I11" s="131"/>
      <c r="J11" s="132"/>
    </row>
    <row r="12" spans="2:10" ht="28.5" customHeight="1">
      <c r="B12" s="140" t="s">
        <v>211</v>
      </c>
      <c r="C12" s="121" t="s">
        <v>144</v>
      </c>
      <c r="D12" s="131"/>
      <c r="E12" s="131"/>
      <c r="F12" s="131"/>
      <c r="G12" s="131"/>
      <c r="H12" s="131"/>
      <c r="I12" s="131"/>
      <c r="J12" s="132"/>
    </row>
    <row r="13" spans="2:10" ht="28.5" customHeight="1" thickBot="1">
      <c r="B13" s="141" t="s">
        <v>212</v>
      </c>
      <c r="C13" s="125" t="s">
        <v>145</v>
      </c>
      <c r="D13" s="133"/>
      <c r="E13" s="133"/>
      <c r="F13" s="133"/>
      <c r="G13" s="133"/>
      <c r="H13" s="133"/>
      <c r="I13" s="133"/>
      <c r="J13" s="134"/>
    </row>
    <row r="15" spans="2:10" ht="16.5" thickBot="1">
      <c r="B15" s="127" t="s">
        <v>151</v>
      </c>
    </row>
    <row r="16" spans="2:10">
      <c r="B16" s="145" t="s">
        <v>213</v>
      </c>
      <c r="C16" s="124" t="s">
        <v>146</v>
      </c>
      <c r="D16" s="129"/>
      <c r="E16" s="129"/>
      <c r="F16" s="129"/>
      <c r="G16" s="130"/>
    </row>
    <row r="17" spans="2:12">
      <c r="B17" s="146"/>
      <c r="C17" s="123" t="s">
        <v>147</v>
      </c>
      <c r="D17" s="131"/>
      <c r="E17" s="131"/>
      <c r="F17" s="131"/>
      <c r="G17" s="132"/>
    </row>
    <row r="18" spans="2:12">
      <c r="B18" s="146" t="s">
        <v>214</v>
      </c>
      <c r="C18" s="121" t="s">
        <v>146</v>
      </c>
      <c r="D18" s="131"/>
      <c r="E18" s="131"/>
      <c r="F18" s="131"/>
      <c r="G18" s="132"/>
    </row>
    <row r="19" spans="2:12">
      <c r="B19" s="146"/>
      <c r="C19" s="123" t="s">
        <v>148</v>
      </c>
      <c r="D19" s="131"/>
      <c r="E19" s="131"/>
      <c r="F19" s="131"/>
      <c r="G19" s="132"/>
    </row>
    <row r="20" spans="2:12">
      <c r="B20" s="146" t="s">
        <v>215</v>
      </c>
      <c r="C20" s="121" t="s">
        <v>149</v>
      </c>
      <c r="D20" s="131"/>
      <c r="E20" s="131"/>
      <c r="F20" s="131"/>
      <c r="G20" s="132"/>
    </row>
    <row r="21" spans="2:12" ht="16.5" thickBot="1">
      <c r="B21" s="147"/>
      <c r="C21" s="144" t="s">
        <v>150</v>
      </c>
      <c r="D21" s="133"/>
      <c r="E21" s="133"/>
      <c r="F21" s="133"/>
      <c r="G21" s="134"/>
    </row>
    <row r="22" spans="2:12">
      <c r="B22" s="142"/>
      <c r="C22" s="143"/>
    </row>
    <row r="23" spans="2:12">
      <c r="B23" s="135" t="s">
        <v>152</v>
      </c>
    </row>
    <row r="24" spans="2:12">
      <c r="B24" s="136" t="s">
        <v>5</v>
      </c>
      <c r="C24" s="149" t="s">
        <v>109</v>
      </c>
      <c r="D24" s="150"/>
      <c r="E24" s="150"/>
      <c r="F24" s="151"/>
    </row>
    <row r="25" spans="2:12">
      <c r="B25" s="137" t="s">
        <v>110</v>
      </c>
      <c r="C25" s="136" t="s">
        <v>11</v>
      </c>
      <c r="D25" s="136" t="s">
        <v>20</v>
      </c>
      <c r="E25" s="136" t="s">
        <v>14</v>
      </c>
      <c r="F25" s="136" t="s">
        <v>16</v>
      </c>
    </row>
    <row r="26" spans="2:12" ht="18.75">
      <c r="B26" s="136" t="s">
        <v>9</v>
      </c>
      <c r="C26" s="138" t="s">
        <v>156</v>
      </c>
      <c r="D26" s="138" t="s">
        <v>157</v>
      </c>
      <c r="E26" s="138" t="s">
        <v>158</v>
      </c>
      <c r="F26" s="138" t="s">
        <v>159</v>
      </c>
    </row>
    <row r="27" spans="2:12" ht="18.75">
      <c r="B27" s="136" t="s">
        <v>18</v>
      </c>
      <c r="C27" s="138" t="s">
        <v>160</v>
      </c>
      <c r="D27" s="138" t="s">
        <v>161</v>
      </c>
      <c r="E27" s="138" t="s">
        <v>162</v>
      </c>
      <c r="F27" s="138" t="s">
        <v>163</v>
      </c>
    </row>
    <row r="29" spans="2:12">
      <c r="B29" s="136" t="s">
        <v>5</v>
      </c>
      <c r="C29" s="152" t="s">
        <v>113</v>
      </c>
      <c r="D29" s="152"/>
      <c r="E29" s="152"/>
      <c r="F29" s="152"/>
      <c r="G29" s="152"/>
      <c r="H29" s="152"/>
      <c r="I29" s="152"/>
      <c r="J29" s="152"/>
      <c r="K29" s="152"/>
      <c r="L29" s="152"/>
    </row>
    <row r="30" spans="2:12">
      <c r="B30" s="137" t="s">
        <v>109</v>
      </c>
      <c r="C30" s="136" t="s">
        <v>11</v>
      </c>
      <c r="D30" s="136" t="s">
        <v>36</v>
      </c>
      <c r="E30" s="136" t="s">
        <v>26</v>
      </c>
      <c r="F30" s="136" t="s">
        <v>20</v>
      </c>
      <c r="G30" s="136" t="s">
        <v>28</v>
      </c>
      <c r="H30" s="136" t="s">
        <v>14</v>
      </c>
      <c r="I30" s="136" t="s">
        <v>16</v>
      </c>
      <c r="J30" s="136" t="s">
        <v>30</v>
      </c>
      <c r="K30" s="136" t="s">
        <v>32</v>
      </c>
      <c r="L30" s="136" t="s">
        <v>34</v>
      </c>
    </row>
    <row r="31" spans="2:12" ht="18.75">
      <c r="B31" s="136" t="s">
        <v>11</v>
      </c>
      <c r="C31" s="139" t="s">
        <v>164</v>
      </c>
      <c r="D31" s="139" t="s">
        <v>165</v>
      </c>
      <c r="E31" s="139" t="s">
        <v>166</v>
      </c>
      <c r="F31" s="139" t="s">
        <v>167</v>
      </c>
      <c r="G31" s="139" t="s">
        <v>168</v>
      </c>
      <c r="H31" s="139" t="s">
        <v>169</v>
      </c>
      <c r="I31" s="139" t="s">
        <v>170</v>
      </c>
      <c r="J31" s="139" t="s">
        <v>171</v>
      </c>
      <c r="K31" s="139" t="s">
        <v>172</v>
      </c>
      <c r="L31" s="139" t="s">
        <v>173</v>
      </c>
    </row>
    <row r="32" spans="2:12" ht="18.75">
      <c r="B32" s="136" t="s">
        <v>20</v>
      </c>
      <c r="C32" s="139" t="s">
        <v>174</v>
      </c>
      <c r="D32" s="139" t="s">
        <v>175</v>
      </c>
      <c r="E32" s="139" t="s">
        <v>176</v>
      </c>
      <c r="F32" s="139" t="s">
        <v>177</v>
      </c>
      <c r="G32" s="139" t="s">
        <v>178</v>
      </c>
      <c r="H32" s="139" t="s">
        <v>179</v>
      </c>
      <c r="I32" s="139" t="s">
        <v>180</v>
      </c>
      <c r="J32" s="139" t="s">
        <v>181</v>
      </c>
      <c r="K32" s="139" t="s">
        <v>182</v>
      </c>
      <c r="L32" s="139" t="s">
        <v>183</v>
      </c>
    </row>
    <row r="33" spans="2:12" ht="18.75">
      <c r="B33" s="136" t="s">
        <v>14</v>
      </c>
      <c r="C33" s="139" t="s">
        <v>184</v>
      </c>
      <c r="D33" s="139" t="s">
        <v>185</v>
      </c>
      <c r="E33" s="139" t="s">
        <v>186</v>
      </c>
      <c r="F33" s="139" t="s">
        <v>187</v>
      </c>
      <c r="G33" s="139" t="s">
        <v>188</v>
      </c>
      <c r="H33" s="139" t="s">
        <v>189</v>
      </c>
      <c r="I33" s="139" t="s">
        <v>190</v>
      </c>
      <c r="J33" s="139" t="s">
        <v>191</v>
      </c>
      <c r="K33" s="139" t="s">
        <v>192</v>
      </c>
      <c r="L33" s="139" t="s">
        <v>193</v>
      </c>
    </row>
    <row r="34" spans="2:12" ht="18.75">
      <c r="B34" s="136" t="s">
        <v>16</v>
      </c>
      <c r="C34" s="139" t="s">
        <v>194</v>
      </c>
      <c r="D34" s="139" t="s">
        <v>195</v>
      </c>
      <c r="E34" s="139" t="s">
        <v>196</v>
      </c>
      <c r="F34" s="139" t="s">
        <v>197</v>
      </c>
      <c r="G34" s="139" t="s">
        <v>198</v>
      </c>
      <c r="H34" s="139" t="s">
        <v>199</v>
      </c>
      <c r="I34" s="139" t="s">
        <v>200</v>
      </c>
      <c r="J34" s="139" t="s">
        <v>201</v>
      </c>
      <c r="K34" s="139" t="s">
        <v>202</v>
      </c>
      <c r="L34" s="139" t="s">
        <v>203</v>
      </c>
    </row>
    <row r="36" spans="2:12">
      <c r="B36" s="137" t="s">
        <v>111</v>
      </c>
      <c r="C36" s="136" t="s">
        <v>11</v>
      </c>
      <c r="D36" s="136" t="s">
        <v>20</v>
      </c>
      <c r="E36" s="136" t="s">
        <v>14</v>
      </c>
      <c r="F36" s="136" t="s">
        <v>16</v>
      </c>
    </row>
    <row r="37" spans="2:12" ht="18.75">
      <c r="B37" s="136" t="s">
        <v>78</v>
      </c>
      <c r="C37" s="138" t="s">
        <v>204</v>
      </c>
      <c r="D37" s="138" t="s">
        <v>205</v>
      </c>
      <c r="E37" s="138" t="s">
        <v>206</v>
      </c>
      <c r="F37" s="138" t="s">
        <v>207</v>
      </c>
    </row>
    <row r="40" spans="2:12">
      <c r="B40" s="126" t="s">
        <v>153</v>
      </c>
    </row>
    <row r="41" spans="2:12" ht="24.95" customHeight="1">
      <c r="B41" s="148" t="s">
        <v>154</v>
      </c>
      <c r="C41" s="148"/>
      <c r="D41" s="148"/>
      <c r="E41" s="148"/>
      <c r="F41" s="148"/>
      <c r="G41" s="148"/>
      <c r="H41" s="148"/>
    </row>
    <row r="42" spans="2:12">
      <c r="B42" s="148"/>
      <c r="C42" s="148"/>
      <c r="D42" s="148"/>
      <c r="E42" s="148"/>
      <c r="F42" s="148"/>
      <c r="G42" s="148"/>
      <c r="H42" s="148"/>
    </row>
    <row r="43" spans="2:12">
      <c r="B43" s="148"/>
      <c r="C43" s="148"/>
      <c r="D43" s="148"/>
      <c r="E43" s="148"/>
      <c r="F43" s="148"/>
      <c r="G43" s="148"/>
      <c r="H43" s="148"/>
    </row>
    <row r="44" spans="2:12">
      <c r="B44" s="148"/>
      <c r="C44" s="148"/>
      <c r="D44" s="148"/>
      <c r="E44" s="148"/>
      <c r="F44" s="148"/>
      <c r="G44" s="148"/>
      <c r="H44" s="148"/>
    </row>
  </sheetData>
  <mergeCells count="9">
    <mergeCell ref="B2:B3"/>
    <mergeCell ref="B4:B5"/>
    <mergeCell ref="B6:B7"/>
    <mergeCell ref="B16:B17"/>
    <mergeCell ref="B18:B19"/>
    <mergeCell ref="B20:B21"/>
    <mergeCell ref="B41:H44"/>
    <mergeCell ref="C24:F24"/>
    <mergeCell ref="C29:L29"/>
  </mergeCells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895E-51AE-48CF-9ED2-1F05507A704F}">
  <dimension ref="A8:B15"/>
  <sheetViews>
    <sheetView workbookViewId="0"/>
  </sheetViews>
  <sheetFormatPr defaultRowHeight="15.75"/>
  <sheetData>
    <row r="8" spans="1:2">
      <c r="A8" s="56"/>
      <c r="B8" s="56"/>
    </row>
    <row r="15" spans="1:2">
      <c r="B15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D5B0-E67A-964F-B2B5-1898001CB2F7}">
  <dimension ref="B1:J30"/>
  <sheetViews>
    <sheetView showGridLines="0" zoomScaleNormal="100" workbookViewId="0"/>
  </sheetViews>
  <sheetFormatPr defaultColWidth="11" defaultRowHeight="15.75"/>
  <cols>
    <col min="1" max="1" width="2" customWidth="1"/>
    <col min="2" max="2" width="22.625" customWidth="1"/>
    <col min="3" max="3" width="13.625" customWidth="1"/>
    <col min="4" max="4" width="9.5" bestFit="1" customWidth="1"/>
    <col min="5" max="5" width="9.125" bestFit="1" customWidth="1"/>
    <col min="6" max="6" width="16.125" customWidth="1"/>
    <col min="7" max="7" width="10.875" bestFit="1" customWidth="1"/>
    <col min="10" max="10" width="19.875" customWidth="1"/>
  </cols>
  <sheetData>
    <row r="1" spans="2:10">
      <c r="B1" t="s">
        <v>127</v>
      </c>
    </row>
    <row r="2" spans="2:10">
      <c r="B2" s="96" t="s">
        <v>0</v>
      </c>
      <c r="C2" s="96" t="s">
        <v>1</v>
      </c>
      <c r="D2" s="96" t="s">
        <v>2</v>
      </c>
      <c r="E2" s="96" t="s">
        <v>3</v>
      </c>
      <c r="F2" s="96" t="s">
        <v>4</v>
      </c>
      <c r="G2" s="96" t="s">
        <v>5</v>
      </c>
      <c r="H2" s="96" t="s">
        <v>6</v>
      </c>
      <c r="I2" s="96" t="s">
        <v>7</v>
      </c>
      <c r="J2" s="96" t="s">
        <v>8</v>
      </c>
    </row>
    <row r="3" spans="2:10">
      <c r="B3" s="96" t="s">
        <v>9</v>
      </c>
      <c r="C3" s="96" t="s">
        <v>10</v>
      </c>
      <c r="D3" s="96" t="s">
        <v>11</v>
      </c>
      <c r="E3" s="96" t="s">
        <v>12</v>
      </c>
      <c r="F3" s="96" t="s">
        <v>13</v>
      </c>
      <c r="G3" s="97">
        <v>863985</v>
      </c>
      <c r="H3" s="97">
        <v>1760</v>
      </c>
      <c r="I3" s="98">
        <v>1E-4</v>
      </c>
      <c r="J3" s="99">
        <v>146186.26200000008</v>
      </c>
    </row>
    <row r="4" spans="2:10">
      <c r="B4" s="96" t="s">
        <v>9</v>
      </c>
      <c r="C4" s="96" t="s">
        <v>10</v>
      </c>
      <c r="D4" s="96" t="s">
        <v>14</v>
      </c>
      <c r="E4" s="96" t="s">
        <v>15</v>
      </c>
      <c r="F4" s="96" t="s">
        <v>13</v>
      </c>
      <c r="G4" s="97">
        <v>3550600.9999999986</v>
      </c>
      <c r="H4" s="97">
        <v>733</v>
      </c>
      <c r="I4" s="98">
        <v>1E-4</v>
      </c>
      <c r="J4" s="99">
        <v>261324.23360000001</v>
      </c>
    </row>
    <row r="5" spans="2:10">
      <c r="B5" s="96" t="s">
        <v>9</v>
      </c>
      <c r="C5" s="96" t="s">
        <v>10</v>
      </c>
      <c r="D5" s="96" t="s">
        <v>16</v>
      </c>
      <c r="E5" s="96" t="s">
        <v>17</v>
      </c>
      <c r="F5" s="96" t="s">
        <v>13</v>
      </c>
      <c r="G5" s="97">
        <v>383000</v>
      </c>
      <c r="H5" s="97">
        <v>1648</v>
      </c>
      <c r="I5" s="98">
        <v>1E-4</v>
      </c>
      <c r="J5" s="99">
        <v>63195</v>
      </c>
    </row>
    <row r="6" spans="2:10">
      <c r="B6" s="96" t="s">
        <v>18</v>
      </c>
      <c r="C6" s="96" t="s">
        <v>19</v>
      </c>
      <c r="D6" s="96" t="s">
        <v>20</v>
      </c>
      <c r="E6" s="96" t="s">
        <v>21</v>
      </c>
      <c r="F6" s="96" t="s">
        <v>13</v>
      </c>
      <c r="G6" s="97">
        <v>523508</v>
      </c>
      <c r="H6" s="97">
        <v>887</v>
      </c>
      <c r="I6" s="98">
        <v>1E-4</v>
      </c>
      <c r="J6" s="99">
        <v>46173.405599999991</v>
      </c>
    </row>
    <row r="7" spans="2:10">
      <c r="B7" s="96" t="s">
        <v>18</v>
      </c>
      <c r="C7" s="96" t="s">
        <v>19</v>
      </c>
      <c r="D7" s="96" t="s">
        <v>16</v>
      </c>
      <c r="E7" s="96" t="s">
        <v>17</v>
      </c>
      <c r="F7" s="96" t="s">
        <v>13</v>
      </c>
      <c r="G7" s="97">
        <v>382373</v>
      </c>
      <c r="H7" s="97">
        <v>3493</v>
      </c>
      <c r="I7" s="98">
        <v>1E-4</v>
      </c>
      <c r="J7" s="99">
        <v>133830.55000000002</v>
      </c>
    </row>
    <row r="8" spans="2:10">
      <c r="G8" s="188" t="s">
        <v>216</v>
      </c>
      <c r="J8" s="189">
        <f>SUM(J3:J7)</f>
        <v>650709.45120000013</v>
      </c>
    </row>
    <row r="9" spans="2:10">
      <c r="B9" s="81" t="s">
        <v>114</v>
      </c>
    </row>
    <row r="10" spans="2:10">
      <c r="B10" s="1" t="s">
        <v>6</v>
      </c>
      <c r="C10" s="155" t="s">
        <v>109</v>
      </c>
      <c r="D10" s="156"/>
      <c r="E10" s="156"/>
      <c r="F10" s="157"/>
    </row>
    <row r="11" spans="2:10">
      <c r="B11" s="80" t="s">
        <v>110</v>
      </c>
      <c r="C11" s="1" t="s">
        <v>11</v>
      </c>
      <c r="D11" s="1" t="s">
        <v>20</v>
      </c>
      <c r="E11" s="1" t="s">
        <v>14</v>
      </c>
      <c r="F11" s="1" t="s">
        <v>16</v>
      </c>
    </row>
    <row r="12" spans="2:10">
      <c r="B12" s="1" t="s">
        <v>9</v>
      </c>
      <c r="C12" s="2">
        <v>1760</v>
      </c>
      <c r="D12" s="2">
        <v>2319</v>
      </c>
      <c r="E12" s="2">
        <v>733</v>
      </c>
      <c r="F12" s="2">
        <v>1648</v>
      </c>
    </row>
    <row r="13" spans="2:10">
      <c r="B13" s="1" t="s">
        <v>18</v>
      </c>
      <c r="C13" s="3">
        <v>1241</v>
      </c>
      <c r="D13" s="2">
        <v>887</v>
      </c>
      <c r="E13" s="2">
        <v>2557</v>
      </c>
      <c r="F13" s="2">
        <v>3493</v>
      </c>
    </row>
    <row r="16" spans="2:10">
      <c r="B16" s="1" t="s">
        <v>5</v>
      </c>
      <c r="C16" s="155" t="s">
        <v>109</v>
      </c>
      <c r="D16" s="156"/>
      <c r="E16" s="156"/>
      <c r="F16" s="157"/>
      <c r="G16" s="4"/>
    </row>
    <row r="17" spans="2:6">
      <c r="B17" s="80" t="s">
        <v>110</v>
      </c>
      <c r="C17" s="1" t="s">
        <v>11</v>
      </c>
      <c r="D17" s="1" t="s">
        <v>20</v>
      </c>
      <c r="E17" s="1" t="s">
        <v>14</v>
      </c>
      <c r="F17" s="1" t="s">
        <v>16</v>
      </c>
    </row>
    <row r="18" spans="2:6">
      <c r="B18" s="1" t="s">
        <v>9</v>
      </c>
      <c r="C18" s="120">
        <v>863985</v>
      </c>
      <c r="D18" s="120">
        <v>0</v>
      </c>
      <c r="E18" s="120">
        <v>3550600.9999999986</v>
      </c>
      <c r="F18" s="120">
        <v>383000</v>
      </c>
    </row>
    <row r="19" spans="2:6">
      <c r="B19" s="1" t="s">
        <v>18</v>
      </c>
      <c r="C19" s="120">
        <v>0</v>
      </c>
      <c r="D19" s="120">
        <v>523508</v>
      </c>
      <c r="E19" s="120">
        <v>0</v>
      </c>
      <c r="F19" s="120">
        <v>382373</v>
      </c>
    </row>
    <row r="20" spans="2:6">
      <c r="B20" s="5"/>
      <c r="C20" s="5"/>
      <c r="D20" s="5"/>
      <c r="E20" s="5"/>
      <c r="F20" s="5"/>
    </row>
    <row r="22" spans="2:6">
      <c r="B22" s="1" t="s">
        <v>7</v>
      </c>
      <c r="C22" s="155" t="s">
        <v>109</v>
      </c>
      <c r="D22" s="156"/>
      <c r="E22" s="156"/>
      <c r="F22" s="157"/>
    </row>
    <row r="23" spans="2:6">
      <c r="B23" s="80" t="s">
        <v>110</v>
      </c>
      <c r="C23" s="1" t="s">
        <v>11</v>
      </c>
      <c r="D23" s="1" t="s">
        <v>20</v>
      </c>
      <c r="E23" s="1" t="s">
        <v>14</v>
      </c>
      <c r="F23" s="1" t="s">
        <v>16</v>
      </c>
    </row>
    <row r="24" spans="2:6">
      <c r="B24" s="1" t="s">
        <v>9</v>
      </c>
      <c r="C24" s="120">
        <v>1E-4</v>
      </c>
      <c r="D24" s="120">
        <v>1E-4</v>
      </c>
      <c r="E24" s="120">
        <v>1E-4</v>
      </c>
      <c r="F24" s="120">
        <v>1E-4</v>
      </c>
    </row>
    <row r="25" spans="2:6">
      <c r="B25" s="1" t="s">
        <v>18</v>
      </c>
      <c r="C25" s="120">
        <v>1E-4</v>
      </c>
      <c r="D25" s="120">
        <v>1E-4</v>
      </c>
      <c r="E25" s="120">
        <v>1E-4</v>
      </c>
      <c r="F25" s="120">
        <v>1E-4</v>
      </c>
    </row>
    <row r="28" spans="2:6">
      <c r="B28" s="1" t="s">
        <v>23</v>
      </c>
      <c r="C28" s="100">
        <f>SUMPRODUCT(C12:F13,C18:F19,C24:F25)</f>
        <v>655436.86179999996</v>
      </c>
    </row>
    <row r="30" spans="2:6">
      <c r="B30" s="1" t="s">
        <v>74</v>
      </c>
      <c r="C30" s="100">
        <f>(200000*4)</f>
        <v>800000</v>
      </c>
      <c r="D30" t="s">
        <v>115</v>
      </c>
    </row>
  </sheetData>
  <mergeCells count="3">
    <mergeCell ref="C10:F10"/>
    <mergeCell ref="C16:F16"/>
    <mergeCell ref="C22:F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C45B-9F4B-8941-9BA4-45D5FD2B78EB}">
  <dimension ref="B1:L47"/>
  <sheetViews>
    <sheetView showGridLines="0" zoomScaleNormal="100" workbookViewId="0"/>
  </sheetViews>
  <sheetFormatPr defaultColWidth="11" defaultRowHeight="15.75"/>
  <cols>
    <col min="1" max="1" width="2.75" customWidth="1"/>
    <col min="2" max="2" width="19.375" customWidth="1"/>
    <col min="3" max="3" width="14.375" bestFit="1" customWidth="1"/>
    <col min="4" max="4" width="16.375" customWidth="1"/>
    <col min="5" max="5" width="14.375" customWidth="1"/>
    <col min="7" max="7" width="19.75" customWidth="1"/>
    <col min="8" max="8" width="12.375" customWidth="1"/>
    <col min="10" max="10" width="15" customWidth="1"/>
  </cols>
  <sheetData>
    <row r="1" spans="2:10">
      <c r="B1" t="s">
        <v>128</v>
      </c>
    </row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87" t="s">
        <v>24</v>
      </c>
      <c r="H2" s="87" t="s">
        <v>6</v>
      </c>
      <c r="I2" s="1" t="s">
        <v>25</v>
      </c>
      <c r="J2" s="1" t="s">
        <v>8</v>
      </c>
    </row>
    <row r="3" spans="2:10">
      <c r="B3" s="1" t="s">
        <v>11</v>
      </c>
      <c r="C3" s="1" t="s">
        <v>12</v>
      </c>
      <c r="D3" s="1" t="s">
        <v>11</v>
      </c>
      <c r="E3" s="1" t="s">
        <v>12</v>
      </c>
      <c r="F3" s="1" t="s">
        <v>13</v>
      </c>
      <c r="G3" s="87">
        <v>839918</v>
      </c>
      <c r="H3" s="87">
        <v>12</v>
      </c>
      <c r="I3" s="10">
        <v>2.0000000000000001E-4</v>
      </c>
      <c r="J3" s="101">
        <v>2015.8032000000005</v>
      </c>
    </row>
    <row r="4" spans="2:10">
      <c r="B4" s="1" t="s">
        <v>11</v>
      </c>
      <c r="C4" s="1" t="s">
        <v>12</v>
      </c>
      <c r="D4" s="1" t="s">
        <v>26</v>
      </c>
      <c r="E4" s="1" t="s">
        <v>27</v>
      </c>
      <c r="F4" s="1" t="s">
        <v>13</v>
      </c>
      <c r="G4" s="87">
        <v>7499</v>
      </c>
      <c r="H4" s="87">
        <v>389</v>
      </c>
      <c r="I4" s="10">
        <v>2.0000000000000001E-4</v>
      </c>
      <c r="J4" s="101">
        <v>17.997600000000002</v>
      </c>
    </row>
    <row r="5" spans="2:10">
      <c r="B5" s="1" t="s">
        <v>11</v>
      </c>
      <c r="C5" s="1" t="s">
        <v>12</v>
      </c>
      <c r="D5" s="1" t="s">
        <v>20</v>
      </c>
      <c r="E5" s="1" t="s">
        <v>21</v>
      </c>
      <c r="F5" s="1" t="s">
        <v>13</v>
      </c>
      <c r="G5" s="87">
        <v>16568</v>
      </c>
      <c r="H5" s="87">
        <v>591</v>
      </c>
      <c r="I5" s="10">
        <v>2.0000000000000001E-4</v>
      </c>
      <c r="J5" s="101">
        <v>1961.6512</v>
      </c>
    </row>
    <row r="6" spans="2:10">
      <c r="B6" s="1" t="s">
        <v>20</v>
      </c>
      <c r="C6" s="1" t="s">
        <v>21</v>
      </c>
      <c r="D6" s="1" t="s">
        <v>11</v>
      </c>
      <c r="E6" s="1" t="s">
        <v>12</v>
      </c>
      <c r="F6" s="1" t="s">
        <v>13</v>
      </c>
      <c r="G6" s="87">
        <v>53259</v>
      </c>
      <c r="H6" s="87">
        <v>592</v>
      </c>
      <c r="I6" s="10">
        <v>2.0000000000000001E-4</v>
      </c>
      <c r="J6" s="101">
        <v>6295.2138000000014</v>
      </c>
    </row>
    <row r="7" spans="2:10">
      <c r="B7" s="1" t="s">
        <v>20</v>
      </c>
      <c r="C7" s="1" t="s">
        <v>21</v>
      </c>
      <c r="D7" s="1" t="s">
        <v>20</v>
      </c>
      <c r="E7" s="1" t="s">
        <v>21</v>
      </c>
      <c r="F7" s="1" t="s">
        <v>13</v>
      </c>
      <c r="G7" s="87">
        <v>470249</v>
      </c>
      <c r="H7" s="87">
        <v>16</v>
      </c>
      <c r="I7" s="10">
        <v>2.0000000000000001E-4</v>
      </c>
      <c r="J7" s="101">
        <v>1504.7967999999996</v>
      </c>
    </row>
    <row r="8" spans="2:10">
      <c r="B8" s="1" t="s">
        <v>14</v>
      </c>
      <c r="C8" s="1" t="s">
        <v>15</v>
      </c>
      <c r="D8" s="1" t="s">
        <v>11</v>
      </c>
      <c r="E8" s="1" t="s">
        <v>12</v>
      </c>
      <c r="F8" s="1" t="s">
        <v>13</v>
      </c>
      <c r="G8" s="87">
        <v>7081</v>
      </c>
      <c r="H8" s="87">
        <v>2016</v>
      </c>
      <c r="I8" s="10">
        <v>2.0000000000000001E-4</v>
      </c>
      <c r="J8" s="101">
        <v>2855.0591999999997</v>
      </c>
    </row>
    <row r="9" spans="2:10">
      <c r="B9" s="1" t="s">
        <v>14</v>
      </c>
      <c r="C9" s="1" t="s">
        <v>15</v>
      </c>
      <c r="D9" s="1" t="s">
        <v>26</v>
      </c>
      <c r="E9" s="1" t="s">
        <v>27</v>
      </c>
      <c r="F9" s="1" t="s">
        <v>13</v>
      </c>
      <c r="G9" s="87">
        <v>191792</v>
      </c>
      <c r="H9" s="87">
        <v>1683</v>
      </c>
      <c r="I9" s="10">
        <v>2.0000000000000001E-4</v>
      </c>
      <c r="J9" s="101">
        <v>64557.1872</v>
      </c>
    </row>
    <row r="10" spans="2:10">
      <c r="B10" s="1" t="s">
        <v>14</v>
      </c>
      <c r="C10" s="1" t="s">
        <v>15</v>
      </c>
      <c r="D10" s="1" t="s">
        <v>28</v>
      </c>
      <c r="E10" s="1" t="s">
        <v>29</v>
      </c>
      <c r="F10" s="1" t="s">
        <v>13</v>
      </c>
      <c r="G10" s="87">
        <v>334547</v>
      </c>
      <c r="H10" s="87">
        <v>1107</v>
      </c>
      <c r="I10" s="10">
        <v>2.0000000000000001E-4</v>
      </c>
      <c r="J10" s="101">
        <v>74068.705800000011</v>
      </c>
    </row>
    <row r="11" spans="2:10">
      <c r="B11" s="1" t="s">
        <v>14</v>
      </c>
      <c r="C11" s="1" t="s">
        <v>15</v>
      </c>
      <c r="D11" s="1" t="s">
        <v>14</v>
      </c>
      <c r="E11" s="1" t="s">
        <v>15</v>
      </c>
      <c r="F11" s="1" t="s">
        <v>13</v>
      </c>
      <c r="G11" s="87">
        <v>1298475</v>
      </c>
      <c r="H11" s="87">
        <v>19</v>
      </c>
      <c r="I11" s="10">
        <v>2.0000000000000001E-4</v>
      </c>
      <c r="J11" s="101">
        <v>4934.204999999999</v>
      </c>
    </row>
    <row r="12" spans="2:10">
      <c r="B12" s="1" t="s">
        <v>14</v>
      </c>
      <c r="C12" s="1" t="s">
        <v>15</v>
      </c>
      <c r="D12" s="1" t="s">
        <v>30</v>
      </c>
      <c r="E12" s="1" t="s">
        <v>31</v>
      </c>
      <c r="F12" s="1" t="s">
        <v>13</v>
      </c>
      <c r="G12" s="87">
        <v>988682</v>
      </c>
      <c r="H12" s="87">
        <v>330</v>
      </c>
      <c r="I12" s="10">
        <v>2.0000000000000001E-4</v>
      </c>
      <c r="J12" s="101">
        <v>65253.012000000017</v>
      </c>
    </row>
    <row r="13" spans="2:10">
      <c r="B13" s="1" t="s">
        <v>14</v>
      </c>
      <c r="C13" s="1" t="s">
        <v>15</v>
      </c>
      <c r="D13" s="1" t="s">
        <v>32</v>
      </c>
      <c r="E13" s="1" t="s">
        <v>33</v>
      </c>
      <c r="F13" s="1" t="s">
        <v>13</v>
      </c>
      <c r="G13" s="87">
        <v>206097</v>
      </c>
      <c r="H13" s="87">
        <v>1910</v>
      </c>
      <c r="I13" s="10">
        <v>2.0000000000000001E-4</v>
      </c>
      <c r="J13" s="101">
        <v>78729.054000000004</v>
      </c>
    </row>
    <row r="14" spans="2:10">
      <c r="B14" s="1" t="s">
        <v>14</v>
      </c>
      <c r="C14" s="1" t="s">
        <v>15</v>
      </c>
      <c r="D14" s="1" t="s">
        <v>34</v>
      </c>
      <c r="E14" s="1" t="s">
        <v>35</v>
      </c>
      <c r="F14" s="1" t="s">
        <v>13</v>
      </c>
      <c r="G14" s="87">
        <v>523927</v>
      </c>
      <c r="H14" s="87">
        <v>1269</v>
      </c>
      <c r="I14" s="10">
        <v>2.0000000000000001E-4</v>
      </c>
      <c r="J14" s="101">
        <v>132972.67260000002</v>
      </c>
    </row>
    <row r="15" spans="2:10">
      <c r="B15" s="1" t="s">
        <v>16</v>
      </c>
      <c r="C15" s="1" t="s">
        <v>17</v>
      </c>
      <c r="D15" s="1" t="s">
        <v>36</v>
      </c>
      <c r="E15" s="1" t="s">
        <v>37</v>
      </c>
      <c r="F15" s="1" t="s">
        <v>13</v>
      </c>
      <c r="G15" s="87">
        <v>39120</v>
      </c>
      <c r="H15" s="87">
        <v>102</v>
      </c>
      <c r="I15" s="10">
        <v>2.0000000000000001E-4</v>
      </c>
      <c r="J15" s="101">
        <v>798.048</v>
      </c>
    </row>
    <row r="16" spans="2:10">
      <c r="B16" s="1" t="s">
        <v>16</v>
      </c>
      <c r="C16" s="1" t="s">
        <v>17</v>
      </c>
      <c r="D16" s="1" t="s">
        <v>28</v>
      </c>
      <c r="E16" s="1" t="s">
        <v>29</v>
      </c>
      <c r="F16" s="1" t="s">
        <v>13</v>
      </c>
      <c r="G16" s="87">
        <v>265081</v>
      </c>
      <c r="H16" s="87">
        <v>162</v>
      </c>
      <c r="I16" s="10">
        <v>2.0000000000000001E-4</v>
      </c>
      <c r="J16" s="101">
        <v>8588.6244000000006</v>
      </c>
    </row>
    <row r="17" spans="2:12">
      <c r="B17" s="1" t="s">
        <v>16</v>
      </c>
      <c r="C17" s="1" t="s">
        <v>17</v>
      </c>
      <c r="D17" s="1" t="s">
        <v>14</v>
      </c>
      <c r="E17" s="1" t="s">
        <v>15</v>
      </c>
      <c r="F17" s="1" t="s">
        <v>13</v>
      </c>
      <c r="G17" s="87">
        <v>42210</v>
      </c>
      <c r="H17" s="87">
        <v>946</v>
      </c>
      <c r="I17" s="10">
        <v>2.0000000000000001E-4</v>
      </c>
      <c r="J17" s="101">
        <v>7986.1320000000005</v>
      </c>
    </row>
    <row r="18" spans="2:12">
      <c r="B18" s="1" t="s">
        <v>16</v>
      </c>
      <c r="C18" s="1" t="s">
        <v>17</v>
      </c>
      <c r="D18" s="1" t="s">
        <v>16</v>
      </c>
      <c r="E18" s="1" t="s">
        <v>17</v>
      </c>
      <c r="F18" s="1" t="s">
        <v>13</v>
      </c>
      <c r="G18" s="87">
        <v>386168</v>
      </c>
      <c r="H18" s="87">
        <v>9</v>
      </c>
      <c r="I18" s="10">
        <v>2.0000000000000001E-4</v>
      </c>
      <c r="J18" s="101">
        <v>695.10239999999976</v>
      </c>
    </row>
    <row r="19" spans="2:12">
      <c r="B19" s="1" t="s">
        <v>16</v>
      </c>
      <c r="C19" s="1" t="s">
        <v>17</v>
      </c>
      <c r="D19" s="1" t="s">
        <v>30</v>
      </c>
      <c r="E19" s="1" t="s">
        <v>31</v>
      </c>
      <c r="F19" s="1" t="s">
        <v>13</v>
      </c>
      <c r="G19" s="87">
        <v>10148</v>
      </c>
      <c r="H19" s="87">
        <v>608</v>
      </c>
      <c r="I19" s="10">
        <v>2.0000000000000001E-4</v>
      </c>
      <c r="J19" s="101">
        <v>1233.9968000000001</v>
      </c>
    </row>
    <row r="20" spans="2:12">
      <c r="B20" s="1" t="s">
        <v>16</v>
      </c>
      <c r="C20" s="1" t="s">
        <v>17</v>
      </c>
      <c r="D20" s="1" t="s">
        <v>32</v>
      </c>
      <c r="E20" s="1" t="s">
        <v>33</v>
      </c>
      <c r="F20" s="1" t="s">
        <v>13</v>
      </c>
      <c r="G20" s="87">
        <v>22646</v>
      </c>
      <c r="H20" s="87">
        <v>965</v>
      </c>
      <c r="I20" s="10">
        <v>2.0000000000000001E-4</v>
      </c>
      <c r="J20" s="101">
        <v>4370.6779999999999</v>
      </c>
    </row>
    <row r="21" spans="2:12">
      <c r="G21" s="188" t="s">
        <v>217</v>
      </c>
      <c r="J21" s="189">
        <f>SUM(J3:J20)</f>
        <v>458837.94000000006</v>
      </c>
    </row>
    <row r="22" spans="2:12">
      <c r="B22" s="81" t="s">
        <v>116</v>
      </c>
    </row>
    <row r="23" spans="2:12">
      <c r="B23" s="7" t="s">
        <v>6</v>
      </c>
      <c r="C23" s="158" t="s">
        <v>113</v>
      </c>
      <c r="D23" s="158"/>
      <c r="E23" s="158"/>
      <c r="F23" s="158"/>
      <c r="G23" s="158"/>
      <c r="H23" s="158"/>
      <c r="I23" s="158"/>
      <c r="J23" s="158"/>
      <c r="K23" s="158"/>
      <c r="L23" s="158"/>
    </row>
    <row r="24" spans="2:12">
      <c r="B24" s="82" t="s">
        <v>109</v>
      </c>
      <c r="C24" s="7" t="s">
        <v>11</v>
      </c>
      <c r="D24" s="7" t="s">
        <v>36</v>
      </c>
      <c r="E24" s="7" t="s">
        <v>26</v>
      </c>
      <c r="F24" s="7" t="s">
        <v>20</v>
      </c>
      <c r="G24" s="7" t="s">
        <v>28</v>
      </c>
      <c r="H24" s="7" t="s">
        <v>14</v>
      </c>
      <c r="I24" s="7" t="s">
        <v>16</v>
      </c>
      <c r="J24" s="7" t="s">
        <v>30</v>
      </c>
      <c r="K24" s="7" t="s">
        <v>32</v>
      </c>
      <c r="L24" s="7" t="s">
        <v>34</v>
      </c>
    </row>
    <row r="25" spans="2:12">
      <c r="B25" s="7" t="s">
        <v>11</v>
      </c>
      <c r="C25" s="3">
        <v>12</v>
      </c>
      <c r="D25" s="3">
        <v>2895</v>
      </c>
      <c r="E25" s="3">
        <v>389</v>
      </c>
      <c r="F25" s="3">
        <v>591</v>
      </c>
      <c r="G25" s="3">
        <v>3002</v>
      </c>
      <c r="H25" s="3">
        <v>2016</v>
      </c>
      <c r="I25" s="3">
        <v>2794</v>
      </c>
      <c r="J25" s="3">
        <v>2188</v>
      </c>
      <c r="K25" s="3">
        <v>3757</v>
      </c>
      <c r="L25" s="3">
        <v>828</v>
      </c>
    </row>
    <row r="26" spans="2:12">
      <c r="B26" s="7" t="s">
        <v>20</v>
      </c>
      <c r="C26" s="3">
        <v>592</v>
      </c>
      <c r="D26" s="3">
        <v>3526</v>
      </c>
      <c r="E26" s="3">
        <v>973</v>
      </c>
      <c r="F26" s="3">
        <v>16</v>
      </c>
      <c r="G26" s="3">
        <v>3585</v>
      </c>
      <c r="H26" s="3">
        <v>2608</v>
      </c>
      <c r="I26" s="3">
        <v>3425</v>
      </c>
      <c r="J26" s="3">
        <v>2819</v>
      </c>
      <c r="K26" s="3">
        <v>4388</v>
      </c>
      <c r="L26" s="3">
        <v>1416</v>
      </c>
    </row>
    <row r="27" spans="2:12">
      <c r="B27" s="7" t="s">
        <v>14</v>
      </c>
      <c r="C27" s="3">
        <v>2016</v>
      </c>
      <c r="D27" s="3">
        <v>1047</v>
      </c>
      <c r="E27" s="3">
        <v>1683</v>
      </c>
      <c r="F27" s="3">
        <v>2586</v>
      </c>
      <c r="G27" s="3">
        <v>1107</v>
      </c>
      <c r="H27" s="3">
        <v>19</v>
      </c>
      <c r="I27" s="3">
        <v>946</v>
      </c>
      <c r="J27" s="3">
        <v>330</v>
      </c>
      <c r="K27" s="3">
        <v>1910</v>
      </c>
      <c r="L27" s="3">
        <v>1269</v>
      </c>
    </row>
    <row r="28" spans="2:12">
      <c r="B28" s="7" t="s">
        <v>16</v>
      </c>
      <c r="C28" s="3">
        <v>2791</v>
      </c>
      <c r="D28" s="3">
        <v>102</v>
      </c>
      <c r="E28" s="3">
        <v>2479</v>
      </c>
      <c r="F28" s="3">
        <v>3422</v>
      </c>
      <c r="G28" s="3">
        <v>162</v>
      </c>
      <c r="H28" s="3">
        <v>946</v>
      </c>
      <c r="I28" s="3">
        <v>9</v>
      </c>
      <c r="J28" s="3">
        <v>608</v>
      </c>
      <c r="K28" s="3">
        <v>965</v>
      </c>
      <c r="L28" s="3">
        <v>2009</v>
      </c>
    </row>
    <row r="29" spans="2:12"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2">
      <c r="B30" s="1" t="s">
        <v>24</v>
      </c>
      <c r="C30" s="158" t="s">
        <v>113</v>
      </c>
      <c r="D30" s="158"/>
      <c r="E30" s="158"/>
      <c r="F30" s="158"/>
      <c r="G30" s="158"/>
      <c r="H30" s="158"/>
      <c r="I30" s="158"/>
      <c r="J30" s="158"/>
      <c r="K30" s="158"/>
      <c r="L30" s="158"/>
    </row>
    <row r="31" spans="2:12">
      <c r="B31" s="80" t="s">
        <v>109</v>
      </c>
      <c r="C31" s="1" t="s">
        <v>11</v>
      </c>
      <c r="D31" s="1" t="s">
        <v>36</v>
      </c>
      <c r="E31" s="1" t="s">
        <v>26</v>
      </c>
      <c r="F31" s="1" t="s">
        <v>20</v>
      </c>
      <c r="G31" s="1" t="s">
        <v>28</v>
      </c>
      <c r="H31" s="1" t="s">
        <v>14</v>
      </c>
      <c r="I31" s="1" t="s">
        <v>16</v>
      </c>
      <c r="J31" s="1" t="s">
        <v>30</v>
      </c>
      <c r="K31" s="1" t="s">
        <v>32</v>
      </c>
      <c r="L31" s="1" t="s">
        <v>34</v>
      </c>
    </row>
    <row r="32" spans="2:12">
      <c r="B32" s="1" t="s">
        <v>11</v>
      </c>
      <c r="C32" s="2">
        <v>839918</v>
      </c>
      <c r="D32" s="2">
        <v>0</v>
      </c>
      <c r="E32" s="2">
        <v>7499</v>
      </c>
      <c r="F32" s="2">
        <v>16568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2:12">
      <c r="B33" s="1" t="s">
        <v>20</v>
      </c>
      <c r="C33" s="2">
        <v>53259</v>
      </c>
      <c r="D33" s="2">
        <v>0</v>
      </c>
      <c r="E33" s="2">
        <v>0</v>
      </c>
      <c r="F33" s="2">
        <v>470249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2:12">
      <c r="B34" s="1" t="s">
        <v>14</v>
      </c>
      <c r="C34" s="2">
        <v>7081</v>
      </c>
      <c r="D34" s="2">
        <v>0</v>
      </c>
      <c r="E34" s="2">
        <v>191792</v>
      </c>
      <c r="F34" s="2">
        <v>0</v>
      </c>
      <c r="G34" s="2">
        <v>334547</v>
      </c>
      <c r="H34" s="2">
        <v>1298475</v>
      </c>
      <c r="I34" s="2">
        <v>0</v>
      </c>
      <c r="J34" s="2">
        <v>988682</v>
      </c>
      <c r="K34" s="2">
        <v>206097</v>
      </c>
      <c r="L34" s="2">
        <v>523927</v>
      </c>
    </row>
    <row r="35" spans="2:12">
      <c r="B35" s="1" t="s">
        <v>16</v>
      </c>
      <c r="C35" s="2">
        <v>0</v>
      </c>
      <c r="D35" s="2">
        <v>39120</v>
      </c>
      <c r="E35" s="2">
        <v>0</v>
      </c>
      <c r="F35" s="2">
        <v>0</v>
      </c>
      <c r="G35" s="2">
        <v>265081</v>
      </c>
      <c r="H35" s="2">
        <v>42210</v>
      </c>
      <c r="I35" s="2">
        <v>386168</v>
      </c>
      <c r="J35" s="2">
        <v>10148</v>
      </c>
      <c r="K35" s="2">
        <v>22646</v>
      </c>
      <c r="L35" s="2">
        <v>0</v>
      </c>
    </row>
    <row r="37" spans="2:12">
      <c r="B37" s="1" t="s">
        <v>7</v>
      </c>
      <c r="C37" s="158" t="s">
        <v>113</v>
      </c>
      <c r="D37" s="158"/>
      <c r="E37" s="158"/>
      <c r="F37" s="158"/>
      <c r="G37" s="158"/>
      <c r="H37" s="158"/>
      <c r="I37" s="158"/>
      <c r="J37" s="158"/>
      <c r="K37" s="158"/>
      <c r="L37" s="158"/>
    </row>
    <row r="38" spans="2:12">
      <c r="B38" s="80" t="s">
        <v>109</v>
      </c>
      <c r="C38" s="1" t="s">
        <v>11</v>
      </c>
      <c r="D38" s="1" t="s">
        <v>36</v>
      </c>
      <c r="E38" s="1" t="s">
        <v>26</v>
      </c>
      <c r="F38" s="1" t="s">
        <v>20</v>
      </c>
      <c r="G38" s="1" t="s">
        <v>28</v>
      </c>
      <c r="H38" s="1" t="s">
        <v>14</v>
      </c>
      <c r="I38" s="1" t="s">
        <v>16</v>
      </c>
      <c r="J38" s="1" t="s">
        <v>30</v>
      </c>
      <c r="K38" s="1" t="s">
        <v>32</v>
      </c>
      <c r="L38" s="1" t="s">
        <v>34</v>
      </c>
    </row>
    <row r="39" spans="2:12">
      <c r="B39" s="1" t="s">
        <v>11</v>
      </c>
      <c r="C39" s="2">
        <v>2.0000000000000001E-4</v>
      </c>
      <c r="D39" s="2">
        <v>2.0000000000000001E-4</v>
      </c>
      <c r="E39" s="2">
        <v>2.0000000000000001E-4</v>
      </c>
      <c r="F39" s="2">
        <v>2.0000000000000001E-4</v>
      </c>
      <c r="G39" s="2">
        <v>2.0000000000000001E-4</v>
      </c>
      <c r="H39" s="2">
        <v>2.0000000000000001E-4</v>
      </c>
      <c r="I39" s="2">
        <v>2.0000000000000001E-4</v>
      </c>
      <c r="J39" s="2">
        <v>2.0000000000000001E-4</v>
      </c>
      <c r="K39" s="2">
        <v>2.0000000000000001E-4</v>
      </c>
      <c r="L39" s="2">
        <v>2.0000000000000001E-4</v>
      </c>
    </row>
    <row r="40" spans="2:12">
      <c r="B40" s="1" t="s">
        <v>20</v>
      </c>
      <c r="C40" s="2">
        <v>2.0000000000000001E-4</v>
      </c>
      <c r="D40" s="2">
        <v>2.0000000000000001E-4</v>
      </c>
      <c r="E40" s="2">
        <v>2.0000000000000001E-4</v>
      </c>
      <c r="F40" s="2">
        <v>2.0000000000000001E-4</v>
      </c>
      <c r="G40" s="2">
        <v>2.0000000000000001E-4</v>
      </c>
      <c r="H40" s="2">
        <v>2.0000000000000001E-4</v>
      </c>
      <c r="I40" s="2">
        <v>2.0000000000000001E-4</v>
      </c>
      <c r="J40" s="2">
        <v>2.0000000000000001E-4</v>
      </c>
      <c r="K40" s="2">
        <v>2.0000000000000001E-4</v>
      </c>
      <c r="L40" s="2">
        <v>2.0000000000000001E-4</v>
      </c>
    </row>
    <row r="41" spans="2:12">
      <c r="B41" s="1" t="s">
        <v>14</v>
      </c>
      <c r="C41" s="2">
        <v>2.0000000000000001E-4</v>
      </c>
      <c r="D41" s="2">
        <v>2.0000000000000001E-4</v>
      </c>
      <c r="E41" s="2">
        <v>2.0000000000000001E-4</v>
      </c>
      <c r="F41" s="2">
        <v>2.0000000000000001E-4</v>
      </c>
      <c r="G41" s="2">
        <v>2.0000000000000001E-4</v>
      </c>
      <c r="H41" s="2">
        <v>2.0000000000000001E-4</v>
      </c>
      <c r="I41" s="2">
        <v>2.0000000000000001E-4</v>
      </c>
      <c r="J41" s="2">
        <v>2.0000000000000001E-4</v>
      </c>
      <c r="K41" s="2">
        <v>2.0000000000000001E-4</v>
      </c>
      <c r="L41" s="2">
        <v>2.0000000000000001E-4</v>
      </c>
    </row>
    <row r="42" spans="2:12">
      <c r="B42" s="1" t="s">
        <v>16</v>
      </c>
      <c r="C42" s="2">
        <v>2.0000000000000001E-4</v>
      </c>
      <c r="D42" s="2">
        <v>2.0000000000000001E-4</v>
      </c>
      <c r="E42" s="2">
        <v>2.0000000000000001E-4</v>
      </c>
      <c r="F42" s="2">
        <v>2.0000000000000001E-4</v>
      </c>
      <c r="G42" s="2">
        <v>2.0000000000000001E-4</v>
      </c>
      <c r="H42" s="2">
        <v>2.0000000000000001E-4</v>
      </c>
      <c r="I42" s="2">
        <v>2.0000000000000001E-4</v>
      </c>
      <c r="J42" s="2">
        <v>2.0000000000000001E-4</v>
      </c>
      <c r="K42" s="2">
        <v>2.0000000000000001E-4</v>
      </c>
      <c r="L42" s="2">
        <v>2.0000000000000001E-4</v>
      </c>
    </row>
    <row r="44" spans="2:12">
      <c r="B44" t="s">
        <v>38</v>
      </c>
      <c r="C44" s="102">
        <f>SUMPRODUCT(C25:L28,C32:L35,C39:L42)</f>
        <v>459410.70280000009</v>
      </c>
    </row>
    <row r="45" spans="2:12" ht="47.25" customHeight="1">
      <c r="B45" s="159" t="s">
        <v>129</v>
      </c>
      <c r="C45" s="103">
        <f>(C44+Inbound_baseline!C28+Inbound_baseline!C30)</f>
        <v>1914847.5646000002</v>
      </c>
      <c r="E45" s="190" t="s">
        <v>218</v>
      </c>
      <c r="F45" s="191"/>
      <c r="G45" s="192">
        <f>SUM(J21,Inbound_baseline!J8,800000)</f>
        <v>1909547.3912000002</v>
      </c>
    </row>
    <row r="46" spans="2:12">
      <c r="B46" s="159"/>
      <c r="E46" s="193" t="s">
        <v>219</v>
      </c>
      <c r="F46" s="194"/>
      <c r="G46" s="195">
        <f>(C45-G45)/G45</f>
        <v>2.7756176277296939E-3</v>
      </c>
    </row>
    <row r="47" spans="2:12">
      <c r="B47" s="159"/>
    </row>
  </sheetData>
  <mergeCells count="4">
    <mergeCell ref="C23:L23"/>
    <mergeCell ref="C30:L30"/>
    <mergeCell ref="C37:L37"/>
    <mergeCell ref="B45:B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D5BE-A640-C24B-BC66-9FDE851DC904}">
  <dimension ref="B2:V55"/>
  <sheetViews>
    <sheetView showGridLines="0" zoomScaleNormal="100" workbookViewId="0"/>
  </sheetViews>
  <sheetFormatPr defaultColWidth="11" defaultRowHeight="15.75"/>
  <cols>
    <col min="1" max="1" width="2" customWidth="1"/>
    <col min="2" max="2" width="22.875" customWidth="1"/>
    <col min="3" max="3" width="15.375" customWidth="1"/>
    <col min="7" max="7" width="6" customWidth="1"/>
    <col min="8" max="8" width="14.625" customWidth="1"/>
    <col min="10" max="10" width="15.75" customWidth="1"/>
    <col min="11" max="11" width="17.625" customWidth="1"/>
    <col min="13" max="13" width="14.125" customWidth="1"/>
    <col min="15" max="15" width="14.25" customWidth="1"/>
    <col min="19" max="19" width="17.125" customWidth="1"/>
    <col min="20" max="20" width="14.25" bestFit="1" customWidth="1"/>
    <col min="21" max="21" width="6.625" customWidth="1"/>
    <col min="22" max="22" width="7.125" customWidth="1"/>
  </cols>
  <sheetData>
    <row r="2" spans="2:22">
      <c r="B2" s="54" t="s">
        <v>39</v>
      </c>
      <c r="H2" s="54" t="s">
        <v>112</v>
      </c>
    </row>
    <row r="3" spans="2:22">
      <c r="B3" s="1" t="s">
        <v>40</v>
      </c>
      <c r="C3" s="155" t="s">
        <v>109</v>
      </c>
      <c r="D3" s="156"/>
      <c r="E3" s="156"/>
      <c r="F3" s="157"/>
      <c r="H3" s="7" t="s">
        <v>40</v>
      </c>
      <c r="I3" s="163" t="s">
        <v>113</v>
      </c>
      <c r="J3" s="163"/>
      <c r="K3" s="163"/>
      <c r="L3" s="163"/>
      <c r="M3" s="163"/>
      <c r="N3" s="163"/>
      <c r="O3" s="163"/>
      <c r="P3" s="163"/>
      <c r="Q3" s="163"/>
      <c r="R3" s="163"/>
    </row>
    <row r="4" spans="2:22">
      <c r="B4" s="80" t="s">
        <v>110</v>
      </c>
      <c r="C4" s="1" t="s">
        <v>11</v>
      </c>
      <c r="D4" s="1" t="s">
        <v>20</v>
      </c>
      <c r="E4" s="1" t="s">
        <v>14</v>
      </c>
      <c r="F4" s="1" t="s">
        <v>16</v>
      </c>
      <c r="H4" s="80" t="s">
        <v>109</v>
      </c>
      <c r="I4" s="7" t="s">
        <v>11</v>
      </c>
      <c r="J4" s="7" t="s">
        <v>36</v>
      </c>
      <c r="K4" s="7" t="s">
        <v>26</v>
      </c>
      <c r="L4" s="7" t="s">
        <v>20</v>
      </c>
      <c r="M4" s="7" t="s">
        <v>28</v>
      </c>
      <c r="N4" s="7" t="s">
        <v>14</v>
      </c>
      <c r="O4" s="7" t="s">
        <v>16</v>
      </c>
      <c r="P4" s="7" t="s">
        <v>30</v>
      </c>
      <c r="Q4" s="7" t="s">
        <v>32</v>
      </c>
      <c r="R4" s="7" t="s">
        <v>34</v>
      </c>
    </row>
    <row r="5" spans="2:22">
      <c r="B5" s="1" t="s">
        <v>9</v>
      </c>
      <c r="C5" s="2">
        <v>1760</v>
      </c>
      <c r="D5" s="2">
        <v>2319</v>
      </c>
      <c r="E5" s="2">
        <v>733</v>
      </c>
      <c r="F5" s="2">
        <v>1648</v>
      </c>
      <c r="H5" s="7" t="s">
        <v>11</v>
      </c>
      <c r="I5" s="78">
        <v>12</v>
      </c>
      <c r="J5" s="78">
        <v>2895</v>
      </c>
      <c r="K5" s="78">
        <v>389</v>
      </c>
      <c r="L5" s="78">
        <v>591</v>
      </c>
      <c r="M5" s="78">
        <v>3002</v>
      </c>
      <c r="N5" s="78">
        <v>2016</v>
      </c>
      <c r="O5" s="78">
        <v>2794</v>
      </c>
      <c r="P5" s="78">
        <v>2188</v>
      </c>
      <c r="Q5" s="78">
        <v>3757</v>
      </c>
      <c r="R5" s="78">
        <v>828</v>
      </c>
    </row>
    <row r="6" spans="2:22">
      <c r="B6" s="1" t="s">
        <v>18</v>
      </c>
      <c r="C6" s="3">
        <v>1241</v>
      </c>
      <c r="D6" s="2">
        <v>887</v>
      </c>
      <c r="E6" s="2">
        <v>2557</v>
      </c>
      <c r="F6" s="2">
        <v>3493</v>
      </c>
      <c r="H6" s="7" t="s">
        <v>20</v>
      </c>
      <c r="I6" s="78">
        <v>592</v>
      </c>
      <c r="J6" s="78">
        <v>3526</v>
      </c>
      <c r="K6" s="78">
        <v>973</v>
      </c>
      <c r="L6" s="78">
        <v>16</v>
      </c>
      <c r="M6" s="78">
        <v>3585</v>
      </c>
      <c r="N6" s="78">
        <v>2608</v>
      </c>
      <c r="O6" s="78">
        <v>3425</v>
      </c>
      <c r="P6" s="78">
        <v>2819</v>
      </c>
      <c r="Q6" s="78">
        <v>4388</v>
      </c>
      <c r="R6" s="78">
        <v>1416</v>
      </c>
    </row>
    <row r="7" spans="2:22">
      <c r="H7" s="7" t="s">
        <v>14</v>
      </c>
      <c r="I7" s="78">
        <v>2016</v>
      </c>
      <c r="J7" s="78">
        <v>1047</v>
      </c>
      <c r="K7" s="78">
        <v>1683</v>
      </c>
      <c r="L7" s="78">
        <v>2586</v>
      </c>
      <c r="M7" s="78">
        <v>1107</v>
      </c>
      <c r="N7" s="78">
        <v>19</v>
      </c>
      <c r="O7" s="78">
        <v>946</v>
      </c>
      <c r="P7" s="78">
        <v>330</v>
      </c>
      <c r="Q7" s="78">
        <v>1910</v>
      </c>
      <c r="R7" s="78">
        <v>1269</v>
      </c>
    </row>
    <row r="8" spans="2:22">
      <c r="H8" s="7" t="s">
        <v>16</v>
      </c>
      <c r="I8" s="78">
        <v>2791</v>
      </c>
      <c r="J8" s="78">
        <v>102</v>
      </c>
      <c r="K8" s="78">
        <v>2479</v>
      </c>
      <c r="L8" s="78">
        <v>3422</v>
      </c>
      <c r="M8" s="78">
        <v>162</v>
      </c>
      <c r="N8" s="78">
        <v>946</v>
      </c>
      <c r="O8" s="78">
        <v>9</v>
      </c>
      <c r="P8" s="78">
        <v>608</v>
      </c>
      <c r="Q8" s="78">
        <v>965</v>
      </c>
      <c r="R8" s="78">
        <v>2009</v>
      </c>
    </row>
    <row r="9" spans="2:22">
      <c r="B9" s="1" t="s">
        <v>5</v>
      </c>
      <c r="C9" s="155" t="s">
        <v>109</v>
      </c>
      <c r="D9" s="156"/>
      <c r="E9" s="156"/>
      <c r="F9" s="157"/>
      <c r="H9" s="5"/>
      <c r="I9" s="8"/>
      <c r="J9" s="8"/>
      <c r="K9" s="8"/>
      <c r="L9" s="8"/>
      <c r="M9" s="8"/>
      <c r="N9" s="8"/>
      <c r="O9" s="8"/>
      <c r="P9" s="8"/>
      <c r="Q9" s="8"/>
      <c r="R9" s="8"/>
    </row>
    <row r="10" spans="2:22" ht="16.5" thickBot="1">
      <c r="B10" s="80" t="s">
        <v>110</v>
      </c>
      <c r="C10" s="1" t="s">
        <v>11</v>
      </c>
      <c r="D10" s="1" t="s">
        <v>20</v>
      </c>
      <c r="E10" s="1" t="s">
        <v>14</v>
      </c>
      <c r="F10" s="1" t="s">
        <v>16</v>
      </c>
      <c r="H10" s="1" t="s">
        <v>5</v>
      </c>
      <c r="I10" s="163" t="s">
        <v>113</v>
      </c>
      <c r="J10" s="163"/>
      <c r="K10" s="163"/>
      <c r="L10" s="163"/>
      <c r="M10" s="163"/>
      <c r="N10" s="163"/>
      <c r="O10" s="163"/>
      <c r="P10" s="163"/>
      <c r="Q10" s="163"/>
      <c r="R10" s="163"/>
    </row>
    <row r="11" spans="2:22" ht="16.5" thickBot="1">
      <c r="B11" s="1" t="s">
        <v>9</v>
      </c>
      <c r="C11" s="83">
        <v>0</v>
      </c>
      <c r="D11" s="83">
        <v>0</v>
      </c>
      <c r="E11" s="83">
        <v>3703467</v>
      </c>
      <c r="F11" s="83">
        <v>0</v>
      </c>
      <c r="H11" s="80" t="s">
        <v>109</v>
      </c>
      <c r="I11" s="1" t="s">
        <v>11</v>
      </c>
      <c r="J11" s="1" t="s">
        <v>36</v>
      </c>
      <c r="K11" s="1" t="s">
        <v>26</v>
      </c>
      <c r="L11" s="1" t="s">
        <v>20</v>
      </c>
      <c r="M11" s="1" t="s">
        <v>28</v>
      </c>
      <c r="N11" s="1" t="s">
        <v>14</v>
      </c>
      <c r="O11" s="1" t="s">
        <v>16</v>
      </c>
      <c r="P11" s="1" t="s">
        <v>30</v>
      </c>
      <c r="Q11" s="1" t="s">
        <v>32</v>
      </c>
      <c r="R11" s="1" t="s">
        <v>34</v>
      </c>
      <c r="S11" s="39" t="s">
        <v>76</v>
      </c>
      <c r="T11" s="171" t="s">
        <v>91</v>
      </c>
      <c r="U11" s="172"/>
      <c r="V11" s="173"/>
    </row>
    <row r="12" spans="2:22">
      <c r="B12" s="1" t="s">
        <v>18</v>
      </c>
      <c r="C12" s="83">
        <v>2000000</v>
      </c>
      <c r="D12" s="83">
        <v>0</v>
      </c>
      <c r="E12" s="83">
        <v>0</v>
      </c>
      <c r="F12" s="83">
        <v>0</v>
      </c>
      <c r="H12" s="1" t="s">
        <v>11</v>
      </c>
      <c r="I12" s="23">
        <v>900258</v>
      </c>
      <c r="J12" s="23">
        <v>0</v>
      </c>
      <c r="K12" s="23">
        <v>199291</v>
      </c>
      <c r="L12" s="23">
        <v>486817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413634</v>
      </c>
      <c r="S12" s="11">
        <f>SUM(I12:R12)</f>
        <v>2000000</v>
      </c>
      <c r="T12" s="79">
        <f>S12-(C22*$S$16)</f>
        <v>-3703467</v>
      </c>
      <c r="U12" s="19" t="s">
        <v>62</v>
      </c>
      <c r="V12" s="41">
        <v>0</v>
      </c>
    </row>
    <row r="13" spans="2:22">
      <c r="B13" s="5"/>
      <c r="C13" s="14"/>
      <c r="D13" s="14"/>
      <c r="E13" s="14"/>
      <c r="F13" s="14"/>
      <c r="H13" s="1" t="s">
        <v>20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11">
        <f t="shared" ref="S13:S15" si="0">SUM(I13:R13)</f>
        <v>0</v>
      </c>
      <c r="T13" s="42">
        <f>S13-(D22*S16)</f>
        <v>0</v>
      </c>
      <c r="U13" s="12" t="s">
        <v>62</v>
      </c>
      <c r="V13" s="43">
        <v>0</v>
      </c>
    </row>
    <row r="14" spans="2:22">
      <c r="C14" s="15"/>
      <c r="D14" s="15"/>
      <c r="E14" s="15"/>
      <c r="F14" s="15"/>
      <c r="H14" s="1" t="s">
        <v>14</v>
      </c>
      <c r="I14" s="23">
        <v>0</v>
      </c>
      <c r="J14" s="23">
        <v>39120</v>
      </c>
      <c r="K14" s="23">
        <v>0</v>
      </c>
      <c r="L14" s="23">
        <v>0</v>
      </c>
      <c r="M14" s="23">
        <v>599628</v>
      </c>
      <c r="N14" s="23">
        <v>1340685</v>
      </c>
      <c r="O14" s="23">
        <v>386168</v>
      </c>
      <c r="P14" s="23">
        <v>998830</v>
      </c>
      <c r="Q14" s="23">
        <v>228743</v>
      </c>
      <c r="R14" s="23">
        <v>110293</v>
      </c>
      <c r="S14" s="11">
        <f t="shared" si="0"/>
        <v>3703467</v>
      </c>
      <c r="T14" s="42">
        <f>S14-(E22*S16)</f>
        <v>-2000000</v>
      </c>
      <c r="U14" s="12" t="s">
        <v>62</v>
      </c>
      <c r="V14" s="43">
        <v>0</v>
      </c>
    </row>
    <row r="15" spans="2:22" ht="16.5" thickBot="1">
      <c r="B15" s="1" t="s">
        <v>7</v>
      </c>
      <c r="C15" s="160" t="s">
        <v>109</v>
      </c>
      <c r="D15" s="161"/>
      <c r="E15" s="161"/>
      <c r="F15" s="162"/>
      <c r="H15" s="1" t="s">
        <v>16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40">
        <f t="shared" si="0"/>
        <v>0</v>
      </c>
      <c r="T15" s="44">
        <f>S15-(F22*S16)</f>
        <v>0</v>
      </c>
      <c r="U15" s="34" t="s">
        <v>62</v>
      </c>
      <c r="V15" s="45">
        <v>0</v>
      </c>
    </row>
    <row r="16" spans="2:22" ht="16.5" thickBot="1">
      <c r="B16" s="80" t="s">
        <v>110</v>
      </c>
      <c r="C16" s="1" t="s">
        <v>11</v>
      </c>
      <c r="D16" s="1" t="s">
        <v>20</v>
      </c>
      <c r="E16" s="1" t="s">
        <v>14</v>
      </c>
      <c r="F16" s="1" t="s">
        <v>16</v>
      </c>
      <c r="Q16" s="181" t="s">
        <v>79</v>
      </c>
      <c r="R16" s="182"/>
      <c r="S16" s="16">
        <f>SUM(M33:M42)</f>
        <v>5703467</v>
      </c>
    </row>
    <row r="17" spans="2:18">
      <c r="B17" s="1" t="s">
        <v>9</v>
      </c>
      <c r="C17" s="104">
        <v>1E-4</v>
      </c>
      <c r="D17" s="104">
        <v>1E-4</v>
      </c>
      <c r="E17" s="104">
        <v>1E-4</v>
      </c>
      <c r="F17" s="104">
        <v>1E-4</v>
      </c>
      <c r="H17" s="1" t="s">
        <v>7</v>
      </c>
      <c r="I17" s="155" t="s">
        <v>113</v>
      </c>
      <c r="J17" s="156"/>
      <c r="K17" s="156"/>
      <c r="L17" s="156"/>
      <c r="M17" s="156"/>
      <c r="N17" s="156"/>
      <c r="O17" s="156"/>
      <c r="P17" s="156"/>
      <c r="Q17" s="179"/>
      <c r="R17" s="180"/>
    </row>
    <row r="18" spans="2:18">
      <c r="B18" s="1" t="s">
        <v>18</v>
      </c>
      <c r="C18" s="104">
        <v>1E-4</v>
      </c>
      <c r="D18" s="104">
        <v>1E-4</v>
      </c>
      <c r="E18" s="104">
        <v>1E-4</v>
      </c>
      <c r="F18" s="104">
        <v>1E-4</v>
      </c>
      <c r="H18" s="80" t="s">
        <v>109</v>
      </c>
      <c r="I18" s="1" t="s">
        <v>11</v>
      </c>
      <c r="J18" s="1" t="s">
        <v>36</v>
      </c>
      <c r="K18" s="1" t="s">
        <v>26</v>
      </c>
      <c r="L18" s="1" t="s">
        <v>20</v>
      </c>
      <c r="M18" s="1" t="s">
        <v>28</v>
      </c>
      <c r="N18" s="1" t="s">
        <v>14</v>
      </c>
      <c r="O18" s="1" t="s">
        <v>16</v>
      </c>
      <c r="P18" s="1" t="s">
        <v>30</v>
      </c>
      <c r="Q18" s="1" t="s">
        <v>32</v>
      </c>
      <c r="R18" s="1" t="s">
        <v>34</v>
      </c>
    </row>
    <row r="19" spans="2:18">
      <c r="H19" s="1" t="s">
        <v>11</v>
      </c>
      <c r="I19" s="104">
        <v>2.0000000000000001E-4</v>
      </c>
      <c r="J19" s="104">
        <v>2.0000000000000001E-4</v>
      </c>
      <c r="K19" s="104">
        <v>2.0000000000000001E-4</v>
      </c>
      <c r="L19" s="104">
        <v>2.0000000000000001E-4</v>
      </c>
      <c r="M19" s="104">
        <v>2.0000000000000001E-4</v>
      </c>
      <c r="N19" s="104">
        <v>2.0000000000000001E-4</v>
      </c>
      <c r="O19" s="104">
        <v>2.0000000000000001E-4</v>
      </c>
      <c r="P19" s="104">
        <v>2.0000000000000001E-4</v>
      </c>
      <c r="Q19" s="104">
        <v>2.0000000000000001E-4</v>
      </c>
      <c r="R19" s="104">
        <v>2.0000000000000001E-4</v>
      </c>
    </row>
    <row r="20" spans="2:18">
      <c r="H20" s="1" t="s">
        <v>20</v>
      </c>
      <c r="I20" s="104">
        <v>2.0000000000000001E-4</v>
      </c>
      <c r="J20" s="104">
        <v>2.0000000000000001E-4</v>
      </c>
      <c r="K20" s="104">
        <v>2.0000000000000001E-4</v>
      </c>
      <c r="L20" s="104">
        <v>2.0000000000000001E-4</v>
      </c>
      <c r="M20" s="104">
        <v>2.0000000000000001E-4</v>
      </c>
      <c r="N20" s="104">
        <v>2.0000000000000001E-4</v>
      </c>
      <c r="O20" s="104">
        <v>2.0000000000000001E-4</v>
      </c>
      <c r="P20" s="104">
        <v>2.0000000000000001E-4</v>
      </c>
      <c r="Q20" s="104">
        <v>2.0000000000000001E-4</v>
      </c>
      <c r="R20" s="104">
        <v>2.0000000000000001E-4</v>
      </c>
    </row>
    <row r="21" spans="2:18">
      <c r="B21" s="80" t="s">
        <v>111</v>
      </c>
      <c r="C21" s="1" t="s">
        <v>11</v>
      </c>
      <c r="D21" s="1" t="s">
        <v>20</v>
      </c>
      <c r="E21" s="1" t="s">
        <v>14</v>
      </c>
      <c r="F21" s="1" t="s">
        <v>16</v>
      </c>
      <c r="H21" s="1" t="s">
        <v>14</v>
      </c>
      <c r="I21" s="104">
        <v>2.0000000000000001E-4</v>
      </c>
      <c r="J21" s="104">
        <v>2.0000000000000001E-4</v>
      </c>
      <c r="K21" s="104">
        <v>2.0000000000000001E-4</v>
      </c>
      <c r="L21" s="104">
        <v>2.0000000000000001E-4</v>
      </c>
      <c r="M21" s="104">
        <v>2.0000000000000001E-4</v>
      </c>
      <c r="N21" s="104">
        <v>2.0000000000000001E-4</v>
      </c>
      <c r="O21" s="104">
        <v>2.0000000000000001E-4</v>
      </c>
      <c r="P21" s="104">
        <v>2.0000000000000001E-4</v>
      </c>
      <c r="Q21" s="104">
        <v>2.0000000000000001E-4</v>
      </c>
      <c r="R21" s="104">
        <v>2.0000000000000001E-4</v>
      </c>
    </row>
    <row r="22" spans="2:18">
      <c r="B22" s="1" t="s">
        <v>78</v>
      </c>
      <c r="C22" s="83">
        <v>1</v>
      </c>
      <c r="D22" s="83">
        <v>0</v>
      </c>
      <c r="E22" s="83">
        <v>1</v>
      </c>
      <c r="F22" s="83">
        <v>0</v>
      </c>
      <c r="H22" s="1" t="s">
        <v>16</v>
      </c>
      <c r="I22" s="104">
        <v>2.0000000000000001E-4</v>
      </c>
      <c r="J22" s="104">
        <v>2.0000000000000001E-4</v>
      </c>
      <c r="K22" s="104">
        <v>2.0000000000000001E-4</v>
      </c>
      <c r="L22" s="104">
        <v>2.0000000000000001E-4</v>
      </c>
      <c r="M22" s="104">
        <v>2.0000000000000001E-4</v>
      </c>
      <c r="N22" s="104">
        <v>2.0000000000000001E-4</v>
      </c>
      <c r="O22" s="104">
        <v>2.0000000000000001E-4</v>
      </c>
      <c r="P22" s="104">
        <v>2.0000000000000001E-4</v>
      </c>
      <c r="Q22" s="104">
        <v>2.0000000000000001E-4</v>
      </c>
      <c r="R22" s="104">
        <v>2.0000000000000001E-4</v>
      </c>
    </row>
    <row r="24" spans="2:18">
      <c r="C24" s="1" t="s">
        <v>80</v>
      </c>
      <c r="D24" s="1"/>
      <c r="E24" s="1">
        <f>SUM(C22:F22)</f>
        <v>2</v>
      </c>
    </row>
    <row r="25" spans="2:18" ht="36" customHeight="1">
      <c r="C25" s="164" t="s">
        <v>84</v>
      </c>
      <c r="D25" s="164"/>
      <c r="E25" s="1"/>
    </row>
    <row r="26" spans="2:18" ht="16.5" thickBot="1"/>
    <row r="27" spans="2:18" ht="16.5" thickBot="1">
      <c r="H27" s="174" t="s">
        <v>43</v>
      </c>
      <c r="I27" s="175"/>
      <c r="J27" s="176"/>
      <c r="K27" s="36" t="s">
        <v>61</v>
      </c>
      <c r="L27" s="37"/>
      <c r="M27" s="36" t="s">
        <v>60</v>
      </c>
      <c r="O27" s="1" t="s">
        <v>125</v>
      </c>
    </row>
    <row r="28" spans="2:18">
      <c r="H28" s="177" t="s">
        <v>44</v>
      </c>
      <c r="I28" s="178"/>
      <c r="J28" s="178"/>
      <c r="K28" s="25"/>
      <c r="L28" s="25"/>
      <c r="M28" s="27"/>
      <c r="O28" s="1"/>
    </row>
    <row r="29" spans="2:18">
      <c r="H29" s="28" t="s">
        <v>45</v>
      </c>
      <c r="I29" s="1"/>
      <c r="J29" s="1"/>
      <c r="K29" s="87">
        <f>SUM(C11:F11)</f>
        <v>3703467</v>
      </c>
      <c r="L29" s="1" t="s">
        <v>62</v>
      </c>
      <c r="M29" s="88">
        <v>4900000</v>
      </c>
      <c r="O29" s="95">
        <f>M29-K29</f>
        <v>1196533</v>
      </c>
    </row>
    <row r="30" spans="2:18">
      <c r="H30" s="28" t="s">
        <v>46</v>
      </c>
      <c r="I30" s="1"/>
      <c r="J30" s="1"/>
      <c r="K30" s="87">
        <f>SUM(C12:F12)</f>
        <v>2000000</v>
      </c>
      <c r="L30" s="1" t="s">
        <v>62</v>
      </c>
      <c r="M30" s="88">
        <v>2000000</v>
      </c>
      <c r="O30" s="95">
        <f>M30-K30</f>
        <v>0</v>
      </c>
      <c r="P30" s="65"/>
    </row>
    <row r="31" spans="2:18">
      <c r="H31" s="165"/>
      <c r="I31" s="161"/>
      <c r="J31" s="161"/>
      <c r="K31" s="161"/>
      <c r="L31" s="161"/>
      <c r="M31" s="166"/>
    </row>
    <row r="32" spans="2:18">
      <c r="H32" s="167" t="s">
        <v>47</v>
      </c>
      <c r="I32" s="168"/>
      <c r="J32" s="168"/>
      <c r="K32" s="1"/>
      <c r="L32" s="1"/>
      <c r="M32" s="29"/>
    </row>
    <row r="33" spans="2:14">
      <c r="H33" s="169" t="s">
        <v>48</v>
      </c>
      <c r="I33" s="170"/>
      <c r="J33" s="170"/>
      <c r="K33" s="87">
        <f>SUM(I12:I15)</f>
        <v>900258</v>
      </c>
      <c r="L33" s="12" t="s">
        <v>64</v>
      </c>
      <c r="M33" s="88">
        <v>900258</v>
      </c>
      <c r="N33" t="s">
        <v>63</v>
      </c>
    </row>
    <row r="34" spans="2:14">
      <c r="B34" s="21" t="s">
        <v>83</v>
      </c>
      <c r="H34" s="169" t="s">
        <v>49</v>
      </c>
      <c r="I34" s="170"/>
      <c r="J34" s="170"/>
      <c r="K34" s="87">
        <f>SUM(J12:J15)</f>
        <v>39120</v>
      </c>
      <c r="L34" s="12" t="s">
        <v>64</v>
      </c>
      <c r="M34" s="88">
        <v>39120</v>
      </c>
      <c r="N34" t="s">
        <v>63</v>
      </c>
    </row>
    <row r="35" spans="2:14">
      <c r="H35" s="169" t="s">
        <v>50</v>
      </c>
      <c r="I35" s="170"/>
      <c r="J35" s="170"/>
      <c r="K35" s="87">
        <f>SUM(K12:K15)</f>
        <v>199291</v>
      </c>
      <c r="L35" s="12" t="s">
        <v>64</v>
      </c>
      <c r="M35" s="88">
        <v>199291</v>
      </c>
      <c r="N35" t="s">
        <v>63</v>
      </c>
    </row>
    <row r="36" spans="2:14">
      <c r="B36" s="1" t="s">
        <v>75</v>
      </c>
      <c r="C36" s="20">
        <f>200000*E24</f>
        <v>400000</v>
      </c>
      <c r="H36" s="169" t="s">
        <v>51</v>
      </c>
      <c r="I36" s="170"/>
      <c r="J36" s="170"/>
      <c r="K36" s="87">
        <f>SUM(L12:L15)</f>
        <v>486817</v>
      </c>
      <c r="L36" s="12" t="s">
        <v>64</v>
      </c>
      <c r="M36" s="88">
        <v>486817</v>
      </c>
      <c r="N36" t="s">
        <v>63</v>
      </c>
    </row>
    <row r="37" spans="2:14">
      <c r="B37" s="1"/>
      <c r="C37" s="1"/>
      <c r="H37" s="169" t="s">
        <v>52</v>
      </c>
      <c r="I37" s="170"/>
      <c r="J37" s="170"/>
      <c r="K37" s="87">
        <f>SUM(M12:M15)</f>
        <v>599628</v>
      </c>
      <c r="L37" s="12" t="s">
        <v>64</v>
      </c>
      <c r="M37" s="88">
        <v>599628</v>
      </c>
      <c r="N37" t="s">
        <v>63</v>
      </c>
    </row>
    <row r="38" spans="2:14">
      <c r="B38" s="1" t="s">
        <v>41</v>
      </c>
      <c r="C38" s="20">
        <f>SUMPRODUCT(C5:F6,C11:F12,C17:F18)</f>
        <v>519664.1311</v>
      </c>
      <c r="H38" s="169" t="s">
        <v>53</v>
      </c>
      <c r="I38" s="170"/>
      <c r="J38" s="170"/>
      <c r="K38" s="87">
        <f>SUM(N12:N15)</f>
        <v>1340685</v>
      </c>
      <c r="L38" s="12" t="s">
        <v>64</v>
      </c>
      <c r="M38" s="88">
        <v>1340685</v>
      </c>
      <c r="N38" t="s">
        <v>63</v>
      </c>
    </row>
    <row r="39" spans="2:14">
      <c r="B39" s="1"/>
      <c r="C39" s="20"/>
      <c r="H39" s="169" t="s">
        <v>54</v>
      </c>
      <c r="I39" s="170"/>
      <c r="J39" s="170"/>
      <c r="K39" s="87">
        <f>SUM(O12:O15)</f>
        <v>386168</v>
      </c>
      <c r="L39" s="12" t="s">
        <v>64</v>
      </c>
      <c r="M39" s="88">
        <v>386168</v>
      </c>
      <c r="N39" t="s">
        <v>63</v>
      </c>
    </row>
    <row r="40" spans="2:14">
      <c r="B40" s="1" t="s">
        <v>42</v>
      </c>
      <c r="C40" s="20">
        <f>SUMPRODUCT(I5:R8,I12:R15,I19:R22)</f>
        <v>544106.94400000013</v>
      </c>
      <c r="H40" s="169" t="s">
        <v>55</v>
      </c>
      <c r="I40" s="170"/>
      <c r="J40" s="170"/>
      <c r="K40" s="87">
        <f>SUM(P12:P15)</f>
        <v>998830</v>
      </c>
      <c r="L40" s="12" t="s">
        <v>64</v>
      </c>
      <c r="M40" s="88">
        <v>998830</v>
      </c>
      <c r="N40" t="s">
        <v>63</v>
      </c>
    </row>
    <row r="41" spans="2:14" ht="16.5" thickBot="1">
      <c r="B41" s="46"/>
      <c r="C41" s="47"/>
      <c r="H41" s="169" t="s">
        <v>56</v>
      </c>
      <c r="I41" s="170"/>
      <c r="J41" s="170"/>
      <c r="K41" s="87">
        <f>SUM(Q12:Q15)</f>
        <v>228743</v>
      </c>
      <c r="L41" s="12" t="s">
        <v>64</v>
      </c>
      <c r="M41" s="88">
        <v>228743</v>
      </c>
      <c r="N41" t="s">
        <v>63</v>
      </c>
    </row>
    <row r="42" spans="2:14" ht="16.5" thickBot="1">
      <c r="B42" s="84" t="s">
        <v>81</v>
      </c>
      <c r="C42" s="85">
        <f>SUM(C36,C38,C40)</f>
        <v>1463771.0751</v>
      </c>
      <c r="H42" s="169" t="s">
        <v>57</v>
      </c>
      <c r="I42" s="170"/>
      <c r="J42" s="170"/>
      <c r="K42" s="87">
        <f>SUM(R12:R15)</f>
        <v>523927</v>
      </c>
      <c r="L42" s="12" t="s">
        <v>64</v>
      </c>
      <c r="M42" s="88">
        <v>523927</v>
      </c>
      <c r="N42" t="s">
        <v>63</v>
      </c>
    </row>
    <row r="43" spans="2:14">
      <c r="B43" s="48" t="s">
        <v>92</v>
      </c>
      <c r="H43" s="165"/>
      <c r="I43" s="161"/>
      <c r="J43" s="161"/>
      <c r="K43" s="161"/>
      <c r="L43" s="161"/>
      <c r="M43" s="166"/>
    </row>
    <row r="44" spans="2:14">
      <c r="H44" s="167" t="s">
        <v>118</v>
      </c>
      <c r="I44" s="168"/>
      <c r="J44" s="168"/>
      <c r="K44" s="1"/>
      <c r="L44" s="1"/>
      <c r="M44" s="30"/>
    </row>
    <row r="45" spans="2:14">
      <c r="H45" s="31" t="s">
        <v>59</v>
      </c>
      <c r="I45" s="26"/>
      <c r="J45" s="26"/>
      <c r="K45" s="26"/>
      <c r="L45" s="1"/>
      <c r="M45" s="30"/>
    </row>
    <row r="46" spans="2:14">
      <c r="H46" s="28" t="s">
        <v>65</v>
      </c>
      <c r="I46" s="1"/>
      <c r="J46" s="1"/>
      <c r="K46" s="87">
        <f>SUM(C11:C12)</f>
        <v>2000000</v>
      </c>
      <c r="L46" s="12" t="s">
        <v>73</v>
      </c>
      <c r="M46" s="88">
        <f>SUM(I12:R12)</f>
        <v>2000000</v>
      </c>
      <c r="N46" t="s">
        <v>66</v>
      </c>
    </row>
    <row r="47" spans="2:14">
      <c r="H47" s="28" t="s">
        <v>67</v>
      </c>
      <c r="I47" s="1"/>
      <c r="J47" s="1"/>
      <c r="K47" s="87">
        <f>SUM(D11:D12)</f>
        <v>0</v>
      </c>
      <c r="L47" s="12" t="s">
        <v>73</v>
      </c>
      <c r="M47" s="88">
        <f>SUM(I13:R13)</f>
        <v>0</v>
      </c>
      <c r="N47" t="s">
        <v>68</v>
      </c>
    </row>
    <row r="48" spans="2:14">
      <c r="H48" s="28" t="s">
        <v>69</v>
      </c>
      <c r="I48" s="1"/>
      <c r="J48" s="1"/>
      <c r="K48" s="87">
        <f>SUM(E11:E12)</f>
        <v>3703467</v>
      </c>
      <c r="L48" s="12" t="s">
        <v>73</v>
      </c>
      <c r="M48" s="88">
        <f>SUM(I14:R14)</f>
        <v>3703467</v>
      </c>
      <c r="N48" t="s">
        <v>70</v>
      </c>
    </row>
    <row r="49" spans="2:14" ht="16.5" thickBot="1">
      <c r="H49" s="32" t="s">
        <v>71</v>
      </c>
      <c r="I49" s="33"/>
      <c r="J49" s="33"/>
      <c r="K49" s="105">
        <f>SUM(F11:F12)</f>
        <v>0</v>
      </c>
      <c r="L49" s="34" t="s">
        <v>73</v>
      </c>
      <c r="M49" s="106">
        <f>SUM(I15:R15)</f>
        <v>0</v>
      </c>
      <c r="N49" t="s">
        <v>72</v>
      </c>
    </row>
    <row r="50" spans="2:14" ht="16.5" thickBot="1">
      <c r="B50" t="s">
        <v>119</v>
      </c>
    </row>
    <row r="51" spans="2:14" ht="16.5" thickBot="1">
      <c r="B51" s="86"/>
      <c r="C51" s="1" t="s">
        <v>94</v>
      </c>
      <c r="H51" s="171" t="s">
        <v>85</v>
      </c>
      <c r="I51" s="172"/>
      <c r="J51" s="173"/>
    </row>
    <row r="52" spans="2:14">
      <c r="B52" s="49"/>
      <c r="C52" s="1" t="s">
        <v>77</v>
      </c>
      <c r="H52" s="38" t="s">
        <v>86</v>
      </c>
      <c r="I52" s="38"/>
      <c r="J52" s="38"/>
      <c r="K52" s="38"/>
      <c r="L52" s="38"/>
    </row>
    <row r="53" spans="2:14">
      <c r="B53" s="22"/>
      <c r="C53" s="1" t="s">
        <v>120</v>
      </c>
      <c r="H53" s="38" t="s">
        <v>87</v>
      </c>
      <c r="I53" s="38"/>
      <c r="J53" s="38"/>
    </row>
    <row r="54" spans="2:14">
      <c r="C54" s="8"/>
      <c r="H54" t="s">
        <v>88</v>
      </c>
      <c r="I54" t="s">
        <v>89</v>
      </c>
    </row>
    <row r="55" spans="2:14">
      <c r="I55" t="s">
        <v>90</v>
      </c>
    </row>
  </sheetData>
  <mergeCells count="26">
    <mergeCell ref="H51:J51"/>
    <mergeCell ref="T11:V11"/>
    <mergeCell ref="H27:J27"/>
    <mergeCell ref="H28:J28"/>
    <mergeCell ref="H32:J32"/>
    <mergeCell ref="I17:R17"/>
    <mergeCell ref="Q16:R16"/>
    <mergeCell ref="C25:D25"/>
    <mergeCell ref="H31:M31"/>
    <mergeCell ref="H44:J44"/>
    <mergeCell ref="H33:J33"/>
    <mergeCell ref="H34:J34"/>
    <mergeCell ref="H35:J35"/>
    <mergeCell ref="H36:J36"/>
    <mergeCell ref="H37:J37"/>
    <mergeCell ref="H38:J38"/>
    <mergeCell ref="H39:J39"/>
    <mergeCell ref="H40:J40"/>
    <mergeCell ref="H41:J41"/>
    <mergeCell ref="H42:J42"/>
    <mergeCell ref="H43:M43"/>
    <mergeCell ref="C3:F3"/>
    <mergeCell ref="C9:F9"/>
    <mergeCell ref="C15:F15"/>
    <mergeCell ref="I3:R3"/>
    <mergeCell ref="I10:R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B31E-384E-45FD-AB64-7E6844765C66}">
  <dimension ref="A1:AZ25"/>
  <sheetViews>
    <sheetView showGridLines="0" zoomScaleNormal="100" workbookViewId="0"/>
  </sheetViews>
  <sheetFormatPr defaultRowHeight="15.75"/>
  <cols>
    <col min="1" max="1" width="10.125" bestFit="1" customWidth="1"/>
    <col min="2" max="22" width="13.75" bestFit="1" customWidth="1"/>
  </cols>
  <sheetData>
    <row r="1" spans="1:52">
      <c r="A1" s="57" t="s">
        <v>117</v>
      </c>
      <c r="X1" s="61" t="str">
        <f>CONCATENATE("Sensitivity of ",$X$4," to ","SAC max capacity")</f>
        <v>Sensitivity of $C$42 to SAC max capacity</v>
      </c>
      <c r="AB1" s="61" t="str">
        <f>CONCATENATE("Sensitivity of ",$AB$4," to ","LF max capacity")</f>
        <v>Sensitivity of $C$42 to LF max capacity</v>
      </c>
    </row>
    <row r="2" spans="1:52">
      <c r="X2" t="s">
        <v>103</v>
      </c>
      <c r="AB2" t="s">
        <v>106</v>
      </c>
      <c r="AZ2" t="s">
        <v>123</v>
      </c>
    </row>
    <row r="3" spans="1:52">
      <c r="A3" t="s">
        <v>124</v>
      </c>
      <c r="X3" t="s">
        <v>104</v>
      </c>
      <c r="Y3" t="s">
        <v>105</v>
      </c>
      <c r="AB3" t="s">
        <v>104</v>
      </c>
      <c r="AC3" t="s">
        <v>107</v>
      </c>
    </row>
    <row r="4" spans="1:52" ht="36">
      <c r="A4" s="66" t="s">
        <v>123</v>
      </c>
      <c r="B4" s="89">
        <v>1500000</v>
      </c>
      <c r="C4" s="89">
        <v>1600000</v>
      </c>
      <c r="D4" s="89">
        <v>1700000</v>
      </c>
      <c r="E4" s="89">
        <v>1800000</v>
      </c>
      <c r="F4" s="89">
        <v>1900000</v>
      </c>
      <c r="G4" s="89">
        <v>2000000</v>
      </c>
      <c r="H4" s="89">
        <v>2100000</v>
      </c>
      <c r="I4" s="89">
        <v>2200000</v>
      </c>
      <c r="J4" s="89">
        <v>2300000</v>
      </c>
      <c r="K4" s="89">
        <v>2400000</v>
      </c>
      <c r="L4" s="89">
        <v>2500000</v>
      </c>
      <c r="M4" s="89">
        <v>2600000</v>
      </c>
      <c r="N4" s="89">
        <v>2700000</v>
      </c>
      <c r="O4" s="89">
        <v>2800000</v>
      </c>
      <c r="P4" s="89">
        <v>2900000</v>
      </c>
      <c r="Q4" s="89">
        <v>3000000</v>
      </c>
      <c r="R4" s="89">
        <v>3100000</v>
      </c>
      <c r="S4" s="89">
        <v>3200000</v>
      </c>
      <c r="T4" s="89">
        <v>3300000</v>
      </c>
      <c r="U4" s="89">
        <v>3400000</v>
      </c>
      <c r="V4" s="89">
        <v>3500000</v>
      </c>
      <c r="W4" s="61">
        <f>MATCH($X$4,OutputAddresses,0)</f>
        <v>1</v>
      </c>
      <c r="X4" s="60" t="s">
        <v>123</v>
      </c>
      <c r="Y4" s="67">
        <v>4000000</v>
      </c>
      <c r="Z4" s="61">
        <f>MATCH($Y$4,InputValues1,0)</f>
        <v>5</v>
      </c>
      <c r="AA4" s="61">
        <f>MATCH($AB$4,OutputAddresses,0)</f>
        <v>1</v>
      </c>
      <c r="AB4" s="60" t="s">
        <v>123</v>
      </c>
      <c r="AC4" s="67">
        <v>2300000</v>
      </c>
      <c r="AD4" s="61">
        <f>MATCH($AC$4,InputValues2,0)</f>
        <v>9</v>
      </c>
    </row>
    <row r="5" spans="1:52">
      <c r="A5" s="89">
        <v>3600000</v>
      </c>
      <c r="B5" s="68" t="s">
        <v>108</v>
      </c>
      <c r="C5" s="72" t="s">
        <v>108</v>
      </c>
      <c r="D5" s="72" t="s">
        <v>108</v>
      </c>
      <c r="E5" s="72" t="s">
        <v>108</v>
      </c>
      <c r="F5" s="72" t="s">
        <v>108</v>
      </c>
      <c r="G5" s="72" t="s">
        <v>108</v>
      </c>
      <c r="H5" s="72" t="s">
        <v>108</v>
      </c>
      <c r="I5" s="107">
        <v>1459646.12</v>
      </c>
      <c r="J5" s="107">
        <v>1459646.12</v>
      </c>
      <c r="K5" s="107">
        <v>1459646.12</v>
      </c>
      <c r="L5" s="107">
        <v>1459646.12</v>
      </c>
      <c r="M5" s="107">
        <v>1459646.12</v>
      </c>
      <c r="N5" s="107">
        <v>1459646.12</v>
      </c>
      <c r="O5" s="107">
        <v>1459646.12</v>
      </c>
      <c r="P5" s="107">
        <v>1459646.12</v>
      </c>
      <c r="Q5" s="107">
        <v>1459646.12</v>
      </c>
      <c r="R5" s="107">
        <v>1459646.12</v>
      </c>
      <c r="S5" s="107">
        <v>1459646.12</v>
      </c>
      <c r="T5" s="107">
        <v>1459646.12</v>
      </c>
      <c r="U5" s="107">
        <v>1459646.12</v>
      </c>
      <c r="V5" s="108">
        <v>1459646.12</v>
      </c>
      <c r="W5" s="61" t="str">
        <f>"OutputValues_"&amp;$W$4</f>
        <v>OutputValues_1</v>
      </c>
      <c r="X5" t="str">
        <f ca="1">INDEX(INDIRECT($W$5),$Z$4,1)</f>
        <v>Not feasible</v>
      </c>
      <c r="AA5" s="61" t="str">
        <f>"OutputValues_"&amp;$AA$4</f>
        <v>OutputValues_1</v>
      </c>
      <c r="AB5">
        <f ca="1">INDEX(INDIRECT($AA$5),1,$AD$4)</f>
        <v>1459646.12</v>
      </c>
    </row>
    <row r="6" spans="1:52">
      <c r="A6" s="89">
        <v>3700000</v>
      </c>
      <c r="B6" s="69" t="s">
        <v>108</v>
      </c>
      <c r="C6" s="73" t="s">
        <v>108</v>
      </c>
      <c r="D6" s="73" t="s">
        <v>108</v>
      </c>
      <c r="E6" s="73" t="s">
        <v>108</v>
      </c>
      <c r="F6" s="73" t="s">
        <v>108</v>
      </c>
      <c r="G6" s="73" t="s">
        <v>108</v>
      </c>
      <c r="H6" s="74">
        <v>1460031.08</v>
      </c>
      <c r="I6" s="109">
        <v>1459646.12</v>
      </c>
      <c r="J6" s="109">
        <v>1459646.12</v>
      </c>
      <c r="K6" s="109">
        <v>1459646.12</v>
      </c>
      <c r="L6" s="109">
        <v>1459646.12</v>
      </c>
      <c r="M6" s="109">
        <v>1459646.12</v>
      </c>
      <c r="N6" s="109">
        <v>1459646.12</v>
      </c>
      <c r="O6" s="109">
        <v>1459646.12</v>
      </c>
      <c r="P6" s="109">
        <v>1459646.12</v>
      </c>
      <c r="Q6" s="109">
        <v>1459646.12</v>
      </c>
      <c r="R6" s="109">
        <v>1459646.12</v>
      </c>
      <c r="S6" s="109">
        <v>1459646.12</v>
      </c>
      <c r="T6" s="109">
        <v>1459646.12</v>
      </c>
      <c r="U6" s="109">
        <v>1459646.12</v>
      </c>
      <c r="V6" s="110">
        <v>1459646.12</v>
      </c>
      <c r="X6" t="str">
        <f ca="1">INDEX(INDIRECT($W$5),$Z$4,2)</f>
        <v>Not feasible</v>
      </c>
      <c r="AB6">
        <f ca="1">INDEX(INDIRECT($AA$5),2,$AD$4)</f>
        <v>1459646.12</v>
      </c>
    </row>
    <row r="7" spans="1:52">
      <c r="A7" s="89">
        <v>3800000</v>
      </c>
      <c r="B7" s="69" t="s">
        <v>108</v>
      </c>
      <c r="C7" s="73" t="s">
        <v>108</v>
      </c>
      <c r="D7" s="73" t="s">
        <v>108</v>
      </c>
      <c r="E7" s="73" t="s">
        <v>108</v>
      </c>
      <c r="F7" s="73" t="s">
        <v>108</v>
      </c>
      <c r="G7" s="94">
        <v>1463771.08</v>
      </c>
      <c r="H7" s="74">
        <v>1460031.08</v>
      </c>
      <c r="I7" s="109">
        <v>1459646.12</v>
      </c>
      <c r="J7" s="109">
        <v>1459646.12</v>
      </c>
      <c r="K7" s="109">
        <v>1459646.12</v>
      </c>
      <c r="L7" s="109">
        <v>1459646.12</v>
      </c>
      <c r="M7" s="109">
        <v>1459646.12</v>
      </c>
      <c r="N7" s="109">
        <v>1459646.12</v>
      </c>
      <c r="O7" s="109">
        <v>1459646.12</v>
      </c>
      <c r="P7" s="109">
        <v>1459646.12</v>
      </c>
      <c r="Q7" s="109">
        <v>1459646.12</v>
      </c>
      <c r="R7" s="109">
        <v>1459646.12</v>
      </c>
      <c r="S7" s="109">
        <v>1459646.12</v>
      </c>
      <c r="T7" s="109">
        <v>1459646.12</v>
      </c>
      <c r="U7" s="109">
        <v>1459646.12</v>
      </c>
      <c r="V7" s="110">
        <v>1459646.12</v>
      </c>
      <c r="X7" t="str">
        <f ca="1">INDEX(INDIRECT($W$5),$Z$4,3)</f>
        <v>Not feasible</v>
      </c>
      <c r="AB7">
        <f ca="1">INDEX(INDIRECT($AA$5),3,$AD$4)</f>
        <v>1459646.12</v>
      </c>
    </row>
    <row r="8" spans="1:52">
      <c r="A8" s="89">
        <v>3900000</v>
      </c>
      <c r="B8" s="69" t="s">
        <v>108</v>
      </c>
      <c r="C8" s="73" t="s">
        <v>108</v>
      </c>
      <c r="D8" s="73" t="s">
        <v>108</v>
      </c>
      <c r="E8" s="73" t="s">
        <v>108</v>
      </c>
      <c r="F8" s="74">
        <v>1467511.08</v>
      </c>
      <c r="G8" s="74">
        <v>1463771.08</v>
      </c>
      <c r="H8" s="74">
        <v>1460031.08</v>
      </c>
      <c r="I8" s="109">
        <v>1459646.12</v>
      </c>
      <c r="J8" s="109">
        <v>1459646.12</v>
      </c>
      <c r="K8" s="109">
        <v>1459646.12</v>
      </c>
      <c r="L8" s="109">
        <v>1459646.12</v>
      </c>
      <c r="M8" s="109">
        <v>1459646.12</v>
      </c>
      <c r="N8" s="109">
        <v>1459646.12</v>
      </c>
      <c r="O8" s="109">
        <v>1459646.12</v>
      </c>
      <c r="P8" s="109">
        <v>1459646.12</v>
      </c>
      <c r="Q8" s="109">
        <v>1459646.12</v>
      </c>
      <c r="R8" s="109">
        <v>1459646.12</v>
      </c>
      <c r="S8" s="109">
        <v>1459646.12</v>
      </c>
      <c r="T8" s="109">
        <v>1459646.12</v>
      </c>
      <c r="U8" s="109">
        <v>1459646.12</v>
      </c>
      <c r="V8" s="110">
        <v>1459646.12</v>
      </c>
      <c r="X8">
        <f ca="1">INDEX(INDIRECT($W$5),$Z$4,4)</f>
        <v>1471251.08</v>
      </c>
      <c r="AB8">
        <f ca="1">INDEX(INDIRECT($AA$5),4,$AD$4)</f>
        <v>1459646.12</v>
      </c>
    </row>
    <row r="9" spans="1:52">
      <c r="A9" s="89">
        <v>4000000</v>
      </c>
      <c r="B9" s="69" t="s">
        <v>108</v>
      </c>
      <c r="C9" s="73" t="s">
        <v>108</v>
      </c>
      <c r="D9" s="73" t="s">
        <v>108</v>
      </c>
      <c r="E9" s="74">
        <v>1471251.08</v>
      </c>
      <c r="F9" s="74">
        <v>1467511.08</v>
      </c>
      <c r="G9" s="74">
        <v>1463771.08</v>
      </c>
      <c r="H9" s="74">
        <v>1460031.08</v>
      </c>
      <c r="I9" s="109">
        <v>1459646.12</v>
      </c>
      <c r="J9" s="109">
        <v>1459646.12</v>
      </c>
      <c r="K9" s="109">
        <v>1459646.12</v>
      </c>
      <c r="L9" s="109">
        <v>1459646.12</v>
      </c>
      <c r="M9" s="109">
        <v>1459646.12</v>
      </c>
      <c r="N9" s="109">
        <v>1459646.12</v>
      </c>
      <c r="O9" s="109">
        <v>1459646.12</v>
      </c>
      <c r="P9" s="109">
        <v>1459646.12</v>
      </c>
      <c r="Q9" s="109">
        <v>1459646.12</v>
      </c>
      <c r="R9" s="109">
        <v>1459646.12</v>
      </c>
      <c r="S9" s="109">
        <v>1459646.12</v>
      </c>
      <c r="T9" s="109">
        <v>1459646.12</v>
      </c>
      <c r="U9" s="109">
        <v>1459646.12</v>
      </c>
      <c r="V9" s="110">
        <v>1459646.12</v>
      </c>
      <c r="X9">
        <f ca="1">INDEX(INDIRECT($W$5),$Z$4,5)</f>
        <v>1467511.08</v>
      </c>
      <c r="AB9">
        <f ca="1">INDEX(INDIRECT($AA$5),5,$AD$4)</f>
        <v>1459646.12</v>
      </c>
    </row>
    <row r="10" spans="1:52">
      <c r="A10" s="89">
        <v>4100000</v>
      </c>
      <c r="B10" s="69" t="s">
        <v>108</v>
      </c>
      <c r="C10" s="73" t="s">
        <v>108</v>
      </c>
      <c r="D10" s="74">
        <v>1474991.08</v>
      </c>
      <c r="E10" s="74">
        <v>1471251.08</v>
      </c>
      <c r="F10" s="74">
        <v>1467511.08</v>
      </c>
      <c r="G10" s="74">
        <v>1463771.08</v>
      </c>
      <c r="H10" s="74">
        <v>1460031.08</v>
      </c>
      <c r="I10" s="109">
        <v>1459646.12</v>
      </c>
      <c r="J10" s="109">
        <v>1459646.12</v>
      </c>
      <c r="K10" s="109">
        <v>1459646.12</v>
      </c>
      <c r="L10" s="109">
        <v>1459646.12</v>
      </c>
      <c r="M10" s="109">
        <v>1459646.12</v>
      </c>
      <c r="N10" s="109">
        <v>1459646.12</v>
      </c>
      <c r="O10" s="109">
        <v>1459646.12</v>
      </c>
      <c r="P10" s="109">
        <v>1459646.12</v>
      </c>
      <c r="Q10" s="109">
        <v>1459646.12</v>
      </c>
      <c r="R10" s="109">
        <v>1459646.12</v>
      </c>
      <c r="S10" s="109">
        <v>1459646.12</v>
      </c>
      <c r="T10" s="109">
        <v>1459646.12</v>
      </c>
      <c r="U10" s="109">
        <v>1459646.12</v>
      </c>
      <c r="V10" s="110">
        <v>1459646.12</v>
      </c>
      <c r="X10">
        <f ca="1">INDEX(INDIRECT($W$5),$Z$4,6)</f>
        <v>1463771.08</v>
      </c>
      <c r="AB10">
        <f ca="1">INDEX(INDIRECT($AA$5),6,$AD$4)</f>
        <v>1459646.12</v>
      </c>
    </row>
    <row r="11" spans="1:52">
      <c r="A11" s="89">
        <v>4200000</v>
      </c>
      <c r="B11" s="69" t="s">
        <v>108</v>
      </c>
      <c r="C11" s="74">
        <v>1478731.08</v>
      </c>
      <c r="D11" s="74">
        <v>1474991.08</v>
      </c>
      <c r="E11" s="74">
        <v>1471251.08</v>
      </c>
      <c r="F11" s="74">
        <v>1467511.08</v>
      </c>
      <c r="G11" s="74">
        <v>1463771.08</v>
      </c>
      <c r="H11" s="74">
        <v>1460031.08</v>
      </c>
      <c r="I11" s="109">
        <v>1459646.12</v>
      </c>
      <c r="J11" s="109">
        <v>1459646.12</v>
      </c>
      <c r="K11" s="109">
        <v>1459646.12</v>
      </c>
      <c r="L11" s="109">
        <v>1459646.12</v>
      </c>
      <c r="M11" s="109">
        <v>1459646.12</v>
      </c>
      <c r="N11" s="109">
        <v>1459646.12</v>
      </c>
      <c r="O11" s="109">
        <v>1459646.12</v>
      </c>
      <c r="P11" s="109">
        <v>1459646.12</v>
      </c>
      <c r="Q11" s="109">
        <v>1459646.12</v>
      </c>
      <c r="R11" s="109">
        <v>1459646.12</v>
      </c>
      <c r="S11" s="109">
        <v>1459646.12</v>
      </c>
      <c r="T11" s="109">
        <v>1459646.12</v>
      </c>
      <c r="U11" s="109">
        <v>1459646.12</v>
      </c>
      <c r="V11" s="110">
        <v>1459646.12</v>
      </c>
      <c r="X11">
        <f ca="1">INDEX(INDIRECT($W$5),$Z$4,7)</f>
        <v>1460031.08</v>
      </c>
      <c r="AB11">
        <f ca="1">INDEX(INDIRECT($AA$5),7,$AD$4)</f>
        <v>1459646.12</v>
      </c>
    </row>
    <row r="12" spans="1:52">
      <c r="A12" s="89">
        <v>4300000</v>
      </c>
      <c r="B12" s="70">
        <v>1483723.38</v>
      </c>
      <c r="C12" s="74">
        <v>1478731.08</v>
      </c>
      <c r="D12" s="74">
        <v>1474991.08</v>
      </c>
      <c r="E12" s="74">
        <v>1471251.08</v>
      </c>
      <c r="F12" s="74">
        <v>1467511.08</v>
      </c>
      <c r="G12" s="74">
        <v>1463771.08</v>
      </c>
      <c r="H12" s="74">
        <v>1460031.08</v>
      </c>
      <c r="I12" s="109">
        <v>1459646.12</v>
      </c>
      <c r="J12" s="109">
        <v>1459646.12</v>
      </c>
      <c r="K12" s="109">
        <v>1459646.12</v>
      </c>
      <c r="L12" s="109">
        <v>1459646.12</v>
      </c>
      <c r="M12" s="109">
        <v>1459646.12</v>
      </c>
      <c r="N12" s="109">
        <v>1459646.12</v>
      </c>
      <c r="O12" s="109">
        <v>1459646.12</v>
      </c>
      <c r="P12" s="109">
        <v>1459646.12</v>
      </c>
      <c r="Q12" s="109">
        <v>1459646.12</v>
      </c>
      <c r="R12" s="109">
        <v>1459646.12</v>
      </c>
      <c r="S12" s="109">
        <v>1459646.12</v>
      </c>
      <c r="T12" s="109">
        <v>1459646.12</v>
      </c>
      <c r="U12" s="109">
        <v>1459646.12</v>
      </c>
      <c r="V12" s="110">
        <v>1459646.12</v>
      </c>
      <c r="X12">
        <f ca="1">INDEX(INDIRECT($W$5),$Z$4,8)</f>
        <v>1459646.12</v>
      </c>
      <c r="AB12">
        <f ca="1">INDEX(INDIRECT($AA$5),8,$AD$4)</f>
        <v>1459646.12</v>
      </c>
    </row>
    <row r="13" spans="1:52">
      <c r="A13" s="89">
        <v>4400000</v>
      </c>
      <c r="B13" s="70">
        <v>1483723.38</v>
      </c>
      <c r="C13" s="74">
        <v>1478731.08</v>
      </c>
      <c r="D13" s="74">
        <v>1474991.08</v>
      </c>
      <c r="E13" s="74">
        <v>1471251.08</v>
      </c>
      <c r="F13" s="74">
        <v>1467511.08</v>
      </c>
      <c r="G13" s="74">
        <v>1463771.08</v>
      </c>
      <c r="H13" s="74">
        <v>1460031.08</v>
      </c>
      <c r="I13" s="109">
        <v>1459646.12</v>
      </c>
      <c r="J13" s="109">
        <v>1459646.12</v>
      </c>
      <c r="K13" s="109">
        <v>1459646.12</v>
      </c>
      <c r="L13" s="109">
        <v>1459646.12</v>
      </c>
      <c r="M13" s="109">
        <v>1459646.12</v>
      </c>
      <c r="N13" s="109">
        <v>1459646.12</v>
      </c>
      <c r="O13" s="109">
        <v>1459646.12</v>
      </c>
      <c r="P13" s="109">
        <v>1459646.12</v>
      </c>
      <c r="Q13" s="109">
        <v>1459646.12</v>
      </c>
      <c r="R13" s="109">
        <v>1459646.12</v>
      </c>
      <c r="S13" s="109">
        <v>1459646.12</v>
      </c>
      <c r="T13" s="109">
        <v>1459646.12</v>
      </c>
      <c r="U13" s="109">
        <v>1459646.12</v>
      </c>
      <c r="V13" s="110">
        <v>1459646.12</v>
      </c>
      <c r="X13">
        <f ca="1">INDEX(INDIRECT($W$5),$Z$4,9)</f>
        <v>1459646.12</v>
      </c>
      <c r="AB13">
        <f ca="1">INDEX(INDIRECT($AA$5),9,$AD$4)</f>
        <v>1459646.12</v>
      </c>
    </row>
    <row r="14" spans="1:52">
      <c r="A14" s="89">
        <v>4500000</v>
      </c>
      <c r="B14" s="70">
        <v>1483723.38</v>
      </c>
      <c r="C14" s="74">
        <v>1478731.08</v>
      </c>
      <c r="D14" s="74">
        <v>1474991.08</v>
      </c>
      <c r="E14" s="74">
        <v>1471251.08</v>
      </c>
      <c r="F14" s="74">
        <v>1467511.08</v>
      </c>
      <c r="G14" s="74">
        <v>1463771.08</v>
      </c>
      <c r="H14" s="74">
        <v>1460031.08</v>
      </c>
      <c r="I14" s="109">
        <v>1459646.12</v>
      </c>
      <c r="J14" s="109">
        <v>1459646.12</v>
      </c>
      <c r="K14" s="109">
        <v>1459646.12</v>
      </c>
      <c r="L14" s="109">
        <v>1459646.12</v>
      </c>
      <c r="M14" s="109">
        <v>1459646.12</v>
      </c>
      <c r="N14" s="109">
        <v>1459646.12</v>
      </c>
      <c r="O14" s="109">
        <v>1459646.12</v>
      </c>
      <c r="P14" s="109">
        <v>1459646.12</v>
      </c>
      <c r="Q14" s="109">
        <v>1459646.12</v>
      </c>
      <c r="R14" s="109">
        <v>1459646.12</v>
      </c>
      <c r="S14" s="109">
        <v>1459646.12</v>
      </c>
      <c r="T14" s="109">
        <v>1459646.12</v>
      </c>
      <c r="U14" s="109">
        <v>1459646.12</v>
      </c>
      <c r="V14" s="110">
        <v>1459646.12</v>
      </c>
      <c r="X14">
        <f ca="1">INDEX(INDIRECT($W$5),$Z$4,10)</f>
        <v>1459646.12</v>
      </c>
      <c r="AB14">
        <f ca="1">INDEX(INDIRECT($AA$5),10,$AD$4)</f>
        <v>1459646.12</v>
      </c>
    </row>
    <row r="15" spans="1:52">
      <c r="A15" s="89">
        <v>4600000</v>
      </c>
      <c r="B15" s="70">
        <v>1483723.38</v>
      </c>
      <c r="C15" s="74">
        <v>1478731.08</v>
      </c>
      <c r="D15" s="74">
        <v>1474991.08</v>
      </c>
      <c r="E15" s="74">
        <v>1471251.08</v>
      </c>
      <c r="F15" s="74">
        <v>1467511.08</v>
      </c>
      <c r="G15" s="74">
        <v>1463771.08</v>
      </c>
      <c r="H15" s="74">
        <v>1460031.08</v>
      </c>
      <c r="I15" s="109">
        <v>1459646.12</v>
      </c>
      <c r="J15" s="109">
        <v>1459646.12</v>
      </c>
      <c r="K15" s="109">
        <v>1459646.12</v>
      </c>
      <c r="L15" s="109">
        <v>1459646.12</v>
      </c>
      <c r="M15" s="109">
        <v>1459646.12</v>
      </c>
      <c r="N15" s="109">
        <v>1459646.12</v>
      </c>
      <c r="O15" s="109">
        <v>1459646.12</v>
      </c>
      <c r="P15" s="109">
        <v>1459646.12</v>
      </c>
      <c r="Q15" s="109">
        <v>1459646.12</v>
      </c>
      <c r="R15" s="109">
        <v>1459646.12</v>
      </c>
      <c r="S15" s="109">
        <v>1459646.12</v>
      </c>
      <c r="T15" s="109">
        <v>1459646.12</v>
      </c>
      <c r="U15" s="109">
        <v>1459646.12</v>
      </c>
      <c r="V15" s="110">
        <v>1459646.12</v>
      </c>
      <c r="X15">
        <f ca="1">INDEX(INDIRECT($W$5),$Z$4,11)</f>
        <v>1459646.12</v>
      </c>
      <c r="AB15">
        <f ca="1">INDEX(INDIRECT($AA$5),11,$AD$4)</f>
        <v>1459646.12</v>
      </c>
    </row>
    <row r="16" spans="1:52">
      <c r="A16" s="89">
        <v>4700000</v>
      </c>
      <c r="B16" s="70">
        <v>1483723.38</v>
      </c>
      <c r="C16" s="74">
        <v>1478731.08</v>
      </c>
      <c r="D16" s="74">
        <v>1474991.08</v>
      </c>
      <c r="E16" s="74">
        <v>1471251.08</v>
      </c>
      <c r="F16" s="74">
        <v>1467511.08</v>
      </c>
      <c r="G16" s="74">
        <v>1463771.08</v>
      </c>
      <c r="H16" s="74">
        <v>1460031.08</v>
      </c>
      <c r="I16" s="109">
        <v>1459646.12</v>
      </c>
      <c r="J16" s="109">
        <v>1459646.12</v>
      </c>
      <c r="K16" s="109">
        <v>1459646.12</v>
      </c>
      <c r="L16" s="109">
        <v>1459646.12</v>
      </c>
      <c r="M16" s="109">
        <v>1459646.12</v>
      </c>
      <c r="N16" s="109">
        <v>1459646.12</v>
      </c>
      <c r="O16" s="109">
        <v>1459646.12</v>
      </c>
      <c r="P16" s="109">
        <v>1459646.12</v>
      </c>
      <c r="Q16" s="109">
        <v>1459646.12</v>
      </c>
      <c r="R16" s="109">
        <v>1459646.12</v>
      </c>
      <c r="S16" s="109">
        <v>1459646.12</v>
      </c>
      <c r="T16" s="109">
        <v>1459646.12</v>
      </c>
      <c r="U16" s="109">
        <v>1459646.12</v>
      </c>
      <c r="V16" s="110">
        <v>1459646.12</v>
      </c>
      <c r="X16">
        <f ca="1">INDEX(INDIRECT($W$5),$Z$4,12)</f>
        <v>1459646.12</v>
      </c>
      <c r="AB16">
        <f ca="1">INDEX(INDIRECT($AA$5),12,$AD$4)</f>
        <v>1459646.12</v>
      </c>
    </row>
    <row r="17" spans="1:28">
      <c r="A17" s="89">
        <v>4800000</v>
      </c>
      <c r="B17" s="70">
        <v>1483723.38</v>
      </c>
      <c r="C17" s="74">
        <v>1478731.08</v>
      </c>
      <c r="D17" s="74">
        <v>1474991.08</v>
      </c>
      <c r="E17" s="74">
        <v>1471251.08</v>
      </c>
      <c r="F17" s="74">
        <v>1467511.08</v>
      </c>
      <c r="G17" s="74">
        <v>1463771.08</v>
      </c>
      <c r="H17" s="74">
        <v>1460031.08</v>
      </c>
      <c r="I17" s="109">
        <v>1459646.12</v>
      </c>
      <c r="J17" s="109">
        <v>1459646.12</v>
      </c>
      <c r="K17" s="109">
        <v>1459646.12</v>
      </c>
      <c r="L17" s="109">
        <v>1459646.12</v>
      </c>
      <c r="M17" s="109">
        <v>1459646.12</v>
      </c>
      <c r="N17" s="109">
        <v>1459646.12</v>
      </c>
      <c r="O17" s="109">
        <v>1459646.12</v>
      </c>
      <c r="P17" s="109">
        <v>1459646.12</v>
      </c>
      <c r="Q17" s="109">
        <v>1459646.12</v>
      </c>
      <c r="R17" s="109">
        <v>1459646.12</v>
      </c>
      <c r="S17" s="109">
        <v>1459646.12</v>
      </c>
      <c r="T17" s="109">
        <v>1459646.12</v>
      </c>
      <c r="U17" s="109">
        <v>1459646.12</v>
      </c>
      <c r="V17" s="110">
        <v>1459646.12</v>
      </c>
      <c r="X17">
        <f ca="1">INDEX(INDIRECT($W$5),$Z$4,13)</f>
        <v>1459646.12</v>
      </c>
      <c r="AB17">
        <f ca="1">INDEX(INDIRECT($AA$5),13,$AD$4)</f>
        <v>1459646.12</v>
      </c>
    </row>
    <row r="18" spans="1:28">
      <c r="A18" s="89">
        <v>4900000</v>
      </c>
      <c r="B18" s="70">
        <v>1483723.38</v>
      </c>
      <c r="C18" s="74">
        <v>1478731.08</v>
      </c>
      <c r="D18" s="74">
        <v>1474991.08</v>
      </c>
      <c r="E18" s="74">
        <v>1471251.08</v>
      </c>
      <c r="F18" s="74">
        <v>1467511.08</v>
      </c>
      <c r="G18" s="74">
        <v>1463771.08</v>
      </c>
      <c r="H18" s="74">
        <v>1460031.08</v>
      </c>
      <c r="I18" s="109">
        <v>1459646.12</v>
      </c>
      <c r="J18" s="109">
        <v>1459646.12</v>
      </c>
      <c r="K18" s="109">
        <v>1459646.12</v>
      </c>
      <c r="L18" s="109">
        <v>1459646.12</v>
      </c>
      <c r="M18" s="109">
        <v>1459646.12</v>
      </c>
      <c r="N18" s="109">
        <v>1459646.12</v>
      </c>
      <c r="O18" s="109">
        <v>1459646.12</v>
      </c>
      <c r="P18" s="109">
        <v>1459646.12</v>
      </c>
      <c r="Q18" s="109">
        <v>1459646.12</v>
      </c>
      <c r="R18" s="109">
        <v>1459646.12</v>
      </c>
      <c r="S18" s="109">
        <v>1459646.12</v>
      </c>
      <c r="T18" s="109">
        <v>1459646.12</v>
      </c>
      <c r="U18" s="109">
        <v>1459646.12</v>
      </c>
      <c r="V18" s="110">
        <v>1459646.12</v>
      </c>
      <c r="X18">
        <f ca="1">INDEX(INDIRECT($W$5),$Z$4,14)</f>
        <v>1459646.12</v>
      </c>
      <c r="AB18">
        <f ca="1">INDEX(INDIRECT($AA$5),14,$AD$4)</f>
        <v>1459646.12</v>
      </c>
    </row>
    <row r="19" spans="1:28">
      <c r="A19" s="89">
        <v>5000000</v>
      </c>
      <c r="B19" s="70">
        <v>1483723.38</v>
      </c>
      <c r="C19" s="74">
        <v>1478731.08</v>
      </c>
      <c r="D19" s="74">
        <v>1474991.08</v>
      </c>
      <c r="E19" s="74">
        <v>1471251.08</v>
      </c>
      <c r="F19" s="74">
        <v>1467511.08</v>
      </c>
      <c r="G19" s="74">
        <v>1463771.08</v>
      </c>
      <c r="H19" s="74">
        <v>1460031.08</v>
      </c>
      <c r="I19" s="109">
        <v>1459646.12</v>
      </c>
      <c r="J19" s="109">
        <v>1459646.12</v>
      </c>
      <c r="K19" s="109">
        <v>1459646.12</v>
      </c>
      <c r="L19" s="109">
        <v>1459646.12</v>
      </c>
      <c r="M19" s="109">
        <v>1459646.12</v>
      </c>
      <c r="N19" s="109">
        <v>1459646.12</v>
      </c>
      <c r="O19" s="109">
        <v>1459646.12</v>
      </c>
      <c r="P19" s="109">
        <v>1459646.12</v>
      </c>
      <c r="Q19" s="109">
        <v>1459646.12</v>
      </c>
      <c r="R19" s="109">
        <v>1459646.12</v>
      </c>
      <c r="S19" s="109">
        <v>1459646.12</v>
      </c>
      <c r="T19" s="109">
        <v>1459646.12</v>
      </c>
      <c r="U19" s="109">
        <v>1459646.12</v>
      </c>
      <c r="V19" s="110">
        <v>1459646.12</v>
      </c>
      <c r="X19">
        <f ca="1">INDEX(INDIRECT($W$5),$Z$4,15)</f>
        <v>1459646.12</v>
      </c>
      <c r="AB19">
        <f ca="1">INDEX(INDIRECT($AA$5),15,$AD$4)</f>
        <v>1459646.12</v>
      </c>
    </row>
    <row r="20" spans="1:28">
      <c r="A20" s="89">
        <v>5100000</v>
      </c>
      <c r="B20" s="70">
        <v>1483723.38</v>
      </c>
      <c r="C20" s="74">
        <v>1478731.08</v>
      </c>
      <c r="D20" s="74">
        <v>1474991.08</v>
      </c>
      <c r="E20" s="74">
        <v>1471251.08</v>
      </c>
      <c r="F20" s="74">
        <v>1467511.08</v>
      </c>
      <c r="G20" s="74">
        <v>1463771.08</v>
      </c>
      <c r="H20" s="74">
        <v>1460031.08</v>
      </c>
      <c r="I20" s="109">
        <v>1459646.12</v>
      </c>
      <c r="J20" s="109">
        <v>1459646.12</v>
      </c>
      <c r="K20" s="109">
        <v>1459646.12</v>
      </c>
      <c r="L20" s="109">
        <v>1459646.12</v>
      </c>
      <c r="M20" s="109">
        <v>1459646.12</v>
      </c>
      <c r="N20" s="109">
        <v>1459646.12</v>
      </c>
      <c r="O20" s="109">
        <v>1459646.12</v>
      </c>
      <c r="P20" s="109">
        <v>1459646.12</v>
      </c>
      <c r="Q20" s="109">
        <v>1459646.12</v>
      </c>
      <c r="R20" s="109">
        <v>1459646.12</v>
      </c>
      <c r="S20" s="109">
        <v>1459646.12</v>
      </c>
      <c r="T20" s="109">
        <v>1459646.12</v>
      </c>
      <c r="U20" s="109">
        <v>1459646.12</v>
      </c>
      <c r="V20" s="110">
        <v>1459646.12</v>
      </c>
      <c r="X20">
        <f ca="1">INDEX(INDIRECT($W$5),$Z$4,16)</f>
        <v>1459646.12</v>
      </c>
      <c r="AB20">
        <f ca="1">INDEX(INDIRECT($AA$5),16,$AD$4)</f>
        <v>1459646.12</v>
      </c>
    </row>
    <row r="21" spans="1:28">
      <c r="A21" s="89">
        <v>5200000</v>
      </c>
      <c r="B21" s="70">
        <v>1483723.38</v>
      </c>
      <c r="C21" s="74">
        <v>1478731.08</v>
      </c>
      <c r="D21" s="74">
        <v>1474991.08</v>
      </c>
      <c r="E21" s="74">
        <v>1471251.08</v>
      </c>
      <c r="F21" s="74">
        <v>1467511.08</v>
      </c>
      <c r="G21" s="74">
        <v>1463771.08</v>
      </c>
      <c r="H21" s="74">
        <v>1460031.08</v>
      </c>
      <c r="I21" s="109">
        <v>1459646.12</v>
      </c>
      <c r="J21" s="109">
        <v>1459646.12</v>
      </c>
      <c r="K21" s="109">
        <v>1459646.12</v>
      </c>
      <c r="L21" s="109">
        <v>1459646.12</v>
      </c>
      <c r="M21" s="109">
        <v>1459646.12</v>
      </c>
      <c r="N21" s="109">
        <v>1459646.12</v>
      </c>
      <c r="O21" s="109">
        <v>1459646.12</v>
      </c>
      <c r="P21" s="109">
        <v>1459646.12</v>
      </c>
      <c r="Q21" s="109">
        <v>1459646.12</v>
      </c>
      <c r="R21" s="109">
        <v>1459646.12</v>
      </c>
      <c r="S21" s="109">
        <v>1459646.12</v>
      </c>
      <c r="T21" s="109">
        <v>1459646.12</v>
      </c>
      <c r="U21" s="109">
        <v>1459646.12</v>
      </c>
      <c r="V21" s="110">
        <v>1459646.12</v>
      </c>
      <c r="X21">
        <f ca="1">INDEX(INDIRECT($W$5),$Z$4,17)</f>
        <v>1459646.12</v>
      </c>
      <c r="AB21">
        <f ca="1">INDEX(INDIRECT($AA$5),17,$AD$4)</f>
        <v>1459646.12</v>
      </c>
    </row>
    <row r="22" spans="1:28">
      <c r="A22" s="89">
        <v>5300000</v>
      </c>
      <c r="B22" s="70">
        <v>1483723.38</v>
      </c>
      <c r="C22" s="74">
        <v>1478731.08</v>
      </c>
      <c r="D22" s="74">
        <v>1474991.08</v>
      </c>
      <c r="E22" s="74">
        <v>1471251.08</v>
      </c>
      <c r="F22" s="74">
        <v>1467511.08</v>
      </c>
      <c r="G22" s="74">
        <v>1463771.08</v>
      </c>
      <c r="H22" s="74">
        <v>1460031.08</v>
      </c>
      <c r="I22" s="109">
        <v>1459646.12</v>
      </c>
      <c r="J22" s="109">
        <v>1459646.12</v>
      </c>
      <c r="K22" s="109">
        <v>1459646.12</v>
      </c>
      <c r="L22" s="109">
        <v>1459646.12</v>
      </c>
      <c r="M22" s="109">
        <v>1459646.12</v>
      </c>
      <c r="N22" s="109">
        <v>1459646.12</v>
      </c>
      <c r="O22" s="109">
        <v>1459646.12</v>
      </c>
      <c r="P22" s="109">
        <v>1459646.12</v>
      </c>
      <c r="Q22" s="109">
        <v>1459646.12</v>
      </c>
      <c r="R22" s="109">
        <v>1459646.12</v>
      </c>
      <c r="S22" s="109">
        <v>1459646.12</v>
      </c>
      <c r="T22" s="109">
        <v>1459646.12</v>
      </c>
      <c r="U22" s="109">
        <v>1459646.12</v>
      </c>
      <c r="V22" s="110">
        <v>1459646.12</v>
      </c>
      <c r="X22">
        <f ca="1">INDEX(INDIRECT($W$5),$Z$4,18)</f>
        <v>1459646.12</v>
      </c>
      <c r="AB22">
        <f ca="1">INDEX(INDIRECT($AA$5),18,$AD$4)</f>
        <v>1459646.12</v>
      </c>
    </row>
    <row r="23" spans="1:28">
      <c r="A23" s="89">
        <v>5400000</v>
      </c>
      <c r="B23" s="70">
        <v>1483723.38</v>
      </c>
      <c r="C23" s="74">
        <v>1478731.08</v>
      </c>
      <c r="D23" s="74">
        <v>1474991.08</v>
      </c>
      <c r="E23" s="74">
        <v>1471251.08</v>
      </c>
      <c r="F23" s="74">
        <v>1467511.08</v>
      </c>
      <c r="G23" s="74">
        <v>1463771.08</v>
      </c>
      <c r="H23" s="74">
        <v>1460031.08</v>
      </c>
      <c r="I23" s="109">
        <v>1459646.12</v>
      </c>
      <c r="J23" s="109">
        <v>1459646.12</v>
      </c>
      <c r="K23" s="109">
        <v>1459646.12</v>
      </c>
      <c r="L23" s="109">
        <v>1459646.12</v>
      </c>
      <c r="M23" s="109">
        <v>1459646.12</v>
      </c>
      <c r="N23" s="109">
        <v>1459646.12</v>
      </c>
      <c r="O23" s="109">
        <v>1459646.12</v>
      </c>
      <c r="P23" s="109">
        <v>1459646.12</v>
      </c>
      <c r="Q23" s="109">
        <v>1459646.12</v>
      </c>
      <c r="R23" s="109">
        <v>1459646.12</v>
      </c>
      <c r="S23" s="109">
        <v>1459646.12</v>
      </c>
      <c r="T23" s="109">
        <v>1459646.12</v>
      </c>
      <c r="U23" s="109">
        <v>1459646.12</v>
      </c>
      <c r="V23" s="110">
        <v>1459646.12</v>
      </c>
      <c r="X23">
        <f ca="1">INDEX(INDIRECT($W$5),$Z$4,19)</f>
        <v>1459646.12</v>
      </c>
      <c r="AB23">
        <f ca="1">INDEX(INDIRECT($AA$5),19,$AD$4)</f>
        <v>1459646.12</v>
      </c>
    </row>
    <row r="24" spans="1:28">
      <c r="A24" s="89">
        <v>5500000</v>
      </c>
      <c r="B24" s="70">
        <v>1483723.38</v>
      </c>
      <c r="C24" s="74">
        <v>1478731.08</v>
      </c>
      <c r="D24" s="74">
        <v>1474991.08</v>
      </c>
      <c r="E24" s="74">
        <v>1471251.08</v>
      </c>
      <c r="F24" s="74">
        <v>1467511.08</v>
      </c>
      <c r="G24" s="74">
        <v>1463771.08</v>
      </c>
      <c r="H24" s="74">
        <v>1460031.08</v>
      </c>
      <c r="I24" s="109">
        <v>1459646.12</v>
      </c>
      <c r="J24" s="109">
        <v>1459646.12</v>
      </c>
      <c r="K24" s="109">
        <v>1459646.12</v>
      </c>
      <c r="L24" s="109">
        <v>1459646.12</v>
      </c>
      <c r="M24" s="109">
        <v>1459646.12</v>
      </c>
      <c r="N24" s="109">
        <v>1459646.12</v>
      </c>
      <c r="O24" s="109">
        <v>1459646.12</v>
      </c>
      <c r="P24" s="109">
        <v>1459646.12</v>
      </c>
      <c r="Q24" s="109">
        <v>1459646.12</v>
      </c>
      <c r="R24" s="109">
        <v>1459646.12</v>
      </c>
      <c r="S24" s="109">
        <v>1459646.12</v>
      </c>
      <c r="T24" s="109">
        <v>1459646.12</v>
      </c>
      <c r="U24" s="109">
        <v>1459646.12</v>
      </c>
      <c r="V24" s="110">
        <v>1459646.12</v>
      </c>
      <c r="X24">
        <f ca="1">INDEX(INDIRECT($W$5),$Z$4,20)</f>
        <v>1459646.12</v>
      </c>
      <c r="AB24">
        <f ca="1">INDEX(INDIRECT($AA$5),20,$AD$4)</f>
        <v>1459646.12</v>
      </c>
    </row>
    <row r="25" spans="1:28">
      <c r="A25" s="89">
        <v>5600000</v>
      </c>
      <c r="B25" s="71">
        <v>1483723.38</v>
      </c>
      <c r="C25" s="75">
        <v>1478731.08</v>
      </c>
      <c r="D25" s="75">
        <v>1474991.08</v>
      </c>
      <c r="E25" s="75">
        <v>1471251.08</v>
      </c>
      <c r="F25" s="75">
        <v>1467511.08</v>
      </c>
      <c r="G25" s="75">
        <v>1463771.08</v>
      </c>
      <c r="H25" s="75">
        <v>1460031.08</v>
      </c>
      <c r="I25" s="111">
        <v>1459646.12</v>
      </c>
      <c r="J25" s="111">
        <v>1459646.12</v>
      </c>
      <c r="K25" s="111">
        <v>1459646.12</v>
      </c>
      <c r="L25" s="111">
        <v>1459646.12</v>
      </c>
      <c r="M25" s="111">
        <v>1459646.12</v>
      </c>
      <c r="N25" s="111">
        <v>1459646.12</v>
      </c>
      <c r="O25" s="111">
        <v>1459646.12</v>
      </c>
      <c r="P25" s="111">
        <v>1459646.12</v>
      </c>
      <c r="Q25" s="111">
        <v>1459646.12</v>
      </c>
      <c r="R25" s="111">
        <v>1459646.12</v>
      </c>
      <c r="S25" s="111">
        <v>1459646.12</v>
      </c>
      <c r="T25" s="111">
        <v>1459646.12</v>
      </c>
      <c r="U25" s="111">
        <v>1459646.12</v>
      </c>
      <c r="V25" s="112">
        <v>1459646.12</v>
      </c>
      <c r="X25">
        <f ca="1">INDEX(INDIRECT($W$5),$Z$4,21)</f>
        <v>1459646.12</v>
      </c>
      <c r="AB25">
        <f ca="1">INDEX(INDIRECT($AA$5),21,$AD$4)</f>
        <v>1459646.12</v>
      </c>
    </row>
  </sheetData>
  <dataValidations count="3">
    <dataValidation type="list" allowBlank="1" showInputMessage="1" showErrorMessage="1" sqref="X4 AB4" xr:uid="{19341B63-3E26-4671-96DA-AAD11866F05E}">
      <formula1>OutputAddresses</formula1>
    </dataValidation>
    <dataValidation type="list" allowBlank="1" showInputMessage="1" showErrorMessage="1" sqref="Y4" xr:uid="{823286A3-F052-4CB3-B20E-089DA3CCF6CC}">
      <formula1>InputValues1</formula1>
    </dataValidation>
    <dataValidation type="list" allowBlank="1" showInputMessage="1" showErrorMessage="1" sqref="AC4" xr:uid="{E29E5737-8D45-4E95-B4F1-6D96902DF2A6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A8E3-8978-244E-8F9F-AE2ABFC06A5B}">
  <dimension ref="B2:V55"/>
  <sheetViews>
    <sheetView showGridLines="0" zoomScale="85" zoomScaleNormal="85" workbookViewId="0"/>
  </sheetViews>
  <sheetFormatPr defaultColWidth="11" defaultRowHeight="15.75"/>
  <cols>
    <col min="1" max="1" width="2.125" customWidth="1"/>
    <col min="2" max="2" width="22.875" customWidth="1"/>
    <col min="3" max="3" width="15.375" customWidth="1"/>
    <col min="8" max="8" width="19.125" customWidth="1"/>
    <col min="10" max="10" width="13.125" customWidth="1"/>
    <col min="11" max="11" width="13.5" customWidth="1"/>
    <col min="13" max="13" width="14.125" customWidth="1"/>
    <col min="15" max="15" width="12.625" customWidth="1"/>
    <col min="19" max="19" width="13" bestFit="1" customWidth="1"/>
  </cols>
  <sheetData>
    <row r="2" spans="2:22">
      <c r="B2" s="54" t="s">
        <v>39</v>
      </c>
      <c r="H2" s="54" t="s">
        <v>112</v>
      </c>
    </row>
    <row r="3" spans="2:22">
      <c r="B3" s="1" t="s">
        <v>40</v>
      </c>
      <c r="C3" s="155" t="s">
        <v>109</v>
      </c>
      <c r="D3" s="156"/>
      <c r="E3" s="156"/>
      <c r="F3" s="157"/>
      <c r="H3" s="7" t="s">
        <v>40</v>
      </c>
      <c r="I3" s="163" t="s">
        <v>113</v>
      </c>
      <c r="J3" s="163"/>
      <c r="K3" s="163"/>
      <c r="L3" s="163"/>
      <c r="M3" s="163"/>
      <c r="N3" s="163"/>
      <c r="O3" s="163"/>
      <c r="P3" s="163"/>
      <c r="Q3" s="163"/>
      <c r="R3" s="163"/>
    </row>
    <row r="4" spans="2:22">
      <c r="B4" s="1" t="s">
        <v>22</v>
      </c>
      <c r="C4" s="1" t="s">
        <v>11</v>
      </c>
      <c r="D4" s="1" t="s">
        <v>20</v>
      </c>
      <c r="E4" s="1" t="s">
        <v>14</v>
      </c>
      <c r="F4" s="1" t="s">
        <v>16</v>
      </c>
      <c r="H4" s="80" t="s">
        <v>109</v>
      </c>
      <c r="I4" s="7" t="s">
        <v>11</v>
      </c>
      <c r="J4" s="7" t="s">
        <v>36</v>
      </c>
      <c r="K4" s="7" t="s">
        <v>26</v>
      </c>
      <c r="L4" s="7" t="s">
        <v>20</v>
      </c>
      <c r="M4" s="7" t="s">
        <v>28</v>
      </c>
      <c r="N4" s="7" t="s">
        <v>14</v>
      </c>
      <c r="O4" s="7" t="s">
        <v>16</v>
      </c>
      <c r="P4" s="7" t="s">
        <v>30</v>
      </c>
      <c r="Q4" s="7" t="s">
        <v>32</v>
      </c>
      <c r="R4" s="7" t="s">
        <v>34</v>
      </c>
    </row>
    <row r="5" spans="2:22">
      <c r="B5" s="1" t="s">
        <v>9</v>
      </c>
      <c r="C5" s="12">
        <v>1760</v>
      </c>
      <c r="D5" s="12">
        <v>2319</v>
      </c>
      <c r="E5" s="12">
        <v>733</v>
      </c>
      <c r="F5" s="12">
        <v>1648</v>
      </c>
      <c r="H5" s="7" t="s">
        <v>11</v>
      </c>
      <c r="I5" s="13">
        <v>12</v>
      </c>
      <c r="J5" s="13">
        <v>2895</v>
      </c>
      <c r="K5" s="13">
        <v>389</v>
      </c>
      <c r="L5" s="13">
        <v>591</v>
      </c>
      <c r="M5" s="13">
        <v>3002</v>
      </c>
      <c r="N5" s="13">
        <v>2016</v>
      </c>
      <c r="O5" s="13">
        <v>2794</v>
      </c>
      <c r="P5" s="13">
        <v>2188</v>
      </c>
      <c r="Q5" s="13">
        <v>3757</v>
      </c>
      <c r="R5" s="13">
        <v>828</v>
      </c>
    </row>
    <row r="6" spans="2:22">
      <c r="B6" s="1" t="s">
        <v>18</v>
      </c>
      <c r="C6" s="13">
        <v>1241</v>
      </c>
      <c r="D6" s="12">
        <v>887</v>
      </c>
      <c r="E6" s="12">
        <v>2557</v>
      </c>
      <c r="F6" s="12">
        <v>3493</v>
      </c>
      <c r="H6" s="7" t="s">
        <v>20</v>
      </c>
      <c r="I6" s="13">
        <v>592</v>
      </c>
      <c r="J6" s="13">
        <v>3526</v>
      </c>
      <c r="K6" s="13">
        <v>973</v>
      </c>
      <c r="L6" s="13">
        <v>16</v>
      </c>
      <c r="M6" s="13">
        <v>3585</v>
      </c>
      <c r="N6" s="13">
        <v>2608</v>
      </c>
      <c r="O6" s="13">
        <v>3425</v>
      </c>
      <c r="P6" s="13">
        <v>2819</v>
      </c>
      <c r="Q6" s="13">
        <v>4388</v>
      </c>
      <c r="R6" s="13">
        <v>1416</v>
      </c>
    </row>
    <row r="7" spans="2:22">
      <c r="H7" s="7" t="s">
        <v>14</v>
      </c>
      <c r="I7" s="13">
        <v>2016</v>
      </c>
      <c r="J7" s="13">
        <v>1047</v>
      </c>
      <c r="K7" s="13">
        <v>1683</v>
      </c>
      <c r="L7" s="13">
        <v>2586</v>
      </c>
      <c r="M7" s="13">
        <v>1107</v>
      </c>
      <c r="N7" s="13">
        <v>19</v>
      </c>
      <c r="O7" s="13">
        <v>946</v>
      </c>
      <c r="P7" s="13">
        <v>330</v>
      </c>
      <c r="Q7" s="13">
        <v>1910</v>
      </c>
      <c r="R7" s="13">
        <v>1269</v>
      </c>
    </row>
    <row r="8" spans="2:22">
      <c r="H8" s="7" t="s">
        <v>16</v>
      </c>
      <c r="I8" s="13">
        <v>2791</v>
      </c>
      <c r="J8" s="13">
        <v>102</v>
      </c>
      <c r="K8" s="13">
        <v>2479</v>
      </c>
      <c r="L8" s="13">
        <v>3422</v>
      </c>
      <c r="M8" s="13">
        <v>162</v>
      </c>
      <c r="N8" s="13">
        <v>946</v>
      </c>
      <c r="O8" s="13">
        <v>9</v>
      </c>
      <c r="P8" s="13">
        <v>608</v>
      </c>
      <c r="Q8" s="13">
        <v>965</v>
      </c>
      <c r="R8" s="13">
        <v>2009</v>
      </c>
    </row>
    <row r="9" spans="2:22">
      <c r="B9" s="1" t="s">
        <v>5</v>
      </c>
      <c r="C9" s="155" t="s">
        <v>109</v>
      </c>
      <c r="D9" s="156"/>
      <c r="E9" s="156"/>
      <c r="F9" s="157"/>
      <c r="H9" s="5"/>
      <c r="I9" s="8"/>
      <c r="J9" s="8"/>
      <c r="K9" s="8"/>
      <c r="L9" s="8"/>
      <c r="M9" s="8"/>
      <c r="N9" s="8"/>
      <c r="O9" s="8"/>
      <c r="P9" s="8"/>
      <c r="Q9" s="8"/>
      <c r="R9" s="8"/>
    </row>
    <row r="10" spans="2:22" ht="16.5" thickBot="1">
      <c r="B10" s="1" t="s">
        <v>22</v>
      </c>
      <c r="C10" s="1" t="s">
        <v>11</v>
      </c>
      <c r="D10" s="1" t="s">
        <v>20</v>
      </c>
      <c r="E10" s="1" t="s">
        <v>14</v>
      </c>
      <c r="F10" s="1" t="s">
        <v>16</v>
      </c>
      <c r="H10" s="1" t="s">
        <v>5</v>
      </c>
      <c r="I10" s="163" t="s">
        <v>113</v>
      </c>
      <c r="J10" s="163"/>
      <c r="K10" s="163"/>
      <c r="L10" s="163"/>
      <c r="M10" s="163"/>
      <c r="N10" s="163"/>
      <c r="O10" s="163"/>
      <c r="P10" s="163"/>
      <c r="Q10" s="163"/>
      <c r="R10" s="163"/>
    </row>
    <row r="11" spans="2:22" ht="16.5" thickBot="1">
      <c r="B11" s="1" t="s">
        <v>9</v>
      </c>
      <c r="C11" s="83">
        <v>0</v>
      </c>
      <c r="D11" s="83">
        <v>0</v>
      </c>
      <c r="E11" s="83">
        <v>2449808</v>
      </c>
      <c r="F11" s="83">
        <v>1253659</v>
      </c>
      <c r="H11" s="80" t="s">
        <v>109</v>
      </c>
      <c r="I11" s="1" t="s">
        <v>11</v>
      </c>
      <c r="J11" s="1" t="s">
        <v>36</v>
      </c>
      <c r="K11" s="1" t="s">
        <v>26</v>
      </c>
      <c r="L11" s="1" t="s">
        <v>20</v>
      </c>
      <c r="M11" s="1" t="s">
        <v>28</v>
      </c>
      <c r="N11" s="1" t="s">
        <v>14</v>
      </c>
      <c r="O11" s="1" t="s">
        <v>16</v>
      </c>
      <c r="P11" s="1" t="s">
        <v>30</v>
      </c>
      <c r="Q11" s="1" t="s">
        <v>32</v>
      </c>
      <c r="R11" s="1" t="s">
        <v>34</v>
      </c>
      <c r="S11" s="18" t="s">
        <v>76</v>
      </c>
      <c r="T11" s="171" t="s">
        <v>91</v>
      </c>
      <c r="U11" s="172"/>
      <c r="V11" s="173"/>
    </row>
    <row r="12" spans="2:22">
      <c r="B12" s="1" t="s">
        <v>18</v>
      </c>
      <c r="C12" s="83">
        <v>1513183</v>
      </c>
      <c r="D12" s="83">
        <v>486817</v>
      </c>
      <c r="E12" s="83">
        <v>0</v>
      </c>
      <c r="F12" s="83">
        <v>0</v>
      </c>
      <c r="H12" s="1" t="s">
        <v>11</v>
      </c>
      <c r="I12" s="23">
        <v>900258</v>
      </c>
      <c r="J12" s="23">
        <v>0</v>
      </c>
      <c r="K12" s="23">
        <v>199291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413634</v>
      </c>
      <c r="S12" s="11">
        <f>SUM(I12:R12)</f>
        <v>1513183</v>
      </c>
      <c r="T12" s="42">
        <f>S12-(C22*$S$16)</f>
        <v>-4190284</v>
      </c>
      <c r="U12" s="12" t="s">
        <v>62</v>
      </c>
      <c r="V12" s="43">
        <v>0</v>
      </c>
    </row>
    <row r="13" spans="2:22">
      <c r="B13" s="5"/>
      <c r="C13" s="14"/>
      <c r="D13" s="14"/>
      <c r="E13" s="14"/>
      <c r="F13" s="14"/>
      <c r="H13" s="1" t="s">
        <v>20</v>
      </c>
      <c r="I13" s="23">
        <v>0</v>
      </c>
      <c r="J13" s="23">
        <v>0</v>
      </c>
      <c r="K13" s="23">
        <v>0</v>
      </c>
      <c r="L13" s="23">
        <v>486817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11">
        <f t="shared" ref="S13:S15" si="0">SUM(I13:R13)</f>
        <v>486817</v>
      </c>
      <c r="T13" s="42">
        <f>S13-(D22*S16)</f>
        <v>-5216650</v>
      </c>
      <c r="U13" s="12" t="s">
        <v>62</v>
      </c>
      <c r="V13" s="43">
        <v>0</v>
      </c>
    </row>
    <row r="14" spans="2:22">
      <c r="C14" s="15"/>
      <c r="D14" s="15"/>
      <c r="E14" s="15"/>
      <c r="F14" s="15"/>
      <c r="H14" s="1" t="s">
        <v>14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1340685</v>
      </c>
      <c r="O14" s="23">
        <v>0</v>
      </c>
      <c r="P14" s="23">
        <v>998830</v>
      </c>
      <c r="Q14" s="23">
        <v>0</v>
      </c>
      <c r="R14" s="23">
        <v>110293</v>
      </c>
      <c r="S14" s="11">
        <f t="shared" si="0"/>
        <v>2449808</v>
      </c>
      <c r="T14" s="42">
        <f>S14-(E22*S16)</f>
        <v>-3253659</v>
      </c>
      <c r="U14" s="12" t="s">
        <v>62</v>
      </c>
      <c r="V14" s="43">
        <v>0</v>
      </c>
    </row>
    <row r="15" spans="2:22" ht="16.5" thickBot="1">
      <c r="B15" s="1" t="s">
        <v>7</v>
      </c>
      <c r="C15" s="155" t="s">
        <v>109</v>
      </c>
      <c r="D15" s="156"/>
      <c r="E15" s="156"/>
      <c r="F15" s="157"/>
      <c r="H15" s="1" t="s">
        <v>16</v>
      </c>
      <c r="I15" s="23">
        <v>0</v>
      </c>
      <c r="J15" s="23">
        <v>39120</v>
      </c>
      <c r="K15" s="23">
        <v>0</v>
      </c>
      <c r="L15" s="23">
        <v>0</v>
      </c>
      <c r="M15" s="23">
        <v>599628</v>
      </c>
      <c r="N15" s="23">
        <v>0</v>
      </c>
      <c r="O15" s="23">
        <v>386168</v>
      </c>
      <c r="P15" s="23">
        <v>0</v>
      </c>
      <c r="Q15" s="24">
        <v>228743</v>
      </c>
      <c r="R15" s="24">
        <v>0</v>
      </c>
      <c r="S15" s="11">
        <f t="shared" si="0"/>
        <v>1253659</v>
      </c>
      <c r="T15" s="44">
        <f>S15-(F22*S16)</f>
        <v>-4449808</v>
      </c>
      <c r="U15" s="34" t="s">
        <v>62</v>
      </c>
      <c r="V15" s="45">
        <v>0</v>
      </c>
    </row>
    <row r="16" spans="2:22" ht="16.5" thickBot="1">
      <c r="B16" s="1" t="s">
        <v>22</v>
      </c>
      <c r="C16" s="1" t="s">
        <v>11</v>
      </c>
      <c r="D16" s="1" t="s">
        <v>20</v>
      </c>
      <c r="E16" s="1" t="s">
        <v>14</v>
      </c>
      <c r="F16" s="1" t="s">
        <v>16</v>
      </c>
      <c r="Q16" s="183" t="s">
        <v>79</v>
      </c>
      <c r="R16" s="184"/>
      <c r="S16" s="17">
        <f>SUM(M33:M42)</f>
        <v>5703467</v>
      </c>
    </row>
    <row r="17" spans="2:18">
      <c r="B17" s="1" t="s">
        <v>9</v>
      </c>
      <c r="C17" s="10">
        <v>1E-4</v>
      </c>
      <c r="D17" s="10">
        <v>1E-4</v>
      </c>
      <c r="E17" s="10">
        <v>1E-4</v>
      </c>
      <c r="F17" s="10">
        <v>1E-4</v>
      </c>
      <c r="H17" s="1" t="s">
        <v>7</v>
      </c>
      <c r="I17" s="163" t="s">
        <v>113</v>
      </c>
      <c r="J17" s="163"/>
      <c r="K17" s="163"/>
      <c r="L17" s="163"/>
      <c r="M17" s="163"/>
      <c r="N17" s="163"/>
      <c r="O17" s="163"/>
      <c r="P17" s="163"/>
      <c r="Q17" s="163"/>
      <c r="R17" s="163"/>
    </row>
    <row r="18" spans="2:18">
      <c r="B18" s="1" t="s">
        <v>18</v>
      </c>
      <c r="C18" s="10">
        <v>1E-4</v>
      </c>
      <c r="D18" s="10">
        <v>1E-4</v>
      </c>
      <c r="E18" s="10">
        <v>1E-4</v>
      </c>
      <c r="F18" s="10">
        <v>1E-4</v>
      </c>
      <c r="H18" s="80" t="s">
        <v>109</v>
      </c>
      <c r="I18" s="1" t="s">
        <v>11</v>
      </c>
      <c r="J18" s="1" t="s">
        <v>36</v>
      </c>
      <c r="K18" s="1" t="s">
        <v>26</v>
      </c>
      <c r="L18" s="1" t="s">
        <v>20</v>
      </c>
      <c r="M18" s="1" t="s">
        <v>28</v>
      </c>
      <c r="N18" s="1" t="s">
        <v>14</v>
      </c>
      <c r="O18" s="1" t="s">
        <v>16</v>
      </c>
      <c r="P18" s="1" t="s">
        <v>30</v>
      </c>
      <c r="Q18" s="1" t="s">
        <v>32</v>
      </c>
      <c r="R18" s="1" t="s">
        <v>34</v>
      </c>
    </row>
    <row r="19" spans="2:18">
      <c r="H19" s="1" t="s">
        <v>11</v>
      </c>
      <c r="I19" s="9">
        <v>2.0000000000000001E-4</v>
      </c>
      <c r="J19" s="9">
        <v>2.0000000000000001E-4</v>
      </c>
      <c r="K19" s="9">
        <v>2.0000000000000001E-4</v>
      </c>
      <c r="L19" s="9">
        <v>2.0000000000000001E-4</v>
      </c>
      <c r="M19" s="9">
        <v>2.0000000000000001E-4</v>
      </c>
      <c r="N19" s="9">
        <v>2.0000000000000001E-4</v>
      </c>
      <c r="O19" s="9">
        <v>2.0000000000000001E-4</v>
      </c>
      <c r="P19" s="9">
        <v>2.0000000000000001E-4</v>
      </c>
      <c r="Q19" s="9">
        <v>2.0000000000000001E-4</v>
      </c>
      <c r="R19" s="9">
        <v>2.0000000000000001E-4</v>
      </c>
    </row>
    <row r="20" spans="2:18">
      <c r="H20" s="1" t="s">
        <v>20</v>
      </c>
      <c r="I20" s="9">
        <v>2.0000000000000001E-4</v>
      </c>
      <c r="J20" s="9">
        <v>2.0000000000000001E-4</v>
      </c>
      <c r="K20" s="9">
        <v>2.0000000000000001E-4</v>
      </c>
      <c r="L20" s="9">
        <v>2.0000000000000001E-4</v>
      </c>
      <c r="M20" s="9">
        <v>2.0000000000000001E-4</v>
      </c>
      <c r="N20" s="9">
        <v>2.0000000000000001E-4</v>
      </c>
      <c r="O20" s="9">
        <v>2.0000000000000001E-4</v>
      </c>
      <c r="P20" s="9">
        <v>2.0000000000000001E-4</v>
      </c>
      <c r="Q20" s="9">
        <v>2.0000000000000001E-4</v>
      </c>
      <c r="R20" s="9">
        <v>2.0000000000000001E-4</v>
      </c>
    </row>
    <row r="21" spans="2:18">
      <c r="B21" s="80" t="s">
        <v>111</v>
      </c>
      <c r="C21" s="1" t="s">
        <v>11</v>
      </c>
      <c r="D21" s="1" t="s">
        <v>20</v>
      </c>
      <c r="E21" s="1" t="s">
        <v>14</v>
      </c>
      <c r="F21" s="1" t="s">
        <v>16</v>
      </c>
      <c r="H21" s="1" t="s">
        <v>14</v>
      </c>
      <c r="I21" s="9">
        <v>2.0000000000000001E-4</v>
      </c>
      <c r="J21" s="9">
        <v>2.0000000000000001E-4</v>
      </c>
      <c r="K21" s="9">
        <v>2.0000000000000001E-4</v>
      </c>
      <c r="L21" s="9">
        <v>2.0000000000000001E-4</v>
      </c>
      <c r="M21" s="9">
        <v>2.0000000000000001E-4</v>
      </c>
      <c r="N21" s="9">
        <v>2.0000000000000001E-4</v>
      </c>
      <c r="O21" s="9">
        <v>2.0000000000000001E-4</v>
      </c>
      <c r="P21" s="9">
        <v>2.0000000000000001E-4</v>
      </c>
      <c r="Q21" s="9">
        <v>2.0000000000000001E-4</v>
      </c>
      <c r="R21" s="9">
        <v>2.0000000000000001E-4</v>
      </c>
    </row>
    <row r="22" spans="2:18">
      <c r="B22" s="1" t="s">
        <v>78</v>
      </c>
      <c r="C22" s="22">
        <v>1</v>
      </c>
      <c r="D22" s="22">
        <v>1</v>
      </c>
      <c r="E22" s="22">
        <v>1</v>
      </c>
      <c r="F22" s="22">
        <v>1</v>
      </c>
      <c r="H22" s="1" t="s">
        <v>16</v>
      </c>
      <c r="I22" s="9">
        <v>2.0000000000000001E-4</v>
      </c>
      <c r="J22" s="9">
        <v>2.0000000000000001E-4</v>
      </c>
      <c r="K22" s="9">
        <v>2.0000000000000001E-4</v>
      </c>
      <c r="L22" s="9">
        <v>2.0000000000000001E-4</v>
      </c>
      <c r="M22" s="9">
        <v>2.0000000000000001E-4</v>
      </c>
      <c r="N22" s="9">
        <v>2.0000000000000001E-4</v>
      </c>
      <c r="O22" s="9">
        <v>2.0000000000000001E-4</v>
      </c>
      <c r="P22" s="9">
        <v>2.0000000000000001E-4</v>
      </c>
      <c r="Q22" s="9">
        <v>2.0000000000000001E-4</v>
      </c>
      <c r="R22" s="9">
        <v>2.0000000000000001E-4</v>
      </c>
    </row>
    <row r="24" spans="2:18">
      <c r="C24" s="1" t="s">
        <v>80</v>
      </c>
      <c r="D24" s="1"/>
      <c r="E24" s="1">
        <f>SUM(C22:F22)</f>
        <v>4</v>
      </c>
    </row>
    <row r="25" spans="2:18">
      <c r="C25" s="49" t="s">
        <v>82</v>
      </c>
      <c r="D25" s="49"/>
      <c r="E25" s="49">
        <v>4</v>
      </c>
    </row>
    <row r="26" spans="2:18" ht="16.5" thickBot="1">
      <c r="K26" s="5"/>
      <c r="L26" s="5"/>
      <c r="M26" s="5"/>
    </row>
    <row r="27" spans="2:18" ht="16.5" thickBot="1">
      <c r="H27" s="174" t="s">
        <v>43</v>
      </c>
      <c r="I27" s="175"/>
      <c r="J27" s="176"/>
      <c r="K27" s="51" t="s">
        <v>61</v>
      </c>
      <c r="L27" s="37"/>
      <c r="M27" s="51" t="s">
        <v>60</v>
      </c>
    </row>
    <row r="28" spans="2:18">
      <c r="H28" s="177" t="s">
        <v>44</v>
      </c>
      <c r="I28" s="178"/>
      <c r="J28" s="178"/>
      <c r="K28" s="50"/>
      <c r="L28" s="25"/>
      <c r="M28" s="27"/>
    </row>
    <row r="29" spans="2:18">
      <c r="H29" s="52" t="s">
        <v>45</v>
      </c>
      <c r="I29" s="25"/>
      <c r="J29" s="25"/>
      <c r="K29" s="90">
        <f>SUM(C11:F11)</f>
        <v>3703467</v>
      </c>
      <c r="L29" s="1" t="s">
        <v>62</v>
      </c>
      <c r="M29" s="53">
        <v>4900000</v>
      </c>
    </row>
    <row r="30" spans="2:18">
      <c r="H30" s="28" t="s">
        <v>46</v>
      </c>
      <c r="I30" s="1"/>
      <c r="J30" s="1"/>
      <c r="K30" s="90">
        <f>SUM(C12:F12)</f>
        <v>2000000</v>
      </c>
      <c r="L30" s="1" t="s">
        <v>62</v>
      </c>
      <c r="M30" s="53">
        <v>2000000</v>
      </c>
    </row>
    <row r="31" spans="2:18">
      <c r="H31" s="165"/>
      <c r="I31" s="161"/>
      <c r="J31" s="162"/>
      <c r="K31" s="12"/>
      <c r="L31" s="1"/>
      <c r="M31" s="53"/>
    </row>
    <row r="32" spans="2:18">
      <c r="H32" s="185" t="s">
        <v>47</v>
      </c>
      <c r="I32" s="186"/>
      <c r="J32" s="187"/>
      <c r="K32" s="12"/>
      <c r="L32" s="1"/>
      <c r="M32" s="53"/>
    </row>
    <row r="33" spans="2:14">
      <c r="H33" s="169" t="s">
        <v>48</v>
      </c>
      <c r="I33" s="170"/>
      <c r="J33" s="170"/>
      <c r="K33" s="90">
        <f>SUM(I12:I15)</f>
        <v>900258</v>
      </c>
      <c r="L33" s="12" t="s">
        <v>64</v>
      </c>
      <c r="M33" s="53">
        <v>900258</v>
      </c>
      <c r="N33" t="s">
        <v>63</v>
      </c>
    </row>
    <row r="34" spans="2:14">
      <c r="B34" s="55" t="s">
        <v>83</v>
      </c>
      <c r="C34" s="5"/>
      <c r="H34" s="169" t="s">
        <v>49</v>
      </c>
      <c r="I34" s="170"/>
      <c r="J34" s="170"/>
      <c r="K34" s="90">
        <f>SUM(J12:J15)</f>
        <v>39120</v>
      </c>
      <c r="L34" s="12" t="s">
        <v>64</v>
      </c>
      <c r="M34" s="53">
        <v>39120</v>
      </c>
      <c r="N34" t="s">
        <v>63</v>
      </c>
    </row>
    <row r="35" spans="2:14">
      <c r="B35" s="5"/>
      <c r="C35" s="5"/>
      <c r="H35" s="169" t="s">
        <v>50</v>
      </c>
      <c r="I35" s="170"/>
      <c r="J35" s="170"/>
      <c r="K35" s="90">
        <f>SUM(K12:K15)</f>
        <v>199291</v>
      </c>
      <c r="L35" s="12" t="s">
        <v>64</v>
      </c>
      <c r="M35" s="53">
        <v>199291</v>
      </c>
      <c r="N35" t="s">
        <v>63</v>
      </c>
    </row>
    <row r="36" spans="2:14">
      <c r="B36" s="1" t="s">
        <v>75</v>
      </c>
      <c r="C36" s="20">
        <f>200000*E24</f>
        <v>800000</v>
      </c>
      <c r="H36" s="169" t="s">
        <v>51</v>
      </c>
      <c r="I36" s="170"/>
      <c r="J36" s="170"/>
      <c r="K36" s="90">
        <f>SUM(L12:L15)</f>
        <v>486817</v>
      </c>
      <c r="L36" s="12" t="s">
        <v>64</v>
      </c>
      <c r="M36" s="53">
        <v>486817</v>
      </c>
      <c r="N36" t="s">
        <v>63</v>
      </c>
    </row>
    <row r="37" spans="2:14">
      <c r="B37" s="1"/>
      <c r="C37" s="1"/>
      <c r="H37" s="169" t="s">
        <v>52</v>
      </c>
      <c r="I37" s="170"/>
      <c r="J37" s="170"/>
      <c r="K37" s="90">
        <f>SUM(M12:M15)</f>
        <v>599628</v>
      </c>
      <c r="L37" s="12" t="s">
        <v>64</v>
      </c>
      <c r="M37" s="53">
        <v>599628</v>
      </c>
      <c r="N37" t="s">
        <v>63</v>
      </c>
    </row>
    <row r="38" spans="2:14">
      <c r="B38" s="1" t="s">
        <v>41</v>
      </c>
      <c r="C38" s="20">
        <f>SUMPRODUCT(C5:F6,C11:F12,C17:F18)</f>
        <v>617140.6078</v>
      </c>
      <c r="H38" s="169" t="s">
        <v>53</v>
      </c>
      <c r="I38" s="170"/>
      <c r="J38" s="170"/>
      <c r="K38" s="90">
        <f>SUM(N12:N15)</f>
        <v>1340685</v>
      </c>
      <c r="L38" s="12" t="s">
        <v>64</v>
      </c>
      <c r="M38" s="53">
        <v>1340685</v>
      </c>
      <c r="N38" t="s">
        <v>63</v>
      </c>
    </row>
    <row r="39" spans="2:14">
      <c r="B39" s="1"/>
      <c r="C39" s="20"/>
      <c r="H39" s="169" t="s">
        <v>54</v>
      </c>
      <c r="I39" s="170"/>
      <c r="J39" s="170"/>
      <c r="K39" s="90">
        <f>SUM(O12:O15)</f>
        <v>386168</v>
      </c>
      <c r="L39" s="12" t="s">
        <v>64</v>
      </c>
      <c r="M39" s="53">
        <v>386168</v>
      </c>
      <c r="N39" t="s">
        <v>63</v>
      </c>
    </row>
    <row r="40" spans="2:14">
      <c r="B40" s="1" t="s">
        <v>42</v>
      </c>
      <c r="C40" s="20">
        <f>SUMPRODUCT(I5:R8,I12:R15,I19:R22)</f>
        <v>251799.30680000002</v>
      </c>
      <c r="H40" s="169" t="s">
        <v>55</v>
      </c>
      <c r="I40" s="170"/>
      <c r="J40" s="170"/>
      <c r="K40" s="90">
        <f>SUM(P12:P15)</f>
        <v>998830</v>
      </c>
      <c r="L40" s="12" t="s">
        <v>64</v>
      </c>
      <c r="M40" s="53">
        <v>998830</v>
      </c>
      <c r="N40" t="s">
        <v>63</v>
      </c>
    </row>
    <row r="41" spans="2:14" ht="16.5" thickBot="1">
      <c r="B41" s="46"/>
      <c r="C41" s="47"/>
      <c r="H41" s="169" t="s">
        <v>56</v>
      </c>
      <c r="I41" s="170"/>
      <c r="J41" s="170"/>
      <c r="K41" s="90">
        <f>SUM(Q12:Q15)</f>
        <v>228743</v>
      </c>
      <c r="L41" s="12" t="s">
        <v>64</v>
      </c>
      <c r="M41" s="53">
        <v>228743</v>
      </c>
      <c r="N41" t="s">
        <v>63</v>
      </c>
    </row>
    <row r="42" spans="2:14" ht="16.5" thickBot="1">
      <c r="B42" s="84" t="s">
        <v>81</v>
      </c>
      <c r="C42" s="85">
        <f>SUM(C36,C38,C40)</f>
        <v>1668939.9145999998</v>
      </c>
      <c r="H42" s="169" t="s">
        <v>57</v>
      </c>
      <c r="I42" s="170"/>
      <c r="J42" s="170"/>
      <c r="K42" s="90">
        <f>SUM(R12:R15)</f>
        <v>523927</v>
      </c>
      <c r="L42" s="12" t="s">
        <v>64</v>
      </c>
      <c r="M42" s="53">
        <v>523927</v>
      </c>
      <c r="N42" t="s">
        <v>63</v>
      </c>
    </row>
    <row r="43" spans="2:14">
      <c r="B43" s="48" t="s">
        <v>92</v>
      </c>
      <c r="H43" s="169"/>
      <c r="I43" s="170"/>
      <c r="J43" s="170"/>
      <c r="K43" s="1"/>
      <c r="L43" s="1"/>
      <c r="M43" s="30"/>
    </row>
    <row r="44" spans="2:14">
      <c r="H44" s="185" t="s">
        <v>58</v>
      </c>
      <c r="I44" s="186"/>
      <c r="J44" s="187"/>
      <c r="K44" s="1"/>
      <c r="L44" s="1"/>
      <c r="M44" s="30"/>
    </row>
    <row r="45" spans="2:14">
      <c r="H45" s="31" t="s">
        <v>59</v>
      </c>
      <c r="I45" s="26"/>
      <c r="J45" s="26"/>
      <c r="K45" s="26"/>
      <c r="L45" s="1"/>
      <c r="M45" s="30"/>
    </row>
    <row r="46" spans="2:14">
      <c r="B46" t="s">
        <v>93</v>
      </c>
      <c r="H46" s="28" t="s">
        <v>65</v>
      </c>
      <c r="I46" s="1"/>
      <c r="J46" s="1"/>
      <c r="K46" s="90">
        <f>SUM(C11:C12)</f>
        <v>1513183</v>
      </c>
      <c r="L46" s="12" t="s">
        <v>73</v>
      </c>
      <c r="M46" s="92">
        <f>SUM(I12:R12)</f>
        <v>1513183</v>
      </c>
      <c r="N46" t="s">
        <v>66</v>
      </c>
    </row>
    <row r="47" spans="2:14">
      <c r="B47" s="86"/>
      <c r="C47" s="1" t="s">
        <v>94</v>
      </c>
      <c r="H47" s="28" t="s">
        <v>67</v>
      </c>
      <c r="I47" s="1"/>
      <c r="J47" s="1"/>
      <c r="K47" s="90">
        <f>SUM(D11:D12)</f>
        <v>486817</v>
      </c>
      <c r="L47" s="12" t="s">
        <v>73</v>
      </c>
      <c r="M47" s="92">
        <f>SUM(I13:R13)</f>
        <v>486817</v>
      </c>
      <c r="N47" t="s">
        <v>68</v>
      </c>
    </row>
    <row r="48" spans="2:14">
      <c r="B48" s="49"/>
      <c r="C48" s="1" t="s">
        <v>77</v>
      </c>
      <c r="H48" s="28" t="s">
        <v>69</v>
      </c>
      <c r="I48" s="1"/>
      <c r="J48" s="1"/>
      <c r="K48" s="90">
        <f>SUM(E11:E12)</f>
        <v>2449808</v>
      </c>
      <c r="L48" s="12" t="s">
        <v>73</v>
      </c>
      <c r="M48" s="92">
        <f>SUM(I14:R14)</f>
        <v>2449808</v>
      </c>
      <c r="N48" t="s">
        <v>70</v>
      </c>
    </row>
    <row r="49" spans="2:14" ht="16.5" thickBot="1">
      <c r="B49" s="22"/>
      <c r="C49" s="1" t="s">
        <v>120</v>
      </c>
      <c r="H49" s="32" t="s">
        <v>71</v>
      </c>
      <c r="I49" s="33"/>
      <c r="J49" s="33"/>
      <c r="K49" s="91">
        <f>SUM(F11:F12)</f>
        <v>1253659</v>
      </c>
      <c r="L49" s="34" t="s">
        <v>73</v>
      </c>
      <c r="M49" s="93">
        <f>SUM(I15:R15)</f>
        <v>1253659</v>
      </c>
      <c r="N49" t="s">
        <v>72</v>
      </c>
    </row>
    <row r="50" spans="2:14" ht="16.5" thickBot="1"/>
    <row r="51" spans="2:14" ht="16.5" thickBot="1">
      <c r="H51" s="171" t="s">
        <v>85</v>
      </c>
      <c r="I51" s="172"/>
      <c r="J51" s="173"/>
    </row>
    <row r="52" spans="2:14">
      <c r="H52" s="38" t="s">
        <v>86</v>
      </c>
      <c r="I52" s="38"/>
      <c r="J52" s="38"/>
      <c r="K52" s="38"/>
      <c r="L52" s="38"/>
    </row>
    <row r="53" spans="2:14">
      <c r="H53" s="38" t="s">
        <v>87</v>
      </c>
      <c r="I53" s="38"/>
      <c r="J53" s="38"/>
    </row>
    <row r="54" spans="2:14">
      <c r="H54" t="s">
        <v>88</v>
      </c>
      <c r="I54" t="s">
        <v>89</v>
      </c>
    </row>
    <row r="55" spans="2:14">
      <c r="I55" t="s">
        <v>90</v>
      </c>
    </row>
  </sheetData>
  <mergeCells count="25">
    <mergeCell ref="H51:J51"/>
    <mergeCell ref="H44:J44"/>
    <mergeCell ref="T11:V11"/>
    <mergeCell ref="H27:J27"/>
    <mergeCell ref="H28:J28"/>
    <mergeCell ref="H31:J31"/>
    <mergeCell ref="H32:J32"/>
    <mergeCell ref="H38:J38"/>
    <mergeCell ref="H39:J39"/>
    <mergeCell ref="H40:J40"/>
    <mergeCell ref="H41:J41"/>
    <mergeCell ref="H42:J42"/>
    <mergeCell ref="H43:J43"/>
    <mergeCell ref="I17:R17"/>
    <mergeCell ref="H33:J33"/>
    <mergeCell ref="H34:J34"/>
    <mergeCell ref="H35:J35"/>
    <mergeCell ref="H36:J36"/>
    <mergeCell ref="H37:J37"/>
    <mergeCell ref="C3:F3"/>
    <mergeCell ref="I3:R3"/>
    <mergeCell ref="C9:F9"/>
    <mergeCell ref="I10:R10"/>
    <mergeCell ref="C15:F15"/>
    <mergeCell ref="Q16:R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8D521-6A7D-49FE-8DD2-38508395BD38}">
  <dimension ref="A1:K10"/>
  <sheetViews>
    <sheetView showGridLines="0" workbookViewId="0"/>
  </sheetViews>
  <sheetFormatPr defaultColWidth="8.875" defaultRowHeight="15.75"/>
  <cols>
    <col min="2" max="2" width="13.625" bestFit="1" customWidth="1"/>
  </cols>
  <sheetData>
    <row r="1" spans="1:11">
      <c r="A1" s="57" t="s">
        <v>126</v>
      </c>
      <c r="K1" s="61" t="str">
        <f>CONCATENATE("Sensitivity of ",$K$4," to ","Input")</f>
        <v>Sensitivity of Total Cost to Input</v>
      </c>
    </row>
    <row r="3" spans="1:11">
      <c r="A3" t="s">
        <v>98</v>
      </c>
      <c r="K3" t="s">
        <v>99</v>
      </c>
    </row>
    <row r="4" spans="1:11" ht="54.75">
      <c r="B4" s="66" t="s">
        <v>81</v>
      </c>
      <c r="J4" s="61">
        <f>MATCH($K$4,OutputAddresses,0)</f>
        <v>1</v>
      </c>
      <c r="K4" s="59" t="s">
        <v>81</v>
      </c>
    </row>
    <row r="5" spans="1:11">
      <c r="A5" s="58">
        <v>1</v>
      </c>
      <c r="B5" s="62">
        <v>1951845.87</v>
      </c>
      <c r="K5">
        <f>INDEX(OutputValues,1,$J$4)</f>
        <v>1951845.87</v>
      </c>
    </row>
    <row r="6" spans="1:11">
      <c r="A6" s="58">
        <v>2</v>
      </c>
      <c r="B6" s="63">
        <v>1463771.08</v>
      </c>
      <c r="K6">
        <f>INDEX(OutputValues,2,$J$4)</f>
        <v>1463771.08</v>
      </c>
    </row>
    <row r="7" spans="1:11">
      <c r="A7" s="58">
        <v>3</v>
      </c>
      <c r="B7" s="63">
        <v>1542157.19</v>
      </c>
      <c r="K7">
        <f>INDEX(OutputValues,3,$J$4)</f>
        <v>1542157.19</v>
      </c>
    </row>
    <row r="8" spans="1:11">
      <c r="A8" s="58">
        <v>4</v>
      </c>
      <c r="B8" s="64">
        <v>1668939.91</v>
      </c>
      <c r="K8">
        <f>INDEX(OutputValues,4,$J$4)</f>
        <v>1668939.91</v>
      </c>
    </row>
    <row r="10" spans="1:11">
      <c r="B10" s="6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0F31-D885-4E83-BCEC-E9B1E3E792CD}">
  <dimension ref="B2:V55"/>
  <sheetViews>
    <sheetView showGridLines="0" zoomScale="85" zoomScaleNormal="85" workbookViewId="0"/>
  </sheetViews>
  <sheetFormatPr defaultColWidth="11" defaultRowHeight="15.75"/>
  <cols>
    <col min="1" max="1" width="2" customWidth="1"/>
    <col min="2" max="2" width="22.875" customWidth="1"/>
    <col min="3" max="3" width="15.375" customWidth="1"/>
    <col min="7" max="7" width="6" customWidth="1"/>
    <col min="8" max="8" width="14.625" customWidth="1"/>
    <col min="10" max="10" width="15.75" customWidth="1"/>
    <col min="11" max="11" width="17.625" customWidth="1"/>
    <col min="13" max="13" width="14.125" customWidth="1"/>
    <col min="15" max="15" width="14.125" customWidth="1"/>
    <col min="19" max="19" width="17.125" customWidth="1"/>
    <col min="20" max="20" width="14.25" bestFit="1" customWidth="1"/>
    <col min="21" max="21" width="6.625" customWidth="1"/>
    <col min="22" max="22" width="7.125" customWidth="1"/>
  </cols>
  <sheetData>
    <row r="2" spans="2:22">
      <c r="B2" s="54" t="s">
        <v>39</v>
      </c>
      <c r="H2" s="54" t="s">
        <v>112</v>
      </c>
    </row>
    <row r="3" spans="2:22">
      <c r="B3" s="1" t="s">
        <v>40</v>
      </c>
      <c r="C3" s="155" t="s">
        <v>109</v>
      </c>
      <c r="D3" s="156"/>
      <c r="E3" s="156"/>
      <c r="F3" s="157"/>
      <c r="H3" s="7" t="s">
        <v>40</v>
      </c>
      <c r="I3" s="163" t="s">
        <v>113</v>
      </c>
      <c r="J3" s="163"/>
      <c r="K3" s="163"/>
      <c r="L3" s="163"/>
      <c r="M3" s="163"/>
      <c r="N3" s="163"/>
      <c r="O3" s="163"/>
      <c r="P3" s="163"/>
      <c r="Q3" s="163"/>
      <c r="R3" s="163"/>
    </row>
    <row r="4" spans="2:22">
      <c r="B4" s="80" t="s">
        <v>110</v>
      </c>
      <c r="C4" s="1" t="s">
        <v>11</v>
      </c>
      <c r="D4" s="1" t="s">
        <v>20</v>
      </c>
      <c r="E4" s="1" t="s">
        <v>14</v>
      </c>
      <c r="F4" s="1" t="s">
        <v>16</v>
      </c>
      <c r="H4" s="80" t="s">
        <v>109</v>
      </c>
      <c r="I4" s="7" t="s">
        <v>11</v>
      </c>
      <c r="J4" s="7" t="s">
        <v>36</v>
      </c>
      <c r="K4" s="7" t="s">
        <v>26</v>
      </c>
      <c r="L4" s="7" t="s">
        <v>20</v>
      </c>
      <c r="M4" s="7" t="s">
        <v>28</v>
      </c>
      <c r="N4" s="7" t="s">
        <v>14</v>
      </c>
      <c r="O4" s="7" t="s">
        <v>16</v>
      </c>
      <c r="P4" s="7" t="s">
        <v>30</v>
      </c>
      <c r="Q4" s="7" t="s">
        <v>32</v>
      </c>
      <c r="R4" s="7" t="s">
        <v>34</v>
      </c>
    </row>
    <row r="5" spans="2:22">
      <c r="B5" s="1" t="s">
        <v>9</v>
      </c>
      <c r="C5" s="77">
        <v>1760</v>
      </c>
      <c r="D5" s="77">
        <v>2319</v>
      </c>
      <c r="E5" s="77">
        <v>733</v>
      </c>
      <c r="F5" s="77">
        <v>1648</v>
      </c>
      <c r="H5" s="7" t="s">
        <v>11</v>
      </c>
      <c r="I5" s="78">
        <v>12</v>
      </c>
      <c r="J5" s="78">
        <v>2895</v>
      </c>
      <c r="K5" s="78">
        <v>389</v>
      </c>
      <c r="L5" s="78">
        <v>591</v>
      </c>
      <c r="M5" s="78">
        <v>3002</v>
      </c>
      <c r="N5" s="78">
        <v>2016</v>
      </c>
      <c r="O5" s="78">
        <v>2794</v>
      </c>
      <c r="P5" s="78">
        <v>2188</v>
      </c>
      <c r="Q5" s="78">
        <v>3757</v>
      </c>
      <c r="R5" s="78">
        <v>828</v>
      </c>
    </row>
    <row r="6" spans="2:22">
      <c r="B6" s="1" t="s">
        <v>18</v>
      </c>
      <c r="C6" s="78">
        <v>1241</v>
      </c>
      <c r="D6" s="77">
        <v>887</v>
      </c>
      <c r="E6" s="77">
        <v>2557</v>
      </c>
      <c r="F6" s="77">
        <v>3493</v>
      </c>
      <c r="H6" s="7" t="s">
        <v>20</v>
      </c>
      <c r="I6" s="78">
        <v>592</v>
      </c>
      <c r="J6" s="78">
        <v>3526</v>
      </c>
      <c r="K6" s="78">
        <v>973</v>
      </c>
      <c r="L6" s="78">
        <v>16</v>
      </c>
      <c r="M6" s="78">
        <v>3585</v>
      </c>
      <c r="N6" s="78">
        <v>2608</v>
      </c>
      <c r="O6" s="78">
        <v>3425</v>
      </c>
      <c r="P6" s="78">
        <v>2819</v>
      </c>
      <c r="Q6" s="78">
        <v>4388</v>
      </c>
      <c r="R6" s="78">
        <v>1416</v>
      </c>
    </row>
    <row r="7" spans="2:22">
      <c r="H7" s="7" t="s">
        <v>14</v>
      </c>
      <c r="I7" s="78">
        <v>2016</v>
      </c>
      <c r="J7" s="78">
        <v>1047</v>
      </c>
      <c r="K7" s="78">
        <v>1683</v>
      </c>
      <c r="L7" s="78">
        <v>2586</v>
      </c>
      <c r="M7" s="78">
        <v>1107</v>
      </c>
      <c r="N7" s="78">
        <v>19</v>
      </c>
      <c r="O7" s="78">
        <v>946</v>
      </c>
      <c r="P7" s="78">
        <v>330</v>
      </c>
      <c r="Q7" s="78">
        <v>1910</v>
      </c>
      <c r="R7" s="78">
        <v>1269</v>
      </c>
    </row>
    <row r="8" spans="2:22">
      <c r="H8" s="7" t="s">
        <v>16</v>
      </c>
      <c r="I8" s="78">
        <v>2791</v>
      </c>
      <c r="J8" s="78">
        <v>102</v>
      </c>
      <c r="K8" s="78">
        <v>2479</v>
      </c>
      <c r="L8" s="78">
        <v>3422</v>
      </c>
      <c r="M8" s="78">
        <v>162</v>
      </c>
      <c r="N8" s="78">
        <v>946</v>
      </c>
      <c r="O8" s="78">
        <v>9</v>
      </c>
      <c r="P8" s="78">
        <v>608</v>
      </c>
      <c r="Q8" s="78">
        <v>965</v>
      </c>
      <c r="R8" s="78">
        <v>2009</v>
      </c>
    </row>
    <row r="9" spans="2:22">
      <c r="B9" s="1" t="s">
        <v>5</v>
      </c>
      <c r="C9" s="155" t="s">
        <v>109</v>
      </c>
      <c r="D9" s="156"/>
      <c r="E9" s="156"/>
      <c r="F9" s="157"/>
      <c r="H9" s="5"/>
      <c r="I9" s="8"/>
      <c r="J9" s="8"/>
      <c r="K9" s="8"/>
      <c r="L9" s="8"/>
      <c r="M9" s="8"/>
      <c r="N9" s="8"/>
      <c r="O9" s="8"/>
      <c r="P9" s="8"/>
      <c r="Q9" s="8"/>
      <c r="R9" s="8"/>
    </row>
    <row r="10" spans="2:22" ht="16.5" thickBot="1">
      <c r="B10" s="80" t="s">
        <v>110</v>
      </c>
      <c r="C10" s="1" t="s">
        <v>11</v>
      </c>
      <c r="D10" s="1" t="s">
        <v>20</v>
      </c>
      <c r="E10" s="1" t="s">
        <v>14</v>
      </c>
      <c r="F10" s="1" t="s">
        <v>16</v>
      </c>
      <c r="H10" s="1" t="s">
        <v>5</v>
      </c>
      <c r="I10" s="163" t="s">
        <v>113</v>
      </c>
      <c r="J10" s="163"/>
      <c r="K10" s="163"/>
      <c r="L10" s="163"/>
      <c r="M10" s="163"/>
      <c r="N10" s="163"/>
      <c r="O10" s="163"/>
      <c r="P10" s="163"/>
      <c r="Q10" s="163"/>
      <c r="R10" s="163"/>
    </row>
    <row r="11" spans="2:22" ht="16.5" thickBot="1">
      <c r="B11" s="1" t="s">
        <v>9</v>
      </c>
      <c r="C11" s="83">
        <v>0</v>
      </c>
      <c r="D11" s="83">
        <v>0</v>
      </c>
      <c r="E11" s="83">
        <v>3593174</v>
      </c>
      <c r="F11" s="83">
        <v>0</v>
      </c>
      <c r="H11" s="80" t="s">
        <v>109</v>
      </c>
      <c r="I11" s="1" t="s">
        <v>11</v>
      </c>
      <c r="J11" s="1" t="s">
        <v>36</v>
      </c>
      <c r="K11" s="1" t="s">
        <v>26</v>
      </c>
      <c r="L11" s="1" t="s">
        <v>20</v>
      </c>
      <c r="M11" s="1" t="s">
        <v>28</v>
      </c>
      <c r="N11" s="1" t="s">
        <v>14</v>
      </c>
      <c r="O11" s="1" t="s">
        <v>16</v>
      </c>
      <c r="P11" s="1" t="s">
        <v>30</v>
      </c>
      <c r="Q11" s="1" t="s">
        <v>32</v>
      </c>
      <c r="R11" s="1" t="s">
        <v>34</v>
      </c>
      <c r="S11" s="39" t="s">
        <v>76</v>
      </c>
      <c r="T11" s="171" t="s">
        <v>91</v>
      </c>
      <c r="U11" s="172"/>
      <c r="V11" s="173"/>
    </row>
    <row r="12" spans="2:22">
      <c r="B12" s="1" t="s">
        <v>18</v>
      </c>
      <c r="C12" s="83">
        <v>2110293</v>
      </c>
      <c r="D12" s="113">
        <v>5.8207660913467407E-11</v>
      </c>
      <c r="E12" s="83">
        <v>0</v>
      </c>
      <c r="F12" s="83">
        <v>0</v>
      </c>
      <c r="H12" s="1" t="s">
        <v>11</v>
      </c>
      <c r="I12" s="23">
        <v>900257.99999999988</v>
      </c>
      <c r="J12" s="23">
        <v>0</v>
      </c>
      <c r="K12" s="23">
        <v>199291</v>
      </c>
      <c r="L12" s="23">
        <v>486816.99999999994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523927</v>
      </c>
      <c r="S12" s="76">
        <f>SUM(I12:R12)</f>
        <v>2110293</v>
      </c>
      <c r="T12" s="79">
        <f>S12-(C22*$S$16)</f>
        <v>-3593174</v>
      </c>
      <c r="U12" s="19" t="s">
        <v>62</v>
      </c>
      <c r="V12" s="41">
        <v>0</v>
      </c>
    </row>
    <row r="13" spans="2:22">
      <c r="B13" s="5"/>
      <c r="C13" s="14"/>
      <c r="D13" s="14"/>
      <c r="E13" s="14"/>
      <c r="F13" s="14"/>
      <c r="H13" s="1" t="s">
        <v>20</v>
      </c>
      <c r="I13" s="23">
        <v>0</v>
      </c>
      <c r="J13" s="23">
        <v>0</v>
      </c>
      <c r="K13" s="23">
        <v>0</v>
      </c>
      <c r="L13" s="114">
        <v>5.8207660913467407E-11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115">
        <f t="shared" ref="S13:S15" si="0">SUM(I13:R13)</f>
        <v>5.8207660913467407E-11</v>
      </c>
      <c r="T13" s="116">
        <f>S13-(D22*S16)</f>
        <v>5.8207660913467407E-11</v>
      </c>
      <c r="U13" s="77" t="s">
        <v>62</v>
      </c>
      <c r="V13" s="43">
        <v>0</v>
      </c>
    </row>
    <row r="14" spans="2:22">
      <c r="C14" s="15"/>
      <c r="D14" s="15"/>
      <c r="E14" s="15"/>
      <c r="F14" s="15"/>
      <c r="H14" s="1" t="s">
        <v>14</v>
      </c>
      <c r="I14" s="23">
        <v>0</v>
      </c>
      <c r="J14" s="23">
        <v>39120</v>
      </c>
      <c r="K14" s="23">
        <v>0</v>
      </c>
      <c r="L14" s="23">
        <v>0</v>
      </c>
      <c r="M14" s="23">
        <v>599628</v>
      </c>
      <c r="N14" s="23">
        <v>1340685</v>
      </c>
      <c r="O14" s="23">
        <v>386168</v>
      </c>
      <c r="P14" s="23">
        <v>998830</v>
      </c>
      <c r="Q14" s="23">
        <v>228743</v>
      </c>
      <c r="R14" s="23">
        <v>0</v>
      </c>
      <c r="S14" s="76">
        <f t="shared" si="0"/>
        <v>3593174</v>
      </c>
      <c r="T14" s="42">
        <f>S14-(E22*S16)</f>
        <v>-2110293</v>
      </c>
      <c r="U14" s="77" t="s">
        <v>62</v>
      </c>
      <c r="V14" s="43">
        <v>0</v>
      </c>
    </row>
    <row r="15" spans="2:22" ht="16.5" thickBot="1">
      <c r="B15" s="1" t="s">
        <v>7</v>
      </c>
      <c r="C15" s="160" t="s">
        <v>109</v>
      </c>
      <c r="D15" s="161"/>
      <c r="E15" s="161"/>
      <c r="F15" s="162"/>
      <c r="H15" s="1" t="s">
        <v>16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40">
        <f t="shared" si="0"/>
        <v>0</v>
      </c>
      <c r="T15" s="44">
        <f>S15-(F22*S16)</f>
        <v>0</v>
      </c>
      <c r="U15" s="34" t="s">
        <v>62</v>
      </c>
      <c r="V15" s="45">
        <v>0</v>
      </c>
    </row>
    <row r="16" spans="2:22" ht="16.5" thickBot="1">
      <c r="B16" s="80" t="s">
        <v>110</v>
      </c>
      <c r="C16" s="1" t="s">
        <v>11</v>
      </c>
      <c r="D16" s="1" t="s">
        <v>20</v>
      </c>
      <c r="E16" s="1" t="s">
        <v>14</v>
      </c>
      <c r="F16" s="1" t="s">
        <v>16</v>
      </c>
      <c r="Q16" s="181" t="s">
        <v>79</v>
      </c>
      <c r="R16" s="182"/>
      <c r="S16" s="16">
        <f>SUM(M33:M42)</f>
        <v>5703467</v>
      </c>
    </row>
    <row r="17" spans="2:18">
      <c r="B17" s="1" t="s">
        <v>9</v>
      </c>
      <c r="C17" s="10">
        <v>1E-4</v>
      </c>
      <c r="D17" s="10">
        <v>1E-4</v>
      </c>
      <c r="E17" s="10">
        <v>1E-4</v>
      </c>
      <c r="F17" s="10">
        <v>1E-4</v>
      </c>
      <c r="H17" s="1" t="s">
        <v>7</v>
      </c>
      <c r="I17" s="155" t="s">
        <v>113</v>
      </c>
      <c r="J17" s="156"/>
      <c r="K17" s="156"/>
      <c r="L17" s="156"/>
      <c r="M17" s="156"/>
      <c r="N17" s="156"/>
      <c r="O17" s="156"/>
      <c r="P17" s="156"/>
      <c r="Q17" s="179"/>
      <c r="R17" s="180"/>
    </row>
    <row r="18" spans="2:18">
      <c r="B18" s="1" t="s">
        <v>18</v>
      </c>
      <c r="C18" s="10">
        <v>1E-4</v>
      </c>
      <c r="D18" s="10">
        <v>1E-4</v>
      </c>
      <c r="E18" s="10">
        <v>1E-4</v>
      </c>
      <c r="F18" s="10">
        <v>1E-4</v>
      </c>
      <c r="H18" s="80" t="s">
        <v>109</v>
      </c>
      <c r="I18" s="1" t="s">
        <v>11</v>
      </c>
      <c r="J18" s="1" t="s">
        <v>36</v>
      </c>
      <c r="K18" s="1" t="s">
        <v>26</v>
      </c>
      <c r="L18" s="1" t="s">
        <v>20</v>
      </c>
      <c r="M18" s="1" t="s">
        <v>28</v>
      </c>
      <c r="N18" s="1" t="s">
        <v>14</v>
      </c>
      <c r="O18" s="1" t="s">
        <v>16</v>
      </c>
      <c r="P18" s="1" t="s">
        <v>30</v>
      </c>
      <c r="Q18" s="1" t="s">
        <v>32</v>
      </c>
      <c r="R18" s="1" t="s">
        <v>34</v>
      </c>
    </row>
    <row r="19" spans="2:18">
      <c r="H19" s="1" t="s">
        <v>11</v>
      </c>
      <c r="I19" s="9">
        <v>2.0000000000000001E-4</v>
      </c>
      <c r="J19" s="9">
        <v>2.0000000000000001E-4</v>
      </c>
      <c r="K19" s="9">
        <v>2.0000000000000001E-4</v>
      </c>
      <c r="L19" s="9">
        <v>2.0000000000000001E-4</v>
      </c>
      <c r="M19" s="9">
        <v>2.0000000000000001E-4</v>
      </c>
      <c r="N19" s="9">
        <v>2.0000000000000001E-4</v>
      </c>
      <c r="O19" s="9">
        <v>2.0000000000000001E-4</v>
      </c>
      <c r="P19" s="9">
        <v>2.0000000000000001E-4</v>
      </c>
      <c r="Q19" s="9">
        <v>2.0000000000000001E-4</v>
      </c>
      <c r="R19" s="9">
        <v>2.0000000000000001E-4</v>
      </c>
    </row>
    <row r="20" spans="2:18">
      <c r="H20" s="1" t="s">
        <v>20</v>
      </c>
      <c r="I20" s="9">
        <v>2.0000000000000001E-4</v>
      </c>
      <c r="J20" s="9">
        <v>2.0000000000000001E-4</v>
      </c>
      <c r="K20" s="9">
        <v>2.0000000000000001E-4</v>
      </c>
      <c r="L20" s="9">
        <v>2.0000000000000001E-4</v>
      </c>
      <c r="M20" s="9">
        <v>2.0000000000000001E-4</v>
      </c>
      <c r="N20" s="9">
        <v>2.0000000000000001E-4</v>
      </c>
      <c r="O20" s="9">
        <v>2.0000000000000001E-4</v>
      </c>
      <c r="P20" s="9">
        <v>2.0000000000000001E-4</v>
      </c>
      <c r="Q20" s="9">
        <v>2.0000000000000001E-4</v>
      </c>
      <c r="R20" s="9">
        <v>2.0000000000000001E-4</v>
      </c>
    </row>
    <row r="21" spans="2:18">
      <c r="B21" s="80" t="s">
        <v>111</v>
      </c>
      <c r="C21" s="1" t="s">
        <v>11</v>
      </c>
      <c r="D21" s="1" t="s">
        <v>20</v>
      </c>
      <c r="E21" s="1" t="s">
        <v>14</v>
      </c>
      <c r="F21" s="1" t="s">
        <v>16</v>
      </c>
      <c r="H21" s="1" t="s">
        <v>14</v>
      </c>
      <c r="I21" s="9">
        <v>2.0000000000000001E-4</v>
      </c>
      <c r="J21" s="9">
        <v>2.0000000000000001E-4</v>
      </c>
      <c r="K21" s="9">
        <v>2.0000000000000001E-4</v>
      </c>
      <c r="L21" s="9">
        <v>2.0000000000000001E-4</v>
      </c>
      <c r="M21" s="9">
        <v>2.0000000000000001E-4</v>
      </c>
      <c r="N21" s="9">
        <v>2.0000000000000001E-4</v>
      </c>
      <c r="O21" s="9">
        <v>2.0000000000000001E-4</v>
      </c>
      <c r="P21" s="9">
        <v>2.0000000000000001E-4</v>
      </c>
      <c r="Q21" s="9">
        <v>2.0000000000000001E-4</v>
      </c>
      <c r="R21" s="9">
        <v>2.0000000000000001E-4</v>
      </c>
    </row>
    <row r="22" spans="2:18">
      <c r="B22" s="1" t="s">
        <v>78</v>
      </c>
      <c r="C22" s="83">
        <v>1</v>
      </c>
      <c r="D22" s="83">
        <v>0</v>
      </c>
      <c r="E22" s="83">
        <v>1</v>
      </c>
      <c r="F22" s="83">
        <v>0</v>
      </c>
      <c r="H22" s="1" t="s">
        <v>16</v>
      </c>
      <c r="I22" s="9">
        <v>2.0000000000000001E-4</v>
      </c>
      <c r="J22" s="9">
        <v>2.0000000000000001E-4</v>
      </c>
      <c r="K22" s="9">
        <v>2.0000000000000001E-4</v>
      </c>
      <c r="L22" s="9">
        <v>2.0000000000000001E-4</v>
      </c>
      <c r="M22" s="9">
        <v>2.0000000000000001E-4</v>
      </c>
      <c r="N22" s="9">
        <v>2.0000000000000001E-4</v>
      </c>
      <c r="O22" s="9">
        <v>2.0000000000000001E-4</v>
      </c>
      <c r="P22" s="9">
        <v>2.0000000000000001E-4</v>
      </c>
      <c r="Q22" s="9">
        <v>2.0000000000000001E-4</v>
      </c>
      <c r="R22" s="9">
        <v>2.0000000000000001E-4</v>
      </c>
    </row>
    <row r="24" spans="2:18">
      <c r="C24" s="1" t="s">
        <v>80</v>
      </c>
      <c r="D24" s="1"/>
      <c r="E24" s="1">
        <f>SUM(C22:F22)</f>
        <v>2</v>
      </c>
    </row>
    <row r="25" spans="2:18" ht="36" customHeight="1">
      <c r="C25" s="164" t="s">
        <v>84</v>
      </c>
      <c r="D25" s="164"/>
      <c r="E25" s="1"/>
    </row>
    <row r="26" spans="2:18" ht="16.5" thickBot="1"/>
    <row r="27" spans="2:18" ht="16.5" thickBot="1">
      <c r="H27" s="174" t="s">
        <v>43</v>
      </c>
      <c r="I27" s="175"/>
      <c r="J27" s="176"/>
      <c r="K27" s="36" t="s">
        <v>61</v>
      </c>
      <c r="L27" s="37"/>
      <c r="M27" s="36" t="s">
        <v>60</v>
      </c>
      <c r="O27" s="1" t="s">
        <v>125</v>
      </c>
    </row>
    <row r="28" spans="2:18">
      <c r="H28" s="177" t="s">
        <v>44</v>
      </c>
      <c r="I28" s="178"/>
      <c r="J28" s="178"/>
      <c r="K28" s="25"/>
      <c r="L28" s="25"/>
      <c r="M28" s="27"/>
      <c r="O28" s="1"/>
    </row>
    <row r="29" spans="2:18">
      <c r="H29" s="28" t="s">
        <v>45</v>
      </c>
      <c r="I29" s="1"/>
      <c r="J29" s="1"/>
      <c r="K29" s="87">
        <f>SUM(C11:F11)</f>
        <v>3593174</v>
      </c>
      <c r="L29" s="1" t="s">
        <v>62</v>
      </c>
      <c r="M29" s="88">
        <v>3700000</v>
      </c>
      <c r="O29" s="95">
        <f>M29-K29</f>
        <v>106826</v>
      </c>
    </row>
    <row r="30" spans="2:18">
      <c r="H30" s="28" t="s">
        <v>46</v>
      </c>
      <c r="I30" s="1"/>
      <c r="J30" s="1"/>
      <c r="K30" s="87">
        <f>SUM(C12:F12)</f>
        <v>2110293</v>
      </c>
      <c r="L30" s="1" t="s">
        <v>62</v>
      </c>
      <c r="M30" s="88">
        <v>2200000</v>
      </c>
      <c r="O30" s="95">
        <f>M30-K30</f>
        <v>89707</v>
      </c>
    </row>
    <row r="31" spans="2:18">
      <c r="H31" s="165"/>
      <c r="I31" s="161"/>
      <c r="J31" s="161"/>
      <c r="K31" s="161"/>
      <c r="L31" s="161"/>
      <c r="M31" s="166"/>
    </row>
    <row r="32" spans="2:18">
      <c r="H32" s="167" t="s">
        <v>47</v>
      </c>
      <c r="I32" s="168"/>
      <c r="J32" s="168"/>
      <c r="K32" s="1"/>
      <c r="L32" s="1"/>
      <c r="M32" s="29"/>
    </row>
    <row r="33" spans="2:14">
      <c r="H33" s="169" t="s">
        <v>48</v>
      </c>
      <c r="I33" s="170"/>
      <c r="J33" s="170"/>
      <c r="K33" s="87">
        <f>SUM(I12:I15)</f>
        <v>900257.99999999988</v>
      </c>
      <c r="L33" s="77" t="s">
        <v>64</v>
      </c>
      <c r="M33" s="88">
        <v>900258</v>
      </c>
      <c r="N33" t="s">
        <v>63</v>
      </c>
    </row>
    <row r="34" spans="2:14">
      <c r="B34" s="21" t="s">
        <v>83</v>
      </c>
      <c r="H34" s="169" t="s">
        <v>49</v>
      </c>
      <c r="I34" s="170"/>
      <c r="J34" s="170"/>
      <c r="K34" s="87">
        <f>SUM(J12:J15)</f>
        <v>39120</v>
      </c>
      <c r="L34" s="77" t="s">
        <v>64</v>
      </c>
      <c r="M34" s="88">
        <v>39120</v>
      </c>
      <c r="N34" t="s">
        <v>63</v>
      </c>
    </row>
    <row r="35" spans="2:14">
      <c r="H35" s="169" t="s">
        <v>50</v>
      </c>
      <c r="I35" s="170"/>
      <c r="J35" s="170"/>
      <c r="K35" s="87">
        <f>SUM(K12:K15)</f>
        <v>199291</v>
      </c>
      <c r="L35" s="77" t="s">
        <v>64</v>
      </c>
      <c r="M35" s="88">
        <v>199291</v>
      </c>
      <c r="N35" t="s">
        <v>63</v>
      </c>
    </row>
    <row r="36" spans="2:14">
      <c r="B36" s="1" t="s">
        <v>75</v>
      </c>
      <c r="C36" s="20">
        <f>200000*E24</f>
        <v>400000</v>
      </c>
      <c r="H36" s="169" t="s">
        <v>51</v>
      </c>
      <c r="I36" s="170"/>
      <c r="J36" s="170"/>
      <c r="K36" s="87">
        <f>SUM(L12:L15)</f>
        <v>486817</v>
      </c>
      <c r="L36" s="77" t="s">
        <v>64</v>
      </c>
      <c r="M36" s="88">
        <v>486817</v>
      </c>
      <c r="N36" t="s">
        <v>63</v>
      </c>
    </row>
    <row r="37" spans="2:14">
      <c r="B37" s="1"/>
      <c r="C37" s="1"/>
      <c r="H37" s="169" t="s">
        <v>52</v>
      </c>
      <c r="I37" s="170"/>
      <c r="J37" s="170"/>
      <c r="K37" s="87">
        <f>SUM(M12:M15)</f>
        <v>599628</v>
      </c>
      <c r="L37" s="77" t="s">
        <v>64</v>
      </c>
      <c r="M37" s="88">
        <v>599628</v>
      </c>
      <c r="N37" t="s">
        <v>63</v>
      </c>
    </row>
    <row r="38" spans="2:14">
      <c r="B38" s="1" t="s">
        <v>41</v>
      </c>
      <c r="C38" s="20">
        <f>SUMPRODUCT(C5:F6,C11:F12,C17:F18)</f>
        <v>525267.01549999998</v>
      </c>
      <c r="H38" s="169" t="s">
        <v>53</v>
      </c>
      <c r="I38" s="170"/>
      <c r="J38" s="170"/>
      <c r="K38" s="87">
        <f>SUM(N12:N15)</f>
        <v>1340685</v>
      </c>
      <c r="L38" s="77" t="s">
        <v>64</v>
      </c>
      <c r="M38" s="88">
        <v>1340685</v>
      </c>
      <c r="N38" t="s">
        <v>63</v>
      </c>
    </row>
    <row r="39" spans="2:14">
      <c r="B39" s="1"/>
      <c r="C39" s="20"/>
      <c r="H39" s="169" t="s">
        <v>54</v>
      </c>
      <c r="I39" s="170"/>
      <c r="J39" s="170"/>
      <c r="K39" s="87">
        <f>SUM(O12:O15)</f>
        <v>386168</v>
      </c>
      <c r="L39" s="77" t="s">
        <v>64</v>
      </c>
      <c r="M39" s="88">
        <v>386168</v>
      </c>
      <c r="N39" t="s">
        <v>63</v>
      </c>
    </row>
    <row r="40" spans="2:14">
      <c r="B40" s="1" t="s">
        <v>42</v>
      </c>
      <c r="C40" s="20">
        <f>SUMPRODUCT(I5:R8,I12:R15,I19:R22)</f>
        <v>534379.10140000004</v>
      </c>
      <c r="H40" s="169" t="s">
        <v>55</v>
      </c>
      <c r="I40" s="170"/>
      <c r="J40" s="170"/>
      <c r="K40" s="87">
        <f>SUM(P12:P15)</f>
        <v>998830</v>
      </c>
      <c r="L40" s="77" t="s">
        <v>64</v>
      </c>
      <c r="M40" s="88">
        <v>998830</v>
      </c>
      <c r="N40" t="s">
        <v>63</v>
      </c>
    </row>
    <row r="41" spans="2:14" ht="16.5" thickBot="1">
      <c r="B41" s="46"/>
      <c r="C41" s="47"/>
      <c r="H41" s="169" t="s">
        <v>56</v>
      </c>
      <c r="I41" s="170"/>
      <c r="J41" s="170"/>
      <c r="K41" s="87">
        <f>SUM(Q12:Q15)</f>
        <v>228743</v>
      </c>
      <c r="L41" s="77" t="s">
        <v>64</v>
      </c>
      <c r="M41" s="88">
        <v>228743</v>
      </c>
      <c r="N41" t="s">
        <v>63</v>
      </c>
    </row>
    <row r="42" spans="2:14" ht="16.5" thickBot="1">
      <c r="B42" s="84" t="s">
        <v>81</v>
      </c>
      <c r="C42" s="85">
        <f>SUM(C36,C38,C40)</f>
        <v>1459646.1169</v>
      </c>
      <c r="H42" s="169" t="s">
        <v>57</v>
      </c>
      <c r="I42" s="170"/>
      <c r="J42" s="170"/>
      <c r="K42" s="87">
        <f>SUM(R12:R15)</f>
        <v>523927</v>
      </c>
      <c r="L42" s="77" t="s">
        <v>64</v>
      </c>
      <c r="M42" s="88">
        <v>523927</v>
      </c>
      <c r="N42" t="s">
        <v>63</v>
      </c>
    </row>
    <row r="43" spans="2:14">
      <c r="B43" s="48" t="s">
        <v>92</v>
      </c>
      <c r="H43" s="165"/>
      <c r="I43" s="161"/>
      <c r="J43" s="161"/>
      <c r="K43" s="161"/>
      <c r="L43" s="161"/>
      <c r="M43" s="166"/>
    </row>
    <row r="44" spans="2:14">
      <c r="H44" s="167" t="s">
        <v>118</v>
      </c>
      <c r="I44" s="168"/>
      <c r="J44" s="168"/>
      <c r="K44" s="1"/>
      <c r="L44" s="1"/>
      <c r="M44" s="30"/>
    </row>
    <row r="45" spans="2:14">
      <c r="H45" s="31" t="s">
        <v>59</v>
      </c>
      <c r="I45" s="26"/>
      <c r="J45" s="26"/>
      <c r="K45" s="26"/>
      <c r="L45" s="1"/>
      <c r="M45" s="30"/>
    </row>
    <row r="46" spans="2:14">
      <c r="H46" s="28" t="s">
        <v>65</v>
      </c>
      <c r="I46" s="1"/>
      <c r="J46" s="1"/>
      <c r="K46" s="1">
        <f>SUM(C11:C12)</f>
        <v>2110293</v>
      </c>
      <c r="L46" s="77" t="s">
        <v>73</v>
      </c>
      <c r="M46" s="30">
        <f>SUM(I12:R12)</f>
        <v>2110293</v>
      </c>
      <c r="N46" t="s">
        <v>66</v>
      </c>
    </row>
    <row r="47" spans="2:14">
      <c r="H47" s="28" t="s">
        <v>67</v>
      </c>
      <c r="I47" s="1"/>
      <c r="J47" s="1"/>
      <c r="K47" s="117">
        <f>SUM(D11:D12)</f>
        <v>5.8207660913467407E-11</v>
      </c>
      <c r="L47" s="118" t="s">
        <v>73</v>
      </c>
      <c r="M47" s="119">
        <f>SUM(I13:R13)</f>
        <v>5.8207660913467407E-11</v>
      </c>
      <c r="N47" t="s">
        <v>68</v>
      </c>
    </row>
    <row r="48" spans="2:14">
      <c r="H48" s="28" t="s">
        <v>69</v>
      </c>
      <c r="I48" s="1"/>
      <c r="J48" s="1"/>
      <c r="K48" s="1">
        <f>SUM(E11:E12)</f>
        <v>3593174</v>
      </c>
      <c r="L48" s="77" t="s">
        <v>73</v>
      </c>
      <c r="M48" s="30">
        <f>SUM(I14:R14)</f>
        <v>3593174</v>
      </c>
      <c r="N48" t="s">
        <v>70</v>
      </c>
    </row>
    <row r="49" spans="2:14" ht="16.5" thickBot="1">
      <c r="H49" s="32" t="s">
        <v>71</v>
      </c>
      <c r="I49" s="33"/>
      <c r="J49" s="33"/>
      <c r="K49" s="33">
        <f>SUM(F11:F12)</f>
        <v>0</v>
      </c>
      <c r="L49" s="34" t="s">
        <v>73</v>
      </c>
      <c r="M49" s="35">
        <f>SUM(I15:R15)</f>
        <v>0</v>
      </c>
      <c r="N49" t="s">
        <v>72</v>
      </c>
    </row>
    <row r="50" spans="2:14" ht="16.5" thickBot="1">
      <c r="B50" t="s">
        <v>119</v>
      </c>
    </row>
    <row r="51" spans="2:14" ht="16.5" thickBot="1">
      <c r="B51" s="86"/>
      <c r="C51" s="1" t="s">
        <v>94</v>
      </c>
      <c r="H51" s="171" t="s">
        <v>85</v>
      </c>
      <c r="I51" s="172"/>
      <c r="J51" s="173"/>
    </row>
    <row r="52" spans="2:14">
      <c r="B52" s="49"/>
      <c r="C52" s="1" t="s">
        <v>77</v>
      </c>
      <c r="H52" s="38" t="s">
        <v>86</v>
      </c>
      <c r="I52" s="38"/>
      <c r="J52" s="38"/>
      <c r="K52" s="38"/>
      <c r="L52" s="38"/>
    </row>
    <row r="53" spans="2:14">
      <c r="B53" s="22"/>
      <c r="C53" s="1" t="s">
        <v>120</v>
      </c>
      <c r="H53" s="38" t="s">
        <v>87</v>
      </c>
      <c r="I53" s="38"/>
      <c r="J53" s="38"/>
    </row>
    <row r="54" spans="2:14">
      <c r="C54" s="8"/>
      <c r="H54" t="s">
        <v>88</v>
      </c>
      <c r="I54" t="s">
        <v>89</v>
      </c>
    </row>
    <row r="55" spans="2:14">
      <c r="I55" t="s">
        <v>90</v>
      </c>
    </row>
  </sheetData>
  <mergeCells count="26">
    <mergeCell ref="C3:F3"/>
    <mergeCell ref="I3:R3"/>
    <mergeCell ref="C9:F9"/>
    <mergeCell ref="I10:R10"/>
    <mergeCell ref="T11:V11"/>
    <mergeCell ref="H37:J37"/>
    <mergeCell ref="Q16:R16"/>
    <mergeCell ref="I17:R17"/>
    <mergeCell ref="C25:D25"/>
    <mergeCell ref="H27:J27"/>
    <mergeCell ref="H28:J28"/>
    <mergeCell ref="H31:M31"/>
    <mergeCell ref="H32:J32"/>
    <mergeCell ref="H33:J33"/>
    <mergeCell ref="H34:J34"/>
    <mergeCell ref="H35:J35"/>
    <mergeCell ref="H36:J36"/>
    <mergeCell ref="C15:F15"/>
    <mergeCell ref="H44:J44"/>
    <mergeCell ref="H51:J51"/>
    <mergeCell ref="H38:J38"/>
    <mergeCell ref="H39:J39"/>
    <mergeCell ref="H40:J40"/>
    <mergeCell ref="H41:J41"/>
    <mergeCell ref="H42:J42"/>
    <mergeCell ref="H43:M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0471-154B-42B6-AAFF-128B9EA8C405}">
  <dimension ref="A1:B18"/>
  <sheetViews>
    <sheetView workbookViewId="0"/>
  </sheetViews>
  <sheetFormatPr defaultColWidth="8.875" defaultRowHeight="15.75"/>
  <sheetData>
    <row r="1" spans="1:2">
      <c r="A1">
        <v>1</v>
      </c>
      <c r="B1">
        <v>1</v>
      </c>
    </row>
    <row r="2" spans="1:2">
      <c r="A2" t="s">
        <v>95</v>
      </c>
      <c r="B2" t="s">
        <v>121</v>
      </c>
    </row>
    <row r="3" spans="1:2">
      <c r="A3">
        <v>1</v>
      </c>
      <c r="B3">
        <v>1</v>
      </c>
    </row>
    <row r="4" spans="1:2">
      <c r="A4">
        <v>1</v>
      </c>
      <c r="B4">
        <v>3600000</v>
      </c>
    </row>
    <row r="5" spans="1:2">
      <c r="A5">
        <v>4</v>
      </c>
      <c r="B5">
        <v>5600000</v>
      </c>
    </row>
    <row r="6" spans="1:2">
      <c r="A6">
        <v>1</v>
      </c>
      <c r="B6">
        <v>100000</v>
      </c>
    </row>
    <row r="8" spans="1:2">
      <c r="A8" s="56"/>
      <c r="B8" s="56" t="s">
        <v>100</v>
      </c>
    </row>
    <row r="9" spans="1:2">
      <c r="A9" t="s">
        <v>96</v>
      </c>
      <c r="B9" t="s">
        <v>122</v>
      </c>
    </row>
    <row r="10" spans="1:2">
      <c r="A10" t="s">
        <v>97</v>
      </c>
      <c r="B10">
        <v>1</v>
      </c>
    </row>
    <row r="11" spans="1:2">
      <c r="B11">
        <v>1500000</v>
      </c>
    </row>
    <row r="12" spans="1:2">
      <c r="B12">
        <v>3500000</v>
      </c>
    </row>
    <row r="13" spans="1:2">
      <c r="B13">
        <v>100000</v>
      </c>
    </row>
    <row r="15" spans="1:2">
      <c r="B15" s="56" t="s">
        <v>100</v>
      </c>
    </row>
    <row r="16" spans="1:2">
      <c r="B16" t="s">
        <v>123</v>
      </c>
    </row>
    <row r="17" spans="2:2">
      <c r="B17" t="s">
        <v>101</v>
      </c>
    </row>
    <row r="18" spans="2:2">
      <c r="B18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Formulation</vt:lpstr>
      <vt:lpstr>Inbound_baseline</vt:lpstr>
      <vt:lpstr>Outbound_baseline</vt:lpstr>
      <vt:lpstr>Opt -transportation+WH cost</vt:lpstr>
      <vt:lpstr>2-way capacity check</vt:lpstr>
      <vt:lpstr>Opt -transportation+4WH cost</vt:lpstr>
      <vt:lpstr>Optimal WH need</vt:lpstr>
      <vt:lpstr>Opt -transportation+NewConst</vt:lpstr>
      <vt:lpstr>'Optimal WH need'!ChartData</vt:lpstr>
      <vt:lpstr>'2-way capacity check'!ChartData1</vt:lpstr>
      <vt:lpstr>'2-way capacity check'!ChartData2</vt:lpstr>
      <vt:lpstr>'Optimal WH need'!InputValues</vt:lpstr>
      <vt:lpstr>'2-way capacity check'!InputValues1</vt:lpstr>
      <vt:lpstr>'2-way capacity check'!InputValues2</vt:lpstr>
      <vt:lpstr>'2-way capacity check'!OutputAddresses</vt:lpstr>
      <vt:lpstr>'Optimal WH need'!OutputAddresses</vt:lpstr>
      <vt:lpstr>'Optimal WH need'!OutputValues</vt:lpstr>
      <vt:lpstr>'2-way capacity check'!OutputValues_1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stsc</cp:lastModifiedBy>
  <dcterms:created xsi:type="dcterms:W3CDTF">2020-09-24T05:31:23Z</dcterms:created>
  <dcterms:modified xsi:type="dcterms:W3CDTF">2020-10-11T23:59:09Z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7483be2b-e0fd-4ff7-a8ad-b89679e86a71</vt:lpwstr>
  </property>
</Properties>
</file>